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drawings/drawing9.xml" ContentType="application/vnd.openxmlformats-officedocument.drawing+xml"/>
  <Override PartName="/xl/ctrlProps/ctrlProp8.xml" ContentType="application/vnd.ms-excel.controlproperties+xml"/>
  <Override PartName="/xl/drawings/drawing10.xml" ContentType="application/vnd.openxmlformats-officedocument.drawing+xml"/>
  <Override PartName="/xl/ctrlProps/ctrlProp9.xml" ContentType="application/vnd.ms-excel.controlproperties+xml"/>
  <Override PartName="/xl/tables/table2.xml" ContentType="application/vnd.openxmlformats-officedocument.spreadsheetml.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10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G:\"/>
    </mc:Choice>
  </mc:AlternateContent>
  <xr:revisionPtr revIDLastSave="0" documentId="13_ncr:1_{D17C9E30-887B-499C-A3FD-97E8BEBD029B}" xr6:coauthVersionLast="47" xr6:coauthVersionMax="47" xr10:uidLastSave="{00000000-0000-0000-0000-000000000000}"/>
  <bookViews>
    <workbookView xWindow="28680" yWindow="-120" windowWidth="29040" windowHeight="15720" tabRatio="881" firstSheet="6" activeTab="7" xr2:uid="{2261D45D-329E-4045-929F-FA4CF611E66A}"/>
  </bookViews>
  <sheets>
    <sheet name="correls (2)" sheetId="530" r:id="rId1"/>
    <sheet name="PAIR_Monitor" sheetId="338" r:id="rId2"/>
    <sheet name="BETAS" sheetId="446" r:id="rId3"/>
    <sheet name="Sheet3" sheetId="531" r:id="rId4"/>
    <sheet name="Sheet2" sheetId="529" r:id="rId5"/>
    <sheet name="Sheet1" sheetId="528" r:id="rId6"/>
    <sheet name="P&amp;L Pivot" sheetId="24" r:id="rId7"/>
    <sheet name="Master P&amp;L" sheetId="1" r:id="rId8"/>
    <sheet name="Options" sheetId="2" r:id="rId9"/>
    <sheet name="Options Price" sheetId="89" r:id="rId10"/>
    <sheet name="Check" sheetId="385" r:id="rId11"/>
    <sheet name="Input_APM" sheetId="384" r:id="rId12"/>
    <sheet name="Input_APM (Zenith)" sheetId="414" r:id="rId13"/>
    <sheet name="Check (Zenith)" sheetId="415" state="hidden" r:id="rId14"/>
    <sheet name="Auxiliar" sheetId="383" r:id="rId15"/>
    <sheet name="CDS" sheetId="54" r:id="rId16"/>
    <sheet name="Check result" sheetId="444" r:id="rId17"/>
    <sheet name="Precificação" sheetId="527" r:id="rId18"/>
    <sheet name="Bloomberg_Data" sheetId="532" r:id="rId19"/>
  </sheets>
  <functionGroups builtInGroupCount="19"/>
  <definedNames>
    <definedName name="_xlnm._FilterDatabase" localSheetId="10" hidden="1">Check!$A$4:$V$190</definedName>
    <definedName name="_xlnm._FilterDatabase" localSheetId="13" hidden="1">'Check (Zenith)'!$B$4:$E$151</definedName>
    <definedName name="_xlnm._FilterDatabase" localSheetId="11" hidden="1">Input_APM!$K$1:$O$397</definedName>
    <definedName name="_xlnm._FilterDatabase" localSheetId="7" hidden="1">'Master P&amp;L'!$A$11:$AD$48</definedName>
    <definedName name="_xlnm._FilterDatabase" localSheetId="8" hidden="1">Options!$A$3:$BD$29</definedName>
    <definedName name="CODIGO">#REF!</definedName>
    <definedName name="dat_ini1">#REF!</definedName>
    <definedName name="datPosicao">#REF!</definedName>
    <definedName name="feriados2">#REF!</definedName>
    <definedName name="Fundos">_xlfn._xlws.FILTER(_xlfn.UNIQUE(#REF!),_xlfn.UNIQUE(#REF!)&lt;&gt;"")</definedName>
    <definedName name="Fundos_2">_xlfn._xlws.FILTER(_xlfn.UNIQUE(#REF!),_xlfn.UNIQUE(#REF!)&lt;&gt;"")</definedName>
    <definedName name="Hoje">Auxiliar!$B$2</definedName>
    <definedName name="INI_TABELA">#REF!</definedName>
    <definedName name="INI_TABELA_C">#REF!</definedName>
    <definedName name="Input_Master">Auxiliar!$B$4</definedName>
    <definedName name="Input_Zenith">Auxiliar!$B$5</definedName>
    <definedName name="ListaBrokers">#REF!</definedName>
    <definedName name="Ontem">Auxiliar!$B$3</definedName>
    <definedName name="opcoes">#REF!</definedName>
    <definedName name="_xlnm.Print_Area" localSheetId="7">'Master P&amp;L'!$B$2:$AC$48</definedName>
    <definedName name="_xlnm.Print_Area" localSheetId="6">'P&amp;L Pivot'!$A$7:$F$60</definedName>
    <definedName name="RESUMO_TABELA">#REF!</definedName>
    <definedName name="RESUMO_TABELA_C">#REF!</definedName>
    <definedName name="SpreadsheetBuilder_1" hidden="1">#REF!</definedName>
  </definedNames>
  <calcPr calcId="191029" iterate="1" iterateCount="1000" calcOnSave="0"/>
  <pivotCaches>
    <pivotCache cacheId="0" r:id="rId2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2" l="1"/>
  <c r="O71" i="532"/>
  <c r="N71" i="532"/>
  <c r="M71" i="532"/>
  <c r="L71" i="532"/>
  <c r="K71" i="532"/>
  <c r="J71" i="532"/>
  <c r="I71" i="532"/>
  <c r="H71" i="532"/>
  <c r="G71" i="532"/>
  <c r="F71" i="532"/>
  <c r="E71" i="532"/>
  <c r="D71" i="532"/>
  <c r="C71" i="532"/>
  <c r="O70" i="532"/>
  <c r="N70" i="532"/>
  <c r="M70" i="532"/>
  <c r="L70" i="532"/>
  <c r="K70" i="532"/>
  <c r="J70" i="532"/>
  <c r="I70" i="532"/>
  <c r="H70" i="532"/>
  <c r="G70" i="532"/>
  <c r="F70" i="532"/>
  <c r="E70" i="532"/>
  <c r="D70" i="532"/>
  <c r="C70" i="532"/>
  <c r="O69" i="532"/>
  <c r="N69" i="532"/>
  <c r="M69" i="532"/>
  <c r="L69" i="532"/>
  <c r="K69" i="532"/>
  <c r="J69" i="532"/>
  <c r="I69" i="532"/>
  <c r="H69" i="532"/>
  <c r="G69" i="532"/>
  <c r="F69" i="532"/>
  <c r="E69" i="532"/>
  <c r="D69" i="532"/>
  <c r="C69" i="532"/>
  <c r="O68" i="532"/>
  <c r="N68" i="532"/>
  <c r="M68" i="532"/>
  <c r="L68" i="532"/>
  <c r="K68" i="532"/>
  <c r="J68" i="532"/>
  <c r="I68" i="532"/>
  <c r="H68" i="532"/>
  <c r="G68" i="532"/>
  <c r="F68" i="532"/>
  <c r="E68" i="532"/>
  <c r="D68" i="532"/>
  <c r="C68" i="532"/>
  <c r="O67" i="532"/>
  <c r="N67" i="532"/>
  <c r="M67" i="532"/>
  <c r="L67" i="532"/>
  <c r="K67" i="532"/>
  <c r="J67" i="532"/>
  <c r="I67" i="532"/>
  <c r="H67" i="532"/>
  <c r="G67" i="532"/>
  <c r="F67" i="532"/>
  <c r="E67" i="532"/>
  <c r="D67" i="532"/>
  <c r="C67" i="532"/>
  <c r="O66" i="532"/>
  <c r="N66" i="532"/>
  <c r="M66" i="532"/>
  <c r="L66" i="532"/>
  <c r="K66" i="532"/>
  <c r="J66" i="532"/>
  <c r="I66" i="532"/>
  <c r="H66" i="532"/>
  <c r="G66" i="532"/>
  <c r="F66" i="532"/>
  <c r="E66" i="532"/>
  <c r="D66" i="532"/>
  <c r="C66" i="532"/>
  <c r="O65" i="532"/>
  <c r="N65" i="532"/>
  <c r="M65" i="532"/>
  <c r="L65" i="532"/>
  <c r="K65" i="532"/>
  <c r="J65" i="532"/>
  <c r="I65" i="532"/>
  <c r="H65" i="532"/>
  <c r="G65" i="532"/>
  <c r="F65" i="532"/>
  <c r="E65" i="532"/>
  <c r="D65" i="532"/>
  <c r="C65" i="532"/>
  <c r="O64" i="532"/>
  <c r="N64" i="532"/>
  <c r="M64" i="532"/>
  <c r="L64" i="532"/>
  <c r="K64" i="532"/>
  <c r="J64" i="532"/>
  <c r="I64" i="532"/>
  <c r="H64" i="532"/>
  <c r="G64" i="532"/>
  <c r="F64" i="532"/>
  <c r="E64" i="532"/>
  <c r="D64" i="532"/>
  <c r="C64" i="532"/>
  <c r="O63" i="532"/>
  <c r="N63" i="532"/>
  <c r="M63" i="532"/>
  <c r="L63" i="532"/>
  <c r="K63" i="532"/>
  <c r="J63" i="532"/>
  <c r="I63" i="532"/>
  <c r="H63" i="532"/>
  <c r="G63" i="532"/>
  <c r="F63" i="532"/>
  <c r="E63" i="532"/>
  <c r="I19" i="89"/>
  <c r="I20" i="89"/>
  <c r="D63" i="532"/>
  <c r="C63" i="532"/>
  <c r="W19" i="89"/>
  <c r="W20" i="89" a="1"/>
  <c r="W20" i="89"/>
  <c r="M78" i="532"/>
  <c r="I78" i="532"/>
  <c r="L78" i="532"/>
  <c r="K78" i="532"/>
  <c r="J78" i="532"/>
  <c r="G78" i="532"/>
  <c r="H78" i="532"/>
  <c r="F78" i="532"/>
  <c r="O77" i="532"/>
  <c r="N77" i="532"/>
  <c r="M77" i="532"/>
  <c r="E78" i="532"/>
  <c r="D78" i="532"/>
  <c r="C78" i="532"/>
  <c r="I77" i="532"/>
  <c r="L77" i="532"/>
  <c r="K77" i="532"/>
  <c r="J77" i="532"/>
  <c r="G77" i="532"/>
  <c r="N76" i="532"/>
  <c r="M76" i="532"/>
  <c r="O76" i="532"/>
  <c r="E77" i="532"/>
  <c r="H77" i="532"/>
  <c r="F77" i="532"/>
  <c r="D77" i="532"/>
  <c r="C77" i="532"/>
  <c r="I76" i="532"/>
  <c r="L76" i="532"/>
  <c r="K76" i="532"/>
  <c r="G76" i="532"/>
  <c r="J76" i="532"/>
  <c r="H76" i="532"/>
  <c r="O75" i="532"/>
  <c r="N75" i="532"/>
  <c r="E76" i="532"/>
  <c r="D76" i="532"/>
  <c r="C76" i="532"/>
  <c r="F76" i="532"/>
  <c r="M75" i="532"/>
  <c r="I75" i="532"/>
  <c r="L75" i="532"/>
  <c r="K75" i="532"/>
  <c r="J75" i="532"/>
  <c r="G75" i="532"/>
  <c r="H75" i="532"/>
  <c r="F75" i="532"/>
  <c r="I74" i="532"/>
  <c r="N74" i="532"/>
  <c r="O74" i="532"/>
  <c r="M74" i="532"/>
  <c r="E75" i="532"/>
  <c r="D75" i="532"/>
  <c r="C75" i="532"/>
  <c r="G74" i="532"/>
  <c r="L74" i="532"/>
  <c r="K74" i="532"/>
  <c r="J74" i="532"/>
  <c r="H74" i="532"/>
  <c r="N73" i="532"/>
  <c r="O73" i="532"/>
  <c r="E74" i="532"/>
  <c r="D74" i="532"/>
  <c r="C74" i="532"/>
  <c r="F74" i="532"/>
  <c r="M73" i="532"/>
  <c r="I73" i="532"/>
  <c r="L73" i="532"/>
  <c r="K73" i="532"/>
  <c r="J73" i="532"/>
  <c r="O72" i="532"/>
  <c r="I72" i="532"/>
  <c r="M72" i="532"/>
  <c r="N72" i="532"/>
  <c r="G73" i="532"/>
  <c r="H73" i="532"/>
  <c r="F73" i="532"/>
  <c r="E73" i="532"/>
  <c r="D73" i="532"/>
  <c r="C73" i="532"/>
  <c r="G72" i="532"/>
  <c r="E72" i="532"/>
  <c r="D72" i="532"/>
  <c r="C72" i="532"/>
  <c r="L72" i="532"/>
  <c r="K72" i="532"/>
  <c r="J72" i="532"/>
  <c r="H72" i="532"/>
  <c r="F72" i="532"/>
  <c r="I58" i="532"/>
  <c r="H58" i="532"/>
  <c r="G58" i="532"/>
  <c r="F58" i="532"/>
  <c r="D58" i="532"/>
  <c r="I57" i="532"/>
  <c r="C58" i="532"/>
  <c r="G57" i="532"/>
  <c r="D57" i="532"/>
  <c r="F57" i="532"/>
  <c r="H57" i="532"/>
  <c r="I56" i="532"/>
  <c r="H56" i="532"/>
  <c r="E58" i="532"/>
  <c r="C57" i="532"/>
  <c r="G56" i="532"/>
  <c r="F56" i="532"/>
  <c r="D56" i="532"/>
  <c r="H55" i="532"/>
  <c r="D55" i="532"/>
  <c r="F55" i="532"/>
  <c r="G55" i="532"/>
  <c r="I55" i="532"/>
  <c r="E57" i="532"/>
  <c r="C56" i="532"/>
  <c r="C55" i="532"/>
  <c r="H54" i="532"/>
  <c r="I54" i="532"/>
  <c r="F54" i="532"/>
  <c r="G54" i="532"/>
  <c r="E56" i="532"/>
  <c r="E55" i="532"/>
  <c r="D54" i="532"/>
  <c r="F53" i="532"/>
  <c r="G53" i="532"/>
  <c r="D53" i="532"/>
  <c r="I53" i="532"/>
  <c r="C54" i="532"/>
  <c r="E54" i="532"/>
  <c r="H53" i="532"/>
  <c r="G52" i="532"/>
  <c r="I52" i="532"/>
  <c r="C53" i="532"/>
  <c r="F52" i="532"/>
  <c r="D52" i="532"/>
  <c r="E53" i="532" l="1"/>
  <c r="H52" i="532"/>
  <c r="G51" i="532"/>
  <c r="F51" i="532"/>
  <c r="D51" i="532"/>
  <c r="E51" i="532"/>
  <c r="C52" i="532"/>
  <c r="I51" i="532"/>
  <c r="H51" i="532"/>
  <c r="G50" i="532"/>
  <c r="C51" i="532"/>
  <c r="F50" i="532"/>
  <c r="D50" i="532"/>
  <c r="E52" i="532" l="1"/>
  <c r="E50" i="532"/>
  <c r="I50" i="532"/>
  <c r="H50" i="532"/>
  <c r="G49" i="532"/>
  <c r="C50" i="532"/>
  <c r="D49" i="532"/>
  <c r="F49" i="532"/>
  <c r="I49" i="532"/>
  <c r="H49" i="532"/>
  <c r="E49" i="532"/>
  <c r="G48" i="532"/>
  <c r="C49" i="532"/>
  <c r="F48" i="532"/>
  <c r="D48" i="532"/>
  <c r="I48" i="532"/>
  <c r="H48" i="532"/>
  <c r="E48" i="532"/>
  <c r="G47" i="532"/>
  <c r="I47" i="532"/>
  <c r="C48" i="532"/>
  <c r="D47" i="532"/>
  <c r="F47" i="532"/>
  <c r="H47" i="532"/>
  <c r="C47" i="532"/>
  <c r="I46" i="532"/>
  <c r="H46" i="532"/>
  <c r="G46" i="532"/>
  <c r="F46" i="532"/>
  <c r="E47" i="532" l="1"/>
  <c r="E46" i="532"/>
  <c r="D46" i="532"/>
  <c r="I45" i="532"/>
  <c r="G45" i="532"/>
  <c r="H45" i="532"/>
  <c r="C46" i="532"/>
  <c r="F45" i="532"/>
  <c r="D45" i="532"/>
  <c r="C45" i="532"/>
  <c r="I44" i="532"/>
  <c r="H44" i="532"/>
  <c r="G44" i="532"/>
  <c r="F44" i="532"/>
  <c r="D44" i="532"/>
  <c r="I43" i="532"/>
  <c r="G43" i="532"/>
  <c r="H43" i="532"/>
  <c r="C44" i="532"/>
  <c r="F43" i="532"/>
  <c r="D43" i="532"/>
  <c r="C43" i="532"/>
  <c r="H42" i="532"/>
  <c r="G42" i="532"/>
  <c r="I42" i="532"/>
  <c r="F42" i="532"/>
  <c r="D42" i="532"/>
  <c r="C42" i="532"/>
  <c r="G41" i="532"/>
  <c r="I41" i="532"/>
  <c r="H41" i="532"/>
  <c r="D41" i="532"/>
  <c r="F41" i="532"/>
  <c r="C41" i="532"/>
  <c r="H40" i="532"/>
  <c r="G40" i="532"/>
  <c r="I40" i="532"/>
  <c r="F40" i="532"/>
  <c r="D40" i="532"/>
  <c r="C40" i="532"/>
  <c r="H39" i="532"/>
  <c r="G39" i="532"/>
  <c r="I39" i="532"/>
  <c r="F39" i="532"/>
  <c r="D39" i="532"/>
  <c r="C39" i="532"/>
  <c r="H38" i="532"/>
  <c r="I38" i="532"/>
  <c r="G38" i="532"/>
  <c r="D38" i="532"/>
  <c r="F38" i="532"/>
  <c r="C38" i="532"/>
  <c r="G37" i="532"/>
  <c r="H37" i="532"/>
  <c r="I37" i="532"/>
  <c r="F37" i="532"/>
  <c r="D37" i="532"/>
  <c r="C37" i="532"/>
  <c r="G36" i="532"/>
  <c r="H36" i="532"/>
  <c r="I36" i="532"/>
  <c r="F36" i="532"/>
  <c r="D36" i="532"/>
  <c r="H35" i="532"/>
  <c r="G35" i="532"/>
  <c r="I35" i="532"/>
  <c r="C36" i="532"/>
  <c r="F35" i="532"/>
  <c r="D35" i="532"/>
  <c r="C35" i="532"/>
  <c r="G34" i="532"/>
  <c r="H34" i="532"/>
  <c r="I34" i="532"/>
  <c r="D34" i="532"/>
  <c r="F34" i="532"/>
  <c r="C34" i="532"/>
  <c r="H33" i="532"/>
  <c r="G33" i="532"/>
  <c r="I33" i="532"/>
  <c r="F33" i="532"/>
  <c r="D33" i="532"/>
  <c r="C33" i="532"/>
  <c r="I32" i="532"/>
  <c r="G32" i="532"/>
  <c r="H32" i="532"/>
  <c r="D32" i="532"/>
  <c r="F32" i="532"/>
  <c r="E45" i="532" l="1"/>
  <c r="E44" i="532"/>
  <c r="E43" i="532"/>
  <c r="E42" i="532"/>
  <c r="E41" i="532"/>
  <c r="E40" i="532"/>
  <c r="E39" i="532"/>
  <c r="E38" i="532"/>
  <c r="E37" i="532"/>
  <c r="E36" i="532"/>
  <c r="E35" i="532"/>
  <c r="E34" i="532"/>
  <c r="E33" i="532"/>
  <c r="E32" i="532"/>
  <c r="C32" i="532"/>
  <c r="I31" i="532"/>
  <c r="H31" i="532"/>
  <c r="G31" i="532"/>
  <c r="F31" i="532"/>
  <c r="D31" i="532"/>
  <c r="E31" i="532"/>
  <c r="C31" i="532"/>
  <c r="G30" i="532"/>
  <c r="D30" i="532"/>
  <c r="F30" i="532"/>
  <c r="E30" i="532"/>
  <c r="I30" i="532"/>
  <c r="H30" i="532"/>
  <c r="F29" i="532"/>
  <c r="D29" i="532"/>
  <c r="G29" i="532"/>
  <c r="C30" i="532"/>
  <c r="G27" i="532"/>
  <c r="F27" i="532"/>
  <c r="G28" i="532"/>
  <c r="F28" i="532"/>
  <c r="D28" i="532"/>
  <c r="E29" i="532"/>
  <c r="I29" i="532"/>
  <c r="H29" i="532"/>
  <c r="C29" i="532"/>
  <c r="I28" i="532"/>
  <c r="H28" i="532"/>
  <c r="D27" i="532"/>
  <c r="F26" i="532"/>
  <c r="D26" i="532"/>
  <c r="G26" i="532"/>
  <c r="G25" i="532"/>
  <c r="E28" i="532"/>
  <c r="E27" i="532"/>
  <c r="C28" i="532"/>
  <c r="I27" i="532"/>
  <c r="H27" i="532"/>
  <c r="D25" i="532"/>
  <c r="F25" i="532"/>
  <c r="E26" i="532"/>
  <c r="C27" i="532"/>
  <c r="I26" i="532"/>
  <c r="H26" i="532"/>
  <c r="C26" i="532"/>
  <c r="I25" i="532"/>
  <c r="H25" i="532"/>
  <c r="F24" i="532"/>
  <c r="D24" i="532"/>
  <c r="G24" i="532"/>
  <c r="E25" i="532"/>
  <c r="C25" i="532"/>
  <c r="I24" i="532"/>
  <c r="H24" i="532"/>
  <c r="E24" i="532"/>
  <c r="G23" i="532"/>
  <c r="F23" i="532"/>
  <c r="C24" i="532"/>
  <c r="I23" i="532"/>
  <c r="D23" i="532"/>
  <c r="E23" i="532"/>
  <c r="H23" i="532"/>
  <c r="G22" i="532"/>
  <c r="F22" i="532"/>
  <c r="C23" i="532"/>
  <c r="D22" i="532"/>
  <c r="F21" i="532"/>
  <c r="D21" i="532"/>
  <c r="G21" i="532"/>
  <c r="E22" i="532"/>
  <c r="I22" i="532"/>
  <c r="H22" i="532"/>
  <c r="C22" i="532"/>
  <c r="D20" i="532"/>
  <c r="F20" i="532"/>
  <c r="G20" i="532"/>
  <c r="E21" i="532"/>
  <c r="E20" i="532"/>
  <c r="I21" i="532"/>
  <c r="H21" i="532"/>
  <c r="C21" i="532"/>
  <c r="I20" i="532"/>
  <c r="H20" i="532"/>
  <c r="F19" i="532"/>
  <c r="G19" i="532"/>
  <c r="C20" i="532"/>
  <c r="I19" i="532"/>
  <c r="F18" i="532"/>
  <c r="G18" i="532"/>
  <c r="D19" i="532"/>
  <c r="E19" i="532"/>
  <c r="H19" i="532"/>
  <c r="D17" i="532"/>
  <c r="D16" i="532"/>
  <c r="G15" i="532"/>
  <c r="F17" i="532"/>
  <c r="D15" i="532"/>
  <c r="G17" i="532"/>
  <c r="F15" i="532"/>
  <c r="G16" i="532"/>
  <c r="F16" i="532"/>
  <c r="D18" i="532"/>
  <c r="C19" i="532"/>
  <c r="I18" i="532"/>
  <c r="H18" i="532"/>
  <c r="E18" i="532"/>
  <c r="E17" i="532"/>
  <c r="E16" i="532"/>
  <c r="C18" i="532"/>
  <c r="I17" i="532"/>
  <c r="H17" i="532"/>
  <c r="C17" i="532"/>
  <c r="I16" i="532"/>
  <c r="H16" i="532"/>
  <c r="D14" i="532"/>
  <c r="F14" i="532"/>
  <c r="G14" i="532"/>
  <c r="G13" i="532"/>
  <c r="E15" i="532"/>
  <c r="C16" i="532"/>
  <c r="I15" i="532"/>
  <c r="H15" i="532"/>
  <c r="C15" i="532"/>
  <c r="F13" i="532"/>
  <c r="D13" i="532"/>
  <c r="E14" i="532"/>
  <c r="I14" i="532"/>
  <c r="H14" i="532"/>
  <c r="C14" i="532"/>
  <c r="I13" i="532"/>
  <c r="H13" i="532"/>
  <c r="E13" i="532"/>
  <c r="C13" i="532"/>
  <c r="F12" i="532"/>
  <c r="D12" i="532"/>
  <c r="G12" i="532"/>
  <c r="I12" i="532"/>
  <c r="H12" i="532"/>
  <c r="I11" i="532"/>
  <c r="E12" i="532"/>
  <c r="G11" i="532"/>
  <c r="F11" i="532"/>
  <c r="C12" i="532"/>
  <c r="D11" i="532"/>
  <c r="H11" i="532"/>
  <c r="C11" i="532"/>
  <c r="G10" i="532"/>
  <c r="F10" i="532"/>
  <c r="D10" i="532"/>
  <c r="I10" i="532"/>
  <c r="H10" i="532"/>
  <c r="I9" i="532"/>
  <c r="H9" i="532"/>
  <c r="G9" i="532"/>
  <c r="E11" i="532" l="1"/>
  <c r="E10" i="532"/>
  <c r="C10" i="532"/>
  <c r="D9" i="532"/>
  <c r="F9" i="532"/>
  <c r="G7" i="532"/>
  <c r="F7" i="532"/>
  <c r="F8" i="532"/>
  <c r="G8" i="532"/>
  <c r="D7" i="532"/>
  <c r="D8" i="532"/>
  <c r="C9" i="532"/>
  <c r="E9" i="532"/>
  <c r="G6" i="532"/>
  <c r="D6" i="532"/>
  <c r="F6" i="532"/>
  <c r="E8" i="532"/>
  <c r="E7" i="532"/>
  <c r="I8" i="532"/>
  <c r="H8" i="532"/>
  <c r="C8" i="532"/>
  <c r="I7" i="532"/>
  <c r="H7" i="532"/>
  <c r="C7" i="532"/>
  <c r="F5" i="532"/>
  <c r="D5" i="532"/>
  <c r="H5" i="532"/>
  <c r="G5" i="532"/>
  <c r="I5" i="532"/>
  <c r="G4" i="532"/>
  <c r="E6" i="532"/>
  <c r="I6" i="532"/>
  <c r="H6" i="532"/>
  <c r="C6" i="532"/>
  <c r="C5" i="532"/>
  <c r="D4" i="532"/>
  <c r="F4" i="532"/>
  <c r="E5" i="532"/>
  <c r="I4" i="532"/>
  <c r="H4" i="532"/>
  <c r="G3" i="532"/>
  <c r="F3" i="532"/>
  <c r="D3" i="532"/>
  <c r="E4" i="532"/>
  <c r="C4" i="532"/>
  <c r="I3" i="532"/>
  <c r="H3" i="532"/>
  <c r="D2" i="532"/>
  <c r="F2" i="532"/>
  <c r="G2" i="532"/>
  <c r="E3" i="532"/>
  <c r="E2" i="532"/>
  <c r="C3" i="532"/>
  <c r="I2" i="532"/>
  <c r="H2" i="532"/>
  <c r="C2" i="532"/>
  <c r="AI31" i="1"/>
  <c r="AI28" i="1"/>
  <c r="AB47" i="1"/>
  <c r="AF35" i="1"/>
  <c r="AF44" i="1"/>
  <c r="AB19" i="1"/>
  <c r="AI35" i="1"/>
  <c r="K35" i="1"/>
  <c r="K19" i="1"/>
  <c r="AF47" i="1"/>
  <c r="AI14" i="1"/>
  <c r="AB13" i="1"/>
  <c r="AB35" i="1"/>
  <c r="K42" i="1"/>
  <c r="K13" i="1"/>
  <c r="AF31" i="1"/>
  <c r="AF28" i="1"/>
  <c r="AF14" i="1"/>
  <c r="AC44" i="1"/>
  <c r="K44" i="1"/>
  <c r="AI44" i="1"/>
  <c r="AC19" i="1"/>
  <c r="AB44" i="1"/>
  <c r="K28" i="1"/>
  <c r="AF42" i="1"/>
  <c r="AI19" i="1"/>
  <c r="AC35" i="1"/>
  <c r="AI47" i="1"/>
  <c r="AI13" i="1"/>
  <c r="AI42" i="1"/>
  <c r="AC42" i="1"/>
  <c r="AC47" i="1"/>
  <c r="AC14" i="1"/>
  <c r="AF13" i="1"/>
  <c r="AB42" i="1"/>
  <c r="AB31" i="1"/>
  <c r="AB28" i="1"/>
  <c r="AC13" i="1"/>
  <c r="K14" i="1"/>
  <c r="K47" i="1"/>
  <c r="AF19" i="1"/>
  <c r="AB14" i="1"/>
  <c r="AC31" i="1"/>
  <c r="AC28" i="1"/>
  <c r="AC36" i="1"/>
  <c r="AI32" i="1"/>
  <c r="AI29" i="1"/>
  <c r="K40" i="1"/>
  <c r="E5" i="1"/>
  <c r="AC30" i="1"/>
  <c r="AC27" i="1"/>
  <c r="AI30" i="1"/>
  <c r="AI27" i="1"/>
  <c r="K43" i="1"/>
  <c r="AC32" i="1"/>
  <c r="AC29" i="1"/>
  <c r="AB21" i="1"/>
  <c r="AF12" i="1"/>
  <c r="AC12" i="1"/>
  <c r="AF36" i="1"/>
  <c r="AC43" i="1"/>
  <c r="AI22" i="1"/>
  <c r="AC21" i="1"/>
  <c r="AF34" i="1"/>
  <c r="AF33" i="1"/>
  <c r="K21" i="1"/>
  <c r="AC22" i="1" a="1"/>
  <c r="AC22" i="1"/>
  <c r="AI12" i="1"/>
  <c r="AC34" i="1"/>
  <c r="AC33" i="1"/>
  <c r="AF37" i="1"/>
  <c r="AF21" i="1"/>
  <c r="AI34" i="1"/>
  <c r="AI33" i="1"/>
  <c r="AF40" i="1"/>
  <c r="K29" i="1"/>
  <c r="AB37" i="1"/>
  <c r="AB22" i="1"/>
  <c r="AI43" i="1"/>
  <c r="K37" i="1"/>
  <c r="AB36" i="1"/>
  <c r="AI40" i="1"/>
  <c r="AB40" i="1"/>
  <c r="K27" i="1"/>
  <c r="AB32" i="1"/>
  <c r="AB29" i="1"/>
  <c r="AF22" i="1"/>
  <c r="AC37" i="1"/>
  <c r="AB43" i="1"/>
  <c r="AI36" i="1"/>
  <c r="K34" i="1"/>
  <c r="AF43" i="1"/>
  <c r="K12" i="1"/>
  <c r="K22" i="1"/>
  <c r="AC40" i="1"/>
  <c r="AI37" i="1"/>
  <c r="AB34" i="1"/>
  <c r="AB33" i="1"/>
  <c r="AF32" i="1"/>
  <c r="AF29" i="1"/>
  <c r="AI21" i="1"/>
  <c r="AB12" i="1"/>
  <c r="AB30" i="1"/>
  <c r="AB27" i="1"/>
  <c r="K36" i="1"/>
  <c r="AF30" i="1"/>
  <c r="AF27" i="1"/>
  <c r="AG41" i="1"/>
  <c r="AG43" i="1"/>
  <c r="AG31" i="1"/>
  <c r="AG28" i="1"/>
  <c r="AG36" i="1"/>
  <c r="AG19" i="1"/>
  <c r="AG34" i="1"/>
  <c r="AG33" i="1"/>
  <c r="AG48" i="1"/>
  <c r="AG37" i="1"/>
  <c r="AG24" i="1"/>
  <c r="AG44" i="1"/>
  <c r="AG35" i="1"/>
  <c r="AG46" i="1"/>
  <c r="AG22" i="1"/>
  <c r="AG23" i="1"/>
  <c r="AG47" i="1"/>
  <c r="AG39" i="1"/>
  <c r="AG42" i="1"/>
  <c r="AG38" i="1"/>
  <c r="AG15" i="1"/>
  <c r="AG12" i="1"/>
  <c r="J7" i="1"/>
  <c r="N8" i="1"/>
  <c r="J3" i="1"/>
  <c r="N5" i="1"/>
  <c r="J8" i="1"/>
  <c r="N10" i="1"/>
  <c r="E4" i="1"/>
  <c r="J2" i="1"/>
  <c r="N7" i="1"/>
  <c r="N4" i="1"/>
  <c r="X3" i="1"/>
  <c r="J5" i="1"/>
  <c r="J6" i="1"/>
  <c r="J10" i="1"/>
  <c r="J9" i="1"/>
  <c r="J1" i="1"/>
  <c r="N3" i="1"/>
  <c r="J4" i="1"/>
  <c r="N9" i="1"/>
  <c r="E8" i="1"/>
  <c r="AG14" i="1"/>
  <c r="AG26" i="1"/>
  <c r="AG32" i="1"/>
  <c r="AG29" i="1"/>
  <c r="AG21" i="1"/>
  <c r="AG45" i="1"/>
  <c r="AG25" i="1"/>
  <c r="AG30" i="1"/>
  <c r="AG27" i="1"/>
  <c r="AG20" i="1"/>
  <c r="AG13" i="1"/>
  <c r="AG40" i="1"/>
  <c r="AF48" i="1"/>
  <c r="AF45" i="1"/>
  <c r="AI46" i="1"/>
  <c r="AI48" i="1"/>
  <c r="AF46" i="1"/>
  <c r="AC45" i="1"/>
  <c r="K48" i="1"/>
  <c r="AC46" i="1"/>
  <c r="K46" i="1"/>
  <c r="AC48" i="1"/>
  <c r="N1" i="1"/>
  <c r="AI45" i="1"/>
  <c r="K45" i="1"/>
  <c r="E9" i="1"/>
  <c r="E2" i="1"/>
  <c r="K39" i="1"/>
  <c r="K24" i="1"/>
  <c r="K41" i="1"/>
  <c r="AI39" i="1"/>
  <c r="AI41" i="1"/>
  <c r="E3" i="1"/>
  <c r="AI24" i="1"/>
  <c r="L32" i="1"/>
  <c r="L31" i="1"/>
  <c r="L30" i="1"/>
  <c r="L29" i="1"/>
  <c r="L28" i="1"/>
  <c r="L27" i="1"/>
  <c r="L34" i="1"/>
  <c r="L33" i="1"/>
  <c r="E6" i="1"/>
  <c r="AI20" i="1"/>
  <c r="AI26" i="1"/>
  <c r="E7" i="1"/>
  <c r="K26" i="1"/>
  <c r="AF20" i="1"/>
  <c r="AF26" i="1"/>
  <c r="K20" i="1"/>
  <c r="N6" i="1"/>
  <c r="AC15" i="1"/>
  <c r="AI25" i="1"/>
  <c r="AC25" i="1"/>
  <c r="AI15" i="1"/>
  <c r="N2" i="1"/>
  <c r="K25" i="1"/>
  <c r="K15" i="1"/>
  <c r="AG16" i="1"/>
  <c r="K17" i="1"/>
  <c r="AC16" i="1"/>
  <c r="AF16" i="1"/>
  <c r="AB17" i="1"/>
  <c r="AB16" i="1"/>
  <c r="AG17" i="1"/>
  <c r="AF17" i="1"/>
  <c r="AI17" i="1"/>
  <c r="AI16" i="1"/>
  <c r="AC17" i="1"/>
  <c r="K16" i="1"/>
  <c r="AB23" i="1"/>
  <c r="AF23" i="1"/>
  <c r="AI23" i="1"/>
  <c r="AC23" i="1" a="1"/>
  <c r="AC23" i="1"/>
  <c r="E1" i="1"/>
  <c r="K38" i="1"/>
  <c r="AI38" i="1"/>
  <c r="AC38" i="1"/>
  <c r="AB38" i="1"/>
  <c r="AF18" i="1"/>
  <c r="AB18" i="1"/>
  <c r="AG18" i="1"/>
  <c r="AC18" i="1"/>
  <c r="AI18" i="1"/>
  <c r="E10" i="1"/>
  <c r="AF10" i="1"/>
  <c r="I39" i="1" a="1"/>
  <c r="I39" i="1"/>
  <c r="I19" i="1" a="1"/>
  <c r="I19" i="1"/>
  <c r="I38" i="1" a="1"/>
  <c r="I38" i="1"/>
  <c r="I36" i="1" a="1"/>
  <c r="I36" i="1"/>
  <c r="I26" i="1" a="1"/>
  <c r="I26" i="1"/>
  <c r="I24" i="1" a="1"/>
  <c r="I24" i="1"/>
  <c r="I41" i="1" a="1"/>
  <c r="I41" i="1"/>
  <c r="I21" i="1" a="1"/>
  <c r="I21" i="1"/>
  <c r="I20" i="1" a="1"/>
  <c r="I20" i="1"/>
  <c r="H1" i="1" a="1"/>
  <c r="H1" i="1"/>
  <c r="AI1" i="1"/>
  <c r="H8" i="1" a="1"/>
  <c r="H8" i="1"/>
  <c r="I44" i="1" a="1"/>
  <c r="I44" i="1"/>
  <c r="L10" i="1" a="1"/>
  <c r="L10" i="1"/>
  <c r="AG1" i="1"/>
  <c r="L9" i="1" a="1"/>
  <c r="L9" i="1"/>
  <c r="I12" i="1" a="1"/>
  <c r="I12" i="1"/>
  <c r="H9" i="1" a="1"/>
  <c r="H9" i="1"/>
  <c r="H3" i="1" a="1"/>
  <c r="H3" i="1"/>
  <c r="H5" i="1" a="1"/>
  <c r="H5" i="1"/>
  <c r="I35" i="1" a="1"/>
  <c r="I35" i="1"/>
  <c r="L8" i="1" a="1"/>
  <c r="L8" i="1"/>
  <c r="C2" i="1" a="1"/>
  <c r="C2" i="1"/>
  <c r="H10" i="1" a="1"/>
  <c r="H10" i="1"/>
  <c r="I42" i="1" a="1"/>
  <c r="I42" i="1"/>
  <c r="H4" i="1" a="1"/>
  <c r="H4" i="1"/>
  <c r="I16" i="1" a="1"/>
  <c r="I16" i="1"/>
  <c r="C10" i="1" a="1"/>
  <c r="C10" i="1"/>
  <c r="C7" i="1" a="1"/>
  <c r="C7" i="1"/>
  <c r="I47" i="1" a="1"/>
  <c r="I47" i="1"/>
  <c r="C8" i="1" a="1"/>
  <c r="C8" i="1"/>
  <c r="I40" i="1" a="1"/>
  <c r="I40" i="1"/>
  <c r="I23" i="1" a="1"/>
  <c r="I23" i="1"/>
  <c r="C5" i="1" a="1"/>
  <c r="C5" i="1"/>
  <c r="H6" i="1" a="1"/>
  <c r="H6" i="1"/>
  <c r="C1" i="1" a="1"/>
  <c r="C1" i="1"/>
  <c r="I22" i="1" a="1"/>
  <c r="I22" i="1"/>
  <c r="L2" i="1" a="1"/>
  <c r="L2" i="1"/>
  <c r="I17" i="1" a="1"/>
  <c r="I17" i="1"/>
  <c r="C4" i="1" a="1"/>
  <c r="C4" i="1"/>
  <c r="I48" i="1" a="1"/>
  <c r="I48" i="1"/>
  <c r="L1" i="1" a="1"/>
  <c r="L1" i="1"/>
  <c r="L4" i="1" a="1"/>
  <c r="L4" i="1"/>
  <c r="I45" i="1" a="1"/>
  <c r="I45" i="1"/>
  <c r="I25" i="1" a="1"/>
  <c r="I25" i="1"/>
  <c r="I13" i="1" a="1"/>
  <c r="I13" i="1"/>
  <c r="I15" i="1" a="1"/>
  <c r="I15" i="1"/>
  <c r="L5" i="1" a="1"/>
  <c r="L5" i="1"/>
  <c r="I14" i="1" a="1"/>
  <c r="I14" i="1"/>
  <c r="I37" i="1" a="1"/>
  <c r="I37" i="1"/>
  <c r="AC3" i="1" a="1"/>
  <c r="AC3" i="1"/>
  <c r="H7" i="1" a="1"/>
  <c r="H7" i="1"/>
  <c r="I43" i="1" a="1"/>
  <c r="I43" i="1"/>
  <c r="L6" i="1" a="1"/>
  <c r="L6" i="1"/>
  <c r="L3" i="1" a="1"/>
  <c r="L3" i="1"/>
  <c r="C3" i="1" a="1"/>
  <c r="C3" i="1"/>
  <c r="C9" i="1" a="1"/>
  <c r="C9" i="1"/>
  <c r="H2" i="1" a="1"/>
  <c r="H2" i="1"/>
  <c r="I18" i="1" a="1"/>
  <c r="I18" i="1"/>
  <c r="C6" i="1" a="1"/>
  <c r="C6" i="1"/>
  <c r="L7" i="1" a="1"/>
  <c r="L7" i="1"/>
  <c r="I46" i="1" a="1"/>
  <c r="I46" i="1"/>
  <c r="AB2" i="1" a="1"/>
  <c r="AB2" i="1"/>
  <c r="AD2" i="1" a="1"/>
  <c r="AD2" i="1"/>
  <c r="AC2" i="1" a="1"/>
  <c r="AC2" i="1"/>
  <c r="I32" i="1" a="1"/>
  <c r="I32" i="1"/>
  <c r="I30" i="1" a="1"/>
  <c r="I30" i="1"/>
  <c r="I33" i="1" a="1"/>
  <c r="I33" i="1"/>
  <c r="I31" i="1" a="1"/>
  <c r="I31" i="1"/>
  <c r="AB70" i="89" a="1"/>
  <c r="AB70" i="89" l="1"/>
  <c r="AB54" i="89" a="1"/>
  <c r="J31" i="1" l="1"/>
  <c r="N31" i="1"/>
  <c r="J33" i="1"/>
  <c r="N33" i="1"/>
  <c r="J30" i="1"/>
  <c r="N30" i="1"/>
  <c r="J32" i="1"/>
  <c r="N32" i="1"/>
  <c r="AB54" i="89"/>
  <c r="AB53" i="89" a="1"/>
  <c r="AB53" i="89" l="1"/>
  <c r="AB52" i="89" a="1"/>
  <c r="AB52" i="89" l="1"/>
  <c r="AB76" i="89" a="1"/>
  <c r="AB76" i="89"/>
  <c r="AB61" i="89" a="1"/>
  <c r="AB61" i="89"/>
  <c r="AB60" i="89" a="1"/>
  <c r="AB60" i="89"/>
  <c r="AQ9" i="2" a="1"/>
  <c r="AQ9" i="2"/>
  <c r="AC7" i="2" a="1"/>
  <c r="AC7" i="2"/>
  <c r="AC5" i="2" a="1"/>
  <c r="AC5" i="2"/>
  <c r="AC14" i="2" a="1"/>
  <c r="AC14" i="2"/>
  <c r="AC13" i="2" a="1"/>
  <c r="AC13" i="2"/>
  <c r="AC9" i="2" a="1"/>
  <c r="AC9" i="2"/>
  <c r="AC11" i="2" a="1"/>
  <c r="AC11" i="2"/>
  <c r="AC10" i="2" a="1"/>
  <c r="AC10" i="2"/>
  <c r="AC16" i="2" a="1"/>
  <c r="AC16" i="2"/>
  <c r="AC15" i="2" a="1"/>
  <c r="AC15" i="2"/>
  <c r="AQ4" i="2" a="1"/>
  <c r="AQ4" i="2"/>
  <c r="AC8" i="2" a="1"/>
  <c r="AC8" i="2"/>
  <c r="AC4" i="2" a="1"/>
  <c r="AC4" i="2"/>
  <c r="AB69" i="89" a="1"/>
  <c r="AB69" i="89"/>
  <c r="AQ11" i="2" a="1"/>
  <c r="AQ11" i="2"/>
  <c r="AQ10" i="2" a="1"/>
  <c r="AQ10" i="2"/>
  <c r="AQ8" i="2" a="1"/>
  <c r="AQ8" i="2"/>
  <c r="AB30" i="89" a="1"/>
  <c r="AB30" i="89"/>
  <c r="AQ16" i="2" a="1"/>
  <c r="AQ16" i="2"/>
  <c r="AQ15" i="2" a="1"/>
  <c r="AQ15" i="2"/>
  <c r="AB8" i="89" a="1"/>
  <c r="AB8" i="89"/>
  <c r="AC23" i="2" a="1"/>
  <c r="AC23" i="2"/>
  <c r="AQ7" i="2" a="1"/>
  <c r="AQ7" i="2"/>
  <c r="AQ5" i="2" a="1"/>
  <c r="AQ5" i="2"/>
  <c r="AB20" i="89" a="1"/>
  <c r="AB20" i="89"/>
  <c r="AB19" i="89" a="1"/>
  <c r="AB19" i="89"/>
  <c r="AQ12" i="2" a="1"/>
  <c r="AQ12" i="2"/>
  <c r="AB96" i="89" a="1"/>
  <c r="AB96" i="89"/>
  <c r="AB87" i="89" a="1"/>
  <c r="AB87" i="89"/>
  <c r="AB86" i="89" a="1"/>
  <c r="AB86" i="89"/>
  <c r="AB85" i="89" a="1"/>
  <c r="AB85" i="89"/>
  <c r="AB14" i="89" a="1"/>
  <c r="AB14" i="89"/>
  <c r="AB13" i="89" a="1"/>
  <c r="AB13" i="89"/>
  <c r="AQ14" i="2" a="1"/>
  <c r="AQ14" i="2"/>
  <c r="AQ13" i="2" a="1"/>
  <c r="AQ13" i="2"/>
  <c r="AQ23" i="2" a="1"/>
  <c r="AQ23" i="2"/>
  <c r="AQ17" i="2" a="1"/>
  <c r="AQ17" i="2"/>
  <c r="AB7" i="89" a="1"/>
  <c r="AB7" i="89"/>
  <c r="AC12" i="2" a="1"/>
  <c r="AC12" i="2"/>
  <c r="AC17" i="2" a="1"/>
  <c r="AC17" i="2"/>
  <c r="AC20" i="2" a="1"/>
  <c r="AC20" i="2"/>
  <c r="AC19" i="2" a="1"/>
  <c r="AC19" i="2"/>
  <c r="AC18" i="2" a="1"/>
  <c r="AC18" i="2"/>
  <c r="AC25" i="2" a="1"/>
  <c r="AC25" i="2"/>
  <c r="AC24" i="2" a="1"/>
  <c r="AC24" i="2"/>
  <c r="AQ20" i="2" a="1"/>
  <c r="AQ20" i="2"/>
  <c r="AQ19" i="2" a="1"/>
  <c r="AQ19" i="2"/>
  <c r="AQ18" i="2" a="1"/>
  <c r="AQ18" i="2"/>
  <c r="AB113" i="89" a="1"/>
  <c r="AB113" i="89"/>
  <c r="AB112" i="89" a="1"/>
  <c r="AB112" i="89"/>
  <c r="AB111" i="89" a="1"/>
  <c r="AB111" i="89"/>
  <c r="AQ22" i="2" a="1"/>
  <c r="AQ22" i="2"/>
  <c r="AQ21" i="2" a="1"/>
  <c r="AQ21" i="2"/>
  <c r="AB44" i="89" a="1"/>
  <c r="AB44" i="89"/>
  <c r="AB43" i="89" a="1"/>
  <c r="AB43" i="89"/>
  <c r="AB37" i="89" a="1"/>
  <c r="AB37" i="89"/>
  <c r="AB36" i="89" a="1"/>
  <c r="AB36" i="89"/>
  <c r="AB104" i="89" a="1"/>
  <c r="AB104" i="89"/>
  <c r="AB103" i="89" a="1"/>
  <c r="AB103" i="89"/>
  <c r="AB102" i="89" a="1"/>
  <c r="AB102" i="89"/>
  <c r="AC22" i="2" a="1"/>
  <c r="AC22" i="2"/>
  <c r="AC21" i="2" a="1"/>
  <c r="AC21" i="2"/>
  <c r="AQ25" i="2" a="1"/>
  <c r="AQ25" i="2"/>
  <c r="AQ24" i="2" a="1"/>
  <c r="AQ24" i="2"/>
  <c r="S61" i="89" a="1"/>
  <c r="S61" i="89"/>
  <c r="R61" i="89" a="1"/>
  <c r="S70" i="89" a="1"/>
  <c r="R61" i="89" l="1"/>
  <c r="S70" i="89"/>
  <c r="R70" i="89" a="1"/>
  <c r="S54" i="89" a="1"/>
  <c r="R70" i="89" l="1"/>
  <c r="S54" i="89"/>
  <c r="R54" i="89" a="1"/>
  <c r="S76" i="89" a="1"/>
  <c r="R54" i="89" l="1"/>
  <c r="S76" i="89"/>
  <c r="R76" i="89" a="1"/>
  <c r="D76" i="89" a="1"/>
  <c r="R76" i="89" l="1"/>
  <c r="D76" i="89"/>
  <c r="E61" i="89" a="1"/>
  <c r="E61" i="89"/>
  <c r="V60" i="89" a="1"/>
  <c r="V60" i="89"/>
  <c r="D61" i="89" a="1"/>
  <c r="D61" i="89"/>
  <c r="V70" i="89" a="1"/>
  <c r="V70" i="89"/>
  <c r="T52" i="89" a="1"/>
  <c r="T52" i="89"/>
  <c r="C52" i="89" a="1"/>
  <c r="C52" i="89"/>
  <c r="T54" i="89" a="1"/>
  <c r="T54" i="89"/>
  <c r="E53" i="89" a="1"/>
  <c r="E53" i="89"/>
  <c r="C53" i="89" a="1"/>
  <c r="C53" i="89"/>
  <c r="E76" i="89" a="1"/>
  <c r="E76" i="89"/>
  <c r="C70" i="89" a="1"/>
  <c r="C70" i="89"/>
  <c r="T76" i="89" a="1"/>
  <c r="T76" i="89"/>
  <c r="V52" i="89" a="1"/>
  <c r="V52" i="89"/>
  <c r="V53" i="89" a="1"/>
  <c r="V53" i="89"/>
  <c r="C76" i="89" a="1"/>
  <c r="C76" i="89"/>
  <c r="V54" i="89" a="1"/>
  <c r="V54" i="89"/>
  <c r="C61" i="89" a="1"/>
  <c r="C61" i="89"/>
  <c r="C54" i="89" a="1"/>
  <c r="C54" i="89"/>
  <c r="E70" i="89" a="1"/>
  <c r="E70" i="89"/>
  <c r="T70" i="89" a="1"/>
  <c r="T70" i="89"/>
  <c r="V61" i="89" a="1"/>
  <c r="V61" i="89"/>
  <c r="D54" i="89" a="1"/>
  <c r="D54" i="89"/>
  <c r="D60" i="89" a="1"/>
  <c r="D60" i="89"/>
  <c r="T61" i="89" a="1"/>
  <c r="T61" i="89"/>
  <c r="D53" i="89" a="1"/>
  <c r="D53" i="89"/>
  <c r="T60" i="89" a="1"/>
  <c r="T60" i="89"/>
  <c r="E60" i="89" a="1"/>
  <c r="E60" i="89"/>
  <c r="D70" i="89" a="1"/>
  <c r="D70" i="89"/>
  <c r="E52" i="89" a="1"/>
  <c r="E52" i="89"/>
  <c r="D52" i="89" a="1"/>
  <c r="D52" i="89"/>
  <c r="E54" i="89" a="1"/>
  <c r="E54" i="89"/>
  <c r="C60" i="89" a="1"/>
  <c r="C60" i="89"/>
  <c r="V76" i="89" a="1"/>
  <c r="V76" i="89"/>
  <c r="T53" i="89" a="1"/>
  <c r="T53" i="89"/>
  <c r="Z76" i="89" a="1"/>
  <c r="Z76" i="89"/>
  <c r="F10" i="446" a="1"/>
  <c r="F10" i="446"/>
  <c r="G13" i="446" a="1"/>
  <c r="G13" i="446"/>
  <c r="F16" i="446" a="1"/>
  <c r="F16" i="446"/>
  <c r="F17" i="446" a="1"/>
  <c r="F17" i="446"/>
  <c r="F12" i="446" a="1"/>
  <c r="F12" i="446"/>
  <c r="F13" i="446" a="1"/>
  <c r="F13" i="446"/>
  <c r="G11" i="446" a="1"/>
  <c r="G11" i="446"/>
  <c r="G25" i="446" a="1"/>
  <c r="G25" i="446"/>
  <c r="G10" i="446" a="1"/>
  <c r="G10" i="446"/>
  <c r="G8" i="446" a="1"/>
  <c r="G8" i="446"/>
  <c r="G7" i="446" a="1"/>
  <c r="G7" i="446"/>
  <c r="G16" i="446" a="1"/>
  <c r="G16" i="446"/>
  <c r="F7" i="446" a="1"/>
  <c r="F7" i="446"/>
  <c r="G12" i="446" a="1"/>
  <c r="G12" i="446"/>
  <c r="F8" i="446" a="1"/>
  <c r="F8" i="446"/>
  <c r="F20" i="446" a="1"/>
  <c r="F20" i="446"/>
  <c r="F25" i="446" a="1"/>
  <c r="F25" i="446"/>
  <c r="F11" i="446" a="1"/>
  <c r="F11" i="446"/>
  <c r="G17" i="446" a="1"/>
  <c r="G17" i="446"/>
  <c r="G20" i="446" a="1"/>
  <c r="G20" i="446"/>
  <c r="T44" i="89" a="1"/>
  <c r="T44" i="89"/>
  <c r="T31" i="89" a="1"/>
  <c r="T31" i="89"/>
  <c r="C96" i="89" a="1"/>
  <c r="C96" i="89"/>
  <c r="O43" i="89" a="1"/>
  <c r="O43" i="89"/>
  <c r="O31" i="89" a="1"/>
  <c r="O31" i="89"/>
  <c r="V96" i="89" a="1"/>
  <c r="V96" i="89"/>
  <c r="C44" i="89" a="1"/>
  <c r="C44" i="89"/>
  <c r="V87" i="89" a="1"/>
  <c r="V87" i="89"/>
  <c r="V14" i="89" a="1"/>
  <c r="V14" i="89"/>
  <c r="V44" i="89" a="1"/>
  <c r="V44" i="89"/>
  <c r="V31" i="89" a="1"/>
  <c r="V31" i="89"/>
  <c r="T86" i="89" a="1"/>
  <c r="T86" i="89"/>
  <c r="T96" i="89" a="1"/>
  <c r="T96" i="89"/>
  <c r="T87" i="89" a="1"/>
  <c r="T87" i="89"/>
  <c r="T14" i="89" a="1"/>
  <c r="T14" i="89"/>
  <c r="V103" i="89" a="1"/>
  <c r="V103" i="89"/>
  <c r="C85" i="89" a="1"/>
  <c r="C85" i="89"/>
  <c r="T85" i="89" a="1"/>
  <c r="T85" i="89"/>
  <c r="V104" i="89" a="1"/>
  <c r="V104" i="89"/>
  <c r="O96" i="89" a="1"/>
  <c r="O96" i="89"/>
  <c r="O87" i="89" a="1"/>
  <c r="O87" i="89"/>
  <c r="O14" i="89" a="1"/>
  <c r="O14" i="89" l="1"/>
  <c r="O85" i="89" a="1"/>
  <c r="O85" i="89" l="1"/>
  <c r="O104" i="89" a="1"/>
  <c r="O104" i="89"/>
  <c r="C86" i="89" a="1"/>
  <c r="C86" i="89"/>
  <c r="C87" i="89" a="1"/>
  <c r="C87" i="89"/>
  <c r="C14" i="89" a="1"/>
  <c r="C14" i="89"/>
  <c r="T104" i="89" a="1"/>
  <c r="T104" i="89"/>
  <c r="C102" i="89" a="1"/>
  <c r="C102" i="89"/>
  <c r="C104" i="89" a="1"/>
  <c r="C104" i="89"/>
  <c r="T103" i="89" a="1"/>
  <c r="T103" i="89"/>
  <c r="C31" i="89" a="1"/>
  <c r="C31" i="89"/>
  <c r="O102" i="89" a="1"/>
  <c r="O102" i="89"/>
  <c r="V102" i="89" a="1"/>
  <c r="V102" i="89"/>
  <c r="T102" i="89" a="1"/>
  <c r="T102" i="89"/>
  <c r="V85" i="89" a="1"/>
  <c r="V85" i="89"/>
  <c r="O103" i="89" a="1"/>
  <c r="O103" i="89"/>
  <c r="V86" i="89" a="1"/>
  <c r="V86" i="89" l="1"/>
  <c r="O86" i="89" a="1"/>
  <c r="O86" i="89"/>
  <c r="C103" i="89" a="1"/>
  <c r="C103" i="89" l="1"/>
  <c r="O44" i="89" a="1"/>
  <c r="O44" i="89"/>
  <c r="T43" i="89" a="1"/>
  <c r="T43" i="89"/>
  <c r="V43" i="89" a="1"/>
  <c r="V43" i="89"/>
  <c r="C43" i="89" a="1"/>
  <c r="C43" i="89"/>
  <c r="S13" i="89" a="1"/>
  <c r="S13" i="89"/>
  <c r="R13" i="89" a="1"/>
  <c r="Z15" i="2"/>
  <c r="AV15" i="2" s="1" a="1"/>
  <c r="Z8" i="2"/>
  <c r="AV8" i="2" s="1" a="1"/>
  <c r="Z14" i="2"/>
  <c r="AV14" i="2" s="1" a="1"/>
  <c r="S7" i="89" a="1"/>
  <c r="AV14" i="2" l="1"/>
  <c r="AV8" i="2"/>
  <c r="AV15" i="2"/>
  <c r="R13" i="89"/>
  <c r="S7" i="89"/>
  <c r="R7" i="89" a="1"/>
  <c r="S113" i="89" a="1"/>
  <c r="R7" i="89" l="1"/>
  <c r="S113" i="89"/>
  <c r="R113" i="89" a="1"/>
  <c r="Z9" i="2"/>
  <c r="AV9" i="2" s="1" a="1"/>
  <c r="Z25" i="2"/>
  <c r="AV25" i="2" s="1" a="1"/>
  <c r="Z11" i="2"/>
  <c r="AV11" i="2" s="1" a="1"/>
  <c r="Z23" i="2"/>
  <c r="AV23" i="2" s="1" a="1"/>
  <c r="Z22" i="2"/>
  <c r="AV22" i="2" s="1" a="1"/>
  <c r="Z4" i="2"/>
  <c r="AV4" i="2" s="1" a="1"/>
  <c r="S69" i="89" a="1"/>
  <c r="AV4" i="2" l="1"/>
  <c r="AV22" i="2"/>
  <c r="AV23" i="2"/>
  <c r="AV11" i="2"/>
  <c r="AV25" i="2"/>
  <c r="AV9" i="2"/>
  <c r="R113" i="89"/>
  <c r="S69" i="89"/>
  <c r="R69" i="89" a="1"/>
  <c r="X10" i="338" a="1"/>
  <c r="R69" i="89" l="1"/>
  <c r="X10" i="338"/>
  <c r="X11" i="338" a="1"/>
  <c r="X11" i="338"/>
  <c r="P12" i="338" a="1"/>
  <c r="P12" i="338"/>
  <c r="P11" i="338" a="1"/>
  <c r="P11" i="338"/>
  <c r="S10" i="338" a="1"/>
  <c r="S10" i="338"/>
  <c r="T11" i="338" a="1"/>
  <c r="T11" i="338"/>
  <c r="T8" i="338" a="1"/>
  <c r="T8" i="338"/>
  <c r="X8" i="338" a="1"/>
  <c r="X8" i="338"/>
  <c r="P8" i="338" a="1"/>
  <c r="P8" i="338"/>
  <c r="X12" i="338" a="1"/>
  <c r="X12" i="338"/>
  <c r="S12" i="338" a="1"/>
  <c r="S12" i="338"/>
  <c r="S8" i="338" a="1"/>
  <c r="S8" i="338"/>
  <c r="T10" i="338" a="1"/>
  <c r="T10" i="338"/>
  <c r="T9" i="338" a="1"/>
  <c r="T9" i="338"/>
  <c r="S9" i="338" a="1"/>
  <c r="S9" i="338"/>
  <c r="S11" i="338" a="1"/>
  <c r="S11" i="338"/>
  <c r="P9" i="338" a="1"/>
  <c r="P9" i="338"/>
  <c r="P10" i="338" a="1"/>
  <c r="P10" i="338"/>
  <c r="X9" i="338" a="1"/>
  <c r="X9" i="338"/>
  <c r="T12" i="338" a="1"/>
  <c r="T12" i="338"/>
  <c r="T7" i="2" a="1"/>
  <c r="T7" i="2"/>
  <c r="O20" i="89" a="1"/>
  <c r="O20" i="89"/>
  <c r="C22" i="2" a="1"/>
  <c r="C22" i="2"/>
  <c r="AR16" i="2" a="1"/>
  <c r="AR16" i="2"/>
  <c r="E12" i="2" a="1"/>
  <c r="E12" i="2"/>
  <c r="AA20" i="2" a="1"/>
  <c r="AA20" i="2"/>
  <c r="T113" i="89" a="1"/>
  <c r="T113" i="89"/>
  <c r="AR19" i="2" a="1"/>
  <c r="AR19" i="2"/>
  <c r="C7" i="2" a="1"/>
  <c r="C7" i="2"/>
  <c r="C18" i="2" a="1"/>
  <c r="C18" i="2"/>
  <c r="AD16" i="2" a="1"/>
  <c r="AD16" i="2"/>
  <c r="V8" i="89" a="1"/>
  <c r="V8" i="89"/>
  <c r="AA12" i="2" a="1"/>
  <c r="AA12" i="2"/>
  <c r="T13" i="89" a="1"/>
  <c r="T13" i="89"/>
  <c r="C19" i="2" a="1"/>
  <c r="C19" i="2"/>
  <c r="F7" i="2" a="1"/>
  <c r="F7" i="2"/>
  <c r="F17" i="2" a="1"/>
  <c r="F17" i="2"/>
  <c r="T17" i="2" a="1"/>
  <c r="T17" i="2"/>
  <c r="O7" i="89" a="1"/>
  <c r="O7" i="89"/>
  <c r="F21" i="2" a="1"/>
  <c r="F21" i="2"/>
  <c r="F20" i="2" a="1"/>
  <c r="F20" i="2"/>
  <c r="AA18" i="2" a="1"/>
  <c r="AA18" i="2"/>
  <c r="T111" i="89" a="1"/>
  <c r="T111" i="89"/>
  <c r="D19" i="2" a="1"/>
  <c r="D19" i="2"/>
  <c r="C112" i="89" a="1"/>
  <c r="C112" i="89"/>
  <c r="AR7" i="2" a="1"/>
  <c r="AR7" i="2"/>
  <c r="D17" i="2" a="1"/>
  <c r="D17" i="2"/>
  <c r="C7" i="89" a="1"/>
  <c r="C7" i="89"/>
  <c r="AA22" i="2" a="1"/>
  <c r="AA22" i="2"/>
  <c r="T37" i="89" a="1"/>
  <c r="T37" i="89"/>
  <c r="D21" i="2" a="1"/>
  <c r="D21" i="2"/>
  <c r="C36" i="89" a="1"/>
  <c r="C36" i="89"/>
  <c r="E21" i="2" a="1"/>
  <c r="E21" i="2"/>
  <c r="C8" i="2" a="1"/>
  <c r="C8" i="2"/>
  <c r="C20" i="2" a="1"/>
  <c r="C20" i="2"/>
  <c r="AR17" i="2" a="1"/>
  <c r="AR17" i="2"/>
  <c r="C21" i="2" a="1"/>
  <c r="C21" i="2"/>
  <c r="T22" i="2" a="1"/>
  <c r="T22" i="2"/>
  <c r="O37" i="89" a="1"/>
  <c r="O37" i="89"/>
  <c r="E18" i="2" a="1"/>
  <c r="E18" i="2" l="1"/>
  <c r="AA17" i="2" a="1"/>
  <c r="AA17" i="2"/>
  <c r="T7" i="89" a="1"/>
  <c r="T7" i="89"/>
  <c r="T16" i="2" a="1"/>
  <c r="T16" i="2"/>
  <c r="O8" i="89" a="1"/>
  <c r="O8" i="89"/>
  <c r="AD18" i="2" a="1"/>
  <c r="AD18" i="2"/>
  <c r="V111" i="89" a="1"/>
  <c r="V111" i="89"/>
  <c r="C16" i="2" a="1"/>
  <c r="C16" i="2"/>
  <c r="AR20" i="2" a="1"/>
  <c r="AR20" i="2"/>
  <c r="AD22" i="2" a="1"/>
  <c r="AD22" i="2"/>
  <c r="V37" i="89" a="1"/>
  <c r="V37" i="89"/>
  <c r="AD12" i="2" a="1"/>
  <c r="AD12" i="2"/>
  <c r="V13" i="89" a="1"/>
  <c r="V13" i="89"/>
  <c r="AA19" i="2" a="1"/>
  <c r="AA19" i="2"/>
  <c r="T112" i="89" a="1"/>
  <c r="T112" i="89"/>
  <c r="E8" i="2" a="1"/>
  <c r="E8" i="2"/>
  <c r="E16" i="2" a="1"/>
  <c r="E16" i="2"/>
  <c r="AD20" i="2" a="1"/>
  <c r="AD20" i="2"/>
  <c r="V113" i="89" a="1"/>
  <c r="V113" i="89"/>
  <c r="D18" i="2" a="1"/>
  <c r="D18" i="2"/>
  <c r="C111" i="89" a="1"/>
  <c r="C111" i="89"/>
  <c r="AD7" i="2" a="1"/>
  <c r="AD7" i="2"/>
  <c r="V20" i="89" a="1"/>
  <c r="V20" i="89"/>
  <c r="AA16" i="2" a="1"/>
  <c r="AA16" i="2"/>
  <c r="T8" i="89" a="1"/>
  <c r="T8" i="89"/>
  <c r="E19" i="2" a="1"/>
  <c r="E19" i="2"/>
  <c r="C12" i="2" a="1"/>
  <c r="C12" i="2"/>
  <c r="T12" i="2" a="1"/>
  <c r="T12" i="2"/>
  <c r="O13" i="89" a="1"/>
  <c r="O13" i="89"/>
  <c r="AD17" i="2" a="1"/>
  <c r="AD17" i="2" l="1"/>
  <c r="V7" i="89" a="1"/>
  <c r="V7" i="89"/>
  <c r="F18" i="2" a="1"/>
  <c r="F18" i="2"/>
  <c r="T8" i="2" a="1"/>
  <c r="T8" i="2"/>
  <c r="O30" i="89" a="1"/>
  <c r="O30" i="89"/>
  <c r="AA21" i="2" a="1"/>
  <c r="AA21" i="2" l="1"/>
  <c r="T36" i="89" a="1"/>
  <c r="T36" i="89"/>
  <c r="F8" i="2" a="1"/>
  <c r="F8" i="2"/>
  <c r="E7" i="2" a="1"/>
  <c r="E7" i="2"/>
  <c r="T20" i="2" a="1"/>
  <c r="T20" i="2"/>
  <c r="O113" i="89" a="1"/>
  <c r="O113" i="89"/>
  <c r="E17" i="2" a="1"/>
  <c r="E17" i="2" l="1"/>
  <c r="E22" i="2" a="1"/>
  <c r="E22" i="2"/>
  <c r="D8" i="2" a="1"/>
  <c r="D8" i="2"/>
  <c r="C30" i="89" a="1"/>
  <c r="C30" i="89"/>
  <c r="D12" i="2" a="1"/>
  <c r="D12" i="2"/>
  <c r="C13" i="89" a="1"/>
  <c r="C13" i="89"/>
  <c r="AR12" i="2" a="1"/>
  <c r="AR12" i="2"/>
  <c r="T21" i="2" a="1"/>
  <c r="T21" i="2"/>
  <c r="O36" i="89" a="1"/>
  <c r="O36" i="89"/>
  <c r="AD8" i="2" a="1"/>
  <c r="AD8" i="2" l="1"/>
  <c r="V30" i="89" a="1"/>
  <c r="V30" i="89"/>
  <c r="AR18" i="2" a="1"/>
  <c r="AR18" i="2"/>
  <c r="E20" i="2" a="1"/>
  <c r="E20" i="2"/>
  <c r="AR21" i="2" a="1"/>
  <c r="AR21" i="2"/>
  <c r="T19" i="2" a="1"/>
  <c r="T19" i="2"/>
  <c r="O112" i="89" a="1"/>
  <c r="O112" i="89"/>
  <c r="AR22" i="2" a="1"/>
  <c r="AR22" i="2"/>
  <c r="F16" i="2" a="1"/>
  <c r="F16" i="2"/>
  <c r="D16" i="2" a="1"/>
  <c r="D16" i="2"/>
  <c r="C8" i="89" a="1"/>
  <c r="C8" i="89"/>
  <c r="D22" i="2" a="1"/>
  <c r="D22" i="2"/>
  <c r="C37" i="89" a="1"/>
  <c r="C37" i="89"/>
  <c r="AA7" i="2" a="1"/>
  <c r="AA7" i="2"/>
  <c r="T20" i="89" a="1"/>
  <c r="T20" i="89"/>
  <c r="F19" i="2" a="1"/>
  <c r="F19" i="2"/>
  <c r="F12" i="2" a="1"/>
  <c r="F12" i="2"/>
  <c r="T18" i="2" a="1"/>
  <c r="T18" i="2"/>
  <c r="O111" i="89" a="1"/>
  <c r="O111" i="89"/>
  <c r="AA8" i="2" a="1"/>
  <c r="AA8" i="2" l="1"/>
  <c r="T30" i="89" a="1"/>
  <c r="T30" i="89"/>
  <c r="AD19" i="2" a="1"/>
  <c r="AD19" i="2"/>
  <c r="V112" i="89" a="1"/>
  <c r="V112" i="89"/>
  <c r="AD21" i="2" a="1"/>
  <c r="AD21" i="2"/>
  <c r="V36" i="89" a="1"/>
  <c r="V36" i="89"/>
  <c r="F22" i="2" a="1"/>
  <c r="F22" i="2"/>
  <c r="AR8" i="2" a="1"/>
  <c r="AR8" i="2"/>
  <c r="C17" i="2" a="1"/>
  <c r="C17" i="2"/>
  <c r="D7" i="2" a="1"/>
  <c r="D7" i="2"/>
  <c r="C20" i="89" a="1"/>
  <c r="C20" i="89"/>
  <c r="D20" i="2" a="1"/>
  <c r="D20" i="2"/>
  <c r="C113" i="89" a="1"/>
  <c r="C113" i="89"/>
  <c r="AK9" i="338" a="1"/>
  <c r="AK9" i="338"/>
  <c r="AB15" i="1"/>
  <c r="F23" i="446" a="1"/>
  <c r="F23" i="446"/>
  <c r="AJ11" i="338" a="1"/>
  <c r="AJ11" i="338"/>
  <c r="AH11" i="338" a="1"/>
  <c r="AH11" i="338"/>
  <c r="AF9" i="338"/>
  <c r="AF24" i="1"/>
  <c r="AH9" i="338" a="1"/>
  <c r="AH9" i="338"/>
  <c r="G36" i="446" a="1"/>
  <c r="G36" i="446"/>
  <c r="AI9" i="338" a="1"/>
  <c r="AI9" i="338"/>
  <c r="AF11" i="338"/>
  <c r="AF41" i="1"/>
  <c r="AC39" i="1" a="1"/>
  <c r="AC39" i="1"/>
  <c r="D35" i="446" a="1"/>
  <c r="D35" i="446"/>
  <c r="AI8" i="338" a="1"/>
  <c r="AI8" i="338"/>
  <c r="G26" i="446" a="1"/>
  <c r="G26" i="446"/>
  <c r="AC24" i="1" a="1"/>
  <c r="AC24" i="1"/>
  <c r="D26" i="446" a="1"/>
  <c r="D26" i="446"/>
  <c r="AB24" i="1"/>
  <c r="F26" i="446" a="1"/>
  <c r="F26" i="446"/>
  <c r="G23" i="446" a="1"/>
  <c r="G23" i="446"/>
  <c r="AK8" i="338" a="1"/>
  <c r="AK8" i="338"/>
  <c r="AF10" i="338"/>
  <c r="AF39" i="1"/>
  <c r="AJ10" i="338" a="1"/>
  <c r="AJ10" i="338"/>
  <c r="AG9" i="338"/>
  <c r="AF15" i="1"/>
  <c r="AC41" i="1" a="1"/>
  <c r="AC41" i="1"/>
  <c r="D36" i="446" a="1"/>
  <c r="D36" i="446"/>
  <c r="AG8" i="338"/>
  <c r="AF25" i="1"/>
  <c r="AJ9" i="338" a="1"/>
  <c r="AJ9" i="338"/>
  <c r="G35" i="446" a="1"/>
  <c r="G35" i="446"/>
  <c r="AB41" i="1"/>
  <c r="F36" i="446" a="1"/>
  <c r="F36" i="446"/>
  <c r="AH10" i="338" a="1"/>
  <c r="AH10" i="338"/>
  <c r="AB39" i="1"/>
  <c r="F35" i="446" a="1"/>
  <c r="F35" i="446"/>
  <c r="G9" i="446" a="1"/>
  <c r="G9" i="446"/>
  <c r="AB25" i="1"/>
  <c r="F9" i="446" a="1"/>
  <c r="F9" i="446"/>
  <c r="F15" i="2" a="1"/>
  <c r="F15" i="2"/>
  <c r="AR15" i="2" a="1"/>
  <c r="AR15" i="2"/>
  <c r="T9" i="2" a="1"/>
  <c r="T9" i="2"/>
  <c r="T24" i="2" a="1"/>
  <c r="T24" i="2"/>
  <c r="AR11" i="2" a="1"/>
  <c r="AR11" i="2"/>
  <c r="C4" i="2" a="1"/>
  <c r="C4" i="2"/>
  <c r="AA10" i="2" a="1"/>
  <c r="AA10" i="2"/>
  <c r="C15" i="2" a="1"/>
  <c r="C15" i="2"/>
  <c r="T10" i="2" a="1"/>
  <c r="T10" i="2"/>
  <c r="D10" i="2" a="1"/>
  <c r="D10" i="2"/>
  <c r="AA13" i="2" a="1"/>
  <c r="AA13" i="2"/>
  <c r="F9" i="2" a="1"/>
  <c r="F9" i="2"/>
  <c r="AR9" i="2" a="1"/>
  <c r="AR9" i="2"/>
  <c r="AR24" i="2" a="1"/>
  <c r="AR24" i="2"/>
  <c r="AD15" i="2" a="1"/>
  <c r="AD15" i="2"/>
  <c r="D9" i="2" a="1"/>
  <c r="D9" i="2"/>
  <c r="F5" i="2" a="1"/>
  <c r="F5" i="2"/>
  <c r="AR10" i="2" a="1"/>
  <c r="AR10" i="2"/>
  <c r="AD25" i="2" a="1"/>
  <c r="AD25" i="2"/>
  <c r="AA4" i="2" a="1"/>
  <c r="AA4" i="2"/>
  <c r="D13" i="2" a="1"/>
  <c r="D13" i="2"/>
  <c r="E9" i="2" a="1"/>
  <c r="E9" i="2"/>
  <c r="AR25" i="2" a="1"/>
  <c r="AR25" i="2"/>
  <c r="F11" i="2" a="1"/>
  <c r="F11" i="2"/>
  <c r="E4" i="2" a="1"/>
  <c r="E4" i="2"/>
  <c r="C25" i="2" a="1"/>
  <c r="C25" i="2"/>
  <c r="F4" i="2" a="1"/>
  <c r="F4" i="2"/>
  <c r="AR14" i="2" a="1"/>
  <c r="AR14" i="2"/>
  <c r="E5" i="2" a="1"/>
  <c r="E5" i="2"/>
  <c r="E14" i="2" a="1"/>
  <c r="E14" i="2"/>
  <c r="T5" i="2" a="1"/>
  <c r="T5" i="2"/>
  <c r="T15" i="2" a="1"/>
  <c r="T15" i="2"/>
  <c r="F13" i="2" a="1"/>
  <c r="F13" i="2"/>
  <c r="C14" i="2" a="1"/>
  <c r="C14" i="2"/>
  <c r="AD14" i="2" a="1"/>
  <c r="AD14" i="2"/>
  <c r="AD24" i="2" a="1"/>
  <c r="AD24" i="2"/>
  <c r="E13" i="2" a="1"/>
  <c r="E13" i="2"/>
  <c r="E25" i="2" a="1"/>
  <c r="E25" i="2"/>
  <c r="E10" i="2" a="1"/>
  <c r="E10" i="2"/>
  <c r="AA11" i="2" a="1"/>
  <c r="AA11" i="2"/>
  <c r="F14" i="2" a="1"/>
  <c r="F14" i="2"/>
  <c r="C9" i="2" a="1"/>
  <c r="C9" i="2"/>
  <c r="C24" i="2" a="1"/>
  <c r="C24" i="2"/>
  <c r="E24" i="2" a="1"/>
  <c r="E24" i="2"/>
  <c r="AD5" i="2" a="1"/>
  <c r="AD5" i="2"/>
  <c r="D15" i="2" a="1"/>
  <c r="D15" i="2"/>
  <c r="C10" i="2" a="1"/>
  <c r="C10" i="2"/>
  <c r="T4" i="2" a="1"/>
  <c r="T4" i="2"/>
  <c r="AR5" i="2" a="1"/>
  <c r="AR5" i="2"/>
  <c r="AA5" i="2" a="1"/>
  <c r="AA5" i="2"/>
  <c r="AD11" i="2" a="1"/>
  <c r="AD11" i="2"/>
  <c r="AA14" i="2" a="1"/>
  <c r="AA14" i="2"/>
  <c r="F10" i="2" a="1"/>
  <c r="F10" i="2"/>
  <c r="D25" i="2" a="1"/>
  <c r="D25" i="2"/>
  <c r="AA24" i="2" a="1"/>
  <c r="AA24" i="2"/>
  <c r="F25" i="2" a="1"/>
  <c r="F25" i="2"/>
  <c r="AD4" i="2" a="1"/>
  <c r="AD4" i="2"/>
  <c r="E15" i="2" a="1"/>
  <c r="E15" i="2"/>
  <c r="AD13" i="2" a="1"/>
  <c r="AD13" i="2"/>
  <c r="AA15" i="2" a="1"/>
  <c r="AA15" i="2"/>
  <c r="D5" i="2" a="1"/>
  <c r="D5" i="2"/>
  <c r="AR13" i="2" a="1"/>
  <c r="AR13" i="2"/>
  <c r="AA9" i="2" a="1"/>
  <c r="AA9" i="2"/>
  <c r="AD9" i="2" a="1"/>
  <c r="AD9" i="2"/>
  <c r="AR4" i="2" a="1"/>
  <c r="AR4" i="2"/>
  <c r="E11" i="2" a="1"/>
  <c r="E11" i="2"/>
  <c r="AA25" i="2" a="1"/>
  <c r="AA25" i="2"/>
  <c r="C5" i="2" a="1"/>
  <c r="C5" i="2"/>
  <c r="AD10" i="2" a="1"/>
  <c r="AD10" i="2"/>
  <c r="D4" i="2" a="1"/>
  <c r="D4" i="2"/>
  <c r="T11" i="2" a="1"/>
  <c r="T11" i="2"/>
  <c r="D11" i="2" a="1"/>
  <c r="D11" i="2"/>
  <c r="C13" i="2" a="1"/>
  <c r="C13" i="2"/>
  <c r="F24" i="2" a="1"/>
  <c r="F24" i="2"/>
  <c r="T14" i="2" a="1"/>
  <c r="T14" i="2"/>
  <c r="D24" i="2" a="1"/>
  <c r="D24" i="2"/>
  <c r="T25" i="2" a="1"/>
  <c r="T25" i="2"/>
  <c r="T13" i="2" a="1"/>
  <c r="T13" i="2"/>
  <c r="D14" i="2" a="1"/>
  <c r="D14" i="2"/>
  <c r="C11" i="2" a="1"/>
  <c r="C11" i="2"/>
  <c r="F39" i="446" a="1"/>
  <c r="F39" i="446"/>
  <c r="D39" i="446" a="1"/>
  <c r="D39" i="446"/>
  <c r="G34" i="446" a="1"/>
  <c r="G34" i="446"/>
  <c r="F34" i="446" a="1"/>
  <c r="F34" i="446"/>
  <c r="F41" i="446" a="1"/>
  <c r="F41" i="446"/>
  <c r="G41" i="446" a="1"/>
  <c r="G41" i="446"/>
  <c r="F42" i="446" a="1"/>
  <c r="F42" i="446"/>
  <c r="D40" i="446" a="1"/>
  <c r="D40" i="446"/>
  <c r="G44" i="446" a="1"/>
  <c r="G44" i="446"/>
  <c r="D43" i="446" a="1"/>
  <c r="D43" i="446"/>
  <c r="F38" i="446" a="1"/>
  <c r="F38" i="446"/>
  <c r="F31" i="446" a="1"/>
  <c r="F31" i="446"/>
  <c r="G39" i="446" a="1"/>
  <c r="G39" i="446"/>
  <c r="D42" i="446" a="1"/>
  <c r="D42" i="446"/>
  <c r="G42" i="446" a="1"/>
  <c r="G42" i="446"/>
  <c r="F40" i="446" a="1"/>
  <c r="F40" i="446"/>
  <c r="G38" i="446" a="1"/>
  <c r="G38" i="446"/>
  <c r="D34" i="446" a="1"/>
  <c r="D34" i="446"/>
  <c r="F45" i="446" a="1"/>
  <c r="F45" i="446"/>
  <c r="D38" i="446" a="1"/>
  <c r="D38" i="446"/>
  <c r="G31" i="446" a="1"/>
  <c r="G31" i="446"/>
  <c r="G43" i="446" a="1"/>
  <c r="G43" i="446"/>
  <c r="G40" i="446" a="1"/>
  <c r="G40" i="446"/>
  <c r="F44" i="446" a="1"/>
  <c r="F44" i="446"/>
  <c r="D45" i="446" a="1"/>
  <c r="D45" i="446"/>
  <c r="D41" i="446" a="1"/>
  <c r="D41" i="446"/>
  <c r="D31" i="446" a="1"/>
  <c r="D31" i="446"/>
  <c r="D44" i="446" a="1"/>
  <c r="D44" i="446"/>
  <c r="G45" i="446" a="1"/>
  <c r="G45" i="446"/>
  <c r="F43" i="446" a="1"/>
  <c r="F43" i="446"/>
  <c r="AJ12" i="338" a="1"/>
  <c r="AJ12" i="338"/>
  <c r="AH12" i="338" a="1"/>
  <c r="AH12" i="338"/>
  <c r="AF12" i="338"/>
  <c r="AF38" i="1"/>
  <c r="G37" i="446" a="1"/>
  <c r="G37" i="446"/>
  <c r="F37" i="446" a="1"/>
  <c r="F37" i="446"/>
  <c r="D37" i="446" a="1"/>
  <c r="D37" i="446"/>
  <c r="G27" i="446" a="1"/>
  <c r="G27" i="446"/>
  <c r="AB20" i="1"/>
  <c r="F27" i="446" a="1"/>
  <c r="F27" i="446"/>
  <c r="G19" i="446" a="1"/>
  <c r="G19" i="446"/>
  <c r="AB46" i="1"/>
  <c r="F15" i="446" a="1"/>
  <c r="F15" i="446"/>
  <c r="AC20" i="1" a="1"/>
  <c r="AC20" i="1"/>
  <c r="D27" i="446" a="1"/>
  <c r="D27" i="446"/>
  <c r="AB45" i="1"/>
  <c r="F14" i="446" a="1"/>
  <c r="F14" i="446"/>
  <c r="AB48" i="1"/>
  <c r="F19" i="446" a="1"/>
  <c r="F19" i="446"/>
  <c r="G15" i="446" a="1"/>
  <c r="G15" i="446"/>
  <c r="AC26" i="1" a="1"/>
  <c r="AC26" i="1"/>
  <c r="D30" i="446" a="1"/>
  <c r="D30" i="446"/>
  <c r="G30" i="446" a="1"/>
  <c r="G30" i="446"/>
  <c r="G14" i="446" a="1"/>
  <c r="G14" i="446"/>
  <c r="AB26" i="1"/>
  <c r="F30" i="446" a="1"/>
  <c r="F30" i="446"/>
  <c r="E43" i="89" a="1"/>
  <c r="E43" i="89"/>
  <c r="D31" i="89" a="1"/>
  <c r="D31" i="89"/>
  <c r="D30" i="89" a="1"/>
  <c r="D30" i="89"/>
  <c r="E13" i="89" a="1"/>
  <c r="E13" i="89"/>
  <c r="D37" i="89" a="1"/>
  <c r="D37" i="89"/>
  <c r="E87" i="89" a="1"/>
  <c r="E87" i="89"/>
  <c r="E14" i="89" a="1"/>
  <c r="E14" i="89"/>
  <c r="D19" i="89"/>
  <c r="D14" i="89" a="1"/>
  <c r="D14" i="89"/>
  <c r="D43" i="89" a="1"/>
  <c r="D43" i="89"/>
  <c r="D13" i="89" a="1"/>
  <c r="D13" i="89"/>
  <c r="E37" i="89" a="1"/>
  <c r="E37" i="89"/>
  <c r="D44" i="89" a="1"/>
  <c r="D44" i="89"/>
  <c r="E44" i="89" a="1"/>
  <c r="E44" i="89"/>
  <c r="D113" i="89" a="1"/>
  <c r="D113" i="89"/>
  <c r="E7" i="89"/>
  <c r="E31" i="89" a="1"/>
  <c r="E31" i="89"/>
  <c r="E19" i="89"/>
  <c r="E30" i="89" a="1"/>
  <c r="E30" i="89"/>
  <c r="E113" i="89" a="1"/>
  <c r="E113" i="89"/>
  <c r="D7" i="89"/>
  <c r="G32" i="446" a="1"/>
  <c r="G32" i="446"/>
  <c r="G29" i="446" a="1"/>
  <c r="G29" i="446"/>
  <c r="G28" i="446" a="1"/>
  <c r="G28" i="446"/>
  <c r="D28" i="446" a="1"/>
  <c r="D28" i="446"/>
  <c r="F29" i="446" a="1"/>
  <c r="F29" i="446"/>
  <c r="F32" i="446" a="1"/>
  <c r="F32" i="446"/>
  <c r="G33" i="446" a="1"/>
  <c r="G33" i="446"/>
  <c r="F33" i="446" a="1"/>
  <c r="F33" i="446"/>
  <c r="F28" i="446" a="1"/>
  <c r="F28" i="446"/>
  <c r="D32" i="446" a="1"/>
  <c r="D32" i="446"/>
  <c r="D33" i="446" a="1"/>
  <c r="D33" i="446"/>
  <c r="D29" i="446" a="1"/>
  <c r="D29" i="446"/>
  <c r="G22" i="446" a="1"/>
  <c r="G22" i="446"/>
  <c r="F24" i="446" a="1"/>
  <c r="F24" i="446"/>
  <c r="F22" i="446" a="1"/>
  <c r="F22" i="446"/>
  <c r="F21" i="446" a="1"/>
  <c r="F21" i="446"/>
  <c r="G6" i="446" a="1"/>
  <c r="G6" i="446"/>
  <c r="G5" i="446" a="1"/>
  <c r="G5" i="446"/>
  <c r="F6" i="446" a="1"/>
  <c r="F6" i="446"/>
  <c r="F5" i="446" a="1"/>
  <c r="F5" i="446"/>
  <c r="G21" i="446" a="1"/>
  <c r="G21" i="446"/>
  <c r="G24" i="446" a="1"/>
  <c r="G24" i="446"/>
  <c r="F18" i="446" a="1"/>
  <c r="F18" i="446"/>
  <c r="AK12" i="338" a="1"/>
  <c r="AK12" i="338"/>
  <c r="AK11" i="338" a="1"/>
  <c r="AK11" i="338"/>
  <c r="AK10" i="338" a="1"/>
  <c r="AK10" i="338"/>
  <c r="AI12" i="338" a="1"/>
  <c r="AI12" i="338"/>
  <c r="AI11" i="338" a="1"/>
  <c r="AI11" i="338"/>
  <c r="AI10" i="338" a="1"/>
  <c r="AI10" i="338"/>
  <c r="AG12" i="338"/>
  <c r="AG11" i="338"/>
  <c r="AG10" i="338"/>
  <c r="G18" i="446" a="1"/>
  <c r="G18" i="446"/>
  <c r="E103" i="89" a="1"/>
  <c r="E103" i="89" l="1"/>
  <c r="E86" i="89" a="1"/>
  <c r="E86" i="89"/>
  <c r="E102" i="89" a="1"/>
  <c r="E102" i="89"/>
  <c r="E96" i="89" a="1"/>
  <c r="E96" i="89"/>
  <c r="E85" i="89" a="1"/>
  <c r="E85" i="89"/>
  <c r="E104" i="89" a="1"/>
  <c r="E104" i="89"/>
  <c r="D112" i="89" a="1"/>
  <c r="D112" i="89"/>
  <c r="E8" i="89" a="1"/>
  <c r="E8" i="89"/>
  <c r="E111" i="89" a="1"/>
  <c r="E111" i="89"/>
  <c r="D20" i="89" a="1"/>
  <c r="D20" i="89"/>
  <c r="D111" i="89" a="1"/>
  <c r="D111" i="89"/>
  <c r="E112" i="89" a="1"/>
  <c r="E112" i="89"/>
  <c r="E20" i="89" a="1"/>
  <c r="E20" i="89"/>
  <c r="E36" i="89" a="1"/>
  <c r="E36" i="89"/>
  <c r="D36" i="89" a="1"/>
  <c r="D36" i="89"/>
  <c r="D8" i="89" a="1"/>
  <c r="D8" i="89"/>
  <c r="T69" i="89" a="1"/>
  <c r="T69" i="89"/>
  <c r="AD23" i="2" a="1"/>
  <c r="AD23" i="2"/>
  <c r="V69" i="89" a="1"/>
  <c r="V69" i="89"/>
  <c r="C69" i="89" a="1"/>
  <c r="C69" i="89"/>
  <c r="AA23" i="2" a="1"/>
  <c r="AA23" i="2"/>
  <c r="D23" i="2" a="1"/>
  <c r="D23" i="2"/>
  <c r="AR23" i="2" a="1"/>
  <c r="AR23" i="2"/>
  <c r="E23" i="2" a="1"/>
  <c r="E23" i="2"/>
  <c r="K23" i="2"/>
  <c r="F23" i="2" a="1"/>
  <c r="F23" i="2"/>
  <c r="E69" i="89" a="1"/>
  <c r="E69" i="89"/>
  <c r="D69" i="89" a="1"/>
  <c r="D69" i="89"/>
  <c r="N76" i="89" a="1"/>
  <c r="N76" i="89"/>
  <c r="L48" i="1"/>
  <c r="L47" i="1"/>
  <c r="L46" i="1"/>
  <c r="L45" i="1"/>
  <c r="L44" i="1"/>
  <c r="L43" i="1"/>
  <c r="L42" i="1"/>
  <c r="L41" i="1"/>
  <c r="L40" i="1"/>
  <c r="L39" i="1"/>
  <c r="L38" i="1"/>
  <c r="L37" i="1"/>
  <c r="L36" i="1"/>
  <c r="L35" i="1"/>
  <c r="L26" i="1"/>
  <c r="L25" i="1"/>
  <c r="L24" i="1"/>
  <c r="L23" i="1"/>
  <c r="L22" i="1"/>
  <c r="L21" i="1"/>
  <c r="L20" i="1"/>
  <c r="L19" i="1"/>
  <c r="L18" i="1"/>
  <c r="L15" i="1"/>
  <c r="L17" i="1"/>
  <c r="L16" i="1"/>
  <c r="L14" i="1"/>
  <c r="L13" i="1"/>
  <c r="L12" i="1"/>
  <c r="AD6" i="2" a="1"/>
  <c r="AD6" i="2"/>
  <c r="V19" i="89"/>
  <c r="C6" i="2" a="1"/>
  <c r="C6" i="2"/>
  <c r="AA6" i="2" a="1"/>
  <c r="AA6" i="2"/>
  <c r="T19" i="89"/>
  <c r="E6" i="2" a="1"/>
  <c r="E6" i="2"/>
  <c r="D6" i="2" a="1"/>
  <c r="D6" i="2"/>
  <c r="Z6" i="2"/>
  <c r="AV6" i="2" s="1" a="1"/>
  <c r="AQ6" i="2" a="1"/>
  <c r="AC6" i="2" a="1"/>
  <c r="C19" i="89"/>
  <c r="F6" i="2" a="1"/>
  <c r="AC6" i="2" l="1"/>
  <c r="AQ6" i="2"/>
  <c r="AV6" i="2"/>
  <c r="S33" i="1"/>
  <c r="Q33" i="1"/>
  <c r="T33" i="1" s="1"/>
  <c r="S32" i="1"/>
  <c r="Q32" i="1"/>
  <c r="T32" i="1" s="1"/>
  <c r="S31" i="1"/>
  <c r="Q31" i="1"/>
  <c r="T31" i="1" s="1"/>
  <c r="Q30" i="1"/>
  <c r="T30" i="1" s="1"/>
  <c r="S30" i="1"/>
  <c r="F6" i="2"/>
  <c r="T6" i="2" a="1"/>
  <c r="T6" i="2"/>
  <c r="O19" i="89"/>
  <c r="AR6" i="2" a="1"/>
  <c r="AR6" i="2" l="1"/>
  <c r="AH8" i="338" a="1"/>
  <c r="AH8" i="338"/>
  <c r="AJ8" i="338" a="1"/>
  <c r="AJ8" i="338"/>
  <c r="AF8" i="338"/>
  <c r="J1" i="24" a="1"/>
  <c r="J1" i="24"/>
  <c r="K2" i="2" a="1"/>
  <c r="K2" i="2"/>
  <c r="AA95" i="89" a="1"/>
  <c r="AA95" i="89"/>
  <c r="AA94" i="89" a="1"/>
  <c r="AA94" i="89"/>
  <c r="V95" i="89" a="1"/>
  <c r="V95" i="89"/>
  <c r="V94" i="89" a="1"/>
  <c r="V94" i="89"/>
  <c r="T95" i="89" a="1"/>
  <c r="T95" i="89"/>
  <c r="T94" i="89" a="1"/>
  <c r="T94" i="89"/>
  <c r="C95" i="89" a="1"/>
  <c r="C95" i="89"/>
  <c r="C94" i="89" a="1"/>
  <c r="C94" i="89"/>
  <c r="O95" i="89" a="1"/>
  <c r="O95" i="89"/>
  <c r="Z95" i="89" a="1"/>
  <c r="O94" i="89" a="1"/>
  <c r="Z95" i="89" l="1"/>
  <c r="O94" i="89"/>
  <c r="Z94" i="89" a="1"/>
  <c r="E95" i="89" a="1"/>
  <c r="Z94" i="89" l="1"/>
  <c r="E95" i="89"/>
  <c r="E94" i="89" a="1"/>
  <c r="E94" i="89"/>
  <c r="K59" i="531"/>
  <c r="J59" i="531"/>
  <c r="I58" i="531"/>
  <c r="K29" i="2"/>
  <c r="L23" i="2" a="1"/>
  <c r="L23" i="2" l="1"/>
  <c r="BB8" i="2" l="1"/>
  <c r="BA8" i="2"/>
  <c r="AF15" i="2" a="1"/>
  <c r="P15" i="2" a="1"/>
  <c r="L2" i="2" a="1"/>
  <c r="P14" i="2" a="1"/>
  <c r="Q5" i="2" a="1"/>
  <c r="G25" i="2" a="1"/>
  <c r="P11" i="2" a="1"/>
  <c r="Q4" i="2" a="1"/>
  <c r="P13" i="2" a="1"/>
  <c r="AF25" i="2" a="1"/>
  <c r="Q23" i="2" a="1"/>
  <c r="L16" i="2" a="1"/>
  <c r="L19" i="2" a="1"/>
  <c r="G10" i="2" a="1"/>
  <c r="P24" i="2" a="1"/>
  <c r="AN10" i="2" a="1"/>
  <c r="AN15" i="2" a="1"/>
  <c r="AN6" i="2" a="1"/>
  <c r="G9" i="2" a="1"/>
  <c r="L7" i="2" a="1"/>
  <c r="AN4" i="2" a="1"/>
  <c r="G13" i="2" a="1"/>
  <c r="AN18" i="2" a="1"/>
  <c r="Q11" i="2" a="1"/>
  <c r="L12" i="2" a="1"/>
  <c r="P4" i="2" a="1"/>
  <c r="L9" i="2" a="1"/>
  <c r="L4" i="2" a="1"/>
  <c r="L21" i="2" a="1"/>
  <c r="AN5" i="2" a="1"/>
  <c r="L14" i="2" a="1"/>
  <c r="AN11" i="2" a="1"/>
  <c r="P8" i="2" a="1"/>
  <c r="AN12" i="2" a="1"/>
  <c r="AN14" i="2" a="1"/>
  <c r="L25" i="2" a="1"/>
  <c r="I29" i="1" a="1"/>
  <c r="L24" i="2" a="1"/>
  <c r="L13" i="2" a="1"/>
  <c r="L22" i="2" a="1"/>
  <c r="AN22" i="2" a="1"/>
  <c r="AF23" i="2" a="1"/>
  <c r="AN19" i="2" a="1"/>
  <c r="Q25" i="2" a="1"/>
  <c r="AF8" i="2" a="1"/>
  <c r="AN9" i="2" a="1"/>
  <c r="Q9" i="2" a="1"/>
  <c r="I28" i="1" a="1"/>
  <c r="AN25" i="2" a="1"/>
  <c r="Q14" i="2" a="1"/>
  <c r="Q24" i="2" a="1"/>
  <c r="L17" i="2" a="1"/>
  <c r="AF10" i="2" a="1"/>
  <c r="P10" i="2" a="1"/>
  <c r="AF14" i="2" a="1"/>
  <c r="AN24" i="2" a="1"/>
  <c r="L11" i="2" a="1"/>
  <c r="AN13" i="2" a="1"/>
  <c r="L5" i="2" a="1"/>
  <c r="Q15" i="2" a="1"/>
  <c r="L18" i="2" a="1"/>
  <c r="G23" i="2" a="1"/>
  <c r="L10" i="2" a="1"/>
  <c r="Q13" i="2" a="1"/>
  <c r="AF24" i="2" a="1"/>
  <c r="AN8" i="2" a="1"/>
  <c r="L15" i="2" a="1"/>
  <c r="AN20" i="2" a="1"/>
  <c r="AN16" i="2" a="1"/>
  <c r="AF9" i="2" a="1"/>
  <c r="AN23" i="2" a="1"/>
  <c r="L8" i="2" a="1"/>
  <c r="AF13" i="2" a="1"/>
  <c r="I34" i="1" a="1"/>
  <c r="L6" i="2" a="1"/>
  <c r="G11" i="2" a="1"/>
  <c r="AN17" i="2" a="1"/>
  <c r="Q10" i="2" a="1"/>
  <c r="AN7" i="2" a="1"/>
  <c r="L20" i="2" a="1"/>
  <c r="G5" i="2" a="1"/>
  <c r="AF4" i="2" a="1"/>
  <c r="I27" i="1" a="1"/>
  <c r="G8" i="2" a="1"/>
  <c r="AN21" i="2" a="1"/>
  <c r="P25" i="2" a="1"/>
  <c r="P9" i="2" a="1"/>
  <c r="G24" i="2" a="1"/>
  <c r="G14" i="2" a="1"/>
  <c r="AF5" i="2" a="1"/>
  <c r="P5" i="2" a="1"/>
  <c r="G15" i="2" a="1"/>
  <c r="G4" i="2" a="1"/>
  <c r="P23" i="2" a="1"/>
  <c r="AF11" i="2" a="1"/>
  <c r="Q8" i="2" a="1"/>
  <c r="AN16" i="2" l="1"/>
  <c r="L21" i="2"/>
  <c r="P24" i="2"/>
  <c r="L16" i="2"/>
  <c r="P14" i="2"/>
  <c r="L12" i="2"/>
  <c r="P10" i="2"/>
  <c r="G4" i="2"/>
  <c r="AF5" i="2"/>
  <c r="Q14" i="2"/>
  <c r="AN5" i="2"/>
  <c r="L5" i="2"/>
  <c r="I28" i="1"/>
  <c r="AN22" i="2"/>
  <c r="AN12" i="2"/>
  <c r="L4" i="2"/>
  <c r="L2" i="2"/>
  <c r="AN17" i="2"/>
  <c r="G14" i="2"/>
  <c r="I27" i="1"/>
  <c r="L6" i="2"/>
  <c r="L17" i="2"/>
  <c r="Q25" i="2"/>
  <c r="AN20" i="2"/>
  <c r="Q15" i="2"/>
  <c r="AN13" i="2"/>
  <c r="Q11" i="2"/>
  <c r="AN9" i="2"/>
  <c r="AN15" i="2"/>
  <c r="G10" i="2"/>
  <c r="Q23" i="2"/>
  <c r="P15" i="2"/>
  <c r="AN21" i="2"/>
  <c r="G24" i="2"/>
  <c r="I34" i="1"/>
  <c r="L25" i="2"/>
  <c r="AN19" i="2"/>
  <c r="L15" i="2"/>
  <c r="Q13" i="2"/>
  <c r="L11" i="2"/>
  <c r="Q9" i="2"/>
  <c r="AN4" i="2"/>
  <c r="L7" i="2"/>
  <c r="AN6" i="2"/>
  <c r="AF25" i="2"/>
  <c r="AN7" i="2"/>
  <c r="G15" i="2"/>
  <c r="G11" i="2"/>
  <c r="P9" i="2"/>
  <c r="AF4" i="2"/>
  <c r="Q24" i="2"/>
  <c r="AN25" i="2"/>
  <c r="L10" i="2"/>
  <c r="G25" i="2"/>
  <c r="L19" i="2"/>
  <c r="P13" i="2"/>
  <c r="AF15" i="2"/>
  <c r="AF11" i="2"/>
  <c r="P25" i="2"/>
  <c r="G5" i="2"/>
  <c r="AN14" i="2"/>
  <c r="L13" i="2"/>
  <c r="AN10" i="2"/>
  <c r="L9" i="2"/>
  <c r="Q4" i="2"/>
  <c r="P23" i="2"/>
  <c r="Q10" i="2"/>
  <c r="P5" i="2"/>
  <c r="L20" i="2"/>
  <c r="AF13" i="2"/>
  <c r="AF9" i="2"/>
  <c r="AF23" i="2"/>
  <c r="AN8" i="2"/>
  <c r="G23" i="2"/>
  <c r="AN24" i="2"/>
  <c r="AN18" i="2"/>
  <c r="L22" i="2"/>
  <c r="L24" i="2"/>
  <c r="AN11" i="2"/>
  <c r="Q5" i="2"/>
  <c r="P11" i="2"/>
  <c r="L8" i="2"/>
  <c r="AN23" i="2"/>
  <c r="AF24" i="2"/>
  <c r="L18" i="2"/>
  <c r="AF14" i="2"/>
  <c r="G13" i="2"/>
  <c r="AF10" i="2"/>
  <c r="G9" i="2"/>
  <c r="I29" i="1"/>
  <c r="L14" i="2"/>
  <c r="P4" i="2"/>
  <c r="BC8" i="2"/>
  <c r="P8" i="2"/>
  <c r="Q8" i="2"/>
  <c r="G8" i="2"/>
  <c r="AF8" i="2"/>
  <c r="S8" i="2" a="1"/>
  <c r="L29" i="2" l="1"/>
  <c r="R8" i="2"/>
  <c r="S8" i="2"/>
  <c r="U8" i="2" s="1"/>
  <c r="O8" i="2"/>
  <c r="J70" i="1"/>
  <c r="S87" i="89" a="1"/>
  <c r="S87" i="89" l="1"/>
  <c r="AE8" i="2"/>
  <c r="AO8" i="2"/>
  <c r="AP8" i="2"/>
  <c r="AT8" i="2"/>
  <c r="AS8" i="2"/>
  <c r="AL8" i="2"/>
  <c r="M8" i="2"/>
  <c r="AM8" i="2"/>
  <c r="X8" i="2"/>
  <c r="Y8" i="2" s="1"/>
  <c r="AB8" i="2"/>
  <c r="J15" i="1"/>
  <c r="N15" i="1"/>
  <c r="R87" i="89" a="1"/>
  <c r="S30" i="89" a="1"/>
  <c r="R87" i="89" l="1"/>
  <c r="S30" i="89"/>
  <c r="R30" i="89" a="1"/>
  <c r="R30" i="89" l="1"/>
  <c r="BA22" i="2"/>
  <c r="BB22" i="2"/>
  <c r="BC22" i="2" s="1"/>
  <c r="BA21" i="2"/>
  <c r="BB21" i="2"/>
  <c r="AF21" i="2" a="1"/>
  <c r="L30" i="89" a="1"/>
  <c r="AF22" i="2" a="1"/>
  <c r="Q21" i="2" a="1"/>
  <c r="F30" i="89" a="1"/>
  <c r="W30" i="89" a="1"/>
  <c r="G21" i="2" a="1"/>
  <c r="K30" i="89" a="1"/>
  <c r="P21" i="2" a="1"/>
  <c r="G22" i="2" a="1"/>
  <c r="P22" i="2" a="1"/>
  <c r="Q22" i="2" a="1"/>
  <c r="F30" i="89" l="1"/>
  <c r="K30" i="89"/>
  <c r="L30" i="89"/>
  <c r="W30" i="89"/>
  <c r="BC21" i="2"/>
  <c r="AF21" i="2"/>
  <c r="Q21" i="2"/>
  <c r="P22" i="2"/>
  <c r="Q22" i="2"/>
  <c r="P21" i="2"/>
  <c r="AF22" i="2"/>
  <c r="G21" i="2"/>
  <c r="G22" i="2"/>
  <c r="S22" i="2" a="1"/>
  <c r="S21" i="2" a="1"/>
  <c r="R22" i="2" l="1"/>
  <c r="S21" i="2"/>
  <c r="AO21" i="2" s="1"/>
  <c r="S22" i="2"/>
  <c r="R21" i="2"/>
  <c r="U22" i="2"/>
  <c r="O22" i="2"/>
  <c r="AP22" i="2"/>
  <c r="U21" i="2"/>
  <c r="O21" i="2"/>
  <c r="AP21" i="2"/>
  <c r="AO22" i="2"/>
  <c r="Z21" i="2"/>
  <c r="AV21" i="2" s="1" a="1"/>
  <c r="AV21" i="2" l="1"/>
  <c r="AL21" i="2"/>
  <c r="AT21" i="2"/>
  <c r="AS21" i="2"/>
  <c r="M21" i="2"/>
  <c r="X21" i="2"/>
  <c r="Y21" i="2" s="1"/>
  <c r="AM21" i="2"/>
  <c r="AB21" i="2"/>
  <c r="AE22" i="2"/>
  <c r="AL22" i="2"/>
  <c r="AT22" i="2"/>
  <c r="AS22" i="2"/>
  <c r="AB22" i="2"/>
  <c r="AM22" i="2"/>
  <c r="X22" i="2"/>
  <c r="Y22" i="2" s="1"/>
  <c r="M22" i="2"/>
  <c r="AE21" i="2"/>
  <c r="F37" i="89" a="1"/>
  <c r="L37" i="89" a="1"/>
  <c r="K37" i="89" a="1"/>
  <c r="W37" i="89" a="1"/>
  <c r="F37" i="89" l="1"/>
  <c r="W37" i="89"/>
  <c r="L37" i="89"/>
  <c r="K37" i="89"/>
  <c r="K36" i="89" a="1"/>
  <c r="F43" i="89" a="1"/>
  <c r="K44" i="89" a="1"/>
  <c r="F36" i="89" a="1"/>
  <c r="F44" i="89" a="1"/>
  <c r="L44" i="89" a="1"/>
  <c r="W44" i="89" a="1"/>
  <c r="W36" i="89" a="1"/>
  <c r="L36" i="89" a="1"/>
  <c r="W43" i="89" a="1"/>
  <c r="K43" i="89" a="1"/>
  <c r="L43" i="89" a="1"/>
  <c r="W43" i="89" l="1"/>
  <c r="F44" i="89"/>
  <c r="L36" i="89"/>
  <c r="W36" i="89"/>
  <c r="L43" i="89"/>
  <c r="F36" i="89"/>
  <c r="W44" i="89"/>
  <c r="K44" i="89"/>
  <c r="K43" i="89"/>
  <c r="F43" i="89"/>
  <c r="L44" i="89"/>
  <c r="K36" i="89"/>
  <c r="J69" i="1"/>
  <c r="BA7" i="2"/>
  <c r="BB7" i="2"/>
  <c r="BC7" i="2" s="1"/>
  <c r="BA6" i="2"/>
  <c r="P6" i="2" a="1"/>
  <c r="Q7" i="2" a="1"/>
  <c r="G6" i="2" a="1"/>
  <c r="AF7" i="2" a="1"/>
  <c r="P7" i="2" a="1"/>
  <c r="G7" i="2" a="1"/>
  <c r="Q6" i="2" a="1"/>
  <c r="AF6" i="2" a="1"/>
  <c r="P7" i="2" l="1"/>
  <c r="G6" i="2"/>
  <c r="Q6" i="2"/>
  <c r="Q7" i="2"/>
  <c r="G7" i="2"/>
  <c r="AF7" i="2"/>
  <c r="P6" i="2"/>
  <c r="AF6" i="2"/>
  <c r="BB6" i="2"/>
  <c r="BC6" i="2" s="1"/>
  <c r="S6" i="2" a="1"/>
  <c r="S7" i="2" a="1"/>
  <c r="R7" i="2" l="1"/>
  <c r="S7" i="2"/>
  <c r="AO7" i="2" s="1"/>
  <c r="S6" i="2"/>
  <c r="U6" i="2" s="1"/>
  <c r="R6" i="2"/>
  <c r="U7" i="2"/>
  <c r="O7" i="2"/>
  <c r="AP7" i="2"/>
  <c r="AP6" i="2"/>
  <c r="O6" i="2"/>
  <c r="Z7" i="2"/>
  <c r="AV7" i="2" s="1" a="1"/>
  <c r="AV7" i="2" l="1"/>
  <c r="AO6" i="2"/>
  <c r="AE7" i="2"/>
  <c r="AE6" i="2"/>
  <c r="AL7" i="2"/>
  <c r="AT7" i="2"/>
  <c r="AS7" i="2"/>
  <c r="AB7" i="2"/>
  <c r="X7" i="2"/>
  <c r="Y7" i="2" s="1"/>
  <c r="M7" i="2"/>
  <c r="AM7" i="2"/>
  <c r="AL6" i="2"/>
  <c r="AS6" i="2"/>
  <c r="AT6" i="2"/>
  <c r="M6" i="2"/>
  <c r="AM6" i="2"/>
  <c r="AB6" i="2"/>
  <c r="X6" i="2"/>
  <c r="Y6" i="2" s="1"/>
  <c r="L20" i="89" a="1"/>
  <c r="F20" i="89" a="1"/>
  <c r="F19" i="89"/>
  <c r="K19" i="89"/>
  <c r="K20" i="89" a="1"/>
  <c r="L19" i="89"/>
  <c r="F20" i="89" l="1"/>
  <c r="L20" i="89"/>
  <c r="K20" i="89"/>
  <c r="J68" i="1"/>
  <c r="H53" i="1" l="1"/>
  <c r="J67" i="1"/>
  <c r="J66" i="1"/>
  <c r="J65" i="1" l="1"/>
  <c r="J64" i="1"/>
  <c r="J63" i="1"/>
  <c r="J62" i="1" l="1"/>
  <c r="J61" i="1" l="1"/>
  <c r="J60" i="1"/>
  <c r="BA17" i="2"/>
  <c r="BB17" i="2"/>
  <c r="S20" i="89" a="1"/>
  <c r="AB31" i="89" a="1"/>
  <c r="S44" i="89" a="1"/>
  <c r="Q17" i="2" a="1"/>
  <c r="G17" i="2" a="1"/>
  <c r="S31" i="89" a="1"/>
  <c r="Z5" i="2"/>
  <c r="AV5" i="2" s="1" a="1"/>
  <c r="P17" i="2" a="1"/>
  <c r="AF17" i="2" a="1"/>
  <c r="S36" i="89" a="1"/>
  <c r="AV5" i="2" l="1"/>
  <c r="S44" i="89"/>
  <c r="S36" i="89"/>
  <c r="AB31" i="89"/>
  <c r="S31" i="89"/>
  <c r="S20" i="89"/>
  <c r="BC17" i="2"/>
  <c r="G17" i="2"/>
  <c r="AF17" i="2"/>
  <c r="Q17" i="2"/>
  <c r="P17" i="2"/>
  <c r="R44" i="89" a="1"/>
  <c r="R36" i="89" a="1"/>
  <c r="R20" i="89" a="1"/>
  <c r="R31" i="89" a="1"/>
  <c r="S17" i="2" a="1"/>
  <c r="R20" i="89" l="1"/>
  <c r="R36" i="89"/>
  <c r="R44" i="89"/>
  <c r="R31" i="89"/>
  <c r="Q15" i="1"/>
  <c r="T15" i="1" s="1"/>
  <c r="S17" i="2"/>
  <c r="U17" i="2" s="1"/>
  <c r="O17" i="2"/>
  <c r="AO17" i="2"/>
  <c r="R17" i="2"/>
  <c r="S8" i="89" a="1"/>
  <c r="S104" i="89" a="1"/>
  <c r="Z17" i="2"/>
  <c r="AV17" i="2" s="1" a="1"/>
  <c r="AV17" i="2" l="1"/>
  <c r="S104" i="89"/>
  <c r="S8" i="89"/>
  <c r="AP17" i="2"/>
  <c r="AE17" i="2"/>
  <c r="AL17" i="2"/>
  <c r="AS17" i="2"/>
  <c r="AT17" i="2"/>
  <c r="AM17" i="2"/>
  <c r="M17" i="2"/>
  <c r="X17" i="2"/>
  <c r="Y17" i="2" s="1"/>
  <c r="AB17" i="2"/>
  <c r="R104" i="89" a="1"/>
  <c r="R8" i="89" a="1"/>
  <c r="W7" i="89" a="1"/>
  <c r="R8" i="89" l="1"/>
  <c r="R104" i="89"/>
  <c r="W7" i="89"/>
  <c r="K7" i="89" a="1"/>
  <c r="F7" i="89" a="1"/>
  <c r="L7" i="89" a="1"/>
  <c r="L7" i="89" l="1"/>
  <c r="F7" i="89"/>
  <c r="K7" i="89"/>
  <c r="N23" i="1" l="1"/>
  <c r="J23" i="1"/>
  <c r="J56" i="1" l="1"/>
  <c r="J57" i="1"/>
  <c r="J58" i="1"/>
  <c r="J59" i="1"/>
  <c r="J55" i="1"/>
  <c r="J53" i="1" s="1"/>
  <c r="I53" i="1" l="1"/>
  <c r="Q23" i="1" l="1"/>
  <c r="I28" i="2" l="1"/>
  <c r="J17" i="1" l="1"/>
  <c r="N17" i="1"/>
  <c r="BB23" i="2" l="1"/>
  <c r="BA23" i="2"/>
  <c r="S23" i="2" a="1"/>
  <c r="S23" i="2" l="1"/>
  <c r="BC23" i="2"/>
  <c r="R23" i="2" l="1"/>
  <c r="U23" i="2"/>
  <c r="AO23" i="2"/>
  <c r="O23" i="2"/>
  <c r="AP23" i="2" l="1"/>
  <c r="AE23" i="2"/>
  <c r="AT23" i="2"/>
  <c r="AS23" i="2"/>
  <c r="X23" i="2"/>
  <c r="Y23" i="2" s="1"/>
  <c r="AL23" i="2"/>
  <c r="AM23" i="2"/>
  <c r="M23" i="2"/>
  <c r="AB23" i="2"/>
  <c r="F69" i="89" a="1"/>
  <c r="L69" i="89" a="1"/>
  <c r="W69" i="89" a="1"/>
  <c r="K69" i="89" a="1"/>
  <c r="K69" i="89" l="1"/>
  <c r="W69" i="89"/>
  <c r="L69" i="89"/>
  <c r="F69" i="89"/>
  <c r="N69" i="89" a="1"/>
  <c r="N69" i="89" l="1"/>
  <c r="Z69" i="89" a="1"/>
  <c r="Z69" i="89" l="1"/>
  <c r="I10" i="1"/>
  <c r="I9" i="1"/>
  <c r="J18" i="1" l="1"/>
  <c r="N18" i="1"/>
  <c r="J25" i="2" l="1"/>
  <c r="K25" i="2" s="1"/>
  <c r="J24" i="2"/>
  <c r="K24" i="2" s="1"/>
  <c r="J5" i="2"/>
  <c r="K5" i="2" s="1"/>
  <c r="J9" i="2"/>
  <c r="K9" i="2" s="1"/>
  <c r="J10" i="2"/>
  <c r="K10" i="2" s="1"/>
  <c r="J11" i="2"/>
  <c r="K11" i="2" s="1"/>
  <c r="J12" i="2"/>
  <c r="K12" i="2" s="1"/>
  <c r="J13" i="2"/>
  <c r="K13" i="2" s="1"/>
  <c r="J14" i="2"/>
  <c r="K14" i="2" s="1"/>
  <c r="J15" i="2"/>
  <c r="J16" i="2"/>
  <c r="K16" i="2" s="1"/>
  <c r="J18" i="2"/>
  <c r="K18" i="2" s="1"/>
  <c r="J19" i="2"/>
  <c r="K19" i="2" s="1"/>
  <c r="J20" i="2"/>
  <c r="K20" i="2" s="1"/>
  <c r="K15" i="2" l="1"/>
  <c r="K28" i="2" s="1"/>
  <c r="J28" i="2"/>
  <c r="S18" i="1" l="1"/>
  <c r="Q18" i="1"/>
  <c r="T18" i="1" s="1"/>
  <c r="X2" i="527" l="1"/>
  <c r="U2" i="527"/>
  <c r="R2" i="527"/>
  <c r="T165" i="444"/>
  <c r="U165" i="444" s="1"/>
  <c r="R165" i="444"/>
  <c r="S165" i="444" s="1"/>
  <c r="G165" i="444"/>
  <c r="S164" i="444"/>
  <c r="R164" i="444"/>
  <c r="T164" i="444" s="1"/>
  <c r="U164" i="444" s="1"/>
  <c r="G164" i="444"/>
  <c r="R163" i="444"/>
  <c r="T163" i="444" s="1"/>
  <c r="U163" i="444" s="1"/>
  <c r="G163" i="444"/>
  <c r="R162" i="444"/>
  <c r="G162" i="444"/>
  <c r="T161" i="444"/>
  <c r="U161" i="444" s="1"/>
  <c r="V161" i="444" s="1"/>
  <c r="W161" i="444" s="1"/>
  <c r="S161" i="444"/>
  <c r="R161" i="444"/>
  <c r="G161" i="444"/>
  <c r="R160" i="444"/>
  <c r="T160" i="444" s="1"/>
  <c r="U160" i="444" s="1"/>
  <c r="G160" i="444"/>
  <c r="S159" i="444"/>
  <c r="R159" i="444"/>
  <c r="T159" i="444" s="1"/>
  <c r="U159" i="444" s="1"/>
  <c r="G159" i="444"/>
  <c r="T158" i="444"/>
  <c r="U158" i="444" s="1"/>
  <c r="R158" i="444"/>
  <c r="S158" i="444" s="1"/>
  <c r="G158" i="444"/>
  <c r="R157" i="444"/>
  <c r="T157" i="444" s="1"/>
  <c r="U157" i="444" s="1"/>
  <c r="G157" i="444"/>
  <c r="R156" i="444"/>
  <c r="S156" i="444" s="1"/>
  <c r="G156" i="444"/>
  <c r="R155" i="444"/>
  <c r="T155" i="444" s="1"/>
  <c r="U155" i="444" s="1"/>
  <c r="G155" i="444"/>
  <c r="R154" i="444"/>
  <c r="S154" i="444" s="1"/>
  <c r="G154" i="444"/>
  <c r="R153" i="444"/>
  <c r="T153" i="444" s="1"/>
  <c r="U153" i="444" s="1"/>
  <c r="G153" i="444"/>
  <c r="R152" i="444"/>
  <c r="G152" i="444"/>
  <c r="R151" i="444"/>
  <c r="T151" i="444" s="1"/>
  <c r="U151" i="444" s="1"/>
  <c r="G151" i="444"/>
  <c r="T150" i="444"/>
  <c r="U150" i="444" s="1"/>
  <c r="S150" i="444"/>
  <c r="R150" i="444"/>
  <c r="G150" i="444"/>
  <c r="T149" i="444"/>
  <c r="U149" i="444" s="1"/>
  <c r="S149" i="444"/>
  <c r="R149" i="444"/>
  <c r="G149" i="444"/>
  <c r="T148" i="444"/>
  <c r="U148" i="444" s="1"/>
  <c r="S148" i="444"/>
  <c r="R148" i="444"/>
  <c r="G148" i="444"/>
  <c r="R147" i="444"/>
  <c r="S147" i="444" s="1"/>
  <c r="G147" i="444"/>
  <c r="T146" i="444"/>
  <c r="U146" i="444" s="1"/>
  <c r="V146" i="444" s="1"/>
  <c r="W146" i="444" s="1"/>
  <c r="S146" i="444"/>
  <c r="R146" i="444"/>
  <c r="G146" i="444"/>
  <c r="T145" i="444"/>
  <c r="U145" i="444" s="1"/>
  <c r="R145" i="444"/>
  <c r="S145" i="444" s="1"/>
  <c r="G145" i="444"/>
  <c r="T144" i="444"/>
  <c r="U144" i="444" s="1"/>
  <c r="R144" i="444"/>
  <c r="S144" i="444" s="1"/>
  <c r="G144" i="444"/>
  <c r="T143" i="444"/>
  <c r="U143" i="444" s="1"/>
  <c r="R143" i="444"/>
  <c r="S143" i="444" s="1"/>
  <c r="G143" i="444"/>
  <c r="R142" i="444"/>
  <c r="G142" i="444"/>
  <c r="T141" i="444"/>
  <c r="U141" i="444" s="1"/>
  <c r="V141" i="444" s="1"/>
  <c r="W141" i="444" s="1"/>
  <c r="S141" i="444"/>
  <c r="R141" i="444"/>
  <c r="G141" i="444"/>
  <c r="R140" i="444"/>
  <c r="T140" i="444" s="1"/>
  <c r="U140" i="444" s="1"/>
  <c r="G140" i="444"/>
  <c r="S139" i="444"/>
  <c r="R139" i="444"/>
  <c r="T139" i="444" s="1"/>
  <c r="U139" i="444" s="1"/>
  <c r="G139" i="444"/>
  <c r="T138" i="444"/>
  <c r="U138" i="444" s="1"/>
  <c r="R138" i="444"/>
  <c r="S138" i="444" s="1"/>
  <c r="G138" i="444"/>
  <c r="R137" i="444"/>
  <c r="T137" i="444" s="1"/>
  <c r="U137" i="444" s="1"/>
  <c r="G137" i="444"/>
  <c r="R136" i="444"/>
  <c r="S136" i="444" s="1"/>
  <c r="G136" i="444"/>
  <c r="R135" i="444"/>
  <c r="T135" i="444" s="1"/>
  <c r="U135" i="444" s="1"/>
  <c r="G135" i="444"/>
  <c r="R134" i="444"/>
  <c r="T134" i="444" s="1"/>
  <c r="U134" i="444" s="1"/>
  <c r="G134" i="444"/>
  <c r="S133" i="444"/>
  <c r="R133" i="444"/>
  <c r="T133" i="444" s="1"/>
  <c r="U133" i="444" s="1"/>
  <c r="G133" i="444"/>
  <c r="R132" i="444"/>
  <c r="G132" i="444"/>
  <c r="R131" i="444"/>
  <c r="S131" i="444" s="1"/>
  <c r="G131" i="444"/>
  <c r="T130" i="444"/>
  <c r="U130" i="444" s="1"/>
  <c r="R130" i="444"/>
  <c r="S130" i="444" s="1"/>
  <c r="G130" i="444"/>
  <c r="T129" i="444"/>
  <c r="U129" i="444" s="1"/>
  <c r="S129" i="444"/>
  <c r="R129" i="444"/>
  <c r="G129" i="444"/>
  <c r="T128" i="444"/>
  <c r="U128" i="444" s="1"/>
  <c r="S128" i="444"/>
  <c r="R128" i="444"/>
  <c r="G128" i="444"/>
  <c r="T127" i="444"/>
  <c r="U127" i="444" s="1"/>
  <c r="S127" i="444"/>
  <c r="R127" i="444"/>
  <c r="G127" i="444"/>
  <c r="T126" i="444"/>
  <c r="U126" i="444" s="1"/>
  <c r="V126" i="444" s="1"/>
  <c r="W126" i="444" s="1"/>
  <c r="S126" i="444"/>
  <c r="R126" i="444"/>
  <c r="G126" i="444"/>
  <c r="T125" i="444"/>
  <c r="U125" i="444" s="1"/>
  <c r="R125" i="444"/>
  <c r="S125" i="444" s="1"/>
  <c r="G125" i="444"/>
  <c r="R124" i="444"/>
  <c r="T124" i="444" s="1"/>
  <c r="U124" i="444" s="1"/>
  <c r="G124" i="444"/>
  <c r="T123" i="444"/>
  <c r="U123" i="444" s="1"/>
  <c r="R123" i="444"/>
  <c r="S123" i="444" s="1"/>
  <c r="G123" i="444"/>
  <c r="R122" i="444"/>
  <c r="G122" i="444"/>
  <c r="T121" i="444"/>
  <c r="U121" i="444" s="1"/>
  <c r="V121" i="444" s="1"/>
  <c r="W121" i="444" s="1"/>
  <c r="S121" i="444"/>
  <c r="R121" i="444"/>
  <c r="G121" i="444"/>
  <c r="R120" i="444"/>
  <c r="T120" i="444" s="1"/>
  <c r="U120" i="444" s="1"/>
  <c r="G120" i="444"/>
  <c r="S119" i="444"/>
  <c r="R119" i="444"/>
  <c r="T119" i="444" s="1"/>
  <c r="U119" i="444" s="1"/>
  <c r="G119" i="444"/>
  <c r="T118" i="444"/>
  <c r="U118" i="444" s="1"/>
  <c r="R118" i="444"/>
  <c r="S118" i="444" s="1"/>
  <c r="G118" i="444"/>
  <c r="R117" i="444"/>
  <c r="T117" i="444" s="1"/>
  <c r="U117" i="444" s="1"/>
  <c r="G117" i="444"/>
  <c r="T116" i="444"/>
  <c r="U116" i="444" s="1"/>
  <c r="R116" i="444"/>
  <c r="S116" i="444" s="1"/>
  <c r="G116" i="444"/>
  <c r="R115" i="444"/>
  <c r="T115" i="444" s="1"/>
  <c r="U115" i="444" s="1"/>
  <c r="G115" i="444"/>
  <c r="R114" i="444"/>
  <c r="S114" i="444" s="1"/>
  <c r="G114" i="444"/>
  <c r="R113" i="444"/>
  <c r="T113" i="444" s="1"/>
  <c r="U113" i="444" s="1"/>
  <c r="G113" i="444"/>
  <c r="R112" i="444"/>
  <c r="G112" i="444"/>
  <c r="R111" i="444"/>
  <c r="T111" i="444" s="1"/>
  <c r="U111" i="444" s="1"/>
  <c r="G111" i="444"/>
  <c r="T110" i="444"/>
  <c r="U110" i="444" s="1"/>
  <c r="V110" i="444" s="1"/>
  <c r="W110" i="444" s="1"/>
  <c r="S110" i="444"/>
  <c r="R110" i="444"/>
  <c r="G110" i="444"/>
  <c r="T109" i="444"/>
  <c r="U109" i="444" s="1"/>
  <c r="S109" i="444"/>
  <c r="R109" i="444"/>
  <c r="G109" i="444"/>
  <c r="T108" i="444"/>
  <c r="U108" i="444" s="1"/>
  <c r="S108" i="444"/>
  <c r="R108" i="444"/>
  <c r="G108" i="444"/>
  <c r="T107" i="444"/>
  <c r="U107" i="444" s="1"/>
  <c r="R107" i="444"/>
  <c r="S107" i="444" s="1"/>
  <c r="G107" i="444"/>
  <c r="T106" i="444"/>
  <c r="U106" i="444" s="1"/>
  <c r="V106" i="444" s="1"/>
  <c r="W106" i="444" s="1"/>
  <c r="S106" i="444"/>
  <c r="R106" i="444"/>
  <c r="G106" i="444"/>
  <c r="T105" i="444"/>
  <c r="U105" i="444" s="1"/>
  <c r="R105" i="444"/>
  <c r="S105" i="444" s="1"/>
  <c r="G105" i="444"/>
  <c r="S104" i="444"/>
  <c r="R104" i="444"/>
  <c r="T104" i="444" s="1"/>
  <c r="U104" i="444" s="1"/>
  <c r="G104" i="444"/>
  <c r="T103" i="444"/>
  <c r="U103" i="444" s="1"/>
  <c r="V103" i="444" s="1"/>
  <c r="W103" i="444" s="1"/>
  <c r="S103" i="444"/>
  <c r="R103" i="444"/>
  <c r="G103" i="444"/>
  <c r="R102" i="444"/>
  <c r="G102" i="444"/>
  <c r="T101" i="444"/>
  <c r="U101" i="444" s="1"/>
  <c r="S101" i="444"/>
  <c r="R101" i="444"/>
  <c r="G101" i="444"/>
  <c r="T100" i="444"/>
  <c r="U100" i="444" s="1"/>
  <c r="R100" i="444"/>
  <c r="S100" i="444" s="1"/>
  <c r="G100" i="444"/>
  <c r="S99" i="444"/>
  <c r="R99" i="444"/>
  <c r="T99" i="444" s="1"/>
  <c r="U99" i="444" s="1"/>
  <c r="G99" i="444"/>
  <c r="T98" i="444"/>
  <c r="U98" i="444" s="1"/>
  <c r="V98" i="444" s="1"/>
  <c r="W98" i="444" s="1"/>
  <c r="R98" i="444"/>
  <c r="S98" i="444" s="1"/>
  <c r="G98" i="444"/>
  <c r="R97" i="444"/>
  <c r="T97" i="444" s="1"/>
  <c r="U97" i="444" s="1"/>
  <c r="G97" i="444"/>
  <c r="R96" i="444"/>
  <c r="S96" i="444" s="1"/>
  <c r="G96" i="444"/>
  <c r="R95" i="444"/>
  <c r="T95" i="444" s="1"/>
  <c r="U95" i="444" s="1"/>
  <c r="G95" i="444"/>
  <c r="R94" i="444"/>
  <c r="T94" i="444" s="1"/>
  <c r="U94" i="444" s="1"/>
  <c r="G94" i="444"/>
  <c r="R93" i="444"/>
  <c r="T93" i="444" s="1"/>
  <c r="U93" i="444" s="1"/>
  <c r="G93" i="444"/>
  <c r="R92" i="444"/>
  <c r="G92" i="444"/>
  <c r="R91" i="444"/>
  <c r="T91" i="444" s="1"/>
  <c r="U91" i="444" s="1"/>
  <c r="G91" i="444"/>
  <c r="T90" i="444"/>
  <c r="U90" i="444" s="1"/>
  <c r="V90" i="444" s="1"/>
  <c r="W90" i="444" s="1"/>
  <c r="S90" i="444"/>
  <c r="R90" i="444"/>
  <c r="G90" i="444"/>
  <c r="T89" i="444"/>
  <c r="U89" i="444" s="1"/>
  <c r="S89" i="444"/>
  <c r="R89" i="444"/>
  <c r="G89" i="444"/>
  <c r="T88" i="444"/>
  <c r="U88" i="444" s="1"/>
  <c r="S88" i="444"/>
  <c r="R88" i="444"/>
  <c r="G88" i="444"/>
  <c r="T87" i="444"/>
  <c r="U87" i="444" s="1"/>
  <c r="R87" i="444"/>
  <c r="S87" i="444" s="1"/>
  <c r="G87" i="444"/>
  <c r="T86" i="444"/>
  <c r="U86" i="444" s="1"/>
  <c r="V86" i="444" s="1"/>
  <c r="W86" i="444" s="1"/>
  <c r="S86" i="444"/>
  <c r="R86" i="444"/>
  <c r="G86" i="444"/>
  <c r="T85" i="444"/>
  <c r="U85" i="444" s="1"/>
  <c r="R85" i="444"/>
  <c r="S85" i="444" s="1"/>
  <c r="G85" i="444"/>
  <c r="R84" i="444"/>
  <c r="S84" i="444" s="1"/>
  <c r="G84" i="444"/>
  <c r="T83" i="444"/>
  <c r="U83" i="444" s="1"/>
  <c r="V83" i="444" s="1"/>
  <c r="W83" i="444" s="1"/>
  <c r="S83" i="444"/>
  <c r="R83" i="444"/>
  <c r="G83" i="444"/>
  <c r="R82" i="444"/>
  <c r="G82" i="444"/>
  <c r="T81" i="444"/>
  <c r="U81" i="444" s="1"/>
  <c r="V81" i="444" s="1"/>
  <c r="W81" i="444" s="1"/>
  <c r="S81" i="444"/>
  <c r="R81" i="444"/>
  <c r="G81" i="444"/>
  <c r="T80" i="444"/>
  <c r="U80" i="444" s="1"/>
  <c r="R80" i="444"/>
  <c r="S80" i="444" s="1"/>
  <c r="G80" i="444"/>
  <c r="S79" i="444"/>
  <c r="R79" i="444"/>
  <c r="T79" i="444" s="1"/>
  <c r="U79" i="444" s="1"/>
  <c r="G79" i="444"/>
  <c r="T78" i="444"/>
  <c r="U78" i="444" s="1"/>
  <c r="V78" i="444" s="1"/>
  <c r="W78" i="444" s="1"/>
  <c r="R78" i="444"/>
  <c r="S78" i="444" s="1"/>
  <c r="G78" i="444"/>
  <c r="R77" i="444"/>
  <c r="T77" i="444" s="1"/>
  <c r="U77" i="444" s="1"/>
  <c r="G77" i="444"/>
  <c r="T76" i="444"/>
  <c r="U76" i="444" s="1"/>
  <c r="R76" i="444"/>
  <c r="S76" i="444" s="1"/>
  <c r="G76" i="444"/>
  <c r="R75" i="444"/>
  <c r="T75" i="444" s="1"/>
  <c r="U75" i="444" s="1"/>
  <c r="G75" i="444"/>
  <c r="R74" i="444"/>
  <c r="S74" i="444" s="1"/>
  <c r="G74" i="444"/>
  <c r="R73" i="444"/>
  <c r="T73" i="444" s="1"/>
  <c r="U73" i="444" s="1"/>
  <c r="G73" i="444"/>
  <c r="R72" i="444"/>
  <c r="G72" i="444"/>
  <c r="R71" i="444"/>
  <c r="T71" i="444" s="1"/>
  <c r="U71" i="444" s="1"/>
  <c r="G71" i="444"/>
  <c r="S70" i="444"/>
  <c r="R70" i="444"/>
  <c r="T70" i="444" s="1"/>
  <c r="U70" i="444" s="1"/>
  <c r="G70" i="444"/>
  <c r="T69" i="444"/>
  <c r="U69" i="444" s="1"/>
  <c r="S69" i="444"/>
  <c r="R69" i="444"/>
  <c r="G69" i="444"/>
  <c r="T68" i="444"/>
  <c r="U68" i="444" s="1"/>
  <c r="S68" i="444"/>
  <c r="R68" i="444"/>
  <c r="G68" i="444"/>
  <c r="T67" i="444"/>
  <c r="U67" i="444" s="1"/>
  <c r="S67" i="444"/>
  <c r="R67" i="444"/>
  <c r="G67" i="444"/>
  <c r="T66" i="444"/>
  <c r="U66" i="444" s="1"/>
  <c r="V66" i="444" s="1"/>
  <c r="W66" i="444" s="1"/>
  <c r="S66" i="444"/>
  <c r="R66" i="444"/>
  <c r="G66" i="444"/>
  <c r="T65" i="444"/>
  <c r="U65" i="444" s="1"/>
  <c r="R65" i="444"/>
  <c r="S65" i="444" s="1"/>
  <c r="G65" i="444"/>
  <c r="R64" i="444"/>
  <c r="T64" i="444" s="1"/>
  <c r="U64" i="444" s="1"/>
  <c r="G64" i="444"/>
  <c r="T63" i="444"/>
  <c r="U63" i="444" s="1"/>
  <c r="V63" i="444" s="1"/>
  <c r="W63" i="444" s="1"/>
  <c r="S63" i="444"/>
  <c r="R63" i="444"/>
  <c r="G63" i="444"/>
  <c r="R62" i="444"/>
  <c r="G62" i="444"/>
  <c r="T61" i="444"/>
  <c r="U61" i="444" s="1"/>
  <c r="S61" i="444"/>
  <c r="R61" i="444"/>
  <c r="G61" i="444"/>
  <c r="T60" i="444"/>
  <c r="U60" i="444" s="1"/>
  <c r="V60" i="444" s="1"/>
  <c r="W60" i="444" s="1"/>
  <c r="S60" i="444"/>
  <c r="R60" i="444"/>
  <c r="G60" i="444"/>
  <c r="S59" i="444"/>
  <c r="R59" i="444"/>
  <c r="T59" i="444" s="1"/>
  <c r="U59" i="444" s="1"/>
  <c r="G59" i="444"/>
  <c r="T58" i="444"/>
  <c r="U58" i="444" s="1"/>
  <c r="V58" i="444" s="1"/>
  <c r="W58" i="444" s="1"/>
  <c r="R58" i="444"/>
  <c r="S58" i="444" s="1"/>
  <c r="G58" i="444"/>
  <c r="R57" i="444"/>
  <c r="T57" i="444" s="1"/>
  <c r="U57" i="444" s="1"/>
  <c r="G57" i="444"/>
  <c r="R56" i="444"/>
  <c r="S56" i="444" s="1"/>
  <c r="G56" i="444"/>
  <c r="R55" i="444"/>
  <c r="T55" i="444" s="1"/>
  <c r="U55" i="444" s="1"/>
  <c r="G55" i="444"/>
  <c r="R54" i="444"/>
  <c r="S54" i="444" s="1"/>
  <c r="G54" i="444"/>
  <c r="R53" i="444"/>
  <c r="T53" i="444" s="1"/>
  <c r="U53" i="444" s="1"/>
  <c r="G53" i="444"/>
  <c r="R52" i="444"/>
  <c r="G52" i="444"/>
  <c r="R51" i="444"/>
  <c r="T51" i="444" s="1"/>
  <c r="U51" i="444" s="1"/>
  <c r="G51" i="444"/>
  <c r="R50" i="444"/>
  <c r="T50" i="444" s="1"/>
  <c r="U50" i="444" s="1"/>
  <c r="G50" i="444"/>
  <c r="T49" i="444"/>
  <c r="U49" i="444" s="1"/>
  <c r="S49" i="444"/>
  <c r="R49" i="444"/>
  <c r="G49" i="444"/>
  <c r="T48" i="444"/>
  <c r="U48" i="444" s="1"/>
  <c r="S48" i="444"/>
  <c r="R48" i="444"/>
  <c r="G48" i="444"/>
  <c r="S47" i="444"/>
  <c r="R47" i="444"/>
  <c r="T47" i="444" s="1"/>
  <c r="U47" i="444" s="1"/>
  <c r="G47" i="444"/>
  <c r="T46" i="444"/>
  <c r="U46" i="444" s="1"/>
  <c r="V46" i="444" s="1"/>
  <c r="W46" i="444" s="1"/>
  <c r="S46" i="444"/>
  <c r="R46" i="444"/>
  <c r="G46" i="444"/>
  <c r="T45" i="444"/>
  <c r="U45" i="444" s="1"/>
  <c r="R45" i="444"/>
  <c r="S45" i="444" s="1"/>
  <c r="G45" i="444"/>
  <c r="R44" i="444"/>
  <c r="T44" i="444" s="1"/>
  <c r="U44" i="444" s="1"/>
  <c r="G44" i="444"/>
  <c r="T43" i="444"/>
  <c r="U43" i="444" s="1"/>
  <c r="V43" i="444" s="1"/>
  <c r="W43" i="444" s="1"/>
  <c r="S43" i="444"/>
  <c r="R43" i="444"/>
  <c r="G43" i="444"/>
  <c r="R42" i="444"/>
  <c r="G42" i="444"/>
  <c r="T41" i="444"/>
  <c r="U41" i="444" s="1"/>
  <c r="V41" i="444" s="1"/>
  <c r="W41" i="444" s="1"/>
  <c r="S41" i="444"/>
  <c r="R41" i="444"/>
  <c r="G41" i="444"/>
  <c r="T40" i="444"/>
  <c r="U40" i="444" s="1"/>
  <c r="V40" i="444" s="1"/>
  <c r="W40" i="444" s="1"/>
  <c r="S40" i="444"/>
  <c r="R40" i="444"/>
  <c r="G40" i="444"/>
  <c r="S39" i="444"/>
  <c r="R39" i="444"/>
  <c r="T39" i="444" s="1"/>
  <c r="U39" i="444" s="1"/>
  <c r="G39" i="444"/>
  <c r="T38" i="444"/>
  <c r="U38" i="444" s="1"/>
  <c r="R38" i="444"/>
  <c r="S38" i="444" s="1"/>
  <c r="G38" i="444"/>
  <c r="R37" i="444"/>
  <c r="T37" i="444" s="1"/>
  <c r="U37" i="444" s="1"/>
  <c r="G37" i="444"/>
  <c r="R36" i="444"/>
  <c r="S36" i="444" s="1"/>
  <c r="G36" i="444"/>
  <c r="R35" i="444"/>
  <c r="T35" i="444" s="1"/>
  <c r="U35" i="444" s="1"/>
  <c r="G35" i="444"/>
  <c r="R34" i="444"/>
  <c r="T34" i="444" s="1"/>
  <c r="U34" i="444" s="1"/>
  <c r="G34" i="444"/>
  <c r="R33" i="444"/>
  <c r="T33" i="444" s="1"/>
  <c r="U33" i="444" s="1"/>
  <c r="G33" i="444"/>
  <c r="R32" i="444"/>
  <c r="G32" i="444"/>
  <c r="R31" i="444"/>
  <c r="T31" i="444" s="1"/>
  <c r="U31" i="444" s="1"/>
  <c r="G31" i="444"/>
  <c r="T30" i="444"/>
  <c r="U30" i="444" s="1"/>
  <c r="S30" i="444"/>
  <c r="R30" i="444"/>
  <c r="G30" i="444"/>
  <c r="T29" i="444"/>
  <c r="U29" i="444" s="1"/>
  <c r="S29" i="444"/>
  <c r="R29" i="444"/>
  <c r="G29" i="444"/>
  <c r="T28" i="444"/>
  <c r="U28" i="444" s="1"/>
  <c r="S28" i="444"/>
  <c r="R28" i="444"/>
  <c r="G28" i="444"/>
  <c r="R27" i="444"/>
  <c r="S27" i="444" s="1"/>
  <c r="G27" i="444"/>
  <c r="T26" i="444"/>
  <c r="U26" i="444" s="1"/>
  <c r="V26" i="444" s="1"/>
  <c r="W26" i="444" s="1"/>
  <c r="S26" i="444"/>
  <c r="R26" i="444"/>
  <c r="G26" i="444"/>
  <c r="T25" i="444"/>
  <c r="U25" i="444" s="1"/>
  <c r="R25" i="444"/>
  <c r="S25" i="444" s="1"/>
  <c r="G25" i="444"/>
  <c r="T24" i="444"/>
  <c r="U24" i="444" s="1"/>
  <c r="V24" i="444" s="1"/>
  <c r="W24" i="444" s="1"/>
  <c r="S24" i="444"/>
  <c r="R24" i="444"/>
  <c r="G24" i="444"/>
  <c r="T23" i="444"/>
  <c r="U23" i="444" s="1"/>
  <c r="V23" i="444" s="1"/>
  <c r="W23" i="444" s="1"/>
  <c r="S23" i="444"/>
  <c r="R23" i="444"/>
  <c r="G23" i="444"/>
  <c r="R22" i="444"/>
  <c r="G22" i="444"/>
  <c r="T21" i="444"/>
  <c r="U21" i="444" s="1"/>
  <c r="V21" i="444" s="1"/>
  <c r="W21" i="444" s="1"/>
  <c r="S21" i="444"/>
  <c r="R21" i="444"/>
  <c r="G21" i="444"/>
  <c r="T20" i="444"/>
  <c r="U20" i="444" s="1"/>
  <c r="V20" i="444" s="1"/>
  <c r="W20" i="444" s="1"/>
  <c r="S20" i="444"/>
  <c r="R20" i="444"/>
  <c r="G20" i="444"/>
  <c r="S19" i="444"/>
  <c r="R19" i="444"/>
  <c r="T19" i="444" s="1"/>
  <c r="U19" i="444" s="1"/>
  <c r="G19" i="444"/>
  <c r="T18" i="444"/>
  <c r="U18" i="444" s="1"/>
  <c r="V18" i="444" s="1"/>
  <c r="W18" i="444" s="1"/>
  <c r="R18" i="444"/>
  <c r="S18" i="444" s="1"/>
  <c r="G18" i="444"/>
  <c r="R17" i="444"/>
  <c r="T17" i="444" s="1"/>
  <c r="U17" i="444" s="1"/>
  <c r="G17" i="444"/>
  <c r="R16" i="444"/>
  <c r="S16" i="444" s="1"/>
  <c r="G16" i="444"/>
  <c r="R15" i="444"/>
  <c r="T15" i="444" s="1"/>
  <c r="U15" i="444" s="1"/>
  <c r="G15" i="444"/>
  <c r="R14" i="444"/>
  <c r="S14" i="444" s="1"/>
  <c r="G14" i="444"/>
  <c r="R13" i="444"/>
  <c r="T13" i="444" s="1"/>
  <c r="U13" i="444" s="1"/>
  <c r="G13" i="444"/>
  <c r="R12" i="444"/>
  <c r="G12" i="444"/>
  <c r="R11" i="444"/>
  <c r="S11" i="444" s="1"/>
  <c r="G11" i="444"/>
  <c r="T10" i="444"/>
  <c r="U10" i="444" s="1"/>
  <c r="S10" i="444"/>
  <c r="R10" i="444"/>
  <c r="G10" i="444"/>
  <c r="T9" i="444"/>
  <c r="U9" i="444" s="1"/>
  <c r="S9" i="444"/>
  <c r="R9" i="444"/>
  <c r="G9" i="444"/>
  <c r="T8" i="444"/>
  <c r="U8" i="444" s="1"/>
  <c r="S8" i="444"/>
  <c r="R8" i="444"/>
  <c r="G8" i="444"/>
  <c r="T7" i="444"/>
  <c r="U7" i="444" s="1"/>
  <c r="S7" i="444"/>
  <c r="R7" i="444"/>
  <c r="G7" i="444"/>
  <c r="T6" i="444"/>
  <c r="U6" i="444" s="1"/>
  <c r="V6" i="444" s="1"/>
  <c r="W6" i="444" s="1"/>
  <c r="S6" i="444"/>
  <c r="R6" i="444"/>
  <c r="G6" i="444"/>
  <c r="T5" i="444"/>
  <c r="U5" i="444" s="1"/>
  <c r="R5" i="444"/>
  <c r="S5" i="444" s="1"/>
  <c r="G5" i="444"/>
  <c r="R4" i="444"/>
  <c r="S4" i="444" s="1"/>
  <c r="G4" i="444"/>
  <c r="T3" i="444"/>
  <c r="U3" i="444" s="1"/>
  <c r="V3" i="444" s="1"/>
  <c r="W3" i="444" s="1"/>
  <c r="S3" i="444"/>
  <c r="R3" i="444"/>
  <c r="G3" i="444"/>
  <c r="R2" i="444"/>
  <c r="G2" i="444"/>
  <c r="C73" i="54"/>
  <c r="C72" i="54"/>
  <c r="C67" i="54"/>
  <c r="G54" i="54"/>
  <c r="E54" i="54"/>
  <c r="F53" i="54"/>
  <c r="F52" i="54"/>
  <c r="I51" i="54"/>
  <c r="H51" i="54"/>
  <c r="I50" i="54" a="1"/>
  <c r="V158" i="444" l="1"/>
  <c r="W158" i="444" s="1"/>
  <c r="V150" i="444"/>
  <c r="W150" i="444" s="1"/>
  <c r="V130" i="444"/>
  <c r="W130" i="444" s="1"/>
  <c r="V30" i="444"/>
  <c r="W30" i="444" s="1"/>
  <c r="V107" i="444"/>
  <c r="W107" i="444" s="1"/>
  <c r="V10" i="444"/>
  <c r="W10" i="444" s="1"/>
  <c r="V8" i="444"/>
  <c r="W8" i="444" s="1"/>
  <c r="V139" i="444"/>
  <c r="W139" i="444" s="1"/>
  <c r="V29" i="444"/>
  <c r="W29" i="444" s="1"/>
  <c r="V9" i="444"/>
  <c r="W9" i="444" s="1"/>
  <c r="V69" i="444"/>
  <c r="W69" i="444" s="1"/>
  <c r="V118" i="444"/>
  <c r="W118" i="444" s="1"/>
  <c r="V49" i="444"/>
  <c r="W49" i="444" s="1"/>
  <c r="V70" i="444"/>
  <c r="W70" i="444" s="1"/>
  <c r="V79" i="444"/>
  <c r="W79" i="444" s="1"/>
  <c r="V68" i="444"/>
  <c r="W68" i="444" s="1"/>
  <c r="V125" i="444"/>
  <c r="W125" i="444" s="1"/>
  <c r="V105" i="444"/>
  <c r="W105" i="444" s="1"/>
  <c r="V100" i="444"/>
  <c r="W100" i="444" s="1"/>
  <c r="V119" i="444"/>
  <c r="W119" i="444" s="1"/>
  <c r="V80" i="444"/>
  <c r="W80" i="444" s="1"/>
  <c r="V61" i="444"/>
  <c r="W61" i="444" s="1"/>
  <c r="V48" i="444"/>
  <c r="W48" i="444" s="1"/>
  <c r="V101" i="444"/>
  <c r="W101" i="444" s="1"/>
  <c r="V148" i="444"/>
  <c r="W148" i="444" s="1"/>
  <c r="V88" i="444"/>
  <c r="W88" i="444" s="1"/>
  <c r="V143" i="444"/>
  <c r="W143" i="444" s="1"/>
  <c r="V128" i="444"/>
  <c r="W128" i="444" s="1"/>
  <c r="V165" i="444"/>
  <c r="W165" i="444" s="1"/>
  <c r="V38" i="444"/>
  <c r="W38" i="444" s="1"/>
  <c r="V39" i="444"/>
  <c r="W39" i="444" s="1"/>
  <c r="V123" i="444"/>
  <c r="W123" i="444" s="1"/>
  <c r="V45" i="444"/>
  <c r="W45" i="444" s="1"/>
  <c r="V144" i="444"/>
  <c r="W144" i="444" s="1"/>
  <c r="V65" i="444"/>
  <c r="W65" i="444" s="1"/>
  <c r="V138" i="444"/>
  <c r="W138" i="444" s="1"/>
  <c r="I50" i="54"/>
  <c r="H52" i="54" s="1"/>
  <c r="V104" i="444"/>
  <c r="W104" i="444" s="1"/>
  <c r="V87" i="444"/>
  <c r="W87" i="444" s="1"/>
  <c r="V164" i="444"/>
  <c r="W164" i="444" s="1"/>
  <c r="T22" i="444"/>
  <c r="U22" i="444" s="1"/>
  <c r="S22" i="444"/>
  <c r="V7" i="444"/>
  <c r="W7" i="444" s="1"/>
  <c r="S92" i="444"/>
  <c r="T92" i="444"/>
  <c r="U92" i="444" s="1"/>
  <c r="S12" i="444"/>
  <c r="T12" i="444"/>
  <c r="U12" i="444" s="1"/>
  <c r="S73" i="444"/>
  <c r="V73" i="444" s="1"/>
  <c r="W73" i="444" s="1"/>
  <c r="T136" i="444"/>
  <c r="U136" i="444" s="1"/>
  <c r="V136" i="444" s="1"/>
  <c r="W136" i="444" s="1"/>
  <c r="T36" i="444"/>
  <c r="U36" i="444" s="1"/>
  <c r="V36" i="444" s="1"/>
  <c r="W36" i="444" s="1"/>
  <c r="S64" i="444"/>
  <c r="V64" i="444" s="1"/>
  <c r="W64" i="444" s="1"/>
  <c r="T102" i="444"/>
  <c r="U102" i="444" s="1"/>
  <c r="S102" i="444"/>
  <c r="T156" i="444"/>
  <c r="U156" i="444" s="1"/>
  <c r="V156" i="444" s="1"/>
  <c r="W156" i="444" s="1"/>
  <c r="T162" i="444"/>
  <c r="U162" i="444" s="1"/>
  <c r="S162" i="444"/>
  <c r="S50" i="444"/>
  <c r="V50" i="444" s="1"/>
  <c r="W50" i="444" s="1"/>
  <c r="T112" i="444"/>
  <c r="U112" i="444" s="1"/>
  <c r="S112" i="444"/>
  <c r="T142" i="444"/>
  <c r="U142" i="444" s="1"/>
  <c r="S142" i="444"/>
  <c r="T32" i="444"/>
  <c r="U32" i="444" s="1"/>
  <c r="S32" i="444"/>
  <c r="T147" i="444"/>
  <c r="U147" i="444" s="1"/>
  <c r="V147" i="444" s="1"/>
  <c r="W147" i="444" s="1"/>
  <c r="S93" i="444"/>
  <c r="V93" i="444" s="1"/>
  <c r="W93" i="444" s="1"/>
  <c r="T84" i="444"/>
  <c r="U84" i="444" s="1"/>
  <c r="V84" i="444" s="1"/>
  <c r="W84" i="444" s="1"/>
  <c r="V19" i="444"/>
  <c r="W19" i="444" s="1"/>
  <c r="T42" i="444"/>
  <c r="U42" i="444" s="1"/>
  <c r="S42" i="444"/>
  <c r="V89" i="444"/>
  <c r="W89" i="444" s="1"/>
  <c r="V108" i="444"/>
  <c r="W108" i="444" s="1"/>
  <c r="S113" i="444"/>
  <c r="V113" i="444" s="1"/>
  <c r="W113" i="444" s="1"/>
  <c r="T122" i="444"/>
  <c r="U122" i="444" s="1"/>
  <c r="S122" i="444"/>
  <c r="V28" i="444"/>
  <c r="W28" i="444" s="1"/>
  <c r="S33" i="444"/>
  <c r="V33" i="444" s="1"/>
  <c r="W33" i="444" s="1"/>
  <c r="T52" i="444"/>
  <c r="U52" i="444" s="1"/>
  <c r="S52" i="444"/>
  <c r="V76" i="444"/>
  <c r="W76" i="444" s="1"/>
  <c r="V85" i="444"/>
  <c r="W85" i="444" s="1"/>
  <c r="S124" i="444"/>
  <c r="V124" i="444" s="1"/>
  <c r="W124" i="444" s="1"/>
  <c r="S153" i="444"/>
  <c r="V153" i="444" s="1"/>
  <c r="W153" i="444" s="1"/>
  <c r="V127" i="444"/>
  <c r="W127" i="444" s="1"/>
  <c r="V5" i="444"/>
  <c r="W5" i="444" s="1"/>
  <c r="F54" i="54"/>
  <c r="T27" i="444"/>
  <c r="U27" i="444" s="1"/>
  <c r="V27" i="444" s="1"/>
  <c r="W27" i="444" s="1"/>
  <c r="T4" i="444"/>
  <c r="U4" i="444" s="1"/>
  <c r="V4" i="444" s="1"/>
  <c r="W4" i="444" s="1"/>
  <c r="V47" i="444"/>
  <c r="W47" i="444" s="1"/>
  <c r="V109" i="444"/>
  <c r="W109" i="444" s="1"/>
  <c r="T132" i="444"/>
  <c r="U132" i="444" s="1"/>
  <c r="S132" i="444"/>
  <c r="S13" i="444"/>
  <c r="V13" i="444" s="1"/>
  <c r="W13" i="444" s="1"/>
  <c r="T62" i="444"/>
  <c r="U62" i="444" s="1"/>
  <c r="S62" i="444"/>
  <c r="V129" i="444"/>
  <c r="W129" i="444" s="1"/>
  <c r="V159" i="444"/>
  <c r="W159" i="444" s="1"/>
  <c r="V149" i="444"/>
  <c r="W149" i="444" s="1"/>
  <c r="V67" i="444"/>
  <c r="W67" i="444" s="1"/>
  <c r="T72" i="444"/>
  <c r="U72" i="444" s="1"/>
  <c r="S72" i="444"/>
  <c r="S53" i="444"/>
  <c r="V53" i="444" s="1"/>
  <c r="W53" i="444" s="1"/>
  <c r="T96" i="444"/>
  <c r="U96" i="444" s="1"/>
  <c r="V96" i="444" s="1"/>
  <c r="W96" i="444" s="1"/>
  <c r="T16" i="444"/>
  <c r="U16" i="444" s="1"/>
  <c r="V16" i="444" s="1"/>
  <c r="W16" i="444" s="1"/>
  <c r="V25" i="444"/>
  <c r="W25" i="444" s="1"/>
  <c r="S44" i="444"/>
  <c r="V44" i="444" s="1"/>
  <c r="W44" i="444" s="1"/>
  <c r="V145" i="444"/>
  <c r="W145" i="444" s="1"/>
  <c r="T152" i="444"/>
  <c r="U152" i="444" s="1"/>
  <c r="S152" i="444"/>
  <c r="T56" i="444"/>
  <c r="U56" i="444" s="1"/>
  <c r="V56" i="444" s="1"/>
  <c r="W56" i="444" s="1"/>
  <c r="V99" i="444"/>
  <c r="W99" i="444" s="1"/>
  <c r="V133" i="444"/>
  <c r="W133" i="444" s="1"/>
  <c r="T82" i="444"/>
  <c r="U82" i="444" s="1"/>
  <c r="S82" i="444"/>
  <c r="T2" i="444"/>
  <c r="U2" i="444" s="1"/>
  <c r="S2" i="444"/>
  <c r="V59" i="444"/>
  <c r="W59" i="444" s="1"/>
  <c r="V116" i="444"/>
  <c r="W116" i="444" s="1"/>
  <c r="S75" i="444"/>
  <c r="V75" i="444" s="1"/>
  <c r="W75" i="444" s="1"/>
  <c r="S95" i="444"/>
  <c r="V95" i="444" s="1"/>
  <c r="W95" i="444" s="1"/>
  <c r="S135" i="444"/>
  <c r="V135" i="444" s="1"/>
  <c r="W135" i="444" s="1"/>
  <c r="S15" i="444"/>
  <c r="V15" i="444" s="1"/>
  <c r="W15" i="444" s="1"/>
  <c r="S35" i="444"/>
  <c r="V35" i="444" s="1"/>
  <c r="W35" i="444" s="1"/>
  <c r="S55" i="444"/>
  <c r="V55" i="444" s="1"/>
  <c r="W55" i="444" s="1"/>
  <c r="S115" i="444"/>
  <c r="V115" i="444" s="1"/>
  <c r="W115" i="444" s="1"/>
  <c r="S155" i="444"/>
  <c r="V155" i="444" s="1"/>
  <c r="W155" i="444" s="1"/>
  <c r="S91" i="444"/>
  <c r="V91" i="444" s="1"/>
  <c r="W91" i="444" s="1"/>
  <c r="S111" i="444"/>
  <c r="V111" i="444" s="1"/>
  <c r="W111" i="444" s="1"/>
  <c r="T11" i="444"/>
  <c r="U11" i="444" s="1"/>
  <c r="V11" i="444" s="1"/>
  <c r="W11" i="444" s="1"/>
  <c r="S31" i="444"/>
  <c r="V31" i="444" s="1"/>
  <c r="W31" i="444" s="1"/>
  <c r="S51" i="444"/>
  <c r="V51" i="444" s="1"/>
  <c r="W51" i="444" s="1"/>
  <c r="S71" i="444"/>
  <c r="V71" i="444" s="1"/>
  <c r="W71" i="444" s="1"/>
  <c r="S151" i="444"/>
  <c r="V151" i="444" s="1"/>
  <c r="W151" i="444" s="1"/>
  <c r="S34" i="444"/>
  <c r="V34" i="444" s="1"/>
  <c r="W34" i="444" s="1"/>
  <c r="S94" i="444"/>
  <c r="V94" i="444" s="1"/>
  <c r="W94" i="444" s="1"/>
  <c r="T131" i="444"/>
  <c r="U131" i="444" s="1"/>
  <c r="V131" i="444" s="1"/>
  <c r="W131" i="444" s="1"/>
  <c r="S134" i="444"/>
  <c r="V134" i="444" s="1"/>
  <c r="W134" i="444" s="1"/>
  <c r="T14" i="444"/>
  <c r="U14" i="444" s="1"/>
  <c r="V14" i="444" s="1"/>
  <c r="W14" i="444" s="1"/>
  <c r="S17" i="444"/>
  <c r="V17" i="444" s="1"/>
  <c r="W17" i="444" s="1"/>
  <c r="S37" i="444"/>
  <c r="V37" i="444" s="1"/>
  <c r="W37" i="444" s="1"/>
  <c r="T54" i="444"/>
  <c r="U54" i="444" s="1"/>
  <c r="V54" i="444" s="1"/>
  <c r="W54" i="444" s="1"/>
  <c r="S57" i="444"/>
  <c r="V57" i="444" s="1"/>
  <c r="W57" i="444" s="1"/>
  <c r="T74" i="444"/>
  <c r="U74" i="444" s="1"/>
  <c r="V74" i="444" s="1"/>
  <c r="W74" i="444" s="1"/>
  <c r="S77" i="444"/>
  <c r="V77" i="444" s="1"/>
  <c r="W77" i="444" s="1"/>
  <c r="S97" i="444"/>
  <c r="V97" i="444" s="1"/>
  <c r="W97" i="444" s="1"/>
  <c r="T114" i="444"/>
  <c r="U114" i="444" s="1"/>
  <c r="V114" i="444" s="1"/>
  <c r="W114" i="444" s="1"/>
  <c r="S117" i="444"/>
  <c r="V117" i="444" s="1"/>
  <c r="W117" i="444" s="1"/>
  <c r="S137" i="444"/>
  <c r="V137" i="444" s="1"/>
  <c r="W137" i="444" s="1"/>
  <c r="T154" i="444"/>
  <c r="U154" i="444" s="1"/>
  <c r="V154" i="444" s="1"/>
  <c r="W154" i="444" s="1"/>
  <c r="S157" i="444"/>
  <c r="V157" i="444" s="1"/>
  <c r="W157" i="444" s="1"/>
  <c r="S120" i="444"/>
  <c r="V120" i="444" s="1"/>
  <c r="W120" i="444" s="1"/>
  <c r="S140" i="444"/>
  <c r="V140" i="444" s="1"/>
  <c r="W140" i="444" s="1"/>
  <c r="S160" i="444"/>
  <c r="V160" i="444" s="1"/>
  <c r="W160" i="444" s="1"/>
  <c r="S163" i="444"/>
  <c r="V163" i="444" s="1"/>
  <c r="W163" i="444" s="1"/>
  <c r="C45" i="54"/>
  <c r="D45" i="54" s="1"/>
  <c r="C43" i="54"/>
  <c r="F41" i="54"/>
  <c r="C36" i="54"/>
  <c r="C38" i="54" s="1"/>
  <c r="D38" i="54" s="1"/>
  <c r="I32" i="54"/>
  <c r="I31" i="54"/>
  <c r="I30" i="54"/>
  <c r="C29" i="54"/>
  <c r="C31" i="54" s="1"/>
  <c r="D31" i="54" s="1"/>
  <c r="E23" i="54"/>
  <c r="I22" i="54"/>
  <c r="K21" i="54"/>
  <c r="K19" i="54"/>
  <c r="E18" i="54"/>
  <c r="E17" i="54"/>
  <c r="H14" i="54"/>
  <c r="G14" i="54"/>
  <c r="H13" i="54"/>
  <c r="G13" i="54"/>
  <c r="H12" i="54"/>
  <c r="G12" i="54"/>
  <c r="G11" i="54"/>
  <c r="H11" i="54" s="1"/>
  <c r="H10" i="54"/>
  <c r="G10" i="54"/>
  <c r="H9" i="54"/>
  <c r="G9" i="54"/>
  <c r="C3" i="54"/>
  <c r="D3" i="54" s="1"/>
  <c r="D2" i="54"/>
  <c r="B2" i="383"/>
  <c r="B3" i="383" s="1"/>
  <c r="B5" i="383" s="1"/>
  <c r="E151" i="415"/>
  <c r="D151" i="415"/>
  <c r="C151" i="415"/>
  <c r="E150" i="415"/>
  <c r="D150" i="415"/>
  <c r="C150" i="415"/>
  <c r="E149" i="415"/>
  <c r="D149" i="415"/>
  <c r="C149" i="415"/>
  <c r="E148" i="415"/>
  <c r="D148" i="415"/>
  <c r="C148" i="415"/>
  <c r="E147" i="415"/>
  <c r="D147" i="415"/>
  <c r="C147" i="415"/>
  <c r="E146" i="415"/>
  <c r="D146" i="415"/>
  <c r="C146" i="415"/>
  <c r="E145" i="415"/>
  <c r="D145" i="415"/>
  <c r="C145" i="415"/>
  <c r="E144" i="415"/>
  <c r="D144" i="415"/>
  <c r="C144" i="415"/>
  <c r="E143" i="415"/>
  <c r="D143" i="415"/>
  <c r="C143" i="415"/>
  <c r="E142" i="415"/>
  <c r="D142" i="415"/>
  <c r="C142" i="415"/>
  <c r="E141" i="415"/>
  <c r="D141" i="415"/>
  <c r="C141" i="415"/>
  <c r="E140" i="415"/>
  <c r="D140" i="415"/>
  <c r="C140" i="415"/>
  <c r="E139" i="415"/>
  <c r="D139" i="415"/>
  <c r="C139" i="415"/>
  <c r="E138" i="415"/>
  <c r="D138" i="415"/>
  <c r="C138" i="415"/>
  <c r="E137" i="415"/>
  <c r="D137" i="415"/>
  <c r="C137" i="415"/>
  <c r="E136" i="415"/>
  <c r="D136" i="415"/>
  <c r="C136" i="415"/>
  <c r="E135" i="415"/>
  <c r="D135" i="415"/>
  <c r="C135" i="415"/>
  <c r="E134" i="415"/>
  <c r="D134" i="415"/>
  <c r="C134" i="415"/>
  <c r="E133" i="415"/>
  <c r="D133" i="415"/>
  <c r="C133" i="415"/>
  <c r="E132" i="415"/>
  <c r="D132" i="415"/>
  <c r="C132" i="415"/>
  <c r="E131" i="415"/>
  <c r="D131" i="415"/>
  <c r="C131" i="415"/>
  <c r="E130" i="415"/>
  <c r="D130" i="415"/>
  <c r="C130" i="415"/>
  <c r="E129" i="415"/>
  <c r="D129" i="415"/>
  <c r="C129" i="415"/>
  <c r="E128" i="415"/>
  <c r="D128" i="415"/>
  <c r="C128" i="415"/>
  <c r="E127" i="415"/>
  <c r="D127" i="415"/>
  <c r="C127" i="415"/>
  <c r="E126" i="415"/>
  <c r="D126" i="415"/>
  <c r="C126" i="415"/>
  <c r="E125" i="415"/>
  <c r="D125" i="415"/>
  <c r="C125" i="415"/>
  <c r="E124" i="415"/>
  <c r="D124" i="415"/>
  <c r="C124" i="415"/>
  <c r="E123" i="415"/>
  <c r="D123" i="415"/>
  <c r="C123" i="415"/>
  <c r="E122" i="415"/>
  <c r="D122" i="415"/>
  <c r="C122" i="415"/>
  <c r="E121" i="415"/>
  <c r="D121" i="415"/>
  <c r="C121" i="415"/>
  <c r="E120" i="415"/>
  <c r="D120" i="415"/>
  <c r="C120" i="415"/>
  <c r="E119" i="415"/>
  <c r="D119" i="415"/>
  <c r="C119" i="415"/>
  <c r="E118" i="415"/>
  <c r="D118" i="415"/>
  <c r="C118" i="415"/>
  <c r="E117" i="415"/>
  <c r="D117" i="415"/>
  <c r="C117" i="415"/>
  <c r="E116" i="415"/>
  <c r="D116" i="415"/>
  <c r="C116" i="415"/>
  <c r="E115" i="415"/>
  <c r="D115" i="415"/>
  <c r="C115" i="415"/>
  <c r="E114" i="415"/>
  <c r="D114" i="415"/>
  <c r="C114" i="415"/>
  <c r="E113" i="415"/>
  <c r="D113" i="415"/>
  <c r="C113" i="415"/>
  <c r="E112" i="415"/>
  <c r="D112" i="415"/>
  <c r="C112" i="415"/>
  <c r="E111" i="415"/>
  <c r="D111" i="415"/>
  <c r="C111" i="415"/>
  <c r="E110" i="415"/>
  <c r="D110" i="415"/>
  <c r="C110" i="415"/>
  <c r="E109" i="415"/>
  <c r="D109" i="415"/>
  <c r="C109" i="415"/>
  <c r="E108" i="415"/>
  <c r="D108" i="415"/>
  <c r="C108" i="415"/>
  <c r="E107" i="415"/>
  <c r="D107" i="415"/>
  <c r="C107" i="415"/>
  <c r="E106" i="415"/>
  <c r="D106" i="415"/>
  <c r="C106" i="415"/>
  <c r="E105" i="415"/>
  <c r="D105" i="415"/>
  <c r="C105" i="415"/>
  <c r="E104" i="415"/>
  <c r="D104" i="415"/>
  <c r="C104" i="415"/>
  <c r="E103" i="415"/>
  <c r="D103" i="415"/>
  <c r="C103" i="415"/>
  <c r="E102" i="415"/>
  <c r="D102" i="415"/>
  <c r="C102" i="415"/>
  <c r="E101" i="415"/>
  <c r="D101" i="415"/>
  <c r="C101" i="415"/>
  <c r="E100" i="415"/>
  <c r="D100" i="415"/>
  <c r="C100" i="415"/>
  <c r="E99" i="415"/>
  <c r="D99" i="415"/>
  <c r="C99" i="415"/>
  <c r="E98" i="415"/>
  <c r="D98" i="415"/>
  <c r="C98" i="415"/>
  <c r="E97" i="415"/>
  <c r="D97" i="415"/>
  <c r="C97" i="415"/>
  <c r="E96" i="415"/>
  <c r="D96" i="415"/>
  <c r="C96" i="415"/>
  <c r="E95" i="415"/>
  <c r="D95" i="415"/>
  <c r="C95" i="415"/>
  <c r="E94" i="415"/>
  <c r="D94" i="415"/>
  <c r="C94" i="415"/>
  <c r="E93" i="415"/>
  <c r="D93" i="415"/>
  <c r="C93" i="415"/>
  <c r="E92" i="415"/>
  <c r="D92" i="415"/>
  <c r="C92" i="415"/>
  <c r="E91" i="415"/>
  <c r="D91" i="415"/>
  <c r="C91" i="415"/>
  <c r="E90" i="415"/>
  <c r="D90" i="415"/>
  <c r="C90" i="415"/>
  <c r="E89" i="415"/>
  <c r="D89" i="415"/>
  <c r="C89" i="415"/>
  <c r="E88" i="415"/>
  <c r="D88" i="415"/>
  <c r="C88" i="415"/>
  <c r="E87" i="415"/>
  <c r="D87" i="415"/>
  <c r="C87" i="415"/>
  <c r="E86" i="415"/>
  <c r="D86" i="415"/>
  <c r="C86" i="415"/>
  <c r="E85" i="415"/>
  <c r="D85" i="415"/>
  <c r="C85" i="415"/>
  <c r="E84" i="415"/>
  <c r="D84" i="415"/>
  <c r="C84" i="415"/>
  <c r="E83" i="415"/>
  <c r="D83" i="415"/>
  <c r="C83" i="415"/>
  <c r="E82" i="415"/>
  <c r="D82" i="415"/>
  <c r="C82" i="415"/>
  <c r="E81" i="415"/>
  <c r="D81" i="415"/>
  <c r="C81" i="415"/>
  <c r="E80" i="415"/>
  <c r="D80" i="415"/>
  <c r="C80" i="415"/>
  <c r="E79" i="415"/>
  <c r="D79" i="415"/>
  <c r="C79" i="415"/>
  <c r="E78" i="415"/>
  <c r="D78" i="415"/>
  <c r="C78" i="415"/>
  <c r="E77" i="415"/>
  <c r="D77" i="415"/>
  <c r="C77" i="415"/>
  <c r="E76" i="415"/>
  <c r="D76" i="415"/>
  <c r="C76" i="415"/>
  <c r="E75" i="415"/>
  <c r="D75" i="415"/>
  <c r="C75" i="415"/>
  <c r="E74" i="415"/>
  <c r="D74" i="415"/>
  <c r="C74" i="415"/>
  <c r="E73" i="415"/>
  <c r="D73" i="415"/>
  <c r="C73" i="415"/>
  <c r="E72" i="415"/>
  <c r="D72" i="415"/>
  <c r="C72" i="415"/>
  <c r="E71" i="415"/>
  <c r="D71" i="415"/>
  <c r="C71" i="415"/>
  <c r="E70" i="415"/>
  <c r="D70" i="415"/>
  <c r="C70" i="415"/>
  <c r="E69" i="415"/>
  <c r="D69" i="415"/>
  <c r="C69" i="415"/>
  <c r="E68" i="415"/>
  <c r="D68" i="415"/>
  <c r="C68" i="415"/>
  <c r="E67" i="415"/>
  <c r="D67" i="415"/>
  <c r="C67" i="415"/>
  <c r="E66" i="415"/>
  <c r="D66" i="415"/>
  <c r="C66" i="415"/>
  <c r="E65" i="415"/>
  <c r="D65" i="415"/>
  <c r="C65" i="415"/>
  <c r="E64" i="415"/>
  <c r="D64" i="415"/>
  <c r="C64" i="415"/>
  <c r="E63" i="415"/>
  <c r="D63" i="415"/>
  <c r="C63" i="415"/>
  <c r="E62" i="415"/>
  <c r="D62" i="415"/>
  <c r="C62" i="415"/>
  <c r="E61" i="415"/>
  <c r="D61" i="415"/>
  <c r="C61" i="415"/>
  <c r="E60" i="415"/>
  <c r="D60" i="415"/>
  <c r="C60" i="415"/>
  <c r="E59" i="415"/>
  <c r="D59" i="415"/>
  <c r="C59" i="415"/>
  <c r="E58" i="415"/>
  <c r="D58" i="415"/>
  <c r="C58" i="415"/>
  <c r="E57" i="415"/>
  <c r="D57" i="415"/>
  <c r="C57" i="415"/>
  <c r="E56" i="415"/>
  <c r="D56" i="415"/>
  <c r="C56" i="415"/>
  <c r="E55" i="415"/>
  <c r="D55" i="415"/>
  <c r="C55" i="415"/>
  <c r="D45" i="415"/>
  <c r="C45" i="415"/>
  <c r="E45" i="415" s="1"/>
  <c r="D44" i="415"/>
  <c r="E44" i="415" s="1"/>
  <c r="C44" i="415"/>
  <c r="D43" i="415"/>
  <c r="C43" i="415"/>
  <c r="E43" i="415" s="1"/>
  <c r="D42" i="415"/>
  <c r="C42" i="415"/>
  <c r="E42" i="415" s="1"/>
  <c r="D17" i="415"/>
  <c r="E17" i="415" s="1"/>
  <c r="C17" i="415"/>
  <c r="D16" i="415"/>
  <c r="C16" i="415"/>
  <c r="E16" i="415" s="1"/>
  <c r="D15" i="415"/>
  <c r="C15" i="415"/>
  <c r="E15" i="415" s="1"/>
  <c r="E14" i="415"/>
  <c r="D14" i="415"/>
  <c r="C14" i="415"/>
  <c r="D13" i="415"/>
  <c r="C13" i="415"/>
  <c r="E13" i="415" s="1"/>
  <c r="D12" i="415"/>
  <c r="C12" i="415"/>
  <c r="E12" i="415" s="1"/>
  <c r="D11" i="415"/>
  <c r="C11" i="415"/>
  <c r="E11" i="415" s="1"/>
  <c r="D10" i="415"/>
  <c r="C10" i="415"/>
  <c r="E10" i="415" s="1"/>
  <c r="O512" i="414"/>
  <c r="N512" i="414"/>
  <c r="M512" i="414"/>
  <c r="L512" i="414"/>
  <c r="K512" i="414"/>
  <c r="O511" i="414"/>
  <c r="N511" i="414"/>
  <c r="M511" i="414"/>
  <c r="L511" i="414"/>
  <c r="K511" i="414"/>
  <c r="O510" i="414"/>
  <c r="N510" i="414"/>
  <c r="M510" i="414"/>
  <c r="L510" i="414"/>
  <c r="K510" i="414"/>
  <c r="O509" i="414"/>
  <c r="N509" i="414"/>
  <c r="M509" i="414"/>
  <c r="L509" i="414"/>
  <c r="K509" i="414"/>
  <c r="O508" i="414"/>
  <c r="N508" i="414"/>
  <c r="M508" i="414"/>
  <c r="L508" i="414"/>
  <c r="K508" i="414"/>
  <c r="O507" i="414"/>
  <c r="N507" i="414"/>
  <c r="M507" i="414"/>
  <c r="L507" i="414"/>
  <c r="K507" i="414"/>
  <c r="O506" i="414"/>
  <c r="N506" i="414"/>
  <c r="M506" i="414"/>
  <c r="L506" i="414"/>
  <c r="K506" i="414"/>
  <c r="O505" i="414"/>
  <c r="N505" i="414"/>
  <c r="M505" i="414"/>
  <c r="L505" i="414"/>
  <c r="K505" i="414"/>
  <c r="O504" i="414"/>
  <c r="N504" i="414"/>
  <c r="M504" i="414"/>
  <c r="L504" i="414"/>
  <c r="K504" i="414"/>
  <c r="O503" i="414"/>
  <c r="N503" i="414"/>
  <c r="M503" i="414"/>
  <c r="L503" i="414"/>
  <c r="K503" i="414"/>
  <c r="O502" i="414"/>
  <c r="N502" i="414"/>
  <c r="M502" i="414"/>
  <c r="L502" i="414"/>
  <c r="K502" i="414"/>
  <c r="O501" i="414"/>
  <c r="N501" i="414"/>
  <c r="M501" i="414"/>
  <c r="L501" i="414"/>
  <c r="K501" i="414"/>
  <c r="O500" i="414"/>
  <c r="N500" i="414"/>
  <c r="M500" i="414"/>
  <c r="L500" i="414"/>
  <c r="K500" i="414"/>
  <c r="O499" i="414"/>
  <c r="N499" i="414"/>
  <c r="M499" i="414"/>
  <c r="L499" i="414"/>
  <c r="K499" i="414"/>
  <c r="O498" i="414"/>
  <c r="N498" i="414"/>
  <c r="M498" i="414"/>
  <c r="L498" i="414"/>
  <c r="K498" i="414"/>
  <c r="O497" i="414"/>
  <c r="N497" i="414"/>
  <c r="M497" i="414"/>
  <c r="L497" i="414"/>
  <c r="K497" i="414"/>
  <c r="O496" i="414"/>
  <c r="N496" i="414"/>
  <c r="M496" i="414"/>
  <c r="L496" i="414"/>
  <c r="K496" i="414"/>
  <c r="O495" i="414"/>
  <c r="N495" i="414"/>
  <c r="M495" i="414"/>
  <c r="L495" i="414"/>
  <c r="K495" i="414"/>
  <c r="O494" i="414"/>
  <c r="N494" i="414"/>
  <c r="M494" i="414"/>
  <c r="L494" i="414"/>
  <c r="K494" i="414"/>
  <c r="O493" i="414"/>
  <c r="N493" i="414"/>
  <c r="M493" i="414"/>
  <c r="L493" i="414"/>
  <c r="K493" i="414"/>
  <c r="O492" i="414"/>
  <c r="N492" i="414"/>
  <c r="M492" i="414"/>
  <c r="L492" i="414"/>
  <c r="K492" i="414"/>
  <c r="O491" i="414"/>
  <c r="N491" i="414"/>
  <c r="M491" i="414"/>
  <c r="L491" i="414"/>
  <c r="K491" i="414"/>
  <c r="O490" i="414"/>
  <c r="N490" i="414"/>
  <c r="M490" i="414"/>
  <c r="L490" i="414"/>
  <c r="K490" i="414"/>
  <c r="O489" i="414"/>
  <c r="N489" i="414"/>
  <c r="M489" i="414"/>
  <c r="L489" i="414"/>
  <c r="K489" i="414"/>
  <c r="O488" i="414"/>
  <c r="N488" i="414"/>
  <c r="M488" i="414"/>
  <c r="L488" i="414"/>
  <c r="K488" i="414"/>
  <c r="O487" i="414"/>
  <c r="N487" i="414"/>
  <c r="M487" i="414"/>
  <c r="L487" i="414"/>
  <c r="K487" i="414"/>
  <c r="O486" i="414"/>
  <c r="N486" i="414"/>
  <c r="M486" i="414"/>
  <c r="L486" i="414"/>
  <c r="K486" i="414"/>
  <c r="O485" i="414"/>
  <c r="N485" i="414"/>
  <c r="M485" i="414"/>
  <c r="L485" i="414"/>
  <c r="K485" i="414"/>
  <c r="O484" i="414"/>
  <c r="N484" i="414"/>
  <c r="M484" i="414"/>
  <c r="L484" i="414"/>
  <c r="K484" i="414"/>
  <c r="O483" i="414"/>
  <c r="N483" i="414"/>
  <c r="M483" i="414"/>
  <c r="L483" i="414"/>
  <c r="K483" i="414"/>
  <c r="O482" i="414"/>
  <c r="N482" i="414"/>
  <c r="M482" i="414"/>
  <c r="L482" i="414"/>
  <c r="K482" i="414"/>
  <c r="O481" i="414"/>
  <c r="N481" i="414"/>
  <c r="M481" i="414"/>
  <c r="L481" i="414"/>
  <c r="K481" i="414"/>
  <c r="O480" i="414"/>
  <c r="N480" i="414"/>
  <c r="M480" i="414"/>
  <c r="L480" i="414"/>
  <c r="K480" i="414"/>
  <c r="O479" i="414"/>
  <c r="N479" i="414"/>
  <c r="M479" i="414"/>
  <c r="L479" i="414"/>
  <c r="K479" i="414"/>
  <c r="O478" i="414"/>
  <c r="N478" i="414"/>
  <c r="M478" i="414"/>
  <c r="L478" i="414"/>
  <c r="K478" i="414"/>
  <c r="O477" i="414"/>
  <c r="N477" i="414"/>
  <c r="M477" i="414"/>
  <c r="L477" i="414"/>
  <c r="K477" i="414"/>
  <c r="O476" i="414"/>
  <c r="N476" i="414"/>
  <c r="M476" i="414"/>
  <c r="L476" i="414"/>
  <c r="K476" i="414"/>
  <c r="O475" i="414"/>
  <c r="N475" i="414"/>
  <c r="M475" i="414"/>
  <c r="L475" i="414"/>
  <c r="K475" i="414"/>
  <c r="O474" i="414"/>
  <c r="N474" i="414"/>
  <c r="M474" i="414"/>
  <c r="L474" i="414"/>
  <c r="K474" i="414"/>
  <c r="O473" i="414"/>
  <c r="N473" i="414"/>
  <c r="M473" i="414"/>
  <c r="L473" i="414"/>
  <c r="K473" i="414"/>
  <c r="O472" i="414"/>
  <c r="N472" i="414"/>
  <c r="M472" i="414"/>
  <c r="L472" i="414"/>
  <c r="K472" i="414"/>
  <c r="O471" i="414"/>
  <c r="N471" i="414"/>
  <c r="M471" i="414"/>
  <c r="L471" i="414"/>
  <c r="K471" i="414"/>
  <c r="O470" i="414"/>
  <c r="N470" i="414"/>
  <c r="M470" i="414"/>
  <c r="L470" i="414"/>
  <c r="K470" i="414"/>
  <c r="O469" i="414"/>
  <c r="N469" i="414"/>
  <c r="M469" i="414"/>
  <c r="L469" i="414"/>
  <c r="K469" i="414"/>
  <c r="O468" i="414"/>
  <c r="N468" i="414"/>
  <c r="M468" i="414"/>
  <c r="L468" i="414"/>
  <c r="K468" i="414"/>
  <c r="O467" i="414"/>
  <c r="N467" i="414"/>
  <c r="M467" i="414"/>
  <c r="L467" i="414"/>
  <c r="K467" i="414"/>
  <c r="O466" i="414"/>
  <c r="N466" i="414"/>
  <c r="M466" i="414"/>
  <c r="L466" i="414"/>
  <c r="K466" i="414"/>
  <c r="O465" i="414"/>
  <c r="N465" i="414"/>
  <c r="M465" i="414"/>
  <c r="L465" i="414"/>
  <c r="K465" i="414"/>
  <c r="O464" i="414"/>
  <c r="N464" i="414"/>
  <c r="M464" i="414"/>
  <c r="L464" i="414"/>
  <c r="K464" i="414"/>
  <c r="O463" i="414"/>
  <c r="N463" i="414"/>
  <c r="M463" i="414"/>
  <c r="L463" i="414"/>
  <c r="K463" i="414"/>
  <c r="O462" i="414"/>
  <c r="N462" i="414"/>
  <c r="M462" i="414"/>
  <c r="L462" i="414"/>
  <c r="K462" i="414"/>
  <c r="O461" i="414"/>
  <c r="N461" i="414"/>
  <c r="M461" i="414"/>
  <c r="L461" i="414"/>
  <c r="K461" i="414"/>
  <c r="O460" i="414"/>
  <c r="N460" i="414"/>
  <c r="M460" i="414"/>
  <c r="L460" i="414"/>
  <c r="K460" i="414"/>
  <c r="O459" i="414"/>
  <c r="N459" i="414"/>
  <c r="M459" i="414"/>
  <c r="L459" i="414"/>
  <c r="K459" i="414"/>
  <c r="O458" i="414"/>
  <c r="N458" i="414"/>
  <c r="M458" i="414"/>
  <c r="L458" i="414"/>
  <c r="K458" i="414"/>
  <c r="O457" i="414"/>
  <c r="N457" i="414"/>
  <c r="M457" i="414"/>
  <c r="L457" i="414"/>
  <c r="K457" i="414"/>
  <c r="O456" i="414"/>
  <c r="N456" i="414"/>
  <c r="M456" i="414"/>
  <c r="L456" i="414"/>
  <c r="K456" i="414"/>
  <c r="O455" i="414"/>
  <c r="N455" i="414"/>
  <c r="M455" i="414"/>
  <c r="L455" i="414"/>
  <c r="K455" i="414"/>
  <c r="O454" i="414"/>
  <c r="N454" i="414"/>
  <c r="M454" i="414"/>
  <c r="L454" i="414"/>
  <c r="K454" i="414"/>
  <c r="O453" i="414"/>
  <c r="N453" i="414"/>
  <c r="M453" i="414"/>
  <c r="L453" i="414"/>
  <c r="K453" i="414"/>
  <c r="O452" i="414"/>
  <c r="N452" i="414"/>
  <c r="M452" i="414"/>
  <c r="L452" i="414"/>
  <c r="K452" i="414"/>
  <c r="O451" i="414"/>
  <c r="N451" i="414"/>
  <c r="M451" i="414"/>
  <c r="L451" i="414"/>
  <c r="K451" i="414"/>
  <c r="O450" i="414"/>
  <c r="N450" i="414"/>
  <c r="M450" i="414"/>
  <c r="L450" i="414"/>
  <c r="K450" i="414"/>
  <c r="O449" i="414"/>
  <c r="N449" i="414"/>
  <c r="M449" i="414"/>
  <c r="L449" i="414"/>
  <c r="K449" i="414"/>
  <c r="O448" i="414"/>
  <c r="N448" i="414"/>
  <c r="M448" i="414"/>
  <c r="L448" i="414"/>
  <c r="K448" i="414"/>
  <c r="O447" i="414"/>
  <c r="N447" i="414"/>
  <c r="M447" i="414"/>
  <c r="L447" i="414"/>
  <c r="K447" i="414"/>
  <c r="O446" i="414"/>
  <c r="N446" i="414"/>
  <c r="M446" i="414"/>
  <c r="L446" i="414"/>
  <c r="K446" i="414"/>
  <c r="O445" i="414"/>
  <c r="N445" i="414"/>
  <c r="M445" i="414"/>
  <c r="L445" i="414"/>
  <c r="K445" i="414"/>
  <c r="O444" i="414"/>
  <c r="N444" i="414"/>
  <c r="M444" i="414"/>
  <c r="L444" i="414"/>
  <c r="K444" i="414"/>
  <c r="O443" i="414"/>
  <c r="N443" i="414"/>
  <c r="M443" i="414"/>
  <c r="L443" i="414"/>
  <c r="K443" i="414"/>
  <c r="O442" i="414"/>
  <c r="N442" i="414"/>
  <c r="M442" i="414"/>
  <c r="L442" i="414"/>
  <c r="K442" i="414"/>
  <c r="O441" i="414"/>
  <c r="N441" i="414"/>
  <c r="M441" i="414"/>
  <c r="L441" i="414"/>
  <c r="K441" i="414"/>
  <c r="O440" i="414"/>
  <c r="N440" i="414"/>
  <c r="M440" i="414"/>
  <c r="L440" i="414"/>
  <c r="K440" i="414"/>
  <c r="O439" i="414"/>
  <c r="N439" i="414"/>
  <c r="M439" i="414"/>
  <c r="L439" i="414"/>
  <c r="K439" i="414"/>
  <c r="O438" i="414"/>
  <c r="N438" i="414"/>
  <c r="M438" i="414"/>
  <c r="L438" i="414"/>
  <c r="K438" i="414"/>
  <c r="O437" i="414"/>
  <c r="N437" i="414"/>
  <c r="M437" i="414"/>
  <c r="L437" i="414"/>
  <c r="K437" i="414"/>
  <c r="O436" i="414"/>
  <c r="N436" i="414"/>
  <c r="M436" i="414"/>
  <c r="L436" i="414"/>
  <c r="K436" i="414"/>
  <c r="O435" i="414"/>
  <c r="N435" i="414"/>
  <c r="M435" i="414"/>
  <c r="L435" i="414"/>
  <c r="K435" i="414"/>
  <c r="O434" i="414"/>
  <c r="N434" i="414"/>
  <c r="M434" i="414"/>
  <c r="L434" i="414"/>
  <c r="K434" i="414"/>
  <c r="O433" i="414"/>
  <c r="N433" i="414"/>
  <c r="M433" i="414"/>
  <c r="L433" i="414"/>
  <c r="K433" i="414"/>
  <c r="O432" i="414"/>
  <c r="N432" i="414"/>
  <c r="M432" i="414"/>
  <c r="L432" i="414"/>
  <c r="K432" i="414"/>
  <c r="O431" i="414"/>
  <c r="N431" i="414"/>
  <c r="M431" i="414"/>
  <c r="L431" i="414"/>
  <c r="K431" i="414"/>
  <c r="O430" i="414"/>
  <c r="N430" i="414"/>
  <c r="M430" i="414"/>
  <c r="L430" i="414"/>
  <c r="K430" i="414"/>
  <c r="O429" i="414"/>
  <c r="N429" i="414"/>
  <c r="M429" i="414"/>
  <c r="L429" i="414"/>
  <c r="K429" i="414"/>
  <c r="O428" i="414"/>
  <c r="N428" i="414"/>
  <c r="M428" i="414"/>
  <c r="L428" i="414"/>
  <c r="K428" i="414"/>
  <c r="O427" i="414"/>
  <c r="N427" i="414"/>
  <c r="M427" i="414"/>
  <c r="L427" i="414"/>
  <c r="K427" i="414"/>
  <c r="O426" i="414"/>
  <c r="N426" i="414"/>
  <c r="M426" i="414"/>
  <c r="L426" i="414"/>
  <c r="K426" i="414"/>
  <c r="O425" i="414"/>
  <c r="N425" i="414"/>
  <c r="M425" i="414"/>
  <c r="L425" i="414"/>
  <c r="K425" i="414"/>
  <c r="O424" i="414"/>
  <c r="N424" i="414"/>
  <c r="M424" i="414"/>
  <c r="L424" i="414"/>
  <c r="K424" i="414"/>
  <c r="O423" i="414"/>
  <c r="N423" i="414"/>
  <c r="M423" i="414"/>
  <c r="L423" i="414"/>
  <c r="K423" i="414"/>
  <c r="O422" i="414"/>
  <c r="N422" i="414"/>
  <c r="M422" i="414"/>
  <c r="L422" i="414"/>
  <c r="K422" i="414"/>
  <c r="O421" i="414"/>
  <c r="N421" i="414"/>
  <c r="M421" i="414"/>
  <c r="L421" i="414"/>
  <c r="K421" i="414"/>
  <c r="O420" i="414"/>
  <c r="N420" i="414"/>
  <c r="M420" i="414"/>
  <c r="L420" i="414"/>
  <c r="K420" i="414"/>
  <c r="O419" i="414"/>
  <c r="N419" i="414"/>
  <c r="M419" i="414"/>
  <c r="L419" i="414"/>
  <c r="K419" i="414"/>
  <c r="O418" i="414"/>
  <c r="N418" i="414"/>
  <c r="M418" i="414"/>
  <c r="L418" i="414"/>
  <c r="K418" i="414"/>
  <c r="O417" i="414"/>
  <c r="N417" i="414"/>
  <c r="M417" i="414"/>
  <c r="L417" i="414"/>
  <c r="K417" i="414"/>
  <c r="O416" i="414"/>
  <c r="N416" i="414"/>
  <c r="M416" i="414"/>
  <c r="L416" i="414"/>
  <c r="K416" i="414"/>
  <c r="O415" i="414"/>
  <c r="N415" i="414"/>
  <c r="M415" i="414"/>
  <c r="L415" i="414"/>
  <c r="K415" i="414"/>
  <c r="O414" i="414"/>
  <c r="N414" i="414"/>
  <c r="M414" i="414"/>
  <c r="L414" i="414"/>
  <c r="K414" i="414"/>
  <c r="O413" i="414"/>
  <c r="N413" i="414"/>
  <c r="M413" i="414"/>
  <c r="L413" i="414"/>
  <c r="K413" i="414"/>
  <c r="O412" i="414"/>
  <c r="N412" i="414"/>
  <c r="M412" i="414"/>
  <c r="L412" i="414"/>
  <c r="K412" i="414"/>
  <c r="O411" i="414"/>
  <c r="N411" i="414"/>
  <c r="M411" i="414"/>
  <c r="L411" i="414"/>
  <c r="K411" i="414"/>
  <c r="O410" i="414"/>
  <c r="N410" i="414"/>
  <c r="M410" i="414"/>
  <c r="L410" i="414"/>
  <c r="K410" i="414"/>
  <c r="O409" i="414"/>
  <c r="N409" i="414"/>
  <c r="M409" i="414"/>
  <c r="L409" i="414"/>
  <c r="K409" i="414"/>
  <c r="O408" i="414"/>
  <c r="N408" i="414"/>
  <c r="M408" i="414"/>
  <c r="L408" i="414"/>
  <c r="K408" i="414"/>
  <c r="O407" i="414"/>
  <c r="N407" i="414"/>
  <c r="M407" i="414"/>
  <c r="L407" i="414"/>
  <c r="K407" i="414"/>
  <c r="O406" i="414"/>
  <c r="N406" i="414"/>
  <c r="M406" i="414"/>
  <c r="L406" i="414"/>
  <c r="K406" i="414"/>
  <c r="O405" i="414"/>
  <c r="N405" i="414"/>
  <c r="M405" i="414"/>
  <c r="L405" i="414"/>
  <c r="K405" i="414"/>
  <c r="O404" i="414"/>
  <c r="N404" i="414"/>
  <c r="M404" i="414"/>
  <c r="L404" i="414"/>
  <c r="K404" i="414"/>
  <c r="O403" i="414"/>
  <c r="N403" i="414"/>
  <c r="M403" i="414"/>
  <c r="L403" i="414"/>
  <c r="K403" i="414"/>
  <c r="O402" i="414"/>
  <c r="N402" i="414"/>
  <c r="M402" i="414"/>
  <c r="L402" i="414"/>
  <c r="K402" i="414"/>
  <c r="O401" i="414"/>
  <c r="N401" i="414"/>
  <c r="M401" i="414"/>
  <c r="L401" i="414"/>
  <c r="K401" i="414"/>
  <c r="O400" i="414"/>
  <c r="N400" i="414"/>
  <c r="M400" i="414"/>
  <c r="L400" i="414"/>
  <c r="K400" i="414"/>
  <c r="O399" i="414"/>
  <c r="N399" i="414"/>
  <c r="M399" i="414"/>
  <c r="L399" i="414"/>
  <c r="K399" i="414"/>
  <c r="O398" i="414"/>
  <c r="N398" i="414"/>
  <c r="M398" i="414"/>
  <c r="L398" i="414"/>
  <c r="K398" i="414"/>
  <c r="O397" i="414"/>
  <c r="N397" i="414"/>
  <c r="M397" i="414"/>
  <c r="L397" i="414"/>
  <c r="K397" i="414"/>
  <c r="O396" i="414"/>
  <c r="N396" i="414"/>
  <c r="M396" i="414"/>
  <c r="L396" i="414"/>
  <c r="K396" i="414"/>
  <c r="O395" i="414"/>
  <c r="N395" i="414"/>
  <c r="M395" i="414"/>
  <c r="L395" i="414"/>
  <c r="K395" i="414"/>
  <c r="O394" i="414"/>
  <c r="N394" i="414"/>
  <c r="M394" i="414"/>
  <c r="L394" i="414"/>
  <c r="K394" i="414"/>
  <c r="O393" i="414"/>
  <c r="N393" i="414"/>
  <c r="M393" i="414"/>
  <c r="L393" i="414"/>
  <c r="K393" i="414"/>
  <c r="O392" i="414"/>
  <c r="N392" i="414"/>
  <c r="M392" i="414"/>
  <c r="L392" i="414"/>
  <c r="K392" i="414"/>
  <c r="O391" i="414"/>
  <c r="N391" i="414"/>
  <c r="M391" i="414"/>
  <c r="L391" i="414"/>
  <c r="K391" i="414"/>
  <c r="O390" i="414"/>
  <c r="N390" i="414"/>
  <c r="M390" i="414"/>
  <c r="L390" i="414"/>
  <c r="K390" i="414"/>
  <c r="O389" i="414"/>
  <c r="N389" i="414"/>
  <c r="M389" i="414"/>
  <c r="L389" i="414"/>
  <c r="K389" i="414"/>
  <c r="O388" i="414"/>
  <c r="N388" i="414"/>
  <c r="M388" i="414"/>
  <c r="L388" i="414"/>
  <c r="K388" i="414"/>
  <c r="O387" i="414"/>
  <c r="N387" i="414"/>
  <c r="M387" i="414"/>
  <c r="L387" i="414"/>
  <c r="K387" i="414"/>
  <c r="O386" i="414"/>
  <c r="N386" i="414"/>
  <c r="M386" i="414"/>
  <c r="L386" i="414"/>
  <c r="K386" i="414"/>
  <c r="O385" i="414"/>
  <c r="N385" i="414"/>
  <c r="M385" i="414"/>
  <c r="L385" i="414"/>
  <c r="K385" i="414"/>
  <c r="O384" i="414"/>
  <c r="N384" i="414"/>
  <c r="M384" i="414"/>
  <c r="L384" i="414"/>
  <c r="K384" i="414"/>
  <c r="O383" i="414"/>
  <c r="N383" i="414"/>
  <c r="M383" i="414"/>
  <c r="L383" i="414"/>
  <c r="K383" i="414"/>
  <c r="O382" i="414"/>
  <c r="N382" i="414"/>
  <c r="M382" i="414"/>
  <c r="L382" i="414"/>
  <c r="K382" i="414"/>
  <c r="O381" i="414"/>
  <c r="N381" i="414"/>
  <c r="M381" i="414"/>
  <c r="L381" i="414"/>
  <c r="K381" i="414"/>
  <c r="O380" i="414"/>
  <c r="N380" i="414"/>
  <c r="M380" i="414"/>
  <c r="L380" i="414"/>
  <c r="K380" i="414"/>
  <c r="O379" i="414"/>
  <c r="N379" i="414"/>
  <c r="M379" i="414"/>
  <c r="L379" i="414"/>
  <c r="K379" i="414"/>
  <c r="O378" i="414"/>
  <c r="N378" i="414"/>
  <c r="M378" i="414"/>
  <c r="L378" i="414"/>
  <c r="K378" i="414"/>
  <c r="O377" i="414"/>
  <c r="N377" i="414"/>
  <c r="M377" i="414"/>
  <c r="L377" i="414"/>
  <c r="K377" i="414"/>
  <c r="O376" i="414"/>
  <c r="N376" i="414"/>
  <c r="M376" i="414"/>
  <c r="L376" i="414"/>
  <c r="K376" i="414"/>
  <c r="O375" i="414"/>
  <c r="N375" i="414"/>
  <c r="M375" i="414"/>
  <c r="L375" i="414"/>
  <c r="K375" i="414"/>
  <c r="O374" i="414"/>
  <c r="N374" i="414"/>
  <c r="M374" i="414"/>
  <c r="L374" i="414"/>
  <c r="K374" i="414"/>
  <c r="O373" i="414"/>
  <c r="N373" i="414"/>
  <c r="M373" i="414"/>
  <c r="L373" i="414"/>
  <c r="K373" i="414"/>
  <c r="O372" i="414"/>
  <c r="N372" i="414"/>
  <c r="M372" i="414"/>
  <c r="L372" i="414"/>
  <c r="K372" i="414"/>
  <c r="O371" i="414"/>
  <c r="N371" i="414"/>
  <c r="M371" i="414"/>
  <c r="L371" i="414"/>
  <c r="K371" i="414"/>
  <c r="O370" i="414"/>
  <c r="N370" i="414"/>
  <c r="M370" i="414"/>
  <c r="L370" i="414"/>
  <c r="K370" i="414"/>
  <c r="O369" i="414"/>
  <c r="N369" i="414"/>
  <c r="M369" i="414"/>
  <c r="L369" i="414"/>
  <c r="K369" i="414"/>
  <c r="O368" i="414"/>
  <c r="N368" i="414"/>
  <c r="M368" i="414"/>
  <c r="L368" i="414"/>
  <c r="K368" i="414"/>
  <c r="O367" i="414"/>
  <c r="N367" i="414"/>
  <c r="M367" i="414"/>
  <c r="L367" i="414"/>
  <c r="K367" i="414"/>
  <c r="O366" i="414"/>
  <c r="N366" i="414"/>
  <c r="M366" i="414"/>
  <c r="L366" i="414"/>
  <c r="K366" i="414"/>
  <c r="O365" i="414"/>
  <c r="N365" i="414"/>
  <c r="M365" i="414"/>
  <c r="L365" i="414"/>
  <c r="K365" i="414"/>
  <c r="O364" i="414"/>
  <c r="N364" i="414"/>
  <c r="M364" i="414"/>
  <c r="L364" i="414"/>
  <c r="K364" i="414"/>
  <c r="O363" i="414"/>
  <c r="N363" i="414"/>
  <c r="M363" i="414"/>
  <c r="L363" i="414"/>
  <c r="K363" i="414"/>
  <c r="O362" i="414"/>
  <c r="N362" i="414"/>
  <c r="M362" i="414"/>
  <c r="L362" i="414"/>
  <c r="K362" i="414"/>
  <c r="O361" i="414"/>
  <c r="N361" i="414"/>
  <c r="M361" i="414"/>
  <c r="L361" i="414"/>
  <c r="K361" i="414"/>
  <c r="O360" i="414"/>
  <c r="N360" i="414"/>
  <c r="M360" i="414"/>
  <c r="L360" i="414"/>
  <c r="K360" i="414"/>
  <c r="O359" i="414"/>
  <c r="N359" i="414"/>
  <c r="M359" i="414"/>
  <c r="L359" i="414"/>
  <c r="K359" i="414"/>
  <c r="O358" i="414"/>
  <c r="N358" i="414"/>
  <c r="M358" i="414"/>
  <c r="L358" i="414"/>
  <c r="K358" i="414"/>
  <c r="O357" i="414"/>
  <c r="N357" i="414"/>
  <c r="M357" i="414"/>
  <c r="L357" i="414"/>
  <c r="K357" i="414"/>
  <c r="O356" i="414"/>
  <c r="N356" i="414"/>
  <c r="M356" i="414"/>
  <c r="L356" i="414"/>
  <c r="K356" i="414"/>
  <c r="O355" i="414"/>
  <c r="N355" i="414"/>
  <c r="M355" i="414"/>
  <c r="L355" i="414"/>
  <c r="K355" i="414"/>
  <c r="O354" i="414"/>
  <c r="N354" i="414"/>
  <c r="M354" i="414"/>
  <c r="L354" i="414"/>
  <c r="K354" i="414"/>
  <c r="O353" i="414"/>
  <c r="N353" i="414"/>
  <c r="M353" i="414"/>
  <c r="L353" i="414"/>
  <c r="K353" i="414"/>
  <c r="O352" i="414"/>
  <c r="N352" i="414"/>
  <c r="M352" i="414"/>
  <c r="L352" i="414"/>
  <c r="K352" i="414"/>
  <c r="O351" i="414"/>
  <c r="N351" i="414"/>
  <c r="M351" i="414"/>
  <c r="L351" i="414"/>
  <c r="K351" i="414"/>
  <c r="O350" i="414"/>
  <c r="N350" i="414"/>
  <c r="M350" i="414"/>
  <c r="L350" i="414"/>
  <c r="K350" i="414"/>
  <c r="O349" i="414"/>
  <c r="N349" i="414"/>
  <c r="M349" i="414"/>
  <c r="L349" i="414"/>
  <c r="K349" i="414"/>
  <c r="O348" i="414"/>
  <c r="N348" i="414"/>
  <c r="M348" i="414"/>
  <c r="L348" i="414"/>
  <c r="K348" i="414"/>
  <c r="O347" i="414"/>
  <c r="N347" i="414"/>
  <c r="M347" i="414"/>
  <c r="L347" i="414"/>
  <c r="K347" i="414"/>
  <c r="O346" i="414"/>
  <c r="N346" i="414"/>
  <c r="M346" i="414"/>
  <c r="L346" i="414"/>
  <c r="K346" i="414"/>
  <c r="O345" i="414"/>
  <c r="N345" i="414"/>
  <c r="M345" i="414"/>
  <c r="L345" i="414"/>
  <c r="K345" i="414"/>
  <c r="O344" i="414"/>
  <c r="N344" i="414"/>
  <c r="M344" i="414"/>
  <c r="L344" i="414"/>
  <c r="K344" i="414"/>
  <c r="O343" i="414"/>
  <c r="N343" i="414"/>
  <c r="M343" i="414"/>
  <c r="L343" i="414"/>
  <c r="K343" i="414"/>
  <c r="O342" i="414"/>
  <c r="N342" i="414"/>
  <c r="M342" i="414"/>
  <c r="L342" i="414"/>
  <c r="K342" i="414"/>
  <c r="O341" i="414"/>
  <c r="N341" i="414"/>
  <c r="M341" i="414"/>
  <c r="L341" i="414"/>
  <c r="K341" i="414"/>
  <c r="O340" i="414"/>
  <c r="N340" i="414"/>
  <c r="M340" i="414"/>
  <c r="L340" i="414"/>
  <c r="K340" i="414"/>
  <c r="O339" i="414"/>
  <c r="N339" i="414"/>
  <c r="M339" i="414"/>
  <c r="L339" i="414"/>
  <c r="K339" i="414"/>
  <c r="O338" i="414"/>
  <c r="N338" i="414"/>
  <c r="M338" i="414"/>
  <c r="L338" i="414"/>
  <c r="K338" i="414"/>
  <c r="O337" i="414"/>
  <c r="N337" i="414"/>
  <c r="M337" i="414"/>
  <c r="L337" i="414"/>
  <c r="K337" i="414"/>
  <c r="O336" i="414"/>
  <c r="N336" i="414"/>
  <c r="M336" i="414"/>
  <c r="L336" i="414"/>
  <c r="K336" i="414"/>
  <c r="O335" i="414"/>
  <c r="N335" i="414"/>
  <c r="M335" i="414"/>
  <c r="L335" i="414"/>
  <c r="K335" i="414"/>
  <c r="O334" i="414"/>
  <c r="N334" i="414"/>
  <c r="M334" i="414"/>
  <c r="L334" i="414"/>
  <c r="K334" i="414"/>
  <c r="O333" i="414"/>
  <c r="N333" i="414"/>
  <c r="M333" i="414"/>
  <c r="L333" i="414"/>
  <c r="K333" i="414"/>
  <c r="O332" i="414"/>
  <c r="N332" i="414"/>
  <c r="M332" i="414"/>
  <c r="L332" i="414"/>
  <c r="K332" i="414"/>
  <c r="O331" i="414"/>
  <c r="N331" i="414"/>
  <c r="M331" i="414"/>
  <c r="L331" i="414"/>
  <c r="K331" i="414"/>
  <c r="O330" i="414"/>
  <c r="N330" i="414"/>
  <c r="M330" i="414"/>
  <c r="L330" i="414"/>
  <c r="K330" i="414"/>
  <c r="O329" i="414"/>
  <c r="N329" i="414"/>
  <c r="M329" i="414"/>
  <c r="L329" i="414"/>
  <c r="K329" i="414"/>
  <c r="O328" i="414"/>
  <c r="N328" i="414"/>
  <c r="M328" i="414"/>
  <c r="L328" i="414"/>
  <c r="K328" i="414"/>
  <c r="O327" i="414"/>
  <c r="N327" i="414"/>
  <c r="M327" i="414"/>
  <c r="L327" i="414"/>
  <c r="K327" i="414"/>
  <c r="O326" i="414"/>
  <c r="N326" i="414"/>
  <c r="M326" i="414"/>
  <c r="L326" i="414"/>
  <c r="K326" i="414"/>
  <c r="O325" i="414"/>
  <c r="N325" i="414"/>
  <c r="M325" i="414"/>
  <c r="L325" i="414"/>
  <c r="K325" i="414"/>
  <c r="O324" i="414"/>
  <c r="N324" i="414"/>
  <c r="M324" i="414"/>
  <c r="L324" i="414"/>
  <c r="K324" i="414"/>
  <c r="O323" i="414"/>
  <c r="N323" i="414"/>
  <c r="M323" i="414"/>
  <c r="L323" i="414"/>
  <c r="K323" i="414"/>
  <c r="O322" i="414"/>
  <c r="N322" i="414"/>
  <c r="M322" i="414"/>
  <c r="L322" i="414"/>
  <c r="K322" i="414"/>
  <c r="O321" i="414"/>
  <c r="N321" i="414"/>
  <c r="M321" i="414"/>
  <c r="L321" i="414"/>
  <c r="K321" i="414"/>
  <c r="O320" i="414"/>
  <c r="N320" i="414"/>
  <c r="M320" i="414"/>
  <c r="L320" i="414"/>
  <c r="K320" i="414"/>
  <c r="O319" i="414"/>
  <c r="N319" i="414"/>
  <c r="M319" i="414"/>
  <c r="L319" i="414"/>
  <c r="K319" i="414"/>
  <c r="O318" i="414"/>
  <c r="N318" i="414"/>
  <c r="M318" i="414"/>
  <c r="L318" i="414"/>
  <c r="K318" i="414"/>
  <c r="O317" i="414"/>
  <c r="N317" i="414"/>
  <c r="M317" i="414"/>
  <c r="L317" i="414"/>
  <c r="K317" i="414"/>
  <c r="O316" i="414"/>
  <c r="N316" i="414"/>
  <c r="M316" i="414"/>
  <c r="L316" i="414"/>
  <c r="K316" i="414"/>
  <c r="O315" i="414"/>
  <c r="N315" i="414"/>
  <c r="M315" i="414"/>
  <c r="L315" i="414"/>
  <c r="K315" i="414"/>
  <c r="O314" i="414"/>
  <c r="N314" i="414"/>
  <c r="M314" i="414"/>
  <c r="L314" i="414"/>
  <c r="K314" i="414"/>
  <c r="O313" i="414"/>
  <c r="N313" i="414"/>
  <c r="M313" i="414"/>
  <c r="L313" i="414"/>
  <c r="K313" i="414"/>
  <c r="O312" i="414"/>
  <c r="N312" i="414"/>
  <c r="M312" i="414"/>
  <c r="L312" i="414"/>
  <c r="K312" i="414"/>
  <c r="O311" i="414"/>
  <c r="N311" i="414"/>
  <c r="M311" i="414"/>
  <c r="L311" i="414"/>
  <c r="K311" i="414"/>
  <c r="O310" i="414"/>
  <c r="N310" i="414"/>
  <c r="M310" i="414"/>
  <c r="L310" i="414"/>
  <c r="K310" i="414"/>
  <c r="O309" i="414"/>
  <c r="N309" i="414"/>
  <c r="M309" i="414"/>
  <c r="L309" i="414"/>
  <c r="K309" i="414"/>
  <c r="O308" i="414"/>
  <c r="N308" i="414"/>
  <c r="M308" i="414"/>
  <c r="L308" i="414"/>
  <c r="K308" i="414"/>
  <c r="O307" i="414"/>
  <c r="N307" i="414"/>
  <c r="M307" i="414"/>
  <c r="L307" i="414"/>
  <c r="K307" i="414"/>
  <c r="O306" i="414"/>
  <c r="N306" i="414"/>
  <c r="M306" i="414"/>
  <c r="L306" i="414"/>
  <c r="K306" i="414"/>
  <c r="O305" i="414"/>
  <c r="N305" i="414"/>
  <c r="M305" i="414"/>
  <c r="L305" i="414"/>
  <c r="K305" i="414"/>
  <c r="O304" i="414"/>
  <c r="N304" i="414"/>
  <c r="M304" i="414"/>
  <c r="L304" i="414"/>
  <c r="K304" i="414"/>
  <c r="O303" i="414"/>
  <c r="N303" i="414"/>
  <c r="M303" i="414"/>
  <c r="L303" i="414"/>
  <c r="K303" i="414"/>
  <c r="O302" i="414"/>
  <c r="N302" i="414"/>
  <c r="M302" i="414"/>
  <c r="L302" i="414"/>
  <c r="K302" i="414"/>
  <c r="O301" i="414"/>
  <c r="N301" i="414"/>
  <c r="M301" i="414"/>
  <c r="L301" i="414"/>
  <c r="K301" i="414"/>
  <c r="O300" i="414"/>
  <c r="N300" i="414"/>
  <c r="M300" i="414"/>
  <c r="L300" i="414"/>
  <c r="K300" i="414"/>
  <c r="O299" i="414"/>
  <c r="N299" i="414"/>
  <c r="M299" i="414"/>
  <c r="L299" i="414"/>
  <c r="K299" i="414"/>
  <c r="O298" i="414"/>
  <c r="N298" i="414"/>
  <c r="M298" i="414"/>
  <c r="L298" i="414"/>
  <c r="K298" i="414"/>
  <c r="O297" i="414"/>
  <c r="N297" i="414"/>
  <c r="M297" i="414"/>
  <c r="L297" i="414"/>
  <c r="K297" i="414"/>
  <c r="O296" i="414"/>
  <c r="N296" i="414"/>
  <c r="M296" i="414"/>
  <c r="L296" i="414"/>
  <c r="K296" i="414"/>
  <c r="O295" i="414"/>
  <c r="N295" i="414"/>
  <c r="M295" i="414"/>
  <c r="L295" i="414"/>
  <c r="K295" i="414"/>
  <c r="O294" i="414"/>
  <c r="N294" i="414"/>
  <c r="M294" i="414"/>
  <c r="L294" i="414"/>
  <c r="K294" i="414"/>
  <c r="O293" i="414"/>
  <c r="N293" i="414"/>
  <c r="M293" i="414"/>
  <c r="L293" i="414"/>
  <c r="K293" i="414"/>
  <c r="O292" i="414"/>
  <c r="N292" i="414"/>
  <c r="M292" i="414"/>
  <c r="L292" i="414"/>
  <c r="K292" i="414"/>
  <c r="O291" i="414"/>
  <c r="N291" i="414"/>
  <c r="M291" i="414"/>
  <c r="L291" i="414"/>
  <c r="K291" i="414"/>
  <c r="O290" i="414"/>
  <c r="N290" i="414"/>
  <c r="M290" i="414"/>
  <c r="L290" i="414"/>
  <c r="K290" i="414"/>
  <c r="O289" i="414"/>
  <c r="N289" i="414"/>
  <c r="M289" i="414"/>
  <c r="L289" i="414"/>
  <c r="K289" i="414"/>
  <c r="O288" i="414"/>
  <c r="N288" i="414"/>
  <c r="M288" i="414"/>
  <c r="L288" i="414"/>
  <c r="K288" i="414"/>
  <c r="O287" i="414"/>
  <c r="N287" i="414"/>
  <c r="M287" i="414"/>
  <c r="L287" i="414"/>
  <c r="K287" i="414"/>
  <c r="O286" i="414"/>
  <c r="N286" i="414"/>
  <c r="M286" i="414"/>
  <c r="L286" i="414"/>
  <c r="K286" i="414"/>
  <c r="O285" i="414"/>
  <c r="N285" i="414"/>
  <c r="M285" i="414"/>
  <c r="L285" i="414"/>
  <c r="K285" i="414"/>
  <c r="O284" i="414"/>
  <c r="N284" i="414"/>
  <c r="M284" i="414"/>
  <c r="L284" i="414"/>
  <c r="K284" i="414"/>
  <c r="O283" i="414"/>
  <c r="N283" i="414"/>
  <c r="M283" i="414"/>
  <c r="L283" i="414"/>
  <c r="K283" i="414"/>
  <c r="O282" i="414"/>
  <c r="N282" i="414"/>
  <c r="M282" i="414"/>
  <c r="L282" i="414"/>
  <c r="K282" i="414"/>
  <c r="O281" i="414"/>
  <c r="N281" i="414"/>
  <c r="M281" i="414"/>
  <c r="L281" i="414"/>
  <c r="K281" i="414"/>
  <c r="O280" i="414"/>
  <c r="N280" i="414"/>
  <c r="M280" i="414"/>
  <c r="L280" i="414"/>
  <c r="K280" i="414"/>
  <c r="O279" i="414"/>
  <c r="N279" i="414"/>
  <c r="M279" i="414"/>
  <c r="L279" i="414"/>
  <c r="K279" i="414"/>
  <c r="O278" i="414"/>
  <c r="N278" i="414"/>
  <c r="M278" i="414"/>
  <c r="L278" i="414"/>
  <c r="K278" i="414"/>
  <c r="O277" i="414"/>
  <c r="N277" i="414"/>
  <c r="M277" i="414"/>
  <c r="L277" i="414"/>
  <c r="K277" i="414"/>
  <c r="O276" i="414"/>
  <c r="N276" i="414"/>
  <c r="M276" i="414"/>
  <c r="L276" i="414"/>
  <c r="K276" i="414"/>
  <c r="O275" i="414"/>
  <c r="N275" i="414"/>
  <c r="M275" i="414"/>
  <c r="L275" i="414"/>
  <c r="K275" i="414"/>
  <c r="O274" i="414"/>
  <c r="N274" i="414"/>
  <c r="M274" i="414"/>
  <c r="L274" i="414"/>
  <c r="K274" i="414"/>
  <c r="O273" i="414"/>
  <c r="N273" i="414"/>
  <c r="M273" i="414"/>
  <c r="L273" i="414"/>
  <c r="K273" i="414"/>
  <c r="O272" i="414"/>
  <c r="N272" i="414"/>
  <c r="M272" i="414"/>
  <c r="L272" i="414"/>
  <c r="K272" i="414"/>
  <c r="O271" i="414"/>
  <c r="N271" i="414"/>
  <c r="M271" i="414"/>
  <c r="L271" i="414"/>
  <c r="K271" i="414"/>
  <c r="O270" i="414"/>
  <c r="N270" i="414"/>
  <c r="M270" i="414"/>
  <c r="L270" i="414"/>
  <c r="K270" i="414"/>
  <c r="O269" i="414"/>
  <c r="N269" i="414"/>
  <c r="M269" i="414"/>
  <c r="L269" i="414"/>
  <c r="K269" i="414"/>
  <c r="O268" i="414"/>
  <c r="N268" i="414"/>
  <c r="M268" i="414"/>
  <c r="L268" i="414"/>
  <c r="K268" i="414"/>
  <c r="O267" i="414"/>
  <c r="N267" i="414"/>
  <c r="M267" i="414"/>
  <c r="L267" i="414"/>
  <c r="K267" i="414"/>
  <c r="O266" i="414"/>
  <c r="N266" i="414"/>
  <c r="M266" i="414"/>
  <c r="L266" i="414"/>
  <c r="K266" i="414"/>
  <c r="O265" i="414"/>
  <c r="N265" i="414"/>
  <c r="M265" i="414"/>
  <c r="L265" i="414"/>
  <c r="K265" i="414"/>
  <c r="O264" i="414"/>
  <c r="N264" i="414"/>
  <c r="M264" i="414"/>
  <c r="L264" i="414"/>
  <c r="K264" i="414"/>
  <c r="O263" i="414"/>
  <c r="N263" i="414"/>
  <c r="M263" i="414"/>
  <c r="L263" i="414"/>
  <c r="K263" i="414"/>
  <c r="O262" i="414"/>
  <c r="N262" i="414"/>
  <c r="M262" i="414"/>
  <c r="L262" i="414"/>
  <c r="K262" i="414"/>
  <c r="O261" i="414"/>
  <c r="N261" i="414"/>
  <c r="M261" i="414"/>
  <c r="L261" i="414"/>
  <c r="K261" i="414"/>
  <c r="O260" i="414"/>
  <c r="N260" i="414"/>
  <c r="M260" i="414"/>
  <c r="L260" i="414"/>
  <c r="K260" i="414"/>
  <c r="O259" i="414"/>
  <c r="N259" i="414"/>
  <c r="M259" i="414"/>
  <c r="L259" i="414"/>
  <c r="K259" i="414"/>
  <c r="O258" i="414"/>
  <c r="N258" i="414"/>
  <c r="M258" i="414"/>
  <c r="L258" i="414"/>
  <c r="K258" i="414"/>
  <c r="O257" i="414"/>
  <c r="N257" i="414"/>
  <c r="M257" i="414"/>
  <c r="L257" i="414"/>
  <c r="K257" i="414"/>
  <c r="O256" i="414"/>
  <c r="N256" i="414"/>
  <c r="M256" i="414"/>
  <c r="L256" i="414"/>
  <c r="K256" i="414"/>
  <c r="O255" i="414"/>
  <c r="N255" i="414"/>
  <c r="M255" i="414"/>
  <c r="L255" i="414"/>
  <c r="K255" i="414"/>
  <c r="O254" i="414"/>
  <c r="N254" i="414"/>
  <c r="M254" i="414"/>
  <c r="L254" i="414"/>
  <c r="K254" i="414"/>
  <c r="O253" i="414"/>
  <c r="N253" i="414"/>
  <c r="M253" i="414"/>
  <c r="L253" i="414"/>
  <c r="K253" i="414"/>
  <c r="O252" i="414"/>
  <c r="N252" i="414"/>
  <c r="M252" i="414"/>
  <c r="L252" i="414"/>
  <c r="K252" i="414"/>
  <c r="O251" i="414"/>
  <c r="N251" i="414"/>
  <c r="M251" i="414"/>
  <c r="L251" i="414"/>
  <c r="K251" i="414"/>
  <c r="O250" i="414"/>
  <c r="N250" i="414"/>
  <c r="M250" i="414"/>
  <c r="L250" i="414"/>
  <c r="K250" i="414"/>
  <c r="O249" i="414"/>
  <c r="N249" i="414"/>
  <c r="M249" i="414"/>
  <c r="L249" i="414"/>
  <c r="K249" i="414"/>
  <c r="O248" i="414"/>
  <c r="N248" i="414"/>
  <c r="M248" i="414"/>
  <c r="L248" i="414"/>
  <c r="K248" i="414"/>
  <c r="O247" i="414"/>
  <c r="N247" i="414"/>
  <c r="M247" i="414"/>
  <c r="L247" i="414"/>
  <c r="K247" i="414"/>
  <c r="O246" i="414"/>
  <c r="N246" i="414"/>
  <c r="M246" i="414"/>
  <c r="L246" i="414"/>
  <c r="K246" i="414"/>
  <c r="O245" i="414"/>
  <c r="N245" i="414"/>
  <c r="M245" i="414"/>
  <c r="L245" i="414"/>
  <c r="K245" i="414"/>
  <c r="O244" i="414"/>
  <c r="N244" i="414"/>
  <c r="M244" i="414"/>
  <c r="L244" i="414"/>
  <c r="K244" i="414"/>
  <c r="O243" i="414"/>
  <c r="N243" i="414"/>
  <c r="M243" i="414"/>
  <c r="L243" i="414"/>
  <c r="K243" i="414"/>
  <c r="O242" i="414"/>
  <c r="N242" i="414"/>
  <c r="M242" i="414"/>
  <c r="L242" i="414"/>
  <c r="K242" i="414"/>
  <c r="O241" i="414"/>
  <c r="N241" i="414"/>
  <c r="M241" i="414"/>
  <c r="L241" i="414"/>
  <c r="K241" i="414"/>
  <c r="O240" i="414"/>
  <c r="N240" i="414"/>
  <c r="M240" i="414"/>
  <c r="L240" i="414"/>
  <c r="K240" i="414"/>
  <c r="O239" i="414"/>
  <c r="N239" i="414"/>
  <c r="M239" i="414"/>
  <c r="L239" i="414"/>
  <c r="K239" i="414"/>
  <c r="O238" i="414"/>
  <c r="N238" i="414"/>
  <c r="M238" i="414"/>
  <c r="L238" i="414"/>
  <c r="K238" i="414"/>
  <c r="O237" i="414"/>
  <c r="N237" i="414"/>
  <c r="M237" i="414"/>
  <c r="L237" i="414"/>
  <c r="K237" i="414"/>
  <c r="O236" i="414"/>
  <c r="N236" i="414"/>
  <c r="M236" i="414"/>
  <c r="L236" i="414"/>
  <c r="K236" i="414"/>
  <c r="O235" i="414"/>
  <c r="N235" i="414"/>
  <c r="M235" i="414"/>
  <c r="L235" i="414"/>
  <c r="K235" i="414"/>
  <c r="O234" i="414"/>
  <c r="N234" i="414"/>
  <c r="M234" i="414"/>
  <c r="L234" i="414"/>
  <c r="K234" i="414"/>
  <c r="O233" i="414"/>
  <c r="N233" i="414"/>
  <c r="M233" i="414"/>
  <c r="L233" i="414"/>
  <c r="K233" i="414"/>
  <c r="O232" i="414"/>
  <c r="N232" i="414"/>
  <c r="M232" i="414"/>
  <c r="L232" i="414"/>
  <c r="K232" i="414"/>
  <c r="O231" i="414"/>
  <c r="N231" i="414"/>
  <c r="M231" i="414"/>
  <c r="L231" i="414"/>
  <c r="K231" i="414"/>
  <c r="O230" i="414"/>
  <c r="N230" i="414"/>
  <c r="M230" i="414"/>
  <c r="L230" i="414"/>
  <c r="K230" i="414"/>
  <c r="O229" i="414"/>
  <c r="N229" i="414"/>
  <c r="M229" i="414"/>
  <c r="L229" i="414"/>
  <c r="K229" i="414"/>
  <c r="O228" i="414"/>
  <c r="N228" i="414"/>
  <c r="M228" i="414"/>
  <c r="L228" i="414"/>
  <c r="K228" i="414"/>
  <c r="O227" i="414"/>
  <c r="N227" i="414"/>
  <c r="M227" i="414"/>
  <c r="L227" i="414"/>
  <c r="K227" i="414"/>
  <c r="O226" i="414"/>
  <c r="N226" i="414"/>
  <c r="M226" i="414"/>
  <c r="L226" i="414"/>
  <c r="K226" i="414"/>
  <c r="O225" i="414"/>
  <c r="N225" i="414"/>
  <c r="M225" i="414"/>
  <c r="L225" i="414"/>
  <c r="K225" i="414"/>
  <c r="O224" i="414"/>
  <c r="N224" i="414"/>
  <c r="M224" i="414"/>
  <c r="L224" i="414"/>
  <c r="K224" i="414"/>
  <c r="O223" i="414"/>
  <c r="N223" i="414"/>
  <c r="M223" i="414"/>
  <c r="L223" i="414"/>
  <c r="K223" i="414"/>
  <c r="O222" i="414"/>
  <c r="N222" i="414"/>
  <c r="M222" i="414"/>
  <c r="L222" i="414"/>
  <c r="K222" i="414"/>
  <c r="O221" i="414"/>
  <c r="N221" i="414"/>
  <c r="M221" i="414"/>
  <c r="L221" i="414"/>
  <c r="K221" i="414"/>
  <c r="O220" i="414"/>
  <c r="N220" i="414"/>
  <c r="M220" i="414"/>
  <c r="L220" i="414"/>
  <c r="K220" i="414"/>
  <c r="O219" i="414"/>
  <c r="N219" i="414"/>
  <c r="M219" i="414"/>
  <c r="L219" i="414"/>
  <c r="K219" i="414"/>
  <c r="O218" i="414"/>
  <c r="N218" i="414"/>
  <c r="M218" i="414"/>
  <c r="L218" i="414"/>
  <c r="K218" i="414"/>
  <c r="O217" i="414"/>
  <c r="N217" i="414"/>
  <c r="M217" i="414"/>
  <c r="L217" i="414"/>
  <c r="K217" i="414"/>
  <c r="O216" i="414"/>
  <c r="N216" i="414"/>
  <c r="M216" i="414"/>
  <c r="L216" i="414"/>
  <c r="K216" i="414"/>
  <c r="O215" i="414"/>
  <c r="N215" i="414"/>
  <c r="M215" i="414"/>
  <c r="L215" i="414"/>
  <c r="K215" i="414"/>
  <c r="O214" i="414"/>
  <c r="N214" i="414"/>
  <c r="M214" i="414"/>
  <c r="L214" i="414"/>
  <c r="K214" i="414"/>
  <c r="O213" i="414"/>
  <c r="N213" i="414"/>
  <c r="M213" i="414"/>
  <c r="L213" i="414"/>
  <c r="K213" i="414"/>
  <c r="O212" i="414"/>
  <c r="N212" i="414"/>
  <c r="M212" i="414"/>
  <c r="L212" i="414"/>
  <c r="K212" i="414"/>
  <c r="O211" i="414"/>
  <c r="N211" i="414"/>
  <c r="M211" i="414"/>
  <c r="L211" i="414"/>
  <c r="K211" i="414"/>
  <c r="O210" i="414"/>
  <c r="N210" i="414"/>
  <c r="M210" i="414"/>
  <c r="L210" i="414"/>
  <c r="K210" i="414"/>
  <c r="O209" i="414"/>
  <c r="N209" i="414"/>
  <c r="M209" i="414"/>
  <c r="L209" i="414"/>
  <c r="K209" i="414"/>
  <c r="O208" i="414"/>
  <c r="N208" i="414"/>
  <c r="M208" i="414"/>
  <c r="L208" i="414"/>
  <c r="K208" i="414"/>
  <c r="O207" i="414"/>
  <c r="N207" i="414"/>
  <c r="M207" i="414"/>
  <c r="L207" i="414"/>
  <c r="K207" i="414"/>
  <c r="O206" i="414"/>
  <c r="N206" i="414"/>
  <c r="M206" i="414"/>
  <c r="L206" i="414"/>
  <c r="K206" i="414"/>
  <c r="O205" i="414"/>
  <c r="N205" i="414"/>
  <c r="M205" i="414"/>
  <c r="L205" i="414"/>
  <c r="K205" i="414"/>
  <c r="O204" i="414"/>
  <c r="N204" i="414"/>
  <c r="M204" i="414"/>
  <c r="L204" i="414"/>
  <c r="K204" i="414"/>
  <c r="O203" i="414"/>
  <c r="N203" i="414"/>
  <c r="M203" i="414"/>
  <c r="L203" i="414"/>
  <c r="K203" i="414"/>
  <c r="O202" i="414"/>
  <c r="N202" i="414"/>
  <c r="M202" i="414"/>
  <c r="L202" i="414"/>
  <c r="K202" i="414"/>
  <c r="O201" i="414"/>
  <c r="N201" i="414"/>
  <c r="M201" i="414"/>
  <c r="L201" i="414"/>
  <c r="K201" i="414"/>
  <c r="O200" i="414"/>
  <c r="N200" i="414"/>
  <c r="M200" i="414"/>
  <c r="L200" i="414"/>
  <c r="K200" i="414"/>
  <c r="O199" i="414"/>
  <c r="N199" i="414"/>
  <c r="M199" i="414"/>
  <c r="L199" i="414"/>
  <c r="K199" i="414"/>
  <c r="O198" i="414"/>
  <c r="N198" i="414"/>
  <c r="M198" i="414"/>
  <c r="L198" i="414"/>
  <c r="K198" i="414"/>
  <c r="O197" i="414"/>
  <c r="N197" i="414"/>
  <c r="M197" i="414"/>
  <c r="L197" i="414"/>
  <c r="K197" i="414"/>
  <c r="O196" i="414"/>
  <c r="N196" i="414"/>
  <c r="M196" i="414"/>
  <c r="L196" i="414"/>
  <c r="K196" i="414"/>
  <c r="O195" i="414"/>
  <c r="N195" i="414"/>
  <c r="M195" i="414"/>
  <c r="L195" i="414"/>
  <c r="K195" i="414"/>
  <c r="O194" i="414"/>
  <c r="N194" i="414"/>
  <c r="M194" i="414"/>
  <c r="L194" i="414"/>
  <c r="K194" i="414"/>
  <c r="O193" i="414"/>
  <c r="N193" i="414"/>
  <c r="M193" i="414"/>
  <c r="L193" i="414"/>
  <c r="K193" i="414"/>
  <c r="O192" i="414"/>
  <c r="N192" i="414"/>
  <c r="M192" i="414"/>
  <c r="L192" i="414"/>
  <c r="K192" i="414"/>
  <c r="O191" i="414"/>
  <c r="N191" i="414"/>
  <c r="M191" i="414"/>
  <c r="L191" i="414"/>
  <c r="K191" i="414"/>
  <c r="O190" i="414"/>
  <c r="N190" i="414"/>
  <c r="M190" i="414"/>
  <c r="L190" i="414"/>
  <c r="K190" i="414"/>
  <c r="O189" i="414"/>
  <c r="N189" i="414"/>
  <c r="M189" i="414"/>
  <c r="L189" i="414"/>
  <c r="K189" i="414"/>
  <c r="O188" i="414"/>
  <c r="N188" i="414"/>
  <c r="M188" i="414"/>
  <c r="L188" i="414"/>
  <c r="K188" i="414"/>
  <c r="O187" i="414"/>
  <c r="N187" i="414"/>
  <c r="M187" i="414"/>
  <c r="L187" i="414"/>
  <c r="K187" i="414"/>
  <c r="O186" i="414"/>
  <c r="N186" i="414"/>
  <c r="M186" i="414"/>
  <c r="L186" i="414"/>
  <c r="K186" i="414"/>
  <c r="O185" i="414"/>
  <c r="N185" i="414"/>
  <c r="M185" i="414"/>
  <c r="L185" i="414"/>
  <c r="K185" i="414"/>
  <c r="O184" i="414"/>
  <c r="N184" i="414"/>
  <c r="M184" i="414"/>
  <c r="L184" i="414"/>
  <c r="K184" i="414"/>
  <c r="O183" i="414"/>
  <c r="N183" i="414"/>
  <c r="M183" i="414"/>
  <c r="L183" i="414"/>
  <c r="K183" i="414"/>
  <c r="O182" i="414"/>
  <c r="N182" i="414"/>
  <c r="M182" i="414"/>
  <c r="L182" i="414"/>
  <c r="K182" i="414"/>
  <c r="O181" i="414"/>
  <c r="N181" i="414"/>
  <c r="M181" i="414"/>
  <c r="L181" i="414"/>
  <c r="K181" i="414"/>
  <c r="O180" i="414"/>
  <c r="N180" i="414"/>
  <c r="M180" i="414"/>
  <c r="L180" i="414"/>
  <c r="K180" i="414"/>
  <c r="O179" i="414"/>
  <c r="N179" i="414"/>
  <c r="M179" i="414"/>
  <c r="L179" i="414"/>
  <c r="K179" i="414"/>
  <c r="O178" i="414"/>
  <c r="N178" i="414"/>
  <c r="M178" i="414"/>
  <c r="L178" i="414"/>
  <c r="K178" i="414"/>
  <c r="O177" i="414"/>
  <c r="N177" i="414"/>
  <c r="M177" i="414"/>
  <c r="L177" i="414"/>
  <c r="K177" i="414"/>
  <c r="O176" i="414"/>
  <c r="N176" i="414"/>
  <c r="M176" i="414"/>
  <c r="L176" i="414"/>
  <c r="K176" i="414"/>
  <c r="O175" i="414"/>
  <c r="N175" i="414"/>
  <c r="M175" i="414"/>
  <c r="L175" i="414"/>
  <c r="K175" i="414"/>
  <c r="O174" i="414"/>
  <c r="N174" i="414"/>
  <c r="M174" i="414"/>
  <c r="L174" i="414"/>
  <c r="K174" i="414"/>
  <c r="O173" i="414"/>
  <c r="N173" i="414"/>
  <c r="M173" i="414"/>
  <c r="L173" i="414"/>
  <c r="K173" i="414"/>
  <c r="O172" i="414"/>
  <c r="N172" i="414"/>
  <c r="M172" i="414"/>
  <c r="L172" i="414"/>
  <c r="K172" i="414"/>
  <c r="O171" i="414"/>
  <c r="N171" i="414"/>
  <c r="M171" i="414"/>
  <c r="L171" i="414"/>
  <c r="K171" i="414"/>
  <c r="O170" i="414"/>
  <c r="N170" i="414"/>
  <c r="M170" i="414"/>
  <c r="L170" i="414"/>
  <c r="K170" i="414"/>
  <c r="O169" i="414"/>
  <c r="N169" i="414"/>
  <c r="M169" i="414"/>
  <c r="L169" i="414"/>
  <c r="K169" i="414"/>
  <c r="O168" i="414"/>
  <c r="N168" i="414"/>
  <c r="M168" i="414"/>
  <c r="L168" i="414"/>
  <c r="K168" i="414"/>
  <c r="O167" i="414"/>
  <c r="N167" i="414"/>
  <c r="M167" i="414"/>
  <c r="L167" i="414"/>
  <c r="K167" i="414"/>
  <c r="O166" i="414"/>
  <c r="N166" i="414"/>
  <c r="M166" i="414"/>
  <c r="L166" i="414"/>
  <c r="K166" i="414"/>
  <c r="O165" i="414"/>
  <c r="N165" i="414"/>
  <c r="M165" i="414"/>
  <c r="L165" i="414"/>
  <c r="K165" i="414"/>
  <c r="O164" i="414"/>
  <c r="N164" i="414"/>
  <c r="M164" i="414"/>
  <c r="L164" i="414"/>
  <c r="K164" i="414"/>
  <c r="O163" i="414"/>
  <c r="N163" i="414"/>
  <c r="M163" i="414"/>
  <c r="L163" i="414"/>
  <c r="K163" i="414"/>
  <c r="O162" i="414"/>
  <c r="N162" i="414"/>
  <c r="M162" i="414"/>
  <c r="L162" i="414"/>
  <c r="K162" i="414"/>
  <c r="O161" i="414"/>
  <c r="N161" i="414"/>
  <c r="M161" i="414"/>
  <c r="L161" i="414"/>
  <c r="K161" i="414"/>
  <c r="O160" i="414"/>
  <c r="N160" i="414"/>
  <c r="M160" i="414"/>
  <c r="L160" i="414"/>
  <c r="K160" i="414"/>
  <c r="O159" i="414"/>
  <c r="N159" i="414"/>
  <c r="M159" i="414"/>
  <c r="L159" i="414"/>
  <c r="K159" i="414"/>
  <c r="O158" i="414"/>
  <c r="N158" i="414"/>
  <c r="M158" i="414"/>
  <c r="L158" i="414"/>
  <c r="K158" i="414"/>
  <c r="O157" i="414"/>
  <c r="N157" i="414"/>
  <c r="M157" i="414"/>
  <c r="L157" i="414"/>
  <c r="K157" i="414"/>
  <c r="O156" i="414"/>
  <c r="N156" i="414"/>
  <c r="M156" i="414"/>
  <c r="L156" i="414"/>
  <c r="K156" i="414"/>
  <c r="O155" i="414"/>
  <c r="N155" i="414"/>
  <c r="M155" i="414"/>
  <c r="L155" i="414"/>
  <c r="K155" i="414"/>
  <c r="O154" i="414"/>
  <c r="N154" i="414"/>
  <c r="M154" i="414"/>
  <c r="L154" i="414"/>
  <c r="K154" i="414"/>
  <c r="O153" i="414"/>
  <c r="N153" i="414"/>
  <c r="M153" i="414"/>
  <c r="L153" i="414"/>
  <c r="K153" i="414"/>
  <c r="O152" i="414"/>
  <c r="N152" i="414"/>
  <c r="M152" i="414"/>
  <c r="L152" i="414"/>
  <c r="K152" i="414"/>
  <c r="O151" i="414"/>
  <c r="N151" i="414"/>
  <c r="M151" i="414"/>
  <c r="L151" i="414"/>
  <c r="K151" i="414"/>
  <c r="O150" i="414"/>
  <c r="N150" i="414"/>
  <c r="M150" i="414"/>
  <c r="L150" i="414"/>
  <c r="K150" i="414"/>
  <c r="O149" i="414"/>
  <c r="N149" i="414"/>
  <c r="M149" i="414"/>
  <c r="L149" i="414"/>
  <c r="K149" i="414"/>
  <c r="O148" i="414"/>
  <c r="N148" i="414"/>
  <c r="M148" i="414"/>
  <c r="L148" i="414"/>
  <c r="K148" i="414"/>
  <c r="O147" i="414"/>
  <c r="N147" i="414"/>
  <c r="M147" i="414"/>
  <c r="L147" i="414"/>
  <c r="K147" i="414"/>
  <c r="O146" i="414"/>
  <c r="N146" i="414"/>
  <c r="M146" i="414"/>
  <c r="L146" i="414"/>
  <c r="K146" i="414"/>
  <c r="O145" i="414"/>
  <c r="N145" i="414"/>
  <c r="M145" i="414"/>
  <c r="L145" i="414"/>
  <c r="K145" i="414"/>
  <c r="O144" i="414"/>
  <c r="N144" i="414"/>
  <c r="M144" i="414"/>
  <c r="L144" i="414"/>
  <c r="K144" i="414"/>
  <c r="O143" i="414"/>
  <c r="N143" i="414"/>
  <c r="M143" i="414"/>
  <c r="L143" i="414"/>
  <c r="K143" i="414"/>
  <c r="O142" i="414"/>
  <c r="N142" i="414"/>
  <c r="M142" i="414"/>
  <c r="L142" i="414"/>
  <c r="K142" i="414"/>
  <c r="O141" i="414"/>
  <c r="N141" i="414"/>
  <c r="M141" i="414"/>
  <c r="L141" i="414"/>
  <c r="K141" i="414"/>
  <c r="O140" i="414"/>
  <c r="N140" i="414"/>
  <c r="M140" i="414"/>
  <c r="L140" i="414"/>
  <c r="K140" i="414"/>
  <c r="O139" i="414"/>
  <c r="N139" i="414"/>
  <c r="M139" i="414"/>
  <c r="L139" i="414"/>
  <c r="K139" i="414"/>
  <c r="O138" i="414"/>
  <c r="N138" i="414"/>
  <c r="M138" i="414"/>
  <c r="L138" i="414"/>
  <c r="K138" i="414"/>
  <c r="O137" i="414"/>
  <c r="N137" i="414"/>
  <c r="M137" i="414"/>
  <c r="L137" i="414"/>
  <c r="K137" i="414"/>
  <c r="O136" i="414"/>
  <c r="N136" i="414"/>
  <c r="M136" i="414"/>
  <c r="L136" i="414"/>
  <c r="K136" i="414"/>
  <c r="O135" i="414"/>
  <c r="N135" i="414"/>
  <c r="M135" i="414"/>
  <c r="L135" i="414"/>
  <c r="K135" i="414"/>
  <c r="O134" i="414"/>
  <c r="N134" i="414"/>
  <c r="M134" i="414"/>
  <c r="L134" i="414"/>
  <c r="K134" i="414"/>
  <c r="O133" i="414"/>
  <c r="N133" i="414"/>
  <c r="M133" i="414"/>
  <c r="L133" i="414"/>
  <c r="K133" i="414"/>
  <c r="O132" i="414"/>
  <c r="N132" i="414"/>
  <c r="M132" i="414"/>
  <c r="L132" i="414"/>
  <c r="K132" i="414"/>
  <c r="O131" i="414"/>
  <c r="N131" i="414"/>
  <c r="M131" i="414"/>
  <c r="L131" i="414"/>
  <c r="K131" i="414"/>
  <c r="O130" i="414"/>
  <c r="N130" i="414"/>
  <c r="M130" i="414"/>
  <c r="L130" i="414"/>
  <c r="K130" i="414"/>
  <c r="O129" i="414"/>
  <c r="N129" i="414"/>
  <c r="M129" i="414"/>
  <c r="L129" i="414"/>
  <c r="K129" i="414"/>
  <c r="O128" i="414"/>
  <c r="N128" i="414"/>
  <c r="M128" i="414"/>
  <c r="L128" i="414"/>
  <c r="K128" i="414"/>
  <c r="O127" i="414"/>
  <c r="N127" i="414"/>
  <c r="M127" i="414"/>
  <c r="L127" i="414"/>
  <c r="K127" i="414"/>
  <c r="O126" i="414"/>
  <c r="N126" i="414"/>
  <c r="M126" i="414"/>
  <c r="L126" i="414"/>
  <c r="K126" i="414"/>
  <c r="O125" i="414"/>
  <c r="N125" i="414"/>
  <c r="M125" i="414"/>
  <c r="L125" i="414"/>
  <c r="K125" i="414"/>
  <c r="O124" i="414"/>
  <c r="N124" i="414"/>
  <c r="M124" i="414"/>
  <c r="L124" i="414"/>
  <c r="K124" i="414"/>
  <c r="O123" i="414"/>
  <c r="N123" i="414"/>
  <c r="M123" i="414"/>
  <c r="L123" i="414"/>
  <c r="K123" i="414"/>
  <c r="O122" i="414"/>
  <c r="N122" i="414"/>
  <c r="M122" i="414"/>
  <c r="L122" i="414"/>
  <c r="K122" i="414"/>
  <c r="O121" i="414"/>
  <c r="N121" i="414"/>
  <c r="M121" i="414"/>
  <c r="L121" i="414"/>
  <c r="K121" i="414"/>
  <c r="O120" i="414"/>
  <c r="N120" i="414"/>
  <c r="M120" i="414"/>
  <c r="L120" i="414"/>
  <c r="K120" i="414"/>
  <c r="O119" i="414"/>
  <c r="N119" i="414"/>
  <c r="M119" i="414"/>
  <c r="L119" i="414"/>
  <c r="K119" i="414"/>
  <c r="O118" i="414"/>
  <c r="N118" i="414"/>
  <c r="M118" i="414"/>
  <c r="L118" i="414"/>
  <c r="K118" i="414"/>
  <c r="O117" i="414"/>
  <c r="N117" i="414"/>
  <c r="M117" i="414"/>
  <c r="L117" i="414"/>
  <c r="K117" i="414"/>
  <c r="O116" i="414"/>
  <c r="N116" i="414"/>
  <c r="M116" i="414"/>
  <c r="L116" i="414"/>
  <c r="K116" i="414"/>
  <c r="O115" i="414"/>
  <c r="N115" i="414"/>
  <c r="M115" i="414"/>
  <c r="L115" i="414"/>
  <c r="K115" i="414"/>
  <c r="O114" i="414"/>
  <c r="N114" i="414"/>
  <c r="M114" i="414"/>
  <c r="L114" i="414"/>
  <c r="K114" i="414"/>
  <c r="O113" i="414"/>
  <c r="N113" i="414"/>
  <c r="M113" i="414"/>
  <c r="L113" i="414"/>
  <c r="K113" i="414"/>
  <c r="O112" i="414"/>
  <c r="N112" i="414"/>
  <c r="M112" i="414"/>
  <c r="L112" i="414"/>
  <c r="K112" i="414"/>
  <c r="O111" i="414"/>
  <c r="N111" i="414"/>
  <c r="M111" i="414"/>
  <c r="L111" i="414"/>
  <c r="K111" i="414"/>
  <c r="O110" i="414"/>
  <c r="N110" i="414"/>
  <c r="M110" i="414"/>
  <c r="L110" i="414"/>
  <c r="K110" i="414"/>
  <c r="O109" i="414"/>
  <c r="N109" i="414"/>
  <c r="M109" i="414"/>
  <c r="L109" i="414"/>
  <c r="K109" i="414"/>
  <c r="O108" i="414"/>
  <c r="N108" i="414"/>
  <c r="M108" i="414"/>
  <c r="L108" i="414"/>
  <c r="K108" i="414"/>
  <c r="O107" i="414"/>
  <c r="N107" i="414"/>
  <c r="M107" i="414"/>
  <c r="L107" i="414"/>
  <c r="K107" i="414"/>
  <c r="O106" i="414"/>
  <c r="N106" i="414"/>
  <c r="M106" i="414"/>
  <c r="L106" i="414"/>
  <c r="K106" i="414"/>
  <c r="O105" i="414"/>
  <c r="N105" i="414"/>
  <c r="M105" i="414"/>
  <c r="L105" i="414"/>
  <c r="K105" i="414"/>
  <c r="O104" i="414"/>
  <c r="N104" i="414"/>
  <c r="M104" i="414"/>
  <c r="L104" i="414"/>
  <c r="K104" i="414"/>
  <c r="O103" i="414"/>
  <c r="N103" i="414"/>
  <c r="M103" i="414"/>
  <c r="L103" i="414"/>
  <c r="K103" i="414"/>
  <c r="O102" i="414"/>
  <c r="N102" i="414"/>
  <c r="M102" i="414"/>
  <c r="L102" i="414"/>
  <c r="K102" i="414"/>
  <c r="O101" i="414"/>
  <c r="N101" i="414"/>
  <c r="M101" i="414"/>
  <c r="L101" i="414"/>
  <c r="K101" i="414"/>
  <c r="O100" i="414"/>
  <c r="N100" i="414"/>
  <c r="M100" i="414"/>
  <c r="L100" i="414"/>
  <c r="K100" i="414"/>
  <c r="O99" i="414"/>
  <c r="N99" i="414"/>
  <c r="M99" i="414"/>
  <c r="L99" i="414"/>
  <c r="K99" i="414"/>
  <c r="O98" i="414"/>
  <c r="N98" i="414"/>
  <c r="M98" i="414"/>
  <c r="L98" i="414"/>
  <c r="K98" i="414"/>
  <c r="O97" i="414"/>
  <c r="N97" i="414"/>
  <c r="M97" i="414"/>
  <c r="L97" i="414"/>
  <c r="K97" i="414"/>
  <c r="O96" i="414"/>
  <c r="N96" i="414"/>
  <c r="M96" i="414"/>
  <c r="L96" i="414"/>
  <c r="K96" i="414"/>
  <c r="O95" i="414"/>
  <c r="N95" i="414"/>
  <c r="M95" i="414"/>
  <c r="L95" i="414"/>
  <c r="K95" i="414"/>
  <c r="O94" i="414"/>
  <c r="N94" i="414"/>
  <c r="M94" i="414"/>
  <c r="L94" i="414"/>
  <c r="K94" i="414"/>
  <c r="O93" i="414"/>
  <c r="N93" i="414"/>
  <c r="M93" i="414"/>
  <c r="L93" i="414"/>
  <c r="K93" i="414"/>
  <c r="O92" i="414"/>
  <c r="N92" i="414"/>
  <c r="M92" i="414"/>
  <c r="L92" i="414"/>
  <c r="K92" i="414"/>
  <c r="O91" i="414"/>
  <c r="N91" i="414"/>
  <c r="M91" i="414"/>
  <c r="L91" i="414"/>
  <c r="K91" i="414"/>
  <c r="O90" i="414"/>
  <c r="N90" i="414"/>
  <c r="M90" i="414"/>
  <c r="L90" i="414"/>
  <c r="K90" i="414"/>
  <c r="O89" i="414"/>
  <c r="N89" i="414"/>
  <c r="M89" i="414"/>
  <c r="L89" i="414"/>
  <c r="K89" i="414"/>
  <c r="O88" i="414"/>
  <c r="N88" i="414"/>
  <c r="M88" i="414"/>
  <c r="L88" i="414"/>
  <c r="K88" i="414"/>
  <c r="O87" i="414"/>
  <c r="N87" i="414"/>
  <c r="M87" i="414"/>
  <c r="L87" i="414"/>
  <c r="K87" i="414"/>
  <c r="O86" i="414"/>
  <c r="N86" i="414"/>
  <c r="M86" i="414"/>
  <c r="L86" i="414"/>
  <c r="K86" i="414"/>
  <c r="O85" i="414"/>
  <c r="N85" i="414"/>
  <c r="M85" i="414"/>
  <c r="L85" i="414"/>
  <c r="K85" i="414"/>
  <c r="O84" i="414"/>
  <c r="N84" i="414"/>
  <c r="M84" i="414"/>
  <c r="L84" i="414"/>
  <c r="K84" i="414"/>
  <c r="O83" i="414"/>
  <c r="N83" i="414"/>
  <c r="M83" i="414"/>
  <c r="L83" i="414"/>
  <c r="K83" i="414"/>
  <c r="O82" i="414"/>
  <c r="N82" i="414"/>
  <c r="M82" i="414"/>
  <c r="L82" i="414"/>
  <c r="K82" i="414"/>
  <c r="O81" i="414"/>
  <c r="N81" i="414"/>
  <c r="M81" i="414"/>
  <c r="L81" i="414"/>
  <c r="K81" i="414"/>
  <c r="O80" i="414"/>
  <c r="N80" i="414"/>
  <c r="M80" i="414"/>
  <c r="L80" i="414"/>
  <c r="K80" i="414"/>
  <c r="O79" i="414"/>
  <c r="N79" i="414"/>
  <c r="M79" i="414"/>
  <c r="L79" i="414"/>
  <c r="K79" i="414"/>
  <c r="O78" i="414"/>
  <c r="N78" i="414"/>
  <c r="M78" i="414"/>
  <c r="L78" i="414"/>
  <c r="K78" i="414"/>
  <c r="O77" i="414"/>
  <c r="N77" i="414"/>
  <c r="M77" i="414"/>
  <c r="L77" i="414"/>
  <c r="K77" i="414"/>
  <c r="O76" i="414"/>
  <c r="N76" i="414"/>
  <c r="M76" i="414"/>
  <c r="L76" i="414"/>
  <c r="K76" i="414"/>
  <c r="O75" i="414"/>
  <c r="N75" i="414"/>
  <c r="M75" i="414"/>
  <c r="L75" i="414"/>
  <c r="K75" i="414"/>
  <c r="O74" i="414"/>
  <c r="N74" i="414"/>
  <c r="M74" i="414"/>
  <c r="L74" i="414"/>
  <c r="K74" i="414"/>
  <c r="O73" i="414"/>
  <c r="N73" i="414"/>
  <c r="M73" i="414"/>
  <c r="L73" i="414"/>
  <c r="K73" i="414"/>
  <c r="O72" i="414"/>
  <c r="N72" i="414"/>
  <c r="M72" i="414"/>
  <c r="L72" i="414"/>
  <c r="K72" i="414"/>
  <c r="O71" i="414"/>
  <c r="N71" i="414"/>
  <c r="M71" i="414"/>
  <c r="L71" i="414"/>
  <c r="K71" i="414"/>
  <c r="O70" i="414"/>
  <c r="N70" i="414"/>
  <c r="M70" i="414"/>
  <c r="L70" i="414"/>
  <c r="K70" i="414"/>
  <c r="O69" i="414"/>
  <c r="N69" i="414"/>
  <c r="M69" i="414"/>
  <c r="L69" i="414"/>
  <c r="K69" i="414"/>
  <c r="O68" i="414"/>
  <c r="N68" i="414"/>
  <c r="M68" i="414"/>
  <c r="L68" i="414"/>
  <c r="K68" i="414"/>
  <c r="O67" i="414"/>
  <c r="N67" i="414"/>
  <c r="M67" i="414"/>
  <c r="L67" i="414"/>
  <c r="K67" i="414"/>
  <c r="O66" i="414"/>
  <c r="N66" i="414"/>
  <c r="M66" i="414"/>
  <c r="L66" i="414"/>
  <c r="K66" i="414"/>
  <c r="O65" i="414"/>
  <c r="N65" i="414"/>
  <c r="M65" i="414"/>
  <c r="L65" i="414"/>
  <c r="K65" i="414"/>
  <c r="O64" i="414"/>
  <c r="N64" i="414"/>
  <c r="M64" i="414"/>
  <c r="L64" i="414"/>
  <c r="K64" i="414"/>
  <c r="O63" i="414"/>
  <c r="N63" i="414"/>
  <c r="M63" i="414"/>
  <c r="L63" i="414"/>
  <c r="K63" i="414"/>
  <c r="O62" i="414"/>
  <c r="N62" i="414"/>
  <c r="M62" i="414"/>
  <c r="L62" i="414"/>
  <c r="K62" i="414"/>
  <c r="O61" i="414"/>
  <c r="N61" i="414"/>
  <c r="M61" i="414"/>
  <c r="L61" i="414"/>
  <c r="K61" i="414"/>
  <c r="O60" i="414"/>
  <c r="N60" i="414"/>
  <c r="M60" i="414"/>
  <c r="L60" i="414"/>
  <c r="K60" i="414"/>
  <c r="O59" i="414"/>
  <c r="N59" i="414"/>
  <c r="M59" i="414"/>
  <c r="L59" i="414"/>
  <c r="K59" i="414"/>
  <c r="O58" i="414"/>
  <c r="N58" i="414"/>
  <c r="M58" i="414"/>
  <c r="L58" i="414"/>
  <c r="K58" i="414"/>
  <c r="O57" i="414"/>
  <c r="N57" i="414"/>
  <c r="M57" i="414"/>
  <c r="L57" i="414"/>
  <c r="K57" i="414"/>
  <c r="O56" i="414"/>
  <c r="N56" i="414"/>
  <c r="M56" i="414"/>
  <c r="L56" i="414"/>
  <c r="K56" i="414"/>
  <c r="O55" i="414"/>
  <c r="N55" i="414"/>
  <c r="M55" i="414"/>
  <c r="L55" i="414"/>
  <c r="K55" i="414"/>
  <c r="O54" i="414"/>
  <c r="N54" i="414"/>
  <c r="M54" i="414"/>
  <c r="L54" i="414"/>
  <c r="K54" i="414"/>
  <c r="O53" i="414"/>
  <c r="N53" i="414"/>
  <c r="M53" i="414"/>
  <c r="L53" i="414"/>
  <c r="K53" i="414"/>
  <c r="O52" i="414"/>
  <c r="N52" i="414"/>
  <c r="M52" i="414"/>
  <c r="L52" i="414"/>
  <c r="K52" i="414"/>
  <c r="O51" i="414"/>
  <c r="N51" i="414"/>
  <c r="M51" i="414"/>
  <c r="L51" i="414"/>
  <c r="K51" i="414"/>
  <c r="O50" i="414"/>
  <c r="N50" i="414"/>
  <c r="M50" i="414"/>
  <c r="L50" i="414"/>
  <c r="K50" i="414"/>
  <c r="O49" i="414"/>
  <c r="N49" i="414"/>
  <c r="M49" i="414"/>
  <c r="L49" i="414"/>
  <c r="K49" i="414"/>
  <c r="O48" i="414"/>
  <c r="N48" i="414"/>
  <c r="M48" i="414"/>
  <c r="L48" i="414"/>
  <c r="K48" i="414"/>
  <c r="O47" i="414"/>
  <c r="N47" i="414"/>
  <c r="M47" i="414"/>
  <c r="L47" i="414"/>
  <c r="K47" i="414"/>
  <c r="O46" i="414"/>
  <c r="N46" i="414"/>
  <c r="M46" i="414"/>
  <c r="L46" i="414"/>
  <c r="K46" i="414"/>
  <c r="O45" i="414"/>
  <c r="N45" i="414"/>
  <c r="M45" i="414"/>
  <c r="L45" i="414"/>
  <c r="K45" i="414"/>
  <c r="O44" i="414"/>
  <c r="N44" i="414"/>
  <c r="M44" i="414"/>
  <c r="L44" i="414"/>
  <c r="K44" i="414"/>
  <c r="O43" i="414"/>
  <c r="N43" i="414"/>
  <c r="M43" i="414"/>
  <c r="L43" i="414"/>
  <c r="K43" i="414"/>
  <c r="O42" i="414"/>
  <c r="N42" i="414"/>
  <c r="M42" i="414"/>
  <c r="L42" i="414"/>
  <c r="K42" i="414"/>
  <c r="O41" i="414"/>
  <c r="N41" i="414"/>
  <c r="M41" i="414"/>
  <c r="L41" i="414"/>
  <c r="K41" i="414"/>
  <c r="O40" i="414"/>
  <c r="N40" i="414"/>
  <c r="M40" i="414"/>
  <c r="L40" i="414"/>
  <c r="K40" i="414"/>
  <c r="O39" i="414"/>
  <c r="N39" i="414"/>
  <c r="M39" i="414"/>
  <c r="L39" i="414"/>
  <c r="K39" i="414"/>
  <c r="O38" i="414"/>
  <c r="N38" i="414"/>
  <c r="M38" i="414"/>
  <c r="L38" i="414"/>
  <c r="K38" i="414"/>
  <c r="O37" i="414"/>
  <c r="N37" i="414"/>
  <c r="M37" i="414"/>
  <c r="L37" i="414"/>
  <c r="K37" i="414"/>
  <c r="O36" i="414"/>
  <c r="N36" i="414"/>
  <c r="M36" i="414"/>
  <c r="L36" i="414"/>
  <c r="K36" i="414"/>
  <c r="O35" i="414"/>
  <c r="N35" i="414"/>
  <c r="M35" i="414"/>
  <c r="L35" i="414"/>
  <c r="K35" i="414"/>
  <c r="O34" i="414"/>
  <c r="N34" i="414"/>
  <c r="M34" i="414"/>
  <c r="L34" i="414"/>
  <c r="K34" i="414"/>
  <c r="O33" i="414"/>
  <c r="N33" i="414"/>
  <c r="M33" i="414"/>
  <c r="L33" i="414"/>
  <c r="K33" i="414"/>
  <c r="O32" i="414"/>
  <c r="N32" i="414"/>
  <c r="M32" i="414"/>
  <c r="L32" i="414"/>
  <c r="K32" i="414"/>
  <c r="O31" i="414"/>
  <c r="N31" i="414"/>
  <c r="M31" i="414"/>
  <c r="L31" i="414"/>
  <c r="K31" i="414"/>
  <c r="O30" i="414"/>
  <c r="N30" i="414"/>
  <c r="M30" i="414"/>
  <c r="L30" i="414"/>
  <c r="K30" i="414"/>
  <c r="O29" i="414"/>
  <c r="N29" i="414"/>
  <c r="M29" i="414"/>
  <c r="L29" i="414"/>
  <c r="K29" i="414"/>
  <c r="O28" i="414"/>
  <c r="N28" i="414"/>
  <c r="M28" i="414"/>
  <c r="L28" i="414"/>
  <c r="K28" i="414"/>
  <c r="O27" i="414"/>
  <c r="N27" i="414"/>
  <c r="M27" i="414"/>
  <c r="L27" i="414"/>
  <c r="K27" i="414"/>
  <c r="O26" i="414"/>
  <c r="N26" i="414"/>
  <c r="M26" i="414"/>
  <c r="L26" i="414"/>
  <c r="K26" i="414"/>
  <c r="O25" i="414"/>
  <c r="N25" i="414"/>
  <c r="M25" i="414"/>
  <c r="L25" i="414"/>
  <c r="K25" i="414"/>
  <c r="O24" i="414"/>
  <c r="N24" i="414"/>
  <c r="M24" i="414"/>
  <c r="L24" i="414"/>
  <c r="K24" i="414"/>
  <c r="O23" i="414"/>
  <c r="N23" i="414"/>
  <c r="M23" i="414"/>
  <c r="L23" i="414"/>
  <c r="K23" i="414"/>
  <c r="O22" i="414"/>
  <c r="N22" i="414"/>
  <c r="M22" i="414"/>
  <c r="L22" i="414"/>
  <c r="K22" i="414"/>
  <c r="O21" i="414"/>
  <c r="N21" i="414"/>
  <c r="M21" i="414"/>
  <c r="L21" i="414"/>
  <c r="K21" i="414"/>
  <c r="O20" i="414"/>
  <c r="N20" i="414"/>
  <c r="M20" i="414"/>
  <c r="L20" i="414"/>
  <c r="K20" i="414"/>
  <c r="O19" i="414"/>
  <c r="N19" i="414"/>
  <c r="M19" i="414"/>
  <c r="L19" i="414"/>
  <c r="K19" i="414"/>
  <c r="O18" i="414"/>
  <c r="N18" i="414"/>
  <c r="M18" i="414"/>
  <c r="L18" i="414"/>
  <c r="K18" i="414"/>
  <c r="O17" i="414"/>
  <c r="N17" i="414"/>
  <c r="M17" i="414"/>
  <c r="L17" i="414"/>
  <c r="K17" i="414"/>
  <c r="O16" i="414"/>
  <c r="N16" i="414"/>
  <c r="M16" i="414"/>
  <c r="L16" i="414"/>
  <c r="K16" i="414"/>
  <c r="O15" i="414"/>
  <c r="N15" i="414"/>
  <c r="M15" i="414"/>
  <c r="L15" i="414"/>
  <c r="K15" i="414"/>
  <c r="O14" i="414"/>
  <c r="N14" i="414"/>
  <c r="M14" i="414"/>
  <c r="L14" i="414"/>
  <c r="K14" i="414"/>
  <c r="O13" i="414"/>
  <c r="N13" i="414"/>
  <c r="M13" i="414"/>
  <c r="L13" i="414"/>
  <c r="K13" i="414"/>
  <c r="O12" i="414"/>
  <c r="N12" i="414"/>
  <c r="M12" i="414"/>
  <c r="L12" i="414"/>
  <c r="K12" i="414"/>
  <c r="O11" i="414"/>
  <c r="N11" i="414"/>
  <c r="M11" i="414"/>
  <c r="L11" i="414"/>
  <c r="K11" i="414"/>
  <c r="O10" i="414"/>
  <c r="N10" i="414"/>
  <c r="M10" i="414"/>
  <c r="L10" i="414"/>
  <c r="K10" i="414"/>
  <c r="O9" i="414"/>
  <c r="N9" i="414"/>
  <c r="M9" i="414"/>
  <c r="L9" i="414"/>
  <c r="K9" i="414"/>
  <c r="O8" i="414"/>
  <c r="N8" i="414"/>
  <c r="M8" i="414"/>
  <c r="L8" i="414"/>
  <c r="K8" i="414"/>
  <c r="O7" i="414"/>
  <c r="N7" i="414"/>
  <c r="M7" i="414"/>
  <c r="L7" i="414"/>
  <c r="K7" i="414"/>
  <c r="O6" i="414"/>
  <c r="N6" i="414"/>
  <c r="M6" i="414"/>
  <c r="L6" i="414"/>
  <c r="K6" i="414"/>
  <c r="O5" i="414"/>
  <c r="N5" i="414"/>
  <c r="M5" i="414"/>
  <c r="L5" i="414"/>
  <c r="K5" i="414"/>
  <c r="O4" i="414"/>
  <c r="N4" i="414"/>
  <c r="M4" i="414"/>
  <c r="L4" i="414"/>
  <c r="K4" i="414"/>
  <c r="O3" i="414"/>
  <c r="N3" i="414"/>
  <c r="M3" i="414"/>
  <c r="L3" i="414"/>
  <c r="K3" i="414"/>
  <c r="O2" i="414"/>
  <c r="N2" i="414"/>
  <c r="M2" i="414"/>
  <c r="L2" i="414"/>
  <c r="C51" i="415" s="1"/>
  <c r="K2" i="414"/>
  <c r="O397" i="384"/>
  <c r="N397" i="384"/>
  <c r="M397" i="384"/>
  <c r="L397" i="384"/>
  <c r="K397" i="384"/>
  <c r="O396" i="384"/>
  <c r="N396" i="384"/>
  <c r="M396" i="384"/>
  <c r="L396" i="384"/>
  <c r="K396" i="384"/>
  <c r="O395" i="384"/>
  <c r="N395" i="384"/>
  <c r="M395" i="384"/>
  <c r="L395" i="384"/>
  <c r="K395" i="384"/>
  <c r="O394" i="384"/>
  <c r="N394" i="384"/>
  <c r="M394" i="384"/>
  <c r="L394" i="384"/>
  <c r="K394" i="384"/>
  <c r="O393" i="384"/>
  <c r="N393" i="384"/>
  <c r="M393" i="384"/>
  <c r="L393" i="384"/>
  <c r="K393" i="384"/>
  <c r="O392" i="384"/>
  <c r="N392" i="384"/>
  <c r="M392" i="384"/>
  <c r="L392" i="384"/>
  <c r="K392" i="384"/>
  <c r="O391" i="384"/>
  <c r="N391" i="384"/>
  <c r="M391" i="384"/>
  <c r="L391" i="384"/>
  <c r="K391" i="384"/>
  <c r="O390" i="384"/>
  <c r="N390" i="384"/>
  <c r="M390" i="384"/>
  <c r="L390" i="384"/>
  <c r="K390" i="384"/>
  <c r="O389" i="384"/>
  <c r="N389" i="384"/>
  <c r="M389" i="384"/>
  <c r="L389" i="384"/>
  <c r="K389" i="384"/>
  <c r="O388" i="384"/>
  <c r="N388" i="384"/>
  <c r="M388" i="384"/>
  <c r="L388" i="384"/>
  <c r="K388" i="384"/>
  <c r="O387" i="384"/>
  <c r="N387" i="384"/>
  <c r="M387" i="384"/>
  <c r="L387" i="384"/>
  <c r="K387" i="384"/>
  <c r="O386" i="384"/>
  <c r="N386" i="384"/>
  <c r="M386" i="384"/>
  <c r="L386" i="384"/>
  <c r="K386" i="384"/>
  <c r="O385" i="384"/>
  <c r="N385" i="384"/>
  <c r="M385" i="384"/>
  <c r="L385" i="384"/>
  <c r="K385" i="384"/>
  <c r="O384" i="384"/>
  <c r="N384" i="384"/>
  <c r="M384" i="384"/>
  <c r="L384" i="384"/>
  <c r="K384" i="384"/>
  <c r="O383" i="384"/>
  <c r="N383" i="384"/>
  <c r="M383" i="384"/>
  <c r="L383" i="384"/>
  <c r="K383" i="384"/>
  <c r="O382" i="384"/>
  <c r="N382" i="384"/>
  <c r="M382" i="384"/>
  <c r="L382" i="384"/>
  <c r="K382" i="384"/>
  <c r="O381" i="384"/>
  <c r="N381" i="384"/>
  <c r="M381" i="384"/>
  <c r="L381" i="384"/>
  <c r="K381" i="384"/>
  <c r="O380" i="384"/>
  <c r="N380" i="384"/>
  <c r="M380" i="384"/>
  <c r="L380" i="384"/>
  <c r="K380" i="384"/>
  <c r="O379" i="384"/>
  <c r="N379" i="384"/>
  <c r="M379" i="384"/>
  <c r="L379" i="384"/>
  <c r="K379" i="384"/>
  <c r="O378" i="384"/>
  <c r="N378" i="384"/>
  <c r="M378" i="384"/>
  <c r="L378" i="384"/>
  <c r="K378" i="384"/>
  <c r="O377" i="384"/>
  <c r="N377" i="384"/>
  <c r="M377" i="384"/>
  <c r="L377" i="384"/>
  <c r="K377" i="384"/>
  <c r="O376" i="384"/>
  <c r="N376" i="384"/>
  <c r="M376" i="384"/>
  <c r="L376" i="384"/>
  <c r="K376" i="384"/>
  <c r="O375" i="384"/>
  <c r="N375" i="384"/>
  <c r="M375" i="384"/>
  <c r="L375" i="384"/>
  <c r="K375" i="384"/>
  <c r="O374" i="384"/>
  <c r="N374" i="384"/>
  <c r="M374" i="384"/>
  <c r="L374" i="384"/>
  <c r="K374" i="384"/>
  <c r="O373" i="384"/>
  <c r="N373" i="384"/>
  <c r="M373" i="384"/>
  <c r="L373" i="384"/>
  <c r="K373" i="384"/>
  <c r="O372" i="384"/>
  <c r="N372" i="384"/>
  <c r="M372" i="384"/>
  <c r="L372" i="384"/>
  <c r="K372" i="384"/>
  <c r="O371" i="384"/>
  <c r="N371" i="384"/>
  <c r="M371" i="384"/>
  <c r="L371" i="384"/>
  <c r="K371" i="384"/>
  <c r="O370" i="384"/>
  <c r="N370" i="384"/>
  <c r="M370" i="384"/>
  <c r="L370" i="384"/>
  <c r="K370" i="384"/>
  <c r="O369" i="384"/>
  <c r="N369" i="384"/>
  <c r="M369" i="384"/>
  <c r="L369" i="384"/>
  <c r="K369" i="384"/>
  <c r="O368" i="384"/>
  <c r="N368" i="384"/>
  <c r="M368" i="384"/>
  <c r="L368" i="384"/>
  <c r="K368" i="384"/>
  <c r="O367" i="384"/>
  <c r="N367" i="384"/>
  <c r="M367" i="384"/>
  <c r="L367" i="384"/>
  <c r="K367" i="384"/>
  <c r="O366" i="384"/>
  <c r="N366" i="384"/>
  <c r="M366" i="384"/>
  <c r="L366" i="384"/>
  <c r="K366" i="384"/>
  <c r="O365" i="384"/>
  <c r="N365" i="384"/>
  <c r="M365" i="384"/>
  <c r="L365" i="384"/>
  <c r="K365" i="384"/>
  <c r="O364" i="384"/>
  <c r="N364" i="384"/>
  <c r="M364" i="384"/>
  <c r="L364" i="384"/>
  <c r="K364" i="384"/>
  <c r="O363" i="384"/>
  <c r="N363" i="384"/>
  <c r="M363" i="384"/>
  <c r="L363" i="384"/>
  <c r="K363" i="384"/>
  <c r="O362" i="384"/>
  <c r="N362" i="384"/>
  <c r="M362" i="384"/>
  <c r="L362" i="384"/>
  <c r="K362" i="384"/>
  <c r="O361" i="384"/>
  <c r="N361" i="384"/>
  <c r="M361" i="384"/>
  <c r="L361" i="384"/>
  <c r="K361" i="384"/>
  <c r="O360" i="384"/>
  <c r="N360" i="384"/>
  <c r="M360" i="384"/>
  <c r="L360" i="384"/>
  <c r="K360" i="384"/>
  <c r="O359" i="384"/>
  <c r="N359" i="384"/>
  <c r="M359" i="384"/>
  <c r="L359" i="384"/>
  <c r="K359" i="384"/>
  <c r="O358" i="384"/>
  <c r="N358" i="384"/>
  <c r="M358" i="384"/>
  <c r="L358" i="384"/>
  <c r="K358" i="384"/>
  <c r="O357" i="384"/>
  <c r="N357" i="384"/>
  <c r="M357" i="384"/>
  <c r="L357" i="384"/>
  <c r="K357" i="384"/>
  <c r="O356" i="384"/>
  <c r="N356" i="384"/>
  <c r="M356" i="384"/>
  <c r="L356" i="384"/>
  <c r="K356" i="384"/>
  <c r="O355" i="384"/>
  <c r="N355" i="384"/>
  <c r="M355" i="384"/>
  <c r="L355" i="384"/>
  <c r="K355" i="384"/>
  <c r="O354" i="384"/>
  <c r="N354" i="384"/>
  <c r="M354" i="384"/>
  <c r="L354" i="384"/>
  <c r="K354" i="384"/>
  <c r="O353" i="384"/>
  <c r="N353" i="384"/>
  <c r="M353" i="384"/>
  <c r="L353" i="384"/>
  <c r="K353" i="384"/>
  <c r="O352" i="384"/>
  <c r="N352" i="384"/>
  <c r="M352" i="384"/>
  <c r="L352" i="384"/>
  <c r="K352" i="384"/>
  <c r="O351" i="384"/>
  <c r="N351" i="384"/>
  <c r="M351" i="384"/>
  <c r="L351" i="384"/>
  <c r="K351" i="384"/>
  <c r="O350" i="384"/>
  <c r="N350" i="384"/>
  <c r="M350" i="384"/>
  <c r="L350" i="384"/>
  <c r="K350" i="384"/>
  <c r="O349" i="384"/>
  <c r="N349" i="384"/>
  <c r="M349" i="384"/>
  <c r="L349" i="384"/>
  <c r="K349" i="384"/>
  <c r="O348" i="384"/>
  <c r="N348" i="384"/>
  <c r="M348" i="384"/>
  <c r="L348" i="384"/>
  <c r="K348" i="384"/>
  <c r="O347" i="384"/>
  <c r="N347" i="384"/>
  <c r="M347" i="384"/>
  <c r="L347" i="384"/>
  <c r="K347" i="384"/>
  <c r="O346" i="384"/>
  <c r="N346" i="384"/>
  <c r="M346" i="384"/>
  <c r="L346" i="384"/>
  <c r="K346" i="384"/>
  <c r="O345" i="384"/>
  <c r="N345" i="384"/>
  <c r="M345" i="384"/>
  <c r="L345" i="384"/>
  <c r="K345" i="384"/>
  <c r="O344" i="384"/>
  <c r="N344" i="384"/>
  <c r="M344" i="384"/>
  <c r="L344" i="384"/>
  <c r="K344" i="384"/>
  <c r="O343" i="384"/>
  <c r="N343" i="384"/>
  <c r="M343" i="384"/>
  <c r="L343" i="384"/>
  <c r="K343" i="384"/>
  <c r="O342" i="384"/>
  <c r="N342" i="384"/>
  <c r="M342" i="384"/>
  <c r="L342" i="384"/>
  <c r="K342" i="384"/>
  <c r="O341" i="384"/>
  <c r="N341" i="384"/>
  <c r="M341" i="384"/>
  <c r="L341" i="384"/>
  <c r="K341" i="384"/>
  <c r="O340" i="384"/>
  <c r="N340" i="384"/>
  <c r="M340" i="384"/>
  <c r="L340" i="384"/>
  <c r="K340" i="384"/>
  <c r="O339" i="384"/>
  <c r="N339" i="384"/>
  <c r="M339" i="384"/>
  <c r="L339" i="384"/>
  <c r="K339" i="384"/>
  <c r="O338" i="384"/>
  <c r="N338" i="384"/>
  <c r="M338" i="384"/>
  <c r="L338" i="384"/>
  <c r="K338" i="384"/>
  <c r="O337" i="384"/>
  <c r="N337" i="384"/>
  <c r="M337" i="384"/>
  <c r="L337" i="384"/>
  <c r="K337" i="384"/>
  <c r="O336" i="384"/>
  <c r="N336" i="384"/>
  <c r="M336" i="384"/>
  <c r="L336" i="384"/>
  <c r="K336" i="384"/>
  <c r="O335" i="384"/>
  <c r="N335" i="384"/>
  <c r="M335" i="384"/>
  <c r="L335" i="384"/>
  <c r="K335" i="384"/>
  <c r="O334" i="384"/>
  <c r="N334" i="384"/>
  <c r="M334" i="384"/>
  <c r="L334" i="384"/>
  <c r="K334" i="384"/>
  <c r="O333" i="384"/>
  <c r="N333" i="384"/>
  <c r="M333" i="384"/>
  <c r="L333" i="384"/>
  <c r="K333" i="384"/>
  <c r="O332" i="384"/>
  <c r="N332" i="384"/>
  <c r="M332" i="384"/>
  <c r="L332" i="384"/>
  <c r="K332" i="384"/>
  <c r="O331" i="384"/>
  <c r="N331" i="384"/>
  <c r="M331" i="384"/>
  <c r="L331" i="384"/>
  <c r="K331" i="384"/>
  <c r="O330" i="384"/>
  <c r="N330" i="384"/>
  <c r="M330" i="384"/>
  <c r="L330" i="384"/>
  <c r="K330" i="384"/>
  <c r="O329" i="384"/>
  <c r="N329" i="384"/>
  <c r="M329" i="384"/>
  <c r="L329" i="384"/>
  <c r="K329" i="384"/>
  <c r="O328" i="384"/>
  <c r="N328" i="384"/>
  <c r="M328" i="384"/>
  <c r="L328" i="384"/>
  <c r="K328" i="384"/>
  <c r="O327" i="384"/>
  <c r="N327" i="384"/>
  <c r="M327" i="384"/>
  <c r="L327" i="384"/>
  <c r="K327" i="384"/>
  <c r="O326" i="384"/>
  <c r="N326" i="384"/>
  <c r="M326" i="384"/>
  <c r="L326" i="384"/>
  <c r="K326" i="384"/>
  <c r="O325" i="384"/>
  <c r="N325" i="384"/>
  <c r="M325" i="384"/>
  <c r="L325" i="384"/>
  <c r="K325" i="384"/>
  <c r="O324" i="384"/>
  <c r="N324" i="384"/>
  <c r="M324" i="384"/>
  <c r="L324" i="384"/>
  <c r="K324" i="384"/>
  <c r="O323" i="384"/>
  <c r="N323" i="384"/>
  <c r="M323" i="384"/>
  <c r="L323" i="384"/>
  <c r="K323" i="384"/>
  <c r="O322" i="384"/>
  <c r="N322" i="384"/>
  <c r="M322" i="384"/>
  <c r="L322" i="384"/>
  <c r="K322" i="384"/>
  <c r="O321" i="384"/>
  <c r="N321" i="384"/>
  <c r="M321" i="384"/>
  <c r="L321" i="384"/>
  <c r="K321" i="384"/>
  <c r="O320" i="384"/>
  <c r="N320" i="384"/>
  <c r="M320" i="384"/>
  <c r="L320" i="384"/>
  <c r="K320" i="384"/>
  <c r="O319" i="384"/>
  <c r="N319" i="384"/>
  <c r="M319" i="384"/>
  <c r="L319" i="384"/>
  <c r="K319" i="384"/>
  <c r="O318" i="384"/>
  <c r="N318" i="384"/>
  <c r="M318" i="384"/>
  <c r="L318" i="384"/>
  <c r="K318" i="384"/>
  <c r="O317" i="384"/>
  <c r="N317" i="384"/>
  <c r="M317" i="384"/>
  <c r="L317" i="384"/>
  <c r="K317" i="384"/>
  <c r="O316" i="384"/>
  <c r="N316" i="384"/>
  <c r="M316" i="384"/>
  <c r="L316" i="384"/>
  <c r="K316" i="384"/>
  <c r="O315" i="384"/>
  <c r="N315" i="384"/>
  <c r="M315" i="384"/>
  <c r="L315" i="384"/>
  <c r="K315" i="384"/>
  <c r="O314" i="384"/>
  <c r="N314" i="384"/>
  <c r="M314" i="384"/>
  <c r="L314" i="384"/>
  <c r="K314" i="384"/>
  <c r="O313" i="384"/>
  <c r="N313" i="384"/>
  <c r="M313" i="384"/>
  <c r="L313" i="384"/>
  <c r="K313" i="384"/>
  <c r="O312" i="384"/>
  <c r="N312" i="384"/>
  <c r="M312" i="384"/>
  <c r="L312" i="384"/>
  <c r="K312" i="384"/>
  <c r="O311" i="384"/>
  <c r="N311" i="384"/>
  <c r="M311" i="384"/>
  <c r="L311" i="384"/>
  <c r="K311" i="384"/>
  <c r="O310" i="384"/>
  <c r="N310" i="384"/>
  <c r="M310" i="384"/>
  <c r="L310" i="384"/>
  <c r="K310" i="384"/>
  <c r="O309" i="384"/>
  <c r="N309" i="384"/>
  <c r="M309" i="384"/>
  <c r="L309" i="384"/>
  <c r="K309" i="384"/>
  <c r="O308" i="384"/>
  <c r="N308" i="384"/>
  <c r="M308" i="384"/>
  <c r="L308" i="384"/>
  <c r="K308" i="384"/>
  <c r="O307" i="384"/>
  <c r="N307" i="384"/>
  <c r="M307" i="384"/>
  <c r="L307" i="384"/>
  <c r="K307" i="384"/>
  <c r="O306" i="384"/>
  <c r="N306" i="384"/>
  <c r="M306" i="384"/>
  <c r="L306" i="384"/>
  <c r="K306" i="384"/>
  <c r="O305" i="384"/>
  <c r="N305" i="384"/>
  <c r="M305" i="384"/>
  <c r="L305" i="384"/>
  <c r="K305" i="384"/>
  <c r="O304" i="384"/>
  <c r="N304" i="384"/>
  <c r="M304" i="384"/>
  <c r="L304" i="384"/>
  <c r="K304" i="384"/>
  <c r="O303" i="384"/>
  <c r="N303" i="384"/>
  <c r="M303" i="384"/>
  <c r="L303" i="384"/>
  <c r="K303" i="384"/>
  <c r="O302" i="384"/>
  <c r="N302" i="384"/>
  <c r="M302" i="384"/>
  <c r="L302" i="384"/>
  <c r="K302" i="384"/>
  <c r="O301" i="384"/>
  <c r="N301" i="384"/>
  <c r="M301" i="384"/>
  <c r="L301" i="384"/>
  <c r="K301" i="384"/>
  <c r="O300" i="384"/>
  <c r="N300" i="384"/>
  <c r="M300" i="384"/>
  <c r="L300" i="384"/>
  <c r="K300" i="384"/>
  <c r="O299" i="384"/>
  <c r="N299" i="384"/>
  <c r="M299" i="384"/>
  <c r="L299" i="384"/>
  <c r="K299" i="384"/>
  <c r="O298" i="384"/>
  <c r="N298" i="384"/>
  <c r="M298" i="384"/>
  <c r="L298" i="384"/>
  <c r="K298" i="384"/>
  <c r="O297" i="384"/>
  <c r="N297" i="384"/>
  <c r="M297" i="384"/>
  <c r="L297" i="384"/>
  <c r="K297" i="384"/>
  <c r="O296" i="384"/>
  <c r="N296" i="384"/>
  <c r="M296" i="384"/>
  <c r="L296" i="384"/>
  <c r="K296" i="384"/>
  <c r="O295" i="384"/>
  <c r="N295" i="384"/>
  <c r="M295" i="384"/>
  <c r="L295" i="384"/>
  <c r="K295" i="384"/>
  <c r="O294" i="384"/>
  <c r="N294" i="384"/>
  <c r="M294" i="384"/>
  <c r="L294" i="384"/>
  <c r="K294" i="384"/>
  <c r="O293" i="384"/>
  <c r="N293" i="384"/>
  <c r="M293" i="384"/>
  <c r="L293" i="384"/>
  <c r="K293" i="384"/>
  <c r="O292" i="384"/>
  <c r="N292" i="384"/>
  <c r="M292" i="384"/>
  <c r="L292" i="384"/>
  <c r="K292" i="384"/>
  <c r="O291" i="384"/>
  <c r="N291" i="384"/>
  <c r="M291" i="384"/>
  <c r="L291" i="384"/>
  <c r="K291" i="384"/>
  <c r="O290" i="384"/>
  <c r="N290" i="384"/>
  <c r="M290" i="384"/>
  <c r="L290" i="384"/>
  <c r="K290" i="384"/>
  <c r="O289" i="384"/>
  <c r="N289" i="384"/>
  <c r="M289" i="384"/>
  <c r="L289" i="384"/>
  <c r="K289" i="384"/>
  <c r="O288" i="384"/>
  <c r="N288" i="384"/>
  <c r="M288" i="384"/>
  <c r="L288" i="384"/>
  <c r="K288" i="384"/>
  <c r="O287" i="384"/>
  <c r="N287" i="384"/>
  <c r="M287" i="384"/>
  <c r="L287" i="384"/>
  <c r="K287" i="384"/>
  <c r="O286" i="384"/>
  <c r="N286" i="384"/>
  <c r="M286" i="384"/>
  <c r="L286" i="384"/>
  <c r="K286" i="384"/>
  <c r="O285" i="384"/>
  <c r="N285" i="384"/>
  <c r="M285" i="384"/>
  <c r="L285" i="384"/>
  <c r="K285" i="384"/>
  <c r="O284" i="384"/>
  <c r="N284" i="384"/>
  <c r="M284" i="384"/>
  <c r="L284" i="384"/>
  <c r="K284" i="384"/>
  <c r="O283" i="384"/>
  <c r="N283" i="384"/>
  <c r="M283" i="384"/>
  <c r="L283" i="384"/>
  <c r="K283" i="384"/>
  <c r="O282" i="384"/>
  <c r="N282" i="384"/>
  <c r="M282" i="384"/>
  <c r="L282" i="384"/>
  <c r="K282" i="384"/>
  <c r="O281" i="384"/>
  <c r="N281" i="384"/>
  <c r="M281" i="384"/>
  <c r="L281" i="384"/>
  <c r="K281" i="384"/>
  <c r="O280" i="384"/>
  <c r="N280" i="384"/>
  <c r="M280" i="384"/>
  <c r="L280" i="384"/>
  <c r="K280" i="384"/>
  <c r="O279" i="384"/>
  <c r="N279" i="384"/>
  <c r="M279" i="384"/>
  <c r="L279" i="384"/>
  <c r="K279" i="384"/>
  <c r="O278" i="384"/>
  <c r="N278" i="384"/>
  <c r="M278" i="384"/>
  <c r="L278" i="384"/>
  <c r="K278" i="384"/>
  <c r="O277" i="384"/>
  <c r="N277" i="384"/>
  <c r="M277" i="384"/>
  <c r="L277" i="384"/>
  <c r="K277" i="384"/>
  <c r="O276" i="384"/>
  <c r="N276" i="384"/>
  <c r="M276" i="384"/>
  <c r="L276" i="384"/>
  <c r="K276" i="384"/>
  <c r="O275" i="384"/>
  <c r="N275" i="384"/>
  <c r="M275" i="384"/>
  <c r="L275" i="384"/>
  <c r="K275" i="384"/>
  <c r="O274" i="384"/>
  <c r="N274" i="384"/>
  <c r="M274" i="384"/>
  <c r="L274" i="384"/>
  <c r="K274" i="384"/>
  <c r="O273" i="384"/>
  <c r="N273" i="384"/>
  <c r="M273" i="384"/>
  <c r="L273" i="384"/>
  <c r="K273" i="384"/>
  <c r="O272" i="384"/>
  <c r="N272" i="384"/>
  <c r="M272" i="384"/>
  <c r="L272" i="384"/>
  <c r="K272" i="384"/>
  <c r="O271" i="384"/>
  <c r="N271" i="384"/>
  <c r="M271" i="384"/>
  <c r="L271" i="384"/>
  <c r="K271" i="384"/>
  <c r="O270" i="384"/>
  <c r="N270" i="384"/>
  <c r="M270" i="384"/>
  <c r="L270" i="384"/>
  <c r="K270" i="384"/>
  <c r="O269" i="384"/>
  <c r="N269" i="384"/>
  <c r="M269" i="384"/>
  <c r="L269" i="384"/>
  <c r="K269" i="384"/>
  <c r="O268" i="384"/>
  <c r="N268" i="384"/>
  <c r="M268" i="384"/>
  <c r="L268" i="384"/>
  <c r="K268" i="384"/>
  <c r="O267" i="384"/>
  <c r="N267" i="384"/>
  <c r="M267" i="384"/>
  <c r="L267" i="384"/>
  <c r="K267" i="384"/>
  <c r="O266" i="384"/>
  <c r="N266" i="384"/>
  <c r="M266" i="384"/>
  <c r="L266" i="384"/>
  <c r="K266" i="384"/>
  <c r="O265" i="384"/>
  <c r="N265" i="384"/>
  <c r="M265" i="384"/>
  <c r="L265" i="384"/>
  <c r="K265" i="384"/>
  <c r="O264" i="384"/>
  <c r="N264" i="384"/>
  <c r="M264" i="384"/>
  <c r="L264" i="384"/>
  <c r="K264" i="384"/>
  <c r="O263" i="384"/>
  <c r="N263" i="384"/>
  <c r="M263" i="384"/>
  <c r="L263" i="384"/>
  <c r="K263" i="384"/>
  <c r="O262" i="384"/>
  <c r="N262" i="384"/>
  <c r="M262" i="384"/>
  <c r="L262" i="384"/>
  <c r="K262" i="384"/>
  <c r="O261" i="384"/>
  <c r="N261" i="384"/>
  <c r="M261" i="384"/>
  <c r="L261" i="384"/>
  <c r="K261" i="384"/>
  <c r="O260" i="384"/>
  <c r="N260" i="384"/>
  <c r="M260" i="384"/>
  <c r="L260" i="384"/>
  <c r="K260" i="384"/>
  <c r="O259" i="384"/>
  <c r="N259" i="384"/>
  <c r="M259" i="384"/>
  <c r="L259" i="384"/>
  <c r="K259" i="384"/>
  <c r="O258" i="384"/>
  <c r="N258" i="384"/>
  <c r="M258" i="384"/>
  <c r="L258" i="384"/>
  <c r="K258" i="384"/>
  <c r="O257" i="384"/>
  <c r="N257" i="384"/>
  <c r="M257" i="384"/>
  <c r="L257" i="384"/>
  <c r="K257" i="384"/>
  <c r="O256" i="384"/>
  <c r="N256" i="384"/>
  <c r="M256" i="384"/>
  <c r="L256" i="384"/>
  <c r="K256" i="384"/>
  <c r="O255" i="384"/>
  <c r="N255" i="384"/>
  <c r="M255" i="384"/>
  <c r="L255" i="384"/>
  <c r="K255" i="384"/>
  <c r="O254" i="384"/>
  <c r="N254" i="384"/>
  <c r="M254" i="384"/>
  <c r="L254" i="384"/>
  <c r="K254" i="384"/>
  <c r="O253" i="384"/>
  <c r="N253" i="384"/>
  <c r="M253" i="384"/>
  <c r="L253" i="384"/>
  <c r="K253" i="384"/>
  <c r="O252" i="384"/>
  <c r="N252" i="384"/>
  <c r="M252" i="384"/>
  <c r="L252" i="384"/>
  <c r="K252" i="384"/>
  <c r="O251" i="384"/>
  <c r="N251" i="384"/>
  <c r="M251" i="384"/>
  <c r="L251" i="384"/>
  <c r="K251" i="384"/>
  <c r="O250" i="384"/>
  <c r="N250" i="384"/>
  <c r="M250" i="384"/>
  <c r="L250" i="384"/>
  <c r="K250" i="384"/>
  <c r="O249" i="384"/>
  <c r="N249" i="384"/>
  <c r="M249" i="384"/>
  <c r="L249" i="384"/>
  <c r="K249" i="384"/>
  <c r="O248" i="384"/>
  <c r="N248" i="384"/>
  <c r="M248" i="384"/>
  <c r="L248" i="384"/>
  <c r="K248" i="384"/>
  <c r="O247" i="384"/>
  <c r="N247" i="384"/>
  <c r="M247" i="384"/>
  <c r="L247" i="384"/>
  <c r="K247" i="384"/>
  <c r="O246" i="384"/>
  <c r="N246" i="384"/>
  <c r="M246" i="384"/>
  <c r="L246" i="384"/>
  <c r="K246" i="384"/>
  <c r="O245" i="384"/>
  <c r="N245" i="384"/>
  <c r="M245" i="384"/>
  <c r="L245" i="384"/>
  <c r="K245" i="384"/>
  <c r="O244" i="384"/>
  <c r="N244" i="384"/>
  <c r="M244" i="384"/>
  <c r="L244" i="384"/>
  <c r="K244" i="384"/>
  <c r="O243" i="384"/>
  <c r="N243" i="384"/>
  <c r="M243" i="384"/>
  <c r="L243" i="384"/>
  <c r="K243" i="384"/>
  <c r="O242" i="384"/>
  <c r="N242" i="384"/>
  <c r="M242" i="384"/>
  <c r="L242" i="384"/>
  <c r="K242" i="384"/>
  <c r="O241" i="384"/>
  <c r="N241" i="384"/>
  <c r="M241" i="384"/>
  <c r="L241" i="384"/>
  <c r="K241" i="384"/>
  <c r="O240" i="384"/>
  <c r="N240" i="384"/>
  <c r="M240" i="384"/>
  <c r="L240" i="384"/>
  <c r="K240" i="384"/>
  <c r="O239" i="384"/>
  <c r="N239" i="384"/>
  <c r="M239" i="384"/>
  <c r="L239" i="384"/>
  <c r="K239" i="384"/>
  <c r="O238" i="384"/>
  <c r="N238" i="384"/>
  <c r="M238" i="384"/>
  <c r="L238" i="384"/>
  <c r="K238" i="384"/>
  <c r="O237" i="384"/>
  <c r="N237" i="384"/>
  <c r="M237" i="384"/>
  <c r="L237" i="384"/>
  <c r="K237" i="384"/>
  <c r="O236" i="384"/>
  <c r="N236" i="384"/>
  <c r="M236" i="384"/>
  <c r="L236" i="384"/>
  <c r="K236" i="384"/>
  <c r="O235" i="384"/>
  <c r="N235" i="384"/>
  <c r="M235" i="384"/>
  <c r="L235" i="384"/>
  <c r="K235" i="384"/>
  <c r="O234" i="384"/>
  <c r="N234" i="384"/>
  <c r="M234" i="384"/>
  <c r="L234" i="384"/>
  <c r="K234" i="384"/>
  <c r="O233" i="384"/>
  <c r="N233" i="384"/>
  <c r="M233" i="384"/>
  <c r="L233" i="384"/>
  <c r="K233" i="384"/>
  <c r="O232" i="384"/>
  <c r="N232" i="384"/>
  <c r="M232" i="384"/>
  <c r="L232" i="384"/>
  <c r="K232" i="384"/>
  <c r="O231" i="384"/>
  <c r="N231" i="384"/>
  <c r="M231" i="384"/>
  <c r="L231" i="384"/>
  <c r="K231" i="384"/>
  <c r="O230" i="384"/>
  <c r="N230" i="384"/>
  <c r="M230" i="384"/>
  <c r="L230" i="384"/>
  <c r="K230" i="384"/>
  <c r="O229" i="384"/>
  <c r="N229" i="384"/>
  <c r="M229" i="384"/>
  <c r="L229" i="384"/>
  <c r="K229" i="384"/>
  <c r="O228" i="384"/>
  <c r="N228" i="384"/>
  <c r="M228" i="384"/>
  <c r="L228" i="384"/>
  <c r="K228" i="384"/>
  <c r="O227" i="384"/>
  <c r="N227" i="384"/>
  <c r="M227" i="384"/>
  <c r="L227" i="384"/>
  <c r="K227" i="384"/>
  <c r="O226" i="384"/>
  <c r="N226" i="384"/>
  <c r="M226" i="384"/>
  <c r="L226" i="384"/>
  <c r="K226" i="384"/>
  <c r="O225" i="384"/>
  <c r="N225" i="384"/>
  <c r="M225" i="384"/>
  <c r="L225" i="384"/>
  <c r="K225" i="384"/>
  <c r="O224" i="384"/>
  <c r="N224" i="384"/>
  <c r="M224" i="384"/>
  <c r="L224" i="384"/>
  <c r="K224" i="384"/>
  <c r="O223" i="384"/>
  <c r="N223" i="384"/>
  <c r="M223" i="384"/>
  <c r="L223" i="384"/>
  <c r="K223" i="384"/>
  <c r="O222" i="384"/>
  <c r="N222" i="384"/>
  <c r="M222" i="384"/>
  <c r="L222" i="384"/>
  <c r="K222" i="384"/>
  <c r="O221" i="384"/>
  <c r="N221" i="384"/>
  <c r="M221" i="384"/>
  <c r="L221" i="384"/>
  <c r="K221" i="384"/>
  <c r="O220" i="384"/>
  <c r="N220" i="384"/>
  <c r="M220" i="384"/>
  <c r="L220" i="384"/>
  <c r="K220" i="384"/>
  <c r="O219" i="384"/>
  <c r="N219" i="384"/>
  <c r="M219" i="384"/>
  <c r="L219" i="384"/>
  <c r="K219" i="384"/>
  <c r="O218" i="384"/>
  <c r="N218" i="384"/>
  <c r="M218" i="384"/>
  <c r="L218" i="384"/>
  <c r="K218" i="384"/>
  <c r="O217" i="384"/>
  <c r="N217" i="384"/>
  <c r="M217" i="384"/>
  <c r="L217" i="384"/>
  <c r="K217" i="384"/>
  <c r="O216" i="384"/>
  <c r="N216" i="384"/>
  <c r="M216" i="384"/>
  <c r="L216" i="384"/>
  <c r="K216" i="384"/>
  <c r="O215" i="384"/>
  <c r="N215" i="384"/>
  <c r="M215" i="384"/>
  <c r="L215" i="384"/>
  <c r="K215" i="384"/>
  <c r="O214" i="384"/>
  <c r="N214" i="384"/>
  <c r="M214" i="384"/>
  <c r="L214" i="384"/>
  <c r="K214" i="384"/>
  <c r="O213" i="384"/>
  <c r="N213" i="384"/>
  <c r="M213" i="384"/>
  <c r="L213" i="384"/>
  <c r="K213" i="384"/>
  <c r="O212" i="384"/>
  <c r="N212" i="384"/>
  <c r="M212" i="384"/>
  <c r="L212" i="384"/>
  <c r="K212" i="384"/>
  <c r="O211" i="384"/>
  <c r="N211" i="384"/>
  <c r="M211" i="384"/>
  <c r="L211" i="384"/>
  <c r="K211" i="384"/>
  <c r="O210" i="384"/>
  <c r="N210" i="384"/>
  <c r="M210" i="384"/>
  <c r="L210" i="384"/>
  <c r="K210" i="384"/>
  <c r="O209" i="384"/>
  <c r="N209" i="384"/>
  <c r="M209" i="384"/>
  <c r="L209" i="384"/>
  <c r="K209" i="384"/>
  <c r="O208" i="384"/>
  <c r="N208" i="384"/>
  <c r="M208" i="384"/>
  <c r="L208" i="384"/>
  <c r="K208" i="384"/>
  <c r="O207" i="384"/>
  <c r="N207" i="384"/>
  <c r="M207" i="384"/>
  <c r="L207" i="384"/>
  <c r="K207" i="384"/>
  <c r="O206" i="384"/>
  <c r="N206" i="384"/>
  <c r="M206" i="384"/>
  <c r="L206" i="384"/>
  <c r="K206" i="384"/>
  <c r="O205" i="384"/>
  <c r="N205" i="384"/>
  <c r="M205" i="384"/>
  <c r="L205" i="384"/>
  <c r="K205" i="384"/>
  <c r="O204" i="384"/>
  <c r="N204" i="384"/>
  <c r="M204" i="384"/>
  <c r="L204" i="384"/>
  <c r="K204" i="384"/>
  <c r="O203" i="384"/>
  <c r="N203" i="384"/>
  <c r="M203" i="384"/>
  <c r="L203" i="384"/>
  <c r="K203" i="384"/>
  <c r="O202" i="384"/>
  <c r="N202" i="384"/>
  <c r="M202" i="384"/>
  <c r="L202" i="384"/>
  <c r="K202" i="384"/>
  <c r="O201" i="384"/>
  <c r="N201" i="384"/>
  <c r="M201" i="384"/>
  <c r="L201" i="384"/>
  <c r="K201" i="384"/>
  <c r="O200" i="384"/>
  <c r="N200" i="384"/>
  <c r="M200" i="384"/>
  <c r="L200" i="384"/>
  <c r="K200" i="384"/>
  <c r="O199" i="384"/>
  <c r="N199" i="384"/>
  <c r="M199" i="384"/>
  <c r="L199" i="384"/>
  <c r="K199" i="384"/>
  <c r="O198" i="384"/>
  <c r="N198" i="384"/>
  <c r="M198" i="384"/>
  <c r="L198" i="384"/>
  <c r="K198" i="384"/>
  <c r="O197" i="384"/>
  <c r="N197" i="384"/>
  <c r="M197" i="384"/>
  <c r="L197" i="384"/>
  <c r="K197" i="384"/>
  <c r="O196" i="384"/>
  <c r="N196" i="384"/>
  <c r="M196" i="384"/>
  <c r="L196" i="384"/>
  <c r="K196" i="384"/>
  <c r="O195" i="384"/>
  <c r="N195" i="384"/>
  <c r="M195" i="384"/>
  <c r="L195" i="384"/>
  <c r="K195" i="384"/>
  <c r="O194" i="384"/>
  <c r="N194" i="384"/>
  <c r="M194" i="384"/>
  <c r="L194" i="384"/>
  <c r="K194" i="384"/>
  <c r="O193" i="384"/>
  <c r="N193" i="384"/>
  <c r="M193" i="384"/>
  <c r="L193" i="384"/>
  <c r="K193" i="384"/>
  <c r="O192" i="384"/>
  <c r="N192" i="384"/>
  <c r="M192" i="384"/>
  <c r="L192" i="384"/>
  <c r="K192" i="384"/>
  <c r="O191" i="384"/>
  <c r="N191" i="384"/>
  <c r="M191" i="384"/>
  <c r="L191" i="384"/>
  <c r="K191" i="384"/>
  <c r="O190" i="384"/>
  <c r="N190" i="384"/>
  <c r="M190" i="384"/>
  <c r="L190" i="384"/>
  <c r="K190" i="384"/>
  <c r="O189" i="384"/>
  <c r="N189" i="384"/>
  <c r="M189" i="384"/>
  <c r="L189" i="384"/>
  <c r="K189" i="384"/>
  <c r="O188" i="384"/>
  <c r="N188" i="384"/>
  <c r="M188" i="384"/>
  <c r="L188" i="384"/>
  <c r="K188" i="384"/>
  <c r="O187" i="384"/>
  <c r="N187" i="384"/>
  <c r="M187" i="384"/>
  <c r="L187" i="384"/>
  <c r="K187" i="384"/>
  <c r="O186" i="384"/>
  <c r="N186" i="384"/>
  <c r="M186" i="384"/>
  <c r="L186" i="384"/>
  <c r="K186" i="384"/>
  <c r="O185" i="384"/>
  <c r="N185" i="384"/>
  <c r="M185" i="384"/>
  <c r="L185" i="384"/>
  <c r="K185" i="384"/>
  <c r="O184" i="384"/>
  <c r="N184" i="384"/>
  <c r="M184" i="384"/>
  <c r="L184" i="384"/>
  <c r="K184" i="384"/>
  <c r="O183" i="384"/>
  <c r="N183" i="384"/>
  <c r="M183" i="384"/>
  <c r="L183" i="384"/>
  <c r="K183" i="384"/>
  <c r="O182" i="384"/>
  <c r="N182" i="384"/>
  <c r="M182" i="384"/>
  <c r="L182" i="384"/>
  <c r="K182" i="384"/>
  <c r="O181" i="384"/>
  <c r="N181" i="384"/>
  <c r="M181" i="384"/>
  <c r="L181" i="384"/>
  <c r="K181" i="384"/>
  <c r="O180" i="384"/>
  <c r="N180" i="384"/>
  <c r="M180" i="384"/>
  <c r="L180" i="384"/>
  <c r="K180" i="384"/>
  <c r="O179" i="384"/>
  <c r="N179" i="384"/>
  <c r="M179" i="384"/>
  <c r="L179" i="384"/>
  <c r="K179" i="384"/>
  <c r="O178" i="384"/>
  <c r="N178" i="384"/>
  <c r="M178" i="384"/>
  <c r="L178" i="384"/>
  <c r="K178" i="384"/>
  <c r="O177" i="384"/>
  <c r="N177" i="384"/>
  <c r="M177" i="384"/>
  <c r="L177" i="384"/>
  <c r="K177" i="384"/>
  <c r="O176" i="384"/>
  <c r="N176" i="384"/>
  <c r="M176" i="384"/>
  <c r="L176" i="384"/>
  <c r="K176" i="384"/>
  <c r="O175" i="384"/>
  <c r="N175" i="384"/>
  <c r="M175" i="384"/>
  <c r="L175" i="384"/>
  <c r="K175" i="384"/>
  <c r="O174" i="384"/>
  <c r="N174" i="384"/>
  <c r="M174" i="384"/>
  <c r="L174" i="384"/>
  <c r="K174" i="384"/>
  <c r="O173" i="384"/>
  <c r="N173" i="384"/>
  <c r="M173" i="384"/>
  <c r="L173" i="384"/>
  <c r="K173" i="384"/>
  <c r="O172" i="384"/>
  <c r="N172" i="384"/>
  <c r="M172" i="384"/>
  <c r="L172" i="384"/>
  <c r="K172" i="384"/>
  <c r="O171" i="384"/>
  <c r="N171" i="384"/>
  <c r="M171" i="384"/>
  <c r="L171" i="384"/>
  <c r="K171" i="384"/>
  <c r="O170" i="384"/>
  <c r="N170" i="384"/>
  <c r="M170" i="384"/>
  <c r="L170" i="384"/>
  <c r="K170" i="384"/>
  <c r="O169" i="384"/>
  <c r="N169" i="384"/>
  <c r="M169" i="384"/>
  <c r="L169" i="384"/>
  <c r="K169" i="384"/>
  <c r="O168" i="384"/>
  <c r="N168" i="384"/>
  <c r="M168" i="384"/>
  <c r="L168" i="384"/>
  <c r="K168" i="384"/>
  <c r="O167" i="384"/>
  <c r="N167" i="384"/>
  <c r="M167" i="384"/>
  <c r="L167" i="384"/>
  <c r="K167" i="384"/>
  <c r="O166" i="384"/>
  <c r="N166" i="384"/>
  <c r="M166" i="384"/>
  <c r="L166" i="384"/>
  <c r="K166" i="384"/>
  <c r="O165" i="384"/>
  <c r="N165" i="384"/>
  <c r="M165" i="384"/>
  <c r="L165" i="384"/>
  <c r="K165" i="384"/>
  <c r="O164" i="384"/>
  <c r="N164" i="384"/>
  <c r="M164" i="384"/>
  <c r="L164" i="384"/>
  <c r="K164" i="384"/>
  <c r="O163" i="384"/>
  <c r="N163" i="384"/>
  <c r="M163" i="384"/>
  <c r="L163" i="384"/>
  <c r="K163" i="384"/>
  <c r="O162" i="384"/>
  <c r="N162" i="384"/>
  <c r="M162" i="384"/>
  <c r="L162" i="384"/>
  <c r="K162" i="384"/>
  <c r="O161" i="384"/>
  <c r="N161" i="384"/>
  <c r="M161" i="384"/>
  <c r="L161" i="384"/>
  <c r="K161" i="384"/>
  <c r="O160" i="384"/>
  <c r="N160" i="384"/>
  <c r="M160" i="384"/>
  <c r="L160" i="384"/>
  <c r="K160" i="384"/>
  <c r="O159" i="384"/>
  <c r="N159" i="384"/>
  <c r="M159" i="384"/>
  <c r="L159" i="384"/>
  <c r="K159" i="384"/>
  <c r="O158" i="384"/>
  <c r="N158" i="384"/>
  <c r="M158" i="384"/>
  <c r="L158" i="384"/>
  <c r="K158" i="384"/>
  <c r="O157" i="384"/>
  <c r="N157" i="384"/>
  <c r="M157" i="384"/>
  <c r="L157" i="384"/>
  <c r="K157" i="384"/>
  <c r="O156" i="384"/>
  <c r="N156" i="384"/>
  <c r="M156" i="384"/>
  <c r="L156" i="384"/>
  <c r="K156" i="384"/>
  <c r="O155" i="384"/>
  <c r="N155" i="384"/>
  <c r="M155" i="384"/>
  <c r="L155" i="384"/>
  <c r="K155" i="384"/>
  <c r="O154" i="384"/>
  <c r="N154" i="384"/>
  <c r="M154" i="384"/>
  <c r="L154" i="384"/>
  <c r="K154" i="384"/>
  <c r="O153" i="384"/>
  <c r="N153" i="384"/>
  <c r="M153" i="384"/>
  <c r="L153" i="384"/>
  <c r="K153" i="384"/>
  <c r="O152" i="384"/>
  <c r="N152" i="384"/>
  <c r="M152" i="384"/>
  <c r="L152" i="384"/>
  <c r="K152" i="384"/>
  <c r="O151" i="384"/>
  <c r="N151" i="384"/>
  <c r="M151" i="384"/>
  <c r="L151" i="384"/>
  <c r="K151" i="384"/>
  <c r="O150" i="384"/>
  <c r="N150" i="384"/>
  <c r="M150" i="384"/>
  <c r="L150" i="384"/>
  <c r="K150" i="384"/>
  <c r="O149" i="384"/>
  <c r="N149" i="384"/>
  <c r="M149" i="384"/>
  <c r="L149" i="384"/>
  <c r="K149" i="384"/>
  <c r="O148" i="384"/>
  <c r="N148" i="384"/>
  <c r="M148" i="384"/>
  <c r="L148" i="384"/>
  <c r="K148" i="384"/>
  <c r="O147" i="384"/>
  <c r="N147" i="384"/>
  <c r="M147" i="384"/>
  <c r="L147" i="384"/>
  <c r="K147" i="384"/>
  <c r="O146" i="384"/>
  <c r="N146" i="384"/>
  <c r="M146" i="384"/>
  <c r="L146" i="384"/>
  <c r="K146" i="384"/>
  <c r="O145" i="384"/>
  <c r="N145" i="384"/>
  <c r="M145" i="384"/>
  <c r="L145" i="384"/>
  <c r="K145" i="384"/>
  <c r="O144" i="384"/>
  <c r="N144" i="384"/>
  <c r="M144" i="384"/>
  <c r="L144" i="384"/>
  <c r="K144" i="384"/>
  <c r="O143" i="384"/>
  <c r="N143" i="384"/>
  <c r="M143" i="384"/>
  <c r="L143" i="384"/>
  <c r="K143" i="384"/>
  <c r="O142" i="384"/>
  <c r="N142" i="384"/>
  <c r="M142" i="384"/>
  <c r="L142" i="384"/>
  <c r="K142" i="384"/>
  <c r="O141" i="384"/>
  <c r="N141" i="384"/>
  <c r="M141" i="384"/>
  <c r="L141" i="384"/>
  <c r="K141" i="384"/>
  <c r="O140" i="384"/>
  <c r="N140" i="384"/>
  <c r="M140" i="384"/>
  <c r="L140" i="384"/>
  <c r="K140" i="384"/>
  <c r="O139" i="384"/>
  <c r="N139" i="384"/>
  <c r="M139" i="384"/>
  <c r="L139" i="384"/>
  <c r="K139" i="384"/>
  <c r="O138" i="384"/>
  <c r="N138" i="384"/>
  <c r="M138" i="384"/>
  <c r="L138" i="384"/>
  <c r="K138" i="384"/>
  <c r="O137" i="384"/>
  <c r="N137" i="384"/>
  <c r="M137" i="384"/>
  <c r="L137" i="384"/>
  <c r="K137" i="384"/>
  <c r="O136" i="384"/>
  <c r="N136" i="384"/>
  <c r="M136" i="384"/>
  <c r="L136" i="384"/>
  <c r="K136" i="384"/>
  <c r="O135" i="384"/>
  <c r="N135" i="384"/>
  <c r="M135" i="384"/>
  <c r="L135" i="384"/>
  <c r="K135" i="384"/>
  <c r="O134" i="384"/>
  <c r="N134" i="384"/>
  <c r="M134" i="384"/>
  <c r="L134" i="384"/>
  <c r="K134" i="384"/>
  <c r="O133" i="384"/>
  <c r="N133" i="384"/>
  <c r="M133" i="384"/>
  <c r="L133" i="384"/>
  <c r="K133" i="384"/>
  <c r="O132" i="384"/>
  <c r="N132" i="384"/>
  <c r="M132" i="384"/>
  <c r="L132" i="384"/>
  <c r="K132" i="384"/>
  <c r="O131" i="384"/>
  <c r="N131" i="384"/>
  <c r="M131" i="384"/>
  <c r="L131" i="384"/>
  <c r="K131" i="384"/>
  <c r="O130" i="384"/>
  <c r="N130" i="384"/>
  <c r="M130" i="384"/>
  <c r="L130" i="384"/>
  <c r="K130" i="384"/>
  <c r="O129" i="384"/>
  <c r="N129" i="384"/>
  <c r="M129" i="384"/>
  <c r="L129" i="384"/>
  <c r="K129" i="384"/>
  <c r="O128" i="384"/>
  <c r="N128" i="384"/>
  <c r="M128" i="384"/>
  <c r="L128" i="384"/>
  <c r="K128" i="384"/>
  <c r="O127" i="384"/>
  <c r="N127" i="384"/>
  <c r="M127" i="384"/>
  <c r="L127" i="384"/>
  <c r="K127" i="384"/>
  <c r="O126" i="384"/>
  <c r="N126" i="384"/>
  <c r="M126" i="384"/>
  <c r="L126" i="384"/>
  <c r="K126" i="384"/>
  <c r="O125" i="384"/>
  <c r="N125" i="384"/>
  <c r="M125" i="384"/>
  <c r="L125" i="384"/>
  <c r="K125" i="384"/>
  <c r="O124" i="384"/>
  <c r="N124" i="384"/>
  <c r="M124" i="384"/>
  <c r="L124" i="384"/>
  <c r="K124" i="384"/>
  <c r="O123" i="384"/>
  <c r="N123" i="384"/>
  <c r="M123" i="384"/>
  <c r="L123" i="384"/>
  <c r="K123" i="384"/>
  <c r="O122" i="384"/>
  <c r="N122" i="384"/>
  <c r="M122" i="384"/>
  <c r="L122" i="384"/>
  <c r="K122" i="384"/>
  <c r="O121" i="384"/>
  <c r="N121" i="384"/>
  <c r="M121" i="384"/>
  <c r="L121" i="384"/>
  <c r="K121" i="384"/>
  <c r="O120" i="384"/>
  <c r="N120" i="384"/>
  <c r="M120" i="384"/>
  <c r="L120" i="384"/>
  <c r="K120" i="384"/>
  <c r="O119" i="384"/>
  <c r="N119" i="384"/>
  <c r="M119" i="384"/>
  <c r="L119" i="384"/>
  <c r="K119" i="384"/>
  <c r="O118" i="384"/>
  <c r="N118" i="384"/>
  <c r="M118" i="384"/>
  <c r="L118" i="384"/>
  <c r="K118" i="384"/>
  <c r="O117" i="384"/>
  <c r="N117" i="384"/>
  <c r="M117" i="384"/>
  <c r="L117" i="384"/>
  <c r="K117" i="384"/>
  <c r="O116" i="384"/>
  <c r="N116" i="384"/>
  <c r="M116" i="384"/>
  <c r="L116" i="384"/>
  <c r="K116" i="384"/>
  <c r="O115" i="384"/>
  <c r="N115" i="384"/>
  <c r="M115" i="384"/>
  <c r="L115" i="384"/>
  <c r="K115" i="384"/>
  <c r="O114" i="384"/>
  <c r="N114" i="384"/>
  <c r="M114" i="384"/>
  <c r="L114" i="384"/>
  <c r="K114" i="384"/>
  <c r="O113" i="384"/>
  <c r="N113" i="384"/>
  <c r="M113" i="384"/>
  <c r="L113" i="384"/>
  <c r="K113" i="384"/>
  <c r="O112" i="384"/>
  <c r="N112" i="384"/>
  <c r="M112" i="384"/>
  <c r="L112" i="384"/>
  <c r="K112" i="384"/>
  <c r="O111" i="384"/>
  <c r="N111" i="384"/>
  <c r="M111" i="384"/>
  <c r="L111" i="384"/>
  <c r="K111" i="384"/>
  <c r="O110" i="384"/>
  <c r="N110" i="384"/>
  <c r="M110" i="384"/>
  <c r="L110" i="384"/>
  <c r="K110" i="384"/>
  <c r="O109" i="384"/>
  <c r="N109" i="384"/>
  <c r="M109" i="384"/>
  <c r="L109" i="384"/>
  <c r="K109" i="384"/>
  <c r="O108" i="384"/>
  <c r="N108" i="384"/>
  <c r="M108" i="384"/>
  <c r="L108" i="384"/>
  <c r="K108" i="384"/>
  <c r="O107" i="384"/>
  <c r="N107" i="384"/>
  <c r="M107" i="384"/>
  <c r="L107" i="384"/>
  <c r="K107" i="384"/>
  <c r="O106" i="384"/>
  <c r="N106" i="384"/>
  <c r="M106" i="384"/>
  <c r="L106" i="384"/>
  <c r="K106" i="384"/>
  <c r="O105" i="384"/>
  <c r="N105" i="384"/>
  <c r="M105" i="384"/>
  <c r="L105" i="384"/>
  <c r="K105" i="384"/>
  <c r="O104" i="384"/>
  <c r="N104" i="384"/>
  <c r="M104" i="384"/>
  <c r="L104" i="384"/>
  <c r="K104" i="384"/>
  <c r="O103" i="384"/>
  <c r="N103" i="384"/>
  <c r="M103" i="384"/>
  <c r="L103" i="384"/>
  <c r="K103" i="384"/>
  <c r="O102" i="384"/>
  <c r="N102" i="384"/>
  <c r="M102" i="384"/>
  <c r="L102" i="384"/>
  <c r="K102" i="384"/>
  <c r="O101" i="384"/>
  <c r="N101" i="384"/>
  <c r="M101" i="384"/>
  <c r="L101" i="384"/>
  <c r="K101" i="384"/>
  <c r="O100" i="384"/>
  <c r="N100" i="384"/>
  <c r="M100" i="384"/>
  <c r="L100" i="384"/>
  <c r="K100" i="384"/>
  <c r="O99" i="384"/>
  <c r="N99" i="384"/>
  <c r="M99" i="384"/>
  <c r="L99" i="384"/>
  <c r="K99" i="384"/>
  <c r="O98" i="384"/>
  <c r="N98" i="384"/>
  <c r="M98" i="384"/>
  <c r="L98" i="384"/>
  <c r="K98" i="384"/>
  <c r="O97" i="384"/>
  <c r="N97" i="384"/>
  <c r="M97" i="384"/>
  <c r="L97" i="384"/>
  <c r="K97" i="384"/>
  <c r="O96" i="384"/>
  <c r="N96" i="384"/>
  <c r="M96" i="384"/>
  <c r="L96" i="384"/>
  <c r="K96" i="384"/>
  <c r="O95" i="384"/>
  <c r="N95" i="384"/>
  <c r="M95" i="384"/>
  <c r="L95" i="384"/>
  <c r="K95" i="384"/>
  <c r="O94" i="384"/>
  <c r="N94" i="384"/>
  <c r="M94" i="384"/>
  <c r="L94" i="384"/>
  <c r="K94" i="384"/>
  <c r="O93" i="384"/>
  <c r="N93" i="384"/>
  <c r="M93" i="384"/>
  <c r="L93" i="384"/>
  <c r="K93" i="384"/>
  <c r="O92" i="384"/>
  <c r="N92" i="384"/>
  <c r="M92" i="384"/>
  <c r="L92" i="384"/>
  <c r="K92" i="384"/>
  <c r="O91" i="384"/>
  <c r="N91" i="384"/>
  <c r="M91" i="384"/>
  <c r="L91" i="384"/>
  <c r="K91" i="384"/>
  <c r="O90" i="384"/>
  <c r="N90" i="384"/>
  <c r="M90" i="384"/>
  <c r="L90" i="384"/>
  <c r="K90" i="384"/>
  <c r="O89" i="384"/>
  <c r="N89" i="384"/>
  <c r="M89" i="384"/>
  <c r="L89" i="384"/>
  <c r="K89" i="384"/>
  <c r="O88" i="384"/>
  <c r="N88" i="384"/>
  <c r="M88" i="384"/>
  <c r="L88" i="384"/>
  <c r="K88" i="384"/>
  <c r="O87" i="384"/>
  <c r="N87" i="384"/>
  <c r="M87" i="384"/>
  <c r="L87" i="384"/>
  <c r="K87" i="384"/>
  <c r="O86" i="384"/>
  <c r="N86" i="384"/>
  <c r="M86" i="384"/>
  <c r="L86" i="384"/>
  <c r="K86" i="384"/>
  <c r="O85" i="384"/>
  <c r="N85" i="384"/>
  <c r="M85" i="384"/>
  <c r="L85" i="384"/>
  <c r="K85" i="384"/>
  <c r="O84" i="384"/>
  <c r="N84" i="384"/>
  <c r="M84" i="384"/>
  <c r="L84" i="384"/>
  <c r="K84" i="384"/>
  <c r="O83" i="384"/>
  <c r="N83" i="384"/>
  <c r="M83" i="384"/>
  <c r="L83" i="384"/>
  <c r="K83" i="384"/>
  <c r="O82" i="384"/>
  <c r="N82" i="384"/>
  <c r="M82" i="384"/>
  <c r="L82" i="384"/>
  <c r="K82" i="384"/>
  <c r="O81" i="384"/>
  <c r="N81" i="384"/>
  <c r="M81" i="384"/>
  <c r="L81" i="384"/>
  <c r="K81" i="384"/>
  <c r="O80" i="384"/>
  <c r="N80" i="384"/>
  <c r="M80" i="384"/>
  <c r="L80" i="384"/>
  <c r="K80" i="384"/>
  <c r="O79" i="384"/>
  <c r="N79" i="384"/>
  <c r="M79" i="384"/>
  <c r="L79" i="384"/>
  <c r="K79" i="384"/>
  <c r="O78" i="384"/>
  <c r="N78" i="384"/>
  <c r="M78" i="384"/>
  <c r="L78" i="384"/>
  <c r="K78" i="384"/>
  <c r="O77" i="384"/>
  <c r="N77" i="384"/>
  <c r="M77" i="384"/>
  <c r="L77" i="384"/>
  <c r="K77" i="384"/>
  <c r="O76" i="384"/>
  <c r="N76" i="384"/>
  <c r="M76" i="384"/>
  <c r="L76" i="384"/>
  <c r="K76" i="384"/>
  <c r="O75" i="384"/>
  <c r="N75" i="384"/>
  <c r="M75" i="384"/>
  <c r="L75" i="384"/>
  <c r="K75" i="384"/>
  <c r="O74" i="384"/>
  <c r="N74" i="384"/>
  <c r="M74" i="384"/>
  <c r="L74" i="384"/>
  <c r="K74" i="384"/>
  <c r="O73" i="384"/>
  <c r="N73" i="384"/>
  <c r="M73" i="384"/>
  <c r="L73" i="384"/>
  <c r="K73" i="384"/>
  <c r="O72" i="384"/>
  <c r="N72" i="384"/>
  <c r="M72" i="384"/>
  <c r="L72" i="384"/>
  <c r="K72" i="384"/>
  <c r="O71" i="384"/>
  <c r="N71" i="384"/>
  <c r="M71" i="384"/>
  <c r="L71" i="384"/>
  <c r="K71" i="384"/>
  <c r="O70" i="384"/>
  <c r="N70" i="384"/>
  <c r="M70" i="384"/>
  <c r="L70" i="384"/>
  <c r="K70" i="384"/>
  <c r="O69" i="384"/>
  <c r="N69" i="384"/>
  <c r="M69" i="384"/>
  <c r="L69" i="384"/>
  <c r="K69" i="384"/>
  <c r="O68" i="384"/>
  <c r="N68" i="384"/>
  <c r="M68" i="384"/>
  <c r="L68" i="384"/>
  <c r="K68" i="384"/>
  <c r="O67" i="384"/>
  <c r="N67" i="384"/>
  <c r="M67" i="384"/>
  <c r="L67" i="384"/>
  <c r="K67" i="384"/>
  <c r="O66" i="384"/>
  <c r="N66" i="384"/>
  <c r="M66" i="384"/>
  <c r="L66" i="384"/>
  <c r="K66" i="384"/>
  <c r="O65" i="384"/>
  <c r="N65" i="384"/>
  <c r="M65" i="384"/>
  <c r="L65" i="384"/>
  <c r="K65" i="384"/>
  <c r="O64" i="384"/>
  <c r="N64" i="384"/>
  <c r="M64" i="384"/>
  <c r="L64" i="384"/>
  <c r="K64" i="384"/>
  <c r="O63" i="384"/>
  <c r="N63" i="384"/>
  <c r="M63" i="384"/>
  <c r="L63" i="384"/>
  <c r="K63" i="384"/>
  <c r="O62" i="384"/>
  <c r="N62" i="384"/>
  <c r="M62" i="384"/>
  <c r="L62" i="384"/>
  <c r="K62" i="384"/>
  <c r="O61" i="384"/>
  <c r="N61" i="384"/>
  <c r="M61" i="384"/>
  <c r="L61" i="384"/>
  <c r="K61" i="384"/>
  <c r="O60" i="384"/>
  <c r="N60" i="384"/>
  <c r="M60" i="384"/>
  <c r="L60" i="384"/>
  <c r="K60" i="384"/>
  <c r="O59" i="384"/>
  <c r="N59" i="384"/>
  <c r="M59" i="384"/>
  <c r="L59" i="384"/>
  <c r="K59" i="384"/>
  <c r="O58" i="384"/>
  <c r="N58" i="384"/>
  <c r="M58" i="384"/>
  <c r="L58" i="384"/>
  <c r="K58" i="384"/>
  <c r="O57" i="384"/>
  <c r="N57" i="384"/>
  <c r="M57" i="384"/>
  <c r="L57" i="384"/>
  <c r="K57" i="384"/>
  <c r="O56" i="384"/>
  <c r="N56" i="384"/>
  <c r="M56" i="384"/>
  <c r="L56" i="384"/>
  <c r="K56" i="384"/>
  <c r="O55" i="384"/>
  <c r="N55" i="384"/>
  <c r="M55" i="384"/>
  <c r="L55" i="384"/>
  <c r="K55" i="384"/>
  <c r="O54" i="384"/>
  <c r="N54" i="384"/>
  <c r="M54" i="384"/>
  <c r="L54" i="384"/>
  <c r="K54" i="384"/>
  <c r="O53" i="384"/>
  <c r="N53" i="384"/>
  <c r="M53" i="384"/>
  <c r="L53" i="384"/>
  <c r="K53" i="384"/>
  <c r="O52" i="384"/>
  <c r="N52" i="384"/>
  <c r="M52" i="384"/>
  <c r="L52" i="384"/>
  <c r="K52" i="384"/>
  <c r="O51" i="384"/>
  <c r="N51" i="384"/>
  <c r="M51" i="384"/>
  <c r="L51" i="384"/>
  <c r="K51" i="384"/>
  <c r="O50" i="384"/>
  <c r="N50" i="384"/>
  <c r="M50" i="384"/>
  <c r="L50" i="384"/>
  <c r="K50" i="384"/>
  <c r="O49" i="384"/>
  <c r="N49" i="384"/>
  <c r="M49" i="384"/>
  <c r="L49" i="384"/>
  <c r="K49" i="384"/>
  <c r="O48" i="384"/>
  <c r="N48" i="384"/>
  <c r="M48" i="384"/>
  <c r="L48" i="384"/>
  <c r="K48" i="384"/>
  <c r="O47" i="384"/>
  <c r="N47" i="384"/>
  <c r="M47" i="384"/>
  <c r="L47" i="384"/>
  <c r="K47" i="384"/>
  <c r="O46" i="384"/>
  <c r="N46" i="384"/>
  <c r="M46" i="384"/>
  <c r="L46" i="384"/>
  <c r="K46" i="384"/>
  <c r="O45" i="384"/>
  <c r="N45" i="384"/>
  <c r="M45" i="384"/>
  <c r="L45" i="384"/>
  <c r="K45" i="384"/>
  <c r="O44" i="384"/>
  <c r="N44" i="384"/>
  <c r="M44" i="384"/>
  <c r="L44" i="384"/>
  <c r="K44" i="384"/>
  <c r="O43" i="384"/>
  <c r="N43" i="384"/>
  <c r="M43" i="384"/>
  <c r="L43" i="384"/>
  <c r="K43" i="384"/>
  <c r="O42" i="384"/>
  <c r="N42" i="384"/>
  <c r="M42" i="384"/>
  <c r="L42" i="384"/>
  <c r="K42" i="384"/>
  <c r="O41" i="384"/>
  <c r="N41" i="384"/>
  <c r="M41" i="384"/>
  <c r="L41" i="384"/>
  <c r="K41" i="384"/>
  <c r="O40" i="384"/>
  <c r="N40" i="384"/>
  <c r="M40" i="384"/>
  <c r="L40" i="384"/>
  <c r="K40" i="384"/>
  <c r="O39" i="384"/>
  <c r="N39" i="384"/>
  <c r="M39" i="384"/>
  <c r="L39" i="384"/>
  <c r="K39" i="384"/>
  <c r="O38" i="384"/>
  <c r="N38" i="384"/>
  <c r="M38" i="384"/>
  <c r="L38" i="384"/>
  <c r="K38" i="384"/>
  <c r="O37" i="384"/>
  <c r="N37" i="384"/>
  <c r="M37" i="384"/>
  <c r="L37" i="384"/>
  <c r="K37" i="384"/>
  <c r="O36" i="384"/>
  <c r="N36" i="384"/>
  <c r="M36" i="384"/>
  <c r="L36" i="384"/>
  <c r="K36" i="384"/>
  <c r="O35" i="384"/>
  <c r="N35" i="384"/>
  <c r="M35" i="384"/>
  <c r="L35" i="384"/>
  <c r="K35" i="384"/>
  <c r="O34" i="384"/>
  <c r="N34" i="384"/>
  <c r="M34" i="384"/>
  <c r="L34" i="384"/>
  <c r="K34" i="384"/>
  <c r="O33" i="384"/>
  <c r="N33" i="384"/>
  <c r="M33" i="384"/>
  <c r="L33" i="384"/>
  <c r="K33" i="384"/>
  <c r="O32" i="384"/>
  <c r="N32" i="384"/>
  <c r="M32" i="384"/>
  <c r="L32" i="384"/>
  <c r="K32" i="384"/>
  <c r="O31" i="384"/>
  <c r="N31" i="384"/>
  <c r="M31" i="384"/>
  <c r="L31" i="384"/>
  <c r="K31" i="384"/>
  <c r="O30" i="384"/>
  <c r="N30" i="384"/>
  <c r="M30" i="384"/>
  <c r="L30" i="384"/>
  <c r="K30" i="384"/>
  <c r="O29" i="384"/>
  <c r="N29" i="384"/>
  <c r="M29" i="384"/>
  <c r="L29" i="384"/>
  <c r="K29" i="384"/>
  <c r="O28" i="384"/>
  <c r="N28" i="384"/>
  <c r="M28" i="384"/>
  <c r="L28" i="384"/>
  <c r="K28" i="384"/>
  <c r="O27" i="384"/>
  <c r="N27" i="384"/>
  <c r="M27" i="384"/>
  <c r="L27" i="384"/>
  <c r="K27" i="384"/>
  <c r="O26" i="384"/>
  <c r="N26" i="384"/>
  <c r="M26" i="384"/>
  <c r="L26" i="384"/>
  <c r="K26" i="384"/>
  <c r="O25" i="384"/>
  <c r="N25" i="384"/>
  <c r="M25" i="384"/>
  <c r="L25" i="384"/>
  <c r="K25" i="384"/>
  <c r="O24" i="384"/>
  <c r="N24" i="384"/>
  <c r="M24" i="384"/>
  <c r="L24" i="384"/>
  <c r="K24" i="384"/>
  <c r="O23" i="384"/>
  <c r="N23" i="384"/>
  <c r="M23" i="384"/>
  <c r="L23" i="384"/>
  <c r="K23" i="384"/>
  <c r="O22" i="384"/>
  <c r="N22" i="384"/>
  <c r="M22" i="384"/>
  <c r="L22" i="384"/>
  <c r="G38" i="385" s="1"/>
  <c r="K22" i="384"/>
  <c r="O21" i="384"/>
  <c r="N21" i="384"/>
  <c r="M21" i="384"/>
  <c r="L21" i="384"/>
  <c r="K21" i="384"/>
  <c r="O20" i="384"/>
  <c r="N20" i="384"/>
  <c r="M20" i="384"/>
  <c r="L20" i="384"/>
  <c r="K20" i="384"/>
  <c r="O19" i="384"/>
  <c r="N19" i="384"/>
  <c r="M19" i="384"/>
  <c r="L19" i="384"/>
  <c r="K19" i="384"/>
  <c r="O18" i="384"/>
  <c r="N18" i="384"/>
  <c r="M18" i="384"/>
  <c r="L18" i="384"/>
  <c r="K18" i="384"/>
  <c r="O17" i="384"/>
  <c r="N17" i="384"/>
  <c r="M17" i="384"/>
  <c r="L17" i="384"/>
  <c r="G16" i="385" s="1"/>
  <c r="K17" i="384"/>
  <c r="O16" i="384"/>
  <c r="N16" i="384"/>
  <c r="M16" i="384"/>
  <c r="L16" i="384"/>
  <c r="K16" i="384"/>
  <c r="O15" i="384"/>
  <c r="N15" i="384"/>
  <c r="M15" i="384"/>
  <c r="L15" i="384"/>
  <c r="K15" i="384"/>
  <c r="O14" i="384"/>
  <c r="N14" i="384"/>
  <c r="M14" i="384"/>
  <c r="L14" i="384"/>
  <c r="K14" i="384"/>
  <c r="O13" i="384"/>
  <c r="N13" i="384"/>
  <c r="M13" i="384"/>
  <c r="L13" i="384"/>
  <c r="K13" i="384"/>
  <c r="O12" i="384"/>
  <c r="N12" i="384"/>
  <c r="M12" i="384"/>
  <c r="L12" i="384"/>
  <c r="K12" i="384"/>
  <c r="O11" i="384"/>
  <c r="N11" i="384"/>
  <c r="M11" i="384"/>
  <c r="L11" i="384"/>
  <c r="K11" i="384"/>
  <c r="O10" i="384"/>
  <c r="N10" i="384"/>
  <c r="M10" i="384"/>
  <c r="L10" i="384"/>
  <c r="K10" i="384"/>
  <c r="O9" i="384"/>
  <c r="N9" i="384"/>
  <c r="M9" i="384"/>
  <c r="L9" i="384"/>
  <c r="I129" i="385" s="1"/>
  <c r="K9" i="384"/>
  <c r="O8" i="384"/>
  <c r="N8" i="384"/>
  <c r="M8" i="384"/>
  <c r="L8" i="384"/>
  <c r="K8" i="384"/>
  <c r="O7" i="384"/>
  <c r="N7" i="384"/>
  <c r="M7" i="384"/>
  <c r="L7" i="384"/>
  <c r="K7" i="384"/>
  <c r="O6" i="384"/>
  <c r="N6" i="384"/>
  <c r="M6" i="384"/>
  <c r="L6" i="384"/>
  <c r="K6" i="384"/>
  <c r="O5" i="384"/>
  <c r="N5" i="384"/>
  <c r="M5" i="384"/>
  <c r="L5" i="384"/>
  <c r="K5" i="384"/>
  <c r="O4" i="384"/>
  <c r="N4" i="384"/>
  <c r="M4" i="384"/>
  <c r="L4" i="384"/>
  <c r="K4" i="384"/>
  <c r="O3" i="384"/>
  <c r="N3" i="384"/>
  <c r="M3" i="384"/>
  <c r="L3" i="384"/>
  <c r="K3" i="384"/>
  <c r="O2" i="384"/>
  <c r="N2" i="384"/>
  <c r="M2" i="384"/>
  <c r="L2" i="384"/>
  <c r="I153" i="385" s="1"/>
  <c r="K2" i="384"/>
  <c r="S206" i="385"/>
  <c r="R206" i="385"/>
  <c r="Q206" i="385"/>
  <c r="P206" i="385"/>
  <c r="S205" i="385"/>
  <c r="R205" i="385"/>
  <c r="Q205" i="385"/>
  <c r="P205" i="385"/>
  <c r="S204" i="385"/>
  <c r="R204" i="385"/>
  <c r="Q204" i="385"/>
  <c r="P204" i="385"/>
  <c r="S203" i="385"/>
  <c r="R203" i="385"/>
  <c r="Q203" i="385"/>
  <c r="P203" i="385"/>
  <c r="S202" i="385"/>
  <c r="R202" i="385"/>
  <c r="Q202" i="385"/>
  <c r="P202" i="385"/>
  <c r="S201" i="385"/>
  <c r="R201" i="385"/>
  <c r="Q201" i="385"/>
  <c r="P201" i="385"/>
  <c r="S200" i="385"/>
  <c r="R200" i="385"/>
  <c r="Q200" i="385"/>
  <c r="P200" i="385"/>
  <c r="S199" i="385"/>
  <c r="R199" i="385"/>
  <c r="Q199" i="385"/>
  <c r="P199" i="385"/>
  <c r="S198" i="385"/>
  <c r="R198" i="385"/>
  <c r="Q198" i="385"/>
  <c r="P198" i="385"/>
  <c r="S197" i="385"/>
  <c r="R197" i="385"/>
  <c r="Q197" i="385"/>
  <c r="P197" i="385"/>
  <c r="S196" i="385"/>
  <c r="R196" i="385"/>
  <c r="Q196" i="385"/>
  <c r="P196" i="385"/>
  <c r="S195" i="385"/>
  <c r="R195" i="385"/>
  <c r="Q195" i="385"/>
  <c r="P195" i="385"/>
  <c r="S194" i="385"/>
  <c r="R194" i="385"/>
  <c r="Q194" i="385"/>
  <c r="P194" i="385"/>
  <c r="S193" i="385"/>
  <c r="R193" i="385"/>
  <c r="Q193" i="385"/>
  <c r="P193" i="385"/>
  <c r="S192" i="385"/>
  <c r="R192" i="385"/>
  <c r="Q192" i="385"/>
  <c r="P192" i="385"/>
  <c r="S191" i="385"/>
  <c r="R191" i="385"/>
  <c r="Q191" i="385"/>
  <c r="P191" i="385"/>
  <c r="M191" i="385"/>
  <c r="L191" i="385"/>
  <c r="K191" i="385"/>
  <c r="J191" i="385"/>
  <c r="H191" i="385"/>
  <c r="G191" i="385"/>
  <c r="F191" i="385"/>
  <c r="E191" i="385"/>
  <c r="D191" i="385"/>
  <c r="C191" i="385"/>
  <c r="S190" i="385"/>
  <c r="R190" i="385"/>
  <c r="Q190" i="385"/>
  <c r="P190" i="385"/>
  <c r="M190" i="385"/>
  <c r="L190" i="385"/>
  <c r="K190" i="385"/>
  <c r="J190" i="385"/>
  <c r="H190" i="385"/>
  <c r="G190" i="385"/>
  <c r="F190" i="385"/>
  <c r="E190" i="385"/>
  <c r="D190" i="385"/>
  <c r="C190" i="385"/>
  <c r="S189" i="385"/>
  <c r="R189" i="385"/>
  <c r="Q189" i="385"/>
  <c r="P189" i="385"/>
  <c r="M189" i="385"/>
  <c r="L189" i="385"/>
  <c r="K189" i="385"/>
  <c r="J189" i="385"/>
  <c r="H189" i="385"/>
  <c r="G189" i="385"/>
  <c r="F189" i="385"/>
  <c r="E189" i="385"/>
  <c r="D189" i="385"/>
  <c r="C189" i="385"/>
  <c r="S188" i="385"/>
  <c r="R188" i="385"/>
  <c r="Q188" i="385"/>
  <c r="P188" i="385"/>
  <c r="M188" i="385"/>
  <c r="L188" i="385"/>
  <c r="K188" i="385"/>
  <c r="J188" i="385"/>
  <c r="H188" i="385"/>
  <c r="G188" i="385"/>
  <c r="F188" i="385"/>
  <c r="E188" i="385"/>
  <c r="D188" i="385"/>
  <c r="C188" i="385"/>
  <c r="S187" i="385"/>
  <c r="R187" i="385"/>
  <c r="Q187" i="385"/>
  <c r="P187" i="385"/>
  <c r="M187" i="385"/>
  <c r="L187" i="385"/>
  <c r="K187" i="385"/>
  <c r="J187" i="385"/>
  <c r="H187" i="385"/>
  <c r="G187" i="385"/>
  <c r="F187" i="385"/>
  <c r="E187" i="385"/>
  <c r="D187" i="385"/>
  <c r="C187" i="385"/>
  <c r="S186" i="385"/>
  <c r="R186" i="385"/>
  <c r="Q186" i="385"/>
  <c r="P186" i="385"/>
  <c r="M186" i="385"/>
  <c r="L186" i="385"/>
  <c r="K186" i="385"/>
  <c r="J186" i="385"/>
  <c r="H186" i="385"/>
  <c r="G186" i="385"/>
  <c r="F186" i="385"/>
  <c r="E186" i="385"/>
  <c r="D186" i="385"/>
  <c r="C186" i="385"/>
  <c r="S185" i="385"/>
  <c r="R185" i="385"/>
  <c r="Q185" i="385"/>
  <c r="P185" i="385"/>
  <c r="M185" i="385"/>
  <c r="L185" i="385"/>
  <c r="K185" i="385"/>
  <c r="J185" i="385"/>
  <c r="H185" i="385"/>
  <c r="G185" i="385"/>
  <c r="F185" i="385"/>
  <c r="E185" i="385"/>
  <c r="D185" i="385"/>
  <c r="C185" i="385"/>
  <c r="S184" i="385"/>
  <c r="R184" i="385"/>
  <c r="Q184" i="385"/>
  <c r="P184" i="385"/>
  <c r="M184" i="385"/>
  <c r="L184" i="385"/>
  <c r="K184" i="385"/>
  <c r="J184" i="385"/>
  <c r="H184" i="385"/>
  <c r="G184" i="385"/>
  <c r="F184" i="385"/>
  <c r="E184" i="385"/>
  <c r="D184" i="385"/>
  <c r="C184" i="385"/>
  <c r="S183" i="385"/>
  <c r="R183" i="385"/>
  <c r="Q183" i="385"/>
  <c r="P183" i="385"/>
  <c r="M183" i="385"/>
  <c r="L183" i="385"/>
  <c r="K183" i="385"/>
  <c r="J183" i="385"/>
  <c r="H183" i="385"/>
  <c r="G183" i="385"/>
  <c r="F183" i="385"/>
  <c r="E183" i="385"/>
  <c r="D183" i="385"/>
  <c r="C183" i="385"/>
  <c r="S182" i="385"/>
  <c r="R182" i="385"/>
  <c r="Q182" i="385"/>
  <c r="P182" i="385"/>
  <c r="M182" i="385"/>
  <c r="L182" i="385"/>
  <c r="K182" i="385"/>
  <c r="J182" i="385"/>
  <c r="H182" i="385"/>
  <c r="G182" i="385"/>
  <c r="F182" i="385"/>
  <c r="E182" i="385"/>
  <c r="D182" i="385"/>
  <c r="C182" i="385"/>
  <c r="S181" i="385"/>
  <c r="R181" i="385"/>
  <c r="Q181" i="385"/>
  <c r="P181" i="385"/>
  <c r="M181" i="385"/>
  <c r="L181" i="385"/>
  <c r="K181" i="385"/>
  <c r="J181" i="385"/>
  <c r="H181" i="385"/>
  <c r="G181" i="385"/>
  <c r="F181" i="385"/>
  <c r="E181" i="385"/>
  <c r="D181" i="385"/>
  <c r="C181" i="385"/>
  <c r="S180" i="385"/>
  <c r="R180" i="385"/>
  <c r="Q180" i="385"/>
  <c r="P180" i="385"/>
  <c r="M180" i="385"/>
  <c r="L180" i="385"/>
  <c r="K180" i="385"/>
  <c r="J180" i="385"/>
  <c r="H180" i="385"/>
  <c r="G180" i="385"/>
  <c r="F180" i="385"/>
  <c r="E180" i="385"/>
  <c r="D180" i="385"/>
  <c r="C180" i="385"/>
  <c r="S179" i="385"/>
  <c r="R179" i="385"/>
  <c r="Q179" i="385"/>
  <c r="P179" i="385"/>
  <c r="M179" i="385"/>
  <c r="L179" i="385"/>
  <c r="K179" i="385"/>
  <c r="J179" i="385"/>
  <c r="H179" i="385"/>
  <c r="G179" i="385"/>
  <c r="F179" i="385"/>
  <c r="E179" i="385"/>
  <c r="D179" i="385"/>
  <c r="C179" i="385"/>
  <c r="S178" i="385"/>
  <c r="R178" i="385"/>
  <c r="Q178" i="385"/>
  <c r="P178" i="385"/>
  <c r="M178" i="385"/>
  <c r="L178" i="385"/>
  <c r="K178" i="385"/>
  <c r="J178" i="385"/>
  <c r="H178" i="385"/>
  <c r="G178" i="385"/>
  <c r="F178" i="385"/>
  <c r="E178" i="385"/>
  <c r="D178" i="385"/>
  <c r="C178" i="385"/>
  <c r="S177" i="385"/>
  <c r="R177" i="385"/>
  <c r="Q177" i="385"/>
  <c r="P177" i="385"/>
  <c r="M177" i="385"/>
  <c r="L177" i="385"/>
  <c r="K177" i="385"/>
  <c r="J177" i="385"/>
  <c r="H177" i="385"/>
  <c r="G177" i="385"/>
  <c r="F177" i="385"/>
  <c r="E177" i="385"/>
  <c r="D177" i="385"/>
  <c r="C177" i="385"/>
  <c r="S176" i="385"/>
  <c r="R176" i="385"/>
  <c r="Q176" i="385"/>
  <c r="P176" i="385"/>
  <c r="M176" i="385"/>
  <c r="L176" i="385"/>
  <c r="K176" i="385"/>
  <c r="J176" i="385"/>
  <c r="H176" i="385"/>
  <c r="G176" i="385"/>
  <c r="F176" i="385"/>
  <c r="E176" i="385"/>
  <c r="D176" i="385"/>
  <c r="C176" i="385"/>
  <c r="S175" i="385"/>
  <c r="R175" i="385"/>
  <c r="Q175" i="385"/>
  <c r="P175" i="385"/>
  <c r="M175" i="385"/>
  <c r="L175" i="385"/>
  <c r="K175" i="385"/>
  <c r="J175" i="385"/>
  <c r="H175" i="385"/>
  <c r="G175" i="385"/>
  <c r="F175" i="385"/>
  <c r="E175" i="385"/>
  <c r="D175" i="385"/>
  <c r="C175" i="385"/>
  <c r="S174" i="385"/>
  <c r="R174" i="385"/>
  <c r="Q174" i="385"/>
  <c r="P174" i="385"/>
  <c r="M174" i="385"/>
  <c r="L174" i="385"/>
  <c r="K174" i="385"/>
  <c r="J174" i="385"/>
  <c r="H174" i="385"/>
  <c r="G174" i="385"/>
  <c r="F174" i="385"/>
  <c r="E174" i="385"/>
  <c r="D174" i="385"/>
  <c r="C174" i="385"/>
  <c r="S173" i="385"/>
  <c r="R173" i="385"/>
  <c r="Q173" i="385"/>
  <c r="P173" i="385"/>
  <c r="M173" i="385"/>
  <c r="L173" i="385"/>
  <c r="K173" i="385"/>
  <c r="J173" i="385"/>
  <c r="H173" i="385"/>
  <c r="G173" i="385"/>
  <c r="F173" i="385"/>
  <c r="E173" i="385"/>
  <c r="D173" i="385"/>
  <c r="C173" i="385"/>
  <c r="S172" i="385"/>
  <c r="R172" i="385"/>
  <c r="Q172" i="385"/>
  <c r="P172" i="385"/>
  <c r="M172" i="385"/>
  <c r="L172" i="385"/>
  <c r="K172" i="385"/>
  <c r="J172" i="385"/>
  <c r="H172" i="385"/>
  <c r="G172" i="385"/>
  <c r="F172" i="385"/>
  <c r="E172" i="385"/>
  <c r="D172" i="385"/>
  <c r="C172" i="385"/>
  <c r="S171" i="385"/>
  <c r="R171" i="385"/>
  <c r="Q171" i="385"/>
  <c r="P171" i="385"/>
  <c r="M171" i="385"/>
  <c r="L171" i="385"/>
  <c r="K171" i="385"/>
  <c r="J171" i="385"/>
  <c r="H171" i="385"/>
  <c r="G171" i="385"/>
  <c r="F171" i="385"/>
  <c r="E171" i="385"/>
  <c r="D171" i="385"/>
  <c r="C171" i="385"/>
  <c r="S170" i="385"/>
  <c r="R170" i="385"/>
  <c r="Q170" i="385"/>
  <c r="P170" i="385"/>
  <c r="M170" i="385"/>
  <c r="L170" i="385"/>
  <c r="K170" i="385"/>
  <c r="J170" i="385"/>
  <c r="H170" i="385"/>
  <c r="G170" i="385"/>
  <c r="F170" i="385"/>
  <c r="E170" i="385"/>
  <c r="D170" i="385"/>
  <c r="C170" i="385"/>
  <c r="S169" i="385"/>
  <c r="R169" i="385"/>
  <c r="Q169" i="385"/>
  <c r="P169" i="385"/>
  <c r="M169" i="385"/>
  <c r="L169" i="385"/>
  <c r="K169" i="385"/>
  <c r="J169" i="385"/>
  <c r="H169" i="385"/>
  <c r="G169" i="385"/>
  <c r="F169" i="385"/>
  <c r="E169" i="385"/>
  <c r="D169" i="385"/>
  <c r="C169" i="385"/>
  <c r="S168" i="385"/>
  <c r="R168" i="385"/>
  <c r="Q168" i="385"/>
  <c r="P168" i="385"/>
  <c r="M168" i="385"/>
  <c r="L168" i="385"/>
  <c r="K168" i="385"/>
  <c r="J168" i="385"/>
  <c r="H168" i="385"/>
  <c r="G168" i="385"/>
  <c r="F168" i="385"/>
  <c r="E168" i="385"/>
  <c r="D168" i="385"/>
  <c r="C168" i="385"/>
  <c r="S167" i="385"/>
  <c r="R167" i="385"/>
  <c r="Q167" i="385"/>
  <c r="P167" i="385"/>
  <c r="M167" i="385"/>
  <c r="L167" i="385"/>
  <c r="K167" i="385"/>
  <c r="J167" i="385"/>
  <c r="H167" i="385"/>
  <c r="G167" i="385"/>
  <c r="F167" i="385"/>
  <c r="E167" i="385"/>
  <c r="D167" i="385"/>
  <c r="C167" i="385"/>
  <c r="S166" i="385"/>
  <c r="R166" i="385"/>
  <c r="Q166" i="385"/>
  <c r="P166" i="385"/>
  <c r="M166" i="385"/>
  <c r="L166" i="385"/>
  <c r="K166" i="385"/>
  <c r="J166" i="385"/>
  <c r="H166" i="385"/>
  <c r="G166" i="385"/>
  <c r="F166" i="385"/>
  <c r="E166" i="385"/>
  <c r="D166" i="385"/>
  <c r="C166" i="385"/>
  <c r="S165" i="385"/>
  <c r="R165" i="385"/>
  <c r="Q165" i="385"/>
  <c r="P165" i="385"/>
  <c r="M165" i="385"/>
  <c r="L165" i="385"/>
  <c r="K165" i="385"/>
  <c r="J165" i="385"/>
  <c r="I165" i="385"/>
  <c r="H165" i="385"/>
  <c r="G165" i="385"/>
  <c r="F165" i="385"/>
  <c r="E165" i="385"/>
  <c r="D165" i="385"/>
  <c r="C165" i="385"/>
  <c r="S164" i="385"/>
  <c r="R164" i="385"/>
  <c r="Q164" i="385"/>
  <c r="P164" i="385"/>
  <c r="M164" i="385"/>
  <c r="L164" i="385"/>
  <c r="K164" i="385"/>
  <c r="J164" i="385"/>
  <c r="H164" i="385"/>
  <c r="G164" i="385"/>
  <c r="F164" i="385"/>
  <c r="E164" i="385"/>
  <c r="D164" i="385"/>
  <c r="C164" i="385"/>
  <c r="S163" i="385"/>
  <c r="R163" i="385"/>
  <c r="Q163" i="385"/>
  <c r="P163" i="385"/>
  <c r="M163" i="385"/>
  <c r="L163" i="385"/>
  <c r="K163" i="385"/>
  <c r="J163" i="385"/>
  <c r="H163" i="385"/>
  <c r="G163" i="385"/>
  <c r="F163" i="385"/>
  <c r="E163" i="385"/>
  <c r="D163" i="385"/>
  <c r="C163" i="385"/>
  <c r="S162" i="385"/>
  <c r="R162" i="385"/>
  <c r="Q162" i="385"/>
  <c r="P162" i="385"/>
  <c r="M162" i="385"/>
  <c r="L162" i="385"/>
  <c r="K162" i="385"/>
  <c r="J162" i="385"/>
  <c r="H162" i="385"/>
  <c r="G162" i="385"/>
  <c r="F162" i="385"/>
  <c r="E162" i="385"/>
  <c r="D162" i="385"/>
  <c r="C162" i="385"/>
  <c r="S161" i="385"/>
  <c r="R161" i="385"/>
  <c r="Q161" i="385"/>
  <c r="P161" i="385"/>
  <c r="M161" i="385"/>
  <c r="L161" i="385"/>
  <c r="K161" i="385"/>
  <c r="J161" i="385"/>
  <c r="I161" i="385"/>
  <c r="H161" i="385"/>
  <c r="G161" i="385"/>
  <c r="F161" i="385"/>
  <c r="E161" i="385"/>
  <c r="D161" i="385"/>
  <c r="C161" i="385"/>
  <c r="S160" i="385"/>
  <c r="R160" i="385"/>
  <c r="Q160" i="385"/>
  <c r="P160" i="385"/>
  <c r="M160" i="385"/>
  <c r="L160" i="385"/>
  <c r="K160" i="385"/>
  <c r="J160" i="385"/>
  <c r="H160" i="385"/>
  <c r="G160" i="385"/>
  <c r="F160" i="385"/>
  <c r="E160" i="385"/>
  <c r="D160" i="385"/>
  <c r="C160" i="385"/>
  <c r="S159" i="385"/>
  <c r="R159" i="385"/>
  <c r="Q159" i="385"/>
  <c r="P159" i="385"/>
  <c r="M159" i="385"/>
  <c r="L159" i="385"/>
  <c r="K159" i="385"/>
  <c r="J159" i="385"/>
  <c r="H159" i="385"/>
  <c r="G159" i="385"/>
  <c r="F159" i="385"/>
  <c r="E159" i="385"/>
  <c r="D159" i="385"/>
  <c r="C159" i="385"/>
  <c r="S158" i="385"/>
  <c r="R158" i="385"/>
  <c r="Q158" i="385"/>
  <c r="P158" i="385"/>
  <c r="M158" i="385"/>
  <c r="L158" i="385"/>
  <c r="K158" i="385"/>
  <c r="J158" i="385"/>
  <c r="H158" i="385"/>
  <c r="G158" i="385"/>
  <c r="F158" i="385"/>
  <c r="E158" i="385"/>
  <c r="D158" i="385"/>
  <c r="C158" i="385"/>
  <c r="S157" i="385"/>
  <c r="R157" i="385"/>
  <c r="Q157" i="385"/>
  <c r="P157" i="385"/>
  <c r="M157" i="385"/>
  <c r="L157" i="385"/>
  <c r="K157" i="385"/>
  <c r="J157" i="385"/>
  <c r="H157" i="385"/>
  <c r="G157" i="385"/>
  <c r="F157" i="385"/>
  <c r="E157" i="385"/>
  <c r="D157" i="385"/>
  <c r="C157" i="385"/>
  <c r="S156" i="385"/>
  <c r="R156" i="385"/>
  <c r="Q156" i="385"/>
  <c r="P156" i="385"/>
  <c r="M156" i="385"/>
  <c r="L156" i="385"/>
  <c r="K156" i="385"/>
  <c r="J156" i="385"/>
  <c r="H156" i="385"/>
  <c r="G156" i="385"/>
  <c r="F156" i="385"/>
  <c r="E156" i="385"/>
  <c r="D156" i="385"/>
  <c r="C156" i="385"/>
  <c r="S155" i="385"/>
  <c r="R155" i="385"/>
  <c r="Q155" i="385"/>
  <c r="P155" i="385"/>
  <c r="M155" i="385"/>
  <c r="L155" i="385"/>
  <c r="K155" i="385"/>
  <c r="J155" i="385"/>
  <c r="H155" i="385"/>
  <c r="G155" i="385"/>
  <c r="F155" i="385"/>
  <c r="E155" i="385"/>
  <c r="D155" i="385"/>
  <c r="C155" i="385"/>
  <c r="S154" i="385"/>
  <c r="R154" i="385"/>
  <c r="Q154" i="385"/>
  <c r="P154" i="385"/>
  <c r="M154" i="385"/>
  <c r="L154" i="385"/>
  <c r="K154" i="385"/>
  <c r="J154" i="385"/>
  <c r="H154" i="385"/>
  <c r="G154" i="385"/>
  <c r="F154" i="385"/>
  <c r="E154" i="385"/>
  <c r="D154" i="385"/>
  <c r="C154" i="385"/>
  <c r="S153" i="385"/>
  <c r="R153" i="385"/>
  <c r="Q153" i="385"/>
  <c r="P153" i="385"/>
  <c r="M153" i="385"/>
  <c r="L153" i="385"/>
  <c r="K153" i="385"/>
  <c r="J153" i="385"/>
  <c r="H153" i="385"/>
  <c r="G153" i="385"/>
  <c r="F153" i="385"/>
  <c r="E153" i="385"/>
  <c r="D153" i="385"/>
  <c r="C153" i="385"/>
  <c r="S152" i="385"/>
  <c r="R152" i="385"/>
  <c r="Q152" i="385"/>
  <c r="P152" i="385"/>
  <c r="M152" i="385"/>
  <c r="L152" i="385"/>
  <c r="K152" i="385"/>
  <c r="J152" i="385"/>
  <c r="H152" i="385"/>
  <c r="G152" i="385"/>
  <c r="F152" i="385"/>
  <c r="E152" i="385"/>
  <c r="D152" i="385"/>
  <c r="C152" i="385"/>
  <c r="S151" i="385"/>
  <c r="R151" i="385"/>
  <c r="Q151" i="385"/>
  <c r="P151" i="385"/>
  <c r="M151" i="385"/>
  <c r="L151" i="385"/>
  <c r="K151" i="385"/>
  <c r="J151" i="385"/>
  <c r="H151" i="385"/>
  <c r="G151" i="385"/>
  <c r="F151" i="385"/>
  <c r="E151" i="385"/>
  <c r="D151" i="385"/>
  <c r="C151" i="385"/>
  <c r="S150" i="385"/>
  <c r="R150" i="385"/>
  <c r="Q150" i="385"/>
  <c r="P150" i="385"/>
  <c r="M150" i="385"/>
  <c r="L150" i="385"/>
  <c r="K150" i="385"/>
  <c r="J150" i="385"/>
  <c r="H150" i="385"/>
  <c r="G150" i="385"/>
  <c r="F150" i="385"/>
  <c r="E150" i="385"/>
  <c r="D150" i="385"/>
  <c r="C150" i="385"/>
  <c r="S149" i="385"/>
  <c r="R149" i="385"/>
  <c r="Q149" i="385"/>
  <c r="P149" i="385"/>
  <c r="M149" i="385"/>
  <c r="L149" i="385"/>
  <c r="K149" i="385"/>
  <c r="J149" i="385"/>
  <c r="H149" i="385"/>
  <c r="G149" i="385"/>
  <c r="F149" i="385"/>
  <c r="E149" i="385"/>
  <c r="D149" i="385"/>
  <c r="C149" i="385"/>
  <c r="S148" i="385"/>
  <c r="R148" i="385"/>
  <c r="Q148" i="385"/>
  <c r="P148" i="385"/>
  <c r="M148" i="385"/>
  <c r="L148" i="385"/>
  <c r="K148" i="385"/>
  <c r="J148" i="385"/>
  <c r="H148" i="385"/>
  <c r="G148" i="385"/>
  <c r="F148" i="385"/>
  <c r="E148" i="385"/>
  <c r="D148" i="385"/>
  <c r="C148" i="385"/>
  <c r="S147" i="385"/>
  <c r="R147" i="385"/>
  <c r="Q147" i="385"/>
  <c r="P147" i="385"/>
  <c r="M147" i="385"/>
  <c r="L147" i="385"/>
  <c r="K147" i="385"/>
  <c r="J147" i="385"/>
  <c r="H147" i="385"/>
  <c r="G147" i="385"/>
  <c r="F147" i="385"/>
  <c r="E147" i="385"/>
  <c r="D147" i="385"/>
  <c r="C147" i="385"/>
  <c r="S146" i="385"/>
  <c r="R146" i="385"/>
  <c r="Q146" i="385"/>
  <c r="P146" i="385"/>
  <c r="M146" i="385"/>
  <c r="L146" i="385"/>
  <c r="K146" i="385"/>
  <c r="J146" i="385"/>
  <c r="H146" i="385"/>
  <c r="G146" i="385"/>
  <c r="F146" i="385"/>
  <c r="E146" i="385"/>
  <c r="D146" i="385"/>
  <c r="C146" i="385"/>
  <c r="S145" i="385"/>
  <c r="R145" i="385"/>
  <c r="Q145" i="385"/>
  <c r="P145" i="385"/>
  <c r="M145" i="385"/>
  <c r="L145" i="385"/>
  <c r="K145" i="385"/>
  <c r="J145" i="385"/>
  <c r="H145" i="385"/>
  <c r="G145" i="385"/>
  <c r="F145" i="385"/>
  <c r="E145" i="385"/>
  <c r="D145" i="385"/>
  <c r="C145" i="385"/>
  <c r="S144" i="385"/>
  <c r="R144" i="385"/>
  <c r="Q144" i="385"/>
  <c r="P144" i="385"/>
  <c r="M144" i="385"/>
  <c r="L144" i="385"/>
  <c r="K144" i="385"/>
  <c r="J144" i="385"/>
  <c r="H144" i="385"/>
  <c r="G144" i="385"/>
  <c r="F144" i="385"/>
  <c r="E144" i="385"/>
  <c r="D144" i="385"/>
  <c r="C144" i="385"/>
  <c r="S143" i="385"/>
  <c r="R143" i="385"/>
  <c r="Q143" i="385"/>
  <c r="P143" i="385"/>
  <c r="M143" i="385"/>
  <c r="L143" i="385"/>
  <c r="K143" i="385"/>
  <c r="J143" i="385"/>
  <c r="H143" i="385"/>
  <c r="G143" i="385"/>
  <c r="F143" i="385"/>
  <c r="E143" i="385"/>
  <c r="D143" i="385"/>
  <c r="C143" i="385"/>
  <c r="S142" i="385"/>
  <c r="R142" i="385"/>
  <c r="Q142" i="385"/>
  <c r="P142" i="385"/>
  <c r="M142" i="385"/>
  <c r="L142" i="385"/>
  <c r="K142" i="385"/>
  <c r="J142" i="385"/>
  <c r="H142" i="385"/>
  <c r="G142" i="385"/>
  <c r="F142" i="385"/>
  <c r="E142" i="385"/>
  <c r="D142" i="385"/>
  <c r="C142" i="385"/>
  <c r="S141" i="385"/>
  <c r="R141" i="385"/>
  <c r="Q141" i="385"/>
  <c r="P141" i="385"/>
  <c r="M141" i="385"/>
  <c r="L141" i="385"/>
  <c r="K141" i="385"/>
  <c r="J141" i="385"/>
  <c r="I141" i="385"/>
  <c r="H141" i="385"/>
  <c r="G141" i="385"/>
  <c r="F141" i="385"/>
  <c r="E141" i="385"/>
  <c r="D141" i="385"/>
  <c r="C141" i="385"/>
  <c r="S140" i="385"/>
  <c r="R140" i="385"/>
  <c r="Q140" i="385"/>
  <c r="P140" i="385"/>
  <c r="M140" i="385"/>
  <c r="L140" i="385"/>
  <c r="K140" i="385"/>
  <c r="J140" i="385"/>
  <c r="H140" i="385"/>
  <c r="G140" i="385"/>
  <c r="F140" i="385"/>
  <c r="E140" i="385"/>
  <c r="D140" i="385"/>
  <c r="C140" i="385"/>
  <c r="S139" i="385"/>
  <c r="R139" i="385"/>
  <c r="Q139" i="385"/>
  <c r="P139" i="385"/>
  <c r="M139" i="385"/>
  <c r="L139" i="385"/>
  <c r="K139" i="385"/>
  <c r="J139" i="385"/>
  <c r="H139" i="385"/>
  <c r="G139" i="385"/>
  <c r="F139" i="385"/>
  <c r="E139" i="385"/>
  <c r="D139" i="385"/>
  <c r="C139" i="385"/>
  <c r="S138" i="385"/>
  <c r="R138" i="385"/>
  <c r="Q138" i="385"/>
  <c r="P138" i="385"/>
  <c r="M138" i="385"/>
  <c r="L138" i="385"/>
  <c r="K138" i="385"/>
  <c r="J138" i="385"/>
  <c r="H138" i="385"/>
  <c r="G138" i="385"/>
  <c r="F138" i="385"/>
  <c r="E138" i="385"/>
  <c r="D138" i="385"/>
  <c r="C138" i="385"/>
  <c r="S137" i="385"/>
  <c r="R137" i="385"/>
  <c r="Q137" i="385"/>
  <c r="P137" i="385"/>
  <c r="M137" i="385"/>
  <c r="L137" i="385"/>
  <c r="K137" i="385"/>
  <c r="J137" i="385"/>
  <c r="H137" i="385"/>
  <c r="G137" i="385"/>
  <c r="F137" i="385"/>
  <c r="E137" i="385"/>
  <c r="D137" i="385"/>
  <c r="C137" i="385"/>
  <c r="S136" i="385"/>
  <c r="R136" i="385"/>
  <c r="Q136" i="385"/>
  <c r="P136" i="385"/>
  <c r="M136" i="385"/>
  <c r="L136" i="385"/>
  <c r="K136" i="385"/>
  <c r="J136" i="385"/>
  <c r="H136" i="385"/>
  <c r="G136" i="385"/>
  <c r="F136" i="385"/>
  <c r="E136" i="385"/>
  <c r="D136" i="385"/>
  <c r="C136" i="385"/>
  <c r="S135" i="385"/>
  <c r="R135" i="385"/>
  <c r="Q135" i="385"/>
  <c r="P135" i="385"/>
  <c r="M135" i="385"/>
  <c r="L135" i="385"/>
  <c r="K135" i="385"/>
  <c r="J135" i="385"/>
  <c r="H135" i="385"/>
  <c r="G135" i="385"/>
  <c r="F135" i="385"/>
  <c r="E135" i="385"/>
  <c r="D135" i="385"/>
  <c r="C135" i="385"/>
  <c r="S134" i="385"/>
  <c r="R134" i="385"/>
  <c r="Q134" i="385"/>
  <c r="P134" i="385"/>
  <c r="M134" i="385"/>
  <c r="L134" i="385"/>
  <c r="K134" i="385"/>
  <c r="J134" i="385"/>
  <c r="H134" i="385"/>
  <c r="G134" i="385"/>
  <c r="F134" i="385"/>
  <c r="E134" i="385"/>
  <c r="D134" i="385"/>
  <c r="C134" i="385"/>
  <c r="S133" i="385"/>
  <c r="R133" i="385"/>
  <c r="Q133" i="385"/>
  <c r="P133" i="385"/>
  <c r="M133" i="385"/>
  <c r="L133" i="385"/>
  <c r="K133" i="385"/>
  <c r="J133" i="385"/>
  <c r="H133" i="385"/>
  <c r="G133" i="385"/>
  <c r="F133" i="385"/>
  <c r="E133" i="385"/>
  <c r="D133" i="385"/>
  <c r="C133" i="385"/>
  <c r="S132" i="385"/>
  <c r="R132" i="385"/>
  <c r="Q132" i="385"/>
  <c r="P132" i="385"/>
  <c r="M132" i="385"/>
  <c r="L132" i="385"/>
  <c r="K132" i="385"/>
  <c r="J132" i="385"/>
  <c r="H132" i="385"/>
  <c r="G132" i="385"/>
  <c r="F132" i="385"/>
  <c r="E132" i="385"/>
  <c r="D132" i="385"/>
  <c r="C132" i="385"/>
  <c r="S131" i="385"/>
  <c r="R131" i="385"/>
  <c r="Q131" i="385"/>
  <c r="P131" i="385"/>
  <c r="M131" i="385"/>
  <c r="L131" i="385"/>
  <c r="K131" i="385"/>
  <c r="J131" i="385"/>
  <c r="H131" i="385"/>
  <c r="G131" i="385"/>
  <c r="F131" i="385"/>
  <c r="E131" i="385"/>
  <c r="D131" i="385"/>
  <c r="C131" i="385"/>
  <c r="S130" i="385"/>
  <c r="R130" i="385"/>
  <c r="Q130" i="385"/>
  <c r="P130" i="385"/>
  <c r="M130" i="385"/>
  <c r="L130" i="385"/>
  <c r="K130" i="385"/>
  <c r="J130" i="385"/>
  <c r="H130" i="385"/>
  <c r="G130" i="385"/>
  <c r="F130" i="385"/>
  <c r="E130" i="385"/>
  <c r="D130" i="385"/>
  <c r="C130" i="385"/>
  <c r="S129" i="385"/>
  <c r="R129" i="385"/>
  <c r="Q129" i="385"/>
  <c r="P129" i="385"/>
  <c r="M129" i="385"/>
  <c r="L129" i="385"/>
  <c r="K129" i="385"/>
  <c r="J129" i="385"/>
  <c r="H129" i="385"/>
  <c r="G129" i="385"/>
  <c r="F129" i="385"/>
  <c r="E129" i="385"/>
  <c r="D129" i="385"/>
  <c r="C129" i="385"/>
  <c r="S128" i="385"/>
  <c r="R128" i="385"/>
  <c r="Q128" i="385"/>
  <c r="P128" i="385"/>
  <c r="M128" i="385"/>
  <c r="L128" i="385"/>
  <c r="K128" i="385"/>
  <c r="J128" i="385"/>
  <c r="H128" i="385"/>
  <c r="G128" i="385"/>
  <c r="F128" i="385"/>
  <c r="E128" i="385"/>
  <c r="D128" i="385"/>
  <c r="C128" i="385"/>
  <c r="S127" i="385"/>
  <c r="R127" i="385"/>
  <c r="Q127" i="385"/>
  <c r="P127" i="385"/>
  <c r="M127" i="385"/>
  <c r="L127" i="385"/>
  <c r="K127" i="385"/>
  <c r="J127" i="385"/>
  <c r="H127" i="385"/>
  <c r="G127" i="385"/>
  <c r="F127" i="385"/>
  <c r="E127" i="385"/>
  <c r="D127" i="385"/>
  <c r="C127" i="385"/>
  <c r="S126" i="385"/>
  <c r="R126" i="385"/>
  <c r="Q126" i="385"/>
  <c r="P126" i="385"/>
  <c r="M126" i="385"/>
  <c r="L126" i="385"/>
  <c r="K126" i="385"/>
  <c r="J126" i="385"/>
  <c r="H126" i="385"/>
  <c r="G126" i="385"/>
  <c r="F126" i="385"/>
  <c r="E126" i="385"/>
  <c r="D126" i="385"/>
  <c r="C126" i="385"/>
  <c r="S125" i="385"/>
  <c r="R125" i="385"/>
  <c r="Q125" i="385"/>
  <c r="P125" i="385"/>
  <c r="M125" i="385"/>
  <c r="L125" i="385"/>
  <c r="K125" i="385"/>
  <c r="J125" i="385"/>
  <c r="I125" i="385"/>
  <c r="H125" i="385"/>
  <c r="G125" i="385"/>
  <c r="F125" i="385"/>
  <c r="E125" i="385"/>
  <c r="D125" i="385"/>
  <c r="C125" i="385"/>
  <c r="S124" i="385"/>
  <c r="R124" i="385"/>
  <c r="Q124" i="385"/>
  <c r="P124" i="385"/>
  <c r="M124" i="385"/>
  <c r="L124" i="385"/>
  <c r="K124" i="385"/>
  <c r="J124" i="385"/>
  <c r="H124" i="385"/>
  <c r="G124" i="385"/>
  <c r="F124" i="385"/>
  <c r="E124" i="385"/>
  <c r="D124" i="385"/>
  <c r="C124" i="385"/>
  <c r="S123" i="385"/>
  <c r="R123" i="385"/>
  <c r="Q123" i="385"/>
  <c r="P123" i="385"/>
  <c r="M123" i="385"/>
  <c r="L123" i="385"/>
  <c r="K123" i="385"/>
  <c r="J123" i="385"/>
  <c r="H123" i="385"/>
  <c r="G123" i="385"/>
  <c r="F123" i="385"/>
  <c r="E123" i="385"/>
  <c r="D123" i="385"/>
  <c r="C123" i="385"/>
  <c r="S122" i="385"/>
  <c r="R122" i="385"/>
  <c r="Q122" i="385"/>
  <c r="P122" i="385"/>
  <c r="M122" i="385"/>
  <c r="L122" i="385"/>
  <c r="K122" i="385"/>
  <c r="J122" i="385"/>
  <c r="H122" i="385"/>
  <c r="G122" i="385"/>
  <c r="F122" i="385"/>
  <c r="E122" i="385"/>
  <c r="D122" i="385"/>
  <c r="C122" i="385"/>
  <c r="S121" i="385"/>
  <c r="R121" i="385"/>
  <c r="Q121" i="385"/>
  <c r="P121" i="385"/>
  <c r="M121" i="385"/>
  <c r="L121" i="385"/>
  <c r="K121" i="385"/>
  <c r="J121" i="385"/>
  <c r="I121" i="385"/>
  <c r="H121" i="385"/>
  <c r="G121" i="385"/>
  <c r="F121" i="385"/>
  <c r="E121" i="385"/>
  <c r="D121" i="385"/>
  <c r="C121" i="385"/>
  <c r="S120" i="385"/>
  <c r="R120" i="385"/>
  <c r="Q120" i="385"/>
  <c r="P120" i="385"/>
  <c r="M120" i="385"/>
  <c r="L120" i="385"/>
  <c r="K120" i="385"/>
  <c r="J120" i="385"/>
  <c r="H120" i="385"/>
  <c r="G120" i="385"/>
  <c r="F120" i="385"/>
  <c r="E120" i="385"/>
  <c r="D120" i="385"/>
  <c r="C120" i="385"/>
  <c r="S119" i="385"/>
  <c r="R119" i="385"/>
  <c r="Q119" i="385"/>
  <c r="P119" i="385"/>
  <c r="M119" i="385"/>
  <c r="L119" i="385"/>
  <c r="K119" i="385"/>
  <c r="J119" i="385"/>
  <c r="H119" i="385"/>
  <c r="G119" i="385"/>
  <c r="F119" i="385"/>
  <c r="E119" i="385"/>
  <c r="D119" i="385"/>
  <c r="C119" i="385"/>
  <c r="S118" i="385"/>
  <c r="R118" i="385"/>
  <c r="Q118" i="385"/>
  <c r="P118" i="385"/>
  <c r="M118" i="385"/>
  <c r="L118" i="385"/>
  <c r="K118" i="385"/>
  <c r="J118" i="385"/>
  <c r="H118" i="385"/>
  <c r="G118" i="385"/>
  <c r="F118" i="385"/>
  <c r="E118" i="385"/>
  <c r="D118" i="385"/>
  <c r="C118" i="385"/>
  <c r="S117" i="385"/>
  <c r="R117" i="385"/>
  <c r="Q117" i="385"/>
  <c r="P117" i="385"/>
  <c r="M117" i="385"/>
  <c r="L117" i="385"/>
  <c r="K117" i="385"/>
  <c r="J117" i="385"/>
  <c r="H117" i="385"/>
  <c r="G117" i="385"/>
  <c r="F117" i="385"/>
  <c r="E117" i="385"/>
  <c r="D117" i="385"/>
  <c r="C117" i="385"/>
  <c r="S116" i="385"/>
  <c r="R116" i="385"/>
  <c r="Q116" i="385"/>
  <c r="P116" i="385"/>
  <c r="M116" i="385"/>
  <c r="L116" i="385"/>
  <c r="K116" i="385"/>
  <c r="J116" i="385"/>
  <c r="H116" i="385"/>
  <c r="G116" i="385"/>
  <c r="F116" i="385"/>
  <c r="E116" i="385"/>
  <c r="D116" i="385"/>
  <c r="C116" i="385"/>
  <c r="S115" i="385"/>
  <c r="R115" i="385"/>
  <c r="Q115" i="385"/>
  <c r="P115" i="385"/>
  <c r="M115" i="385"/>
  <c r="L115" i="385"/>
  <c r="K115" i="385"/>
  <c r="J115" i="385"/>
  <c r="H115" i="385"/>
  <c r="G115" i="385"/>
  <c r="F115" i="385"/>
  <c r="E115" i="385"/>
  <c r="D115" i="385"/>
  <c r="C115" i="385"/>
  <c r="S114" i="385"/>
  <c r="R114" i="385"/>
  <c r="Q114" i="385"/>
  <c r="P114" i="385"/>
  <c r="M114" i="385"/>
  <c r="L114" i="385"/>
  <c r="K114" i="385"/>
  <c r="J114" i="385"/>
  <c r="H114" i="385"/>
  <c r="G114" i="385"/>
  <c r="F114" i="385"/>
  <c r="E114" i="385"/>
  <c r="D114" i="385"/>
  <c r="C114" i="385"/>
  <c r="S113" i="385"/>
  <c r="R113" i="385"/>
  <c r="Q113" i="385"/>
  <c r="P113" i="385"/>
  <c r="M113" i="385"/>
  <c r="L113" i="385"/>
  <c r="K113" i="385"/>
  <c r="J113" i="385"/>
  <c r="H113" i="385"/>
  <c r="G113" i="385"/>
  <c r="F113" i="385"/>
  <c r="E113" i="385"/>
  <c r="D113" i="385"/>
  <c r="C113" i="385"/>
  <c r="S112" i="385"/>
  <c r="R112" i="385"/>
  <c r="Q112" i="385"/>
  <c r="P112" i="385"/>
  <c r="M112" i="385"/>
  <c r="L112" i="385"/>
  <c r="K112" i="385"/>
  <c r="J112" i="385"/>
  <c r="H112" i="385"/>
  <c r="G112" i="385"/>
  <c r="F112" i="385"/>
  <c r="E112" i="385"/>
  <c r="D112" i="385"/>
  <c r="C112" i="385"/>
  <c r="S111" i="385"/>
  <c r="R111" i="385"/>
  <c r="Q111" i="385"/>
  <c r="P111" i="385"/>
  <c r="M111" i="385"/>
  <c r="L111" i="385"/>
  <c r="K111" i="385"/>
  <c r="J111" i="385"/>
  <c r="H111" i="385"/>
  <c r="G111" i="385"/>
  <c r="F111" i="385"/>
  <c r="E111" i="385"/>
  <c r="D111" i="385"/>
  <c r="C111" i="385"/>
  <c r="S110" i="385"/>
  <c r="R110" i="385"/>
  <c r="Q110" i="385"/>
  <c r="P110" i="385"/>
  <c r="M110" i="385"/>
  <c r="L110" i="385"/>
  <c r="K110" i="385"/>
  <c r="J110" i="385"/>
  <c r="H110" i="385"/>
  <c r="G110" i="385"/>
  <c r="F110" i="385"/>
  <c r="E110" i="385"/>
  <c r="D110" i="385"/>
  <c r="C110" i="385"/>
  <c r="S109" i="385"/>
  <c r="R109" i="385"/>
  <c r="Q109" i="385"/>
  <c r="P109" i="385"/>
  <c r="M109" i="385"/>
  <c r="L109" i="385"/>
  <c r="K109" i="385"/>
  <c r="J109" i="385"/>
  <c r="H109" i="385"/>
  <c r="G109" i="385"/>
  <c r="F109" i="385"/>
  <c r="E109" i="385"/>
  <c r="D109" i="385"/>
  <c r="C109" i="385"/>
  <c r="S108" i="385"/>
  <c r="R108" i="385"/>
  <c r="Q108" i="385"/>
  <c r="P108" i="385"/>
  <c r="M108" i="385"/>
  <c r="L108" i="385"/>
  <c r="K108" i="385"/>
  <c r="J108" i="385"/>
  <c r="H108" i="385"/>
  <c r="G108" i="385"/>
  <c r="F108" i="385"/>
  <c r="E108" i="385"/>
  <c r="D108" i="385"/>
  <c r="C108" i="385"/>
  <c r="S107" i="385"/>
  <c r="R107" i="385"/>
  <c r="Q107" i="385"/>
  <c r="P107" i="385"/>
  <c r="M107" i="385"/>
  <c r="L107" i="385"/>
  <c r="K107" i="385"/>
  <c r="J107" i="385"/>
  <c r="H107" i="385"/>
  <c r="G107" i="385"/>
  <c r="F107" i="385"/>
  <c r="E107" i="385"/>
  <c r="D107" i="385"/>
  <c r="C107" i="385"/>
  <c r="S106" i="385"/>
  <c r="R106" i="385"/>
  <c r="Q106" i="385"/>
  <c r="P106" i="385"/>
  <c r="M106" i="385"/>
  <c r="L106" i="385"/>
  <c r="K106" i="385"/>
  <c r="J106" i="385"/>
  <c r="H106" i="385"/>
  <c r="G106" i="385"/>
  <c r="F106" i="385"/>
  <c r="E106" i="385"/>
  <c r="D106" i="385"/>
  <c r="C106" i="385"/>
  <c r="S105" i="385"/>
  <c r="R105" i="385"/>
  <c r="Q105" i="385"/>
  <c r="P105" i="385"/>
  <c r="M105" i="385"/>
  <c r="L105" i="385"/>
  <c r="K105" i="385"/>
  <c r="J105" i="385"/>
  <c r="H105" i="385"/>
  <c r="G105" i="385"/>
  <c r="F105" i="385"/>
  <c r="E105" i="385"/>
  <c r="D105" i="385"/>
  <c r="C105" i="385"/>
  <c r="S104" i="385"/>
  <c r="R104" i="385"/>
  <c r="Q104" i="385"/>
  <c r="P104" i="385"/>
  <c r="M104" i="385"/>
  <c r="L104" i="385"/>
  <c r="K104" i="385"/>
  <c r="J104" i="385"/>
  <c r="H104" i="385"/>
  <c r="G104" i="385"/>
  <c r="F104" i="385"/>
  <c r="E104" i="385"/>
  <c r="D104" i="385"/>
  <c r="C104" i="385"/>
  <c r="S103" i="385"/>
  <c r="R103" i="385"/>
  <c r="Q103" i="385"/>
  <c r="P103" i="385"/>
  <c r="M103" i="385"/>
  <c r="L103" i="385"/>
  <c r="K103" i="385"/>
  <c r="J103" i="385"/>
  <c r="H103" i="385"/>
  <c r="G103" i="385"/>
  <c r="F103" i="385"/>
  <c r="E103" i="385"/>
  <c r="D103" i="385"/>
  <c r="C103" i="385"/>
  <c r="S102" i="385"/>
  <c r="R102" i="385"/>
  <c r="Q102" i="385"/>
  <c r="P102" i="385"/>
  <c r="M102" i="385"/>
  <c r="L102" i="385"/>
  <c r="K102" i="385"/>
  <c r="J102" i="385"/>
  <c r="H102" i="385"/>
  <c r="G102" i="385"/>
  <c r="F102" i="385"/>
  <c r="E102" i="385"/>
  <c r="D102" i="385"/>
  <c r="C102" i="385"/>
  <c r="S101" i="385"/>
  <c r="R101" i="385"/>
  <c r="Q101" i="385"/>
  <c r="P101" i="385"/>
  <c r="M101" i="385"/>
  <c r="L101" i="385"/>
  <c r="K101" i="385"/>
  <c r="J101" i="385"/>
  <c r="I101" i="385"/>
  <c r="H101" i="385"/>
  <c r="G101" i="385"/>
  <c r="F101" i="385"/>
  <c r="E101" i="385"/>
  <c r="D101" i="385"/>
  <c r="C101" i="385"/>
  <c r="S100" i="385"/>
  <c r="R100" i="385"/>
  <c r="Q100" i="385"/>
  <c r="P100" i="385"/>
  <c r="M100" i="385"/>
  <c r="L100" i="385"/>
  <c r="K100" i="385"/>
  <c r="J100" i="385"/>
  <c r="H100" i="385"/>
  <c r="G100" i="385"/>
  <c r="F100" i="385"/>
  <c r="E100" i="385"/>
  <c r="D100" i="385"/>
  <c r="C100" i="385"/>
  <c r="S99" i="385"/>
  <c r="R99" i="385"/>
  <c r="Q99" i="385"/>
  <c r="P99" i="385"/>
  <c r="M99" i="385"/>
  <c r="L99" i="385"/>
  <c r="K99" i="385"/>
  <c r="J99" i="385"/>
  <c r="H99" i="385"/>
  <c r="G99" i="385"/>
  <c r="F99" i="385"/>
  <c r="E99" i="385"/>
  <c r="D99" i="385"/>
  <c r="C99" i="385"/>
  <c r="S98" i="385"/>
  <c r="R98" i="385"/>
  <c r="Q98" i="385"/>
  <c r="P98" i="385"/>
  <c r="M98" i="385"/>
  <c r="L98" i="385"/>
  <c r="K98" i="385"/>
  <c r="J98" i="385"/>
  <c r="H98" i="385"/>
  <c r="G98" i="385"/>
  <c r="F98" i="385"/>
  <c r="E98" i="385"/>
  <c r="D98" i="385"/>
  <c r="C98" i="385"/>
  <c r="S97" i="385"/>
  <c r="R97" i="385"/>
  <c r="Q97" i="385"/>
  <c r="P97" i="385"/>
  <c r="M97" i="385"/>
  <c r="L97" i="385"/>
  <c r="K97" i="385"/>
  <c r="J97" i="385"/>
  <c r="H97" i="385"/>
  <c r="G97" i="385"/>
  <c r="F97" i="385"/>
  <c r="E97" i="385"/>
  <c r="D97" i="385"/>
  <c r="C97" i="385"/>
  <c r="S96" i="385"/>
  <c r="R96" i="385"/>
  <c r="Q96" i="385"/>
  <c r="P96" i="385"/>
  <c r="M96" i="385"/>
  <c r="L96" i="385"/>
  <c r="K96" i="385"/>
  <c r="J96" i="385"/>
  <c r="H96" i="385"/>
  <c r="G96" i="385"/>
  <c r="F96" i="385"/>
  <c r="E96" i="385"/>
  <c r="D96" i="385"/>
  <c r="C96" i="385"/>
  <c r="S95" i="385"/>
  <c r="R95" i="385"/>
  <c r="Q95" i="385"/>
  <c r="P95" i="385"/>
  <c r="M95" i="385"/>
  <c r="L95" i="385"/>
  <c r="K95" i="385"/>
  <c r="J95" i="385"/>
  <c r="H95" i="385"/>
  <c r="G95" i="385"/>
  <c r="F95" i="385"/>
  <c r="E95" i="385"/>
  <c r="D95" i="385"/>
  <c r="C95" i="385"/>
  <c r="S94" i="385"/>
  <c r="R94" i="385"/>
  <c r="Q94" i="385"/>
  <c r="P94" i="385"/>
  <c r="M94" i="385"/>
  <c r="L94" i="385"/>
  <c r="K94" i="385"/>
  <c r="J94" i="385"/>
  <c r="H94" i="385"/>
  <c r="G94" i="385"/>
  <c r="F94" i="385"/>
  <c r="E94" i="385"/>
  <c r="D94" i="385"/>
  <c r="C94" i="385"/>
  <c r="S93" i="385"/>
  <c r="R93" i="385"/>
  <c r="Q93" i="385"/>
  <c r="P93" i="385"/>
  <c r="M93" i="385"/>
  <c r="L93" i="385"/>
  <c r="K93" i="385"/>
  <c r="J93" i="385"/>
  <c r="H93" i="385"/>
  <c r="G93" i="385"/>
  <c r="F93" i="385"/>
  <c r="E93" i="385"/>
  <c r="D93" i="385"/>
  <c r="C93" i="385"/>
  <c r="S92" i="385"/>
  <c r="R92" i="385"/>
  <c r="Q92" i="385"/>
  <c r="P92" i="385"/>
  <c r="M92" i="385"/>
  <c r="L92" i="385"/>
  <c r="K92" i="385"/>
  <c r="J92" i="385"/>
  <c r="H92" i="385"/>
  <c r="G92" i="385"/>
  <c r="F92" i="385"/>
  <c r="E92" i="385"/>
  <c r="D92" i="385"/>
  <c r="C92" i="385"/>
  <c r="S91" i="385"/>
  <c r="R91" i="385"/>
  <c r="Q91" i="385"/>
  <c r="P91" i="385"/>
  <c r="M91" i="385"/>
  <c r="L91" i="385"/>
  <c r="K91" i="385"/>
  <c r="J91" i="385"/>
  <c r="H91" i="385"/>
  <c r="G91" i="385"/>
  <c r="F91" i="385"/>
  <c r="E91" i="385"/>
  <c r="D91" i="385"/>
  <c r="C91" i="385"/>
  <c r="S90" i="385"/>
  <c r="R90" i="385"/>
  <c r="Q90" i="385"/>
  <c r="P90" i="385"/>
  <c r="M90" i="385"/>
  <c r="L90" i="385"/>
  <c r="K90" i="385"/>
  <c r="J90" i="385"/>
  <c r="I90" i="385"/>
  <c r="H90" i="385"/>
  <c r="G90" i="385"/>
  <c r="F90" i="385"/>
  <c r="E90" i="385"/>
  <c r="D90" i="385"/>
  <c r="C90" i="385"/>
  <c r="S89" i="385"/>
  <c r="R89" i="385"/>
  <c r="Q89" i="385"/>
  <c r="P89" i="385"/>
  <c r="M89" i="385"/>
  <c r="L89" i="385"/>
  <c r="K89" i="385"/>
  <c r="J89" i="385"/>
  <c r="I89" i="385"/>
  <c r="H89" i="385"/>
  <c r="G89" i="385"/>
  <c r="F89" i="385"/>
  <c r="E89" i="385"/>
  <c r="D89" i="385"/>
  <c r="C89" i="385"/>
  <c r="S88" i="385"/>
  <c r="R88" i="385"/>
  <c r="Q88" i="385"/>
  <c r="P88" i="385"/>
  <c r="M88" i="385"/>
  <c r="L88" i="385"/>
  <c r="K88" i="385"/>
  <c r="J88" i="385"/>
  <c r="H88" i="385"/>
  <c r="G88" i="385"/>
  <c r="F88" i="385"/>
  <c r="E88" i="385"/>
  <c r="D88" i="385"/>
  <c r="C88" i="385"/>
  <c r="S87" i="385"/>
  <c r="R87" i="385"/>
  <c r="Q87" i="385"/>
  <c r="P87" i="385"/>
  <c r="M87" i="385"/>
  <c r="L87" i="385"/>
  <c r="K87" i="385"/>
  <c r="J87" i="385"/>
  <c r="H87" i="385"/>
  <c r="G87" i="385"/>
  <c r="F87" i="385"/>
  <c r="E87" i="385"/>
  <c r="D87" i="385"/>
  <c r="C87" i="385"/>
  <c r="S86" i="385"/>
  <c r="R86" i="385"/>
  <c r="Q86" i="385"/>
  <c r="P86" i="385"/>
  <c r="M86" i="385"/>
  <c r="L86" i="385"/>
  <c r="K86" i="385"/>
  <c r="J86" i="385"/>
  <c r="H86" i="385"/>
  <c r="G86" i="385"/>
  <c r="F86" i="385"/>
  <c r="E86" i="385"/>
  <c r="D86" i="385"/>
  <c r="C86" i="385"/>
  <c r="S85" i="385"/>
  <c r="R85" i="385"/>
  <c r="Q85" i="385"/>
  <c r="P85" i="385"/>
  <c r="M85" i="385"/>
  <c r="L85" i="385"/>
  <c r="K85" i="385"/>
  <c r="J85" i="385"/>
  <c r="I85" i="385"/>
  <c r="H85" i="385"/>
  <c r="G85" i="385"/>
  <c r="F85" i="385"/>
  <c r="E85" i="385"/>
  <c r="D85" i="385"/>
  <c r="C85" i="385"/>
  <c r="S84" i="385"/>
  <c r="R84" i="385"/>
  <c r="Q84" i="385"/>
  <c r="P84" i="385"/>
  <c r="M84" i="385"/>
  <c r="L84" i="385"/>
  <c r="K84" i="385"/>
  <c r="J84" i="385"/>
  <c r="H84" i="385"/>
  <c r="G84" i="385"/>
  <c r="F84" i="385"/>
  <c r="E84" i="385"/>
  <c r="D84" i="385"/>
  <c r="C84" i="385"/>
  <c r="S83" i="385"/>
  <c r="R83" i="385"/>
  <c r="Q83" i="385"/>
  <c r="P83" i="385"/>
  <c r="M83" i="385"/>
  <c r="L83" i="385"/>
  <c r="K83" i="385"/>
  <c r="J83" i="385"/>
  <c r="H83" i="385"/>
  <c r="G83" i="385"/>
  <c r="F83" i="385"/>
  <c r="E83" i="385"/>
  <c r="D83" i="385"/>
  <c r="C83" i="385"/>
  <c r="S82" i="385"/>
  <c r="R82" i="385"/>
  <c r="Q82" i="385"/>
  <c r="P82" i="385"/>
  <c r="M82" i="385"/>
  <c r="L82" i="385"/>
  <c r="K82" i="385"/>
  <c r="J82" i="385"/>
  <c r="H82" i="385"/>
  <c r="G82" i="385"/>
  <c r="F82" i="385"/>
  <c r="E82" i="385"/>
  <c r="D82" i="385"/>
  <c r="C82" i="385"/>
  <c r="S81" i="385"/>
  <c r="R81" i="385"/>
  <c r="Q81" i="385"/>
  <c r="P81" i="385"/>
  <c r="M81" i="385"/>
  <c r="L81" i="385"/>
  <c r="K81" i="385"/>
  <c r="J81" i="385"/>
  <c r="I81" i="385"/>
  <c r="H81" i="385"/>
  <c r="G81" i="385"/>
  <c r="F81" i="385"/>
  <c r="E81" i="385"/>
  <c r="D81" i="385"/>
  <c r="C81" i="385"/>
  <c r="S80" i="385"/>
  <c r="R80" i="385"/>
  <c r="Q80" i="385"/>
  <c r="P80" i="385"/>
  <c r="M80" i="385"/>
  <c r="L80" i="385"/>
  <c r="K80" i="385"/>
  <c r="J80" i="385"/>
  <c r="H80" i="385"/>
  <c r="G80" i="385"/>
  <c r="F80" i="385"/>
  <c r="E80" i="385"/>
  <c r="D80" i="385"/>
  <c r="C80" i="385"/>
  <c r="S79" i="385"/>
  <c r="R79" i="385"/>
  <c r="Q79" i="385"/>
  <c r="P79" i="385"/>
  <c r="M79" i="385"/>
  <c r="L79" i="385"/>
  <c r="K79" i="385"/>
  <c r="J79" i="385"/>
  <c r="H79" i="385"/>
  <c r="G79" i="385"/>
  <c r="F79" i="385"/>
  <c r="E79" i="385"/>
  <c r="D79" i="385"/>
  <c r="C79" i="385"/>
  <c r="S78" i="385"/>
  <c r="R78" i="385"/>
  <c r="Q78" i="385"/>
  <c r="P78" i="385"/>
  <c r="M78" i="385"/>
  <c r="L78" i="385"/>
  <c r="K78" i="385"/>
  <c r="J78" i="385"/>
  <c r="H78" i="385"/>
  <c r="G78" i="385"/>
  <c r="F78" i="385"/>
  <c r="E78" i="385"/>
  <c r="D78" i="385"/>
  <c r="C78" i="385"/>
  <c r="Q77" i="385"/>
  <c r="M77" i="385"/>
  <c r="L77" i="385"/>
  <c r="K77" i="385"/>
  <c r="J77" i="385"/>
  <c r="H77" i="385"/>
  <c r="G77" i="385"/>
  <c r="F77" i="385"/>
  <c r="E77" i="385"/>
  <c r="D77" i="385"/>
  <c r="C77" i="385"/>
  <c r="Q76" i="385"/>
  <c r="M76" i="385"/>
  <c r="L76" i="385"/>
  <c r="K76" i="385"/>
  <c r="J76" i="385"/>
  <c r="H76" i="385"/>
  <c r="G76" i="385"/>
  <c r="F76" i="385"/>
  <c r="E76" i="385"/>
  <c r="D76" i="385"/>
  <c r="C76" i="385"/>
  <c r="Q75" i="385"/>
  <c r="M75" i="385"/>
  <c r="L75" i="385"/>
  <c r="K75" i="385"/>
  <c r="J75" i="385"/>
  <c r="H75" i="385"/>
  <c r="G75" i="385"/>
  <c r="F75" i="385"/>
  <c r="E75" i="385"/>
  <c r="D75" i="385"/>
  <c r="C75" i="385"/>
  <c r="Q74" i="385"/>
  <c r="M74" i="385"/>
  <c r="L74" i="385"/>
  <c r="K74" i="385"/>
  <c r="J74" i="385"/>
  <c r="H74" i="385"/>
  <c r="G74" i="385"/>
  <c r="F74" i="385"/>
  <c r="E74" i="385"/>
  <c r="D74" i="385"/>
  <c r="C74" i="385"/>
  <c r="Q73" i="385"/>
  <c r="M73" i="385"/>
  <c r="L73" i="385"/>
  <c r="K73" i="385"/>
  <c r="J73" i="385"/>
  <c r="H73" i="385"/>
  <c r="G73" i="385"/>
  <c r="F73" i="385"/>
  <c r="E73" i="385"/>
  <c r="D73" i="385"/>
  <c r="C73" i="385"/>
  <c r="Q72" i="385"/>
  <c r="M72" i="385"/>
  <c r="L72" i="385"/>
  <c r="K72" i="385"/>
  <c r="J72" i="385"/>
  <c r="H72" i="385"/>
  <c r="G72" i="385"/>
  <c r="F72" i="385"/>
  <c r="E72" i="385"/>
  <c r="D72" i="385"/>
  <c r="C72" i="385"/>
  <c r="Q71" i="385"/>
  <c r="P71" i="385"/>
  <c r="M71" i="385"/>
  <c r="L71" i="385"/>
  <c r="K71" i="385"/>
  <c r="J71" i="385"/>
  <c r="H71" i="385"/>
  <c r="G71" i="385"/>
  <c r="F71" i="385"/>
  <c r="E71" i="385"/>
  <c r="D71" i="385"/>
  <c r="C71" i="385"/>
  <c r="Q70" i="385"/>
  <c r="M70" i="385"/>
  <c r="L70" i="385"/>
  <c r="K70" i="385"/>
  <c r="J70" i="385"/>
  <c r="H70" i="385"/>
  <c r="G70" i="385"/>
  <c r="F70" i="385"/>
  <c r="E70" i="385"/>
  <c r="D70" i="385"/>
  <c r="C70" i="385"/>
  <c r="Q69" i="385"/>
  <c r="M69" i="385"/>
  <c r="L69" i="385"/>
  <c r="K69" i="385"/>
  <c r="J69" i="385"/>
  <c r="H69" i="385"/>
  <c r="G69" i="385"/>
  <c r="F69" i="385"/>
  <c r="E69" i="385"/>
  <c r="D69" i="385"/>
  <c r="C69" i="385"/>
  <c r="Q68" i="385"/>
  <c r="M68" i="385"/>
  <c r="L68" i="385"/>
  <c r="K68" i="385"/>
  <c r="J68" i="385"/>
  <c r="H68" i="385"/>
  <c r="G68" i="385"/>
  <c r="F68" i="385"/>
  <c r="E68" i="385"/>
  <c r="D68" i="385"/>
  <c r="C68" i="385"/>
  <c r="Q67" i="385"/>
  <c r="P67" i="385"/>
  <c r="M67" i="385"/>
  <c r="L67" i="385"/>
  <c r="K67" i="385"/>
  <c r="J67" i="385"/>
  <c r="H67" i="385"/>
  <c r="G67" i="385"/>
  <c r="F67" i="385"/>
  <c r="E67" i="385"/>
  <c r="D67" i="385"/>
  <c r="C67" i="385"/>
  <c r="Q66" i="385"/>
  <c r="P66" i="385"/>
  <c r="M66" i="385"/>
  <c r="L66" i="385"/>
  <c r="K66" i="385"/>
  <c r="J66" i="385"/>
  <c r="H66" i="385"/>
  <c r="G66" i="385"/>
  <c r="F66" i="385"/>
  <c r="E66" i="385"/>
  <c r="D66" i="385"/>
  <c r="C66" i="385"/>
  <c r="Q65" i="385"/>
  <c r="M65" i="385"/>
  <c r="L65" i="385"/>
  <c r="K65" i="385"/>
  <c r="J65" i="385"/>
  <c r="H65" i="385"/>
  <c r="G65" i="385"/>
  <c r="F65" i="385"/>
  <c r="E65" i="385"/>
  <c r="D65" i="385"/>
  <c r="C65" i="385"/>
  <c r="Q64" i="385"/>
  <c r="M64" i="385"/>
  <c r="L64" i="385"/>
  <c r="K64" i="385"/>
  <c r="J64" i="385"/>
  <c r="H64" i="385"/>
  <c r="G64" i="385"/>
  <c r="F64" i="385"/>
  <c r="E64" i="385"/>
  <c r="D64" i="385"/>
  <c r="C64" i="385"/>
  <c r="Q63" i="385"/>
  <c r="P63" i="385"/>
  <c r="M63" i="385"/>
  <c r="L63" i="385"/>
  <c r="K63" i="385"/>
  <c r="J63" i="385"/>
  <c r="H63" i="385"/>
  <c r="G63" i="385"/>
  <c r="F63" i="385"/>
  <c r="E63" i="385"/>
  <c r="D63" i="385"/>
  <c r="C63" i="385"/>
  <c r="Q62" i="385"/>
  <c r="P62" i="385"/>
  <c r="M62" i="385"/>
  <c r="L62" i="385"/>
  <c r="K62" i="385"/>
  <c r="J62" i="385"/>
  <c r="H62" i="385"/>
  <c r="G62" i="385"/>
  <c r="F62" i="385"/>
  <c r="E62" i="385"/>
  <c r="D62" i="385"/>
  <c r="C62" i="385"/>
  <c r="Q61" i="385"/>
  <c r="P61" i="385"/>
  <c r="M61" i="385"/>
  <c r="L61" i="385"/>
  <c r="K61" i="385"/>
  <c r="J61" i="385"/>
  <c r="H61" i="385"/>
  <c r="G61" i="385"/>
  <c r="F61" i="385"/>
  <c r="E61" i="385"/>
  <c r="D61" i="385"/>
  <c r="C61" i="385"/>
  <c r="Q60" i="385"/>
  <c r="P60" i="385"/>
  <c r="M60" i="385"/>
  <c r="L60" i="385"/>
  <c r="K60" i="385"/>
  <c r="J60" i="385"/>
  <c r="H60" i="385"/>
  <c r="G60" i="385"/>
  <c r="F60" i="385"/>
  <c r="E60" i="385"/>
  <c r="D60" i="385"/>
  <c r="C60" i="385"/>
  <c r="Q59" i="385"/>
  <c r="P59" i="385"/>
  <c r="M59" i="385"/>
  <c r="L59" i="385"/>
  <c r="K59" i="385"/>
  <c r="J59" i="385"/>
  <c r="H59" i="385"/>
  <c r="G59" i="385"/>
  <c r="F59" i="385"/>
  <c r="E59" i="385"/>
  <c r="D59" i="385"/>
  <c r="C59" i="385"/>
  <c r="Q58" i="385"/>
  <c r="P58" i="385"/>
  <c r="M58" i="385"/>
  <c r="L58" i="385"/>
  <c r="K58" i="385"/>
  <c r="J58" i="385"/>
  <c r="H58" i="385"/>
  <c r="G58" i="385"/>
  <c r="F58" i="385"/>
  <c r="E58" i="385"/>
  <c r="D58" i="385"/>
  <c r="C58" i="385"/>
  <c r="Q57" i="385"/>
  <c r="P57" i="385"/>
  <c r="M57" i="385"/>
  <c r="L57" i="385"/>
  <c r="K57" i="385"/>
  <c r="J57" i="385"/>
  <c r="H57" i="385"/>
  <c r="G57" i="385"/>
  <c r="F57" i="385"/>
  <c r="E57" i="385"/>
  <c r="D57" i="385"/>
  <c r="C57" i="385"/>
  <c r="Q56" i="385"/>
  <c r="M56" i="385"/>
  <c r="L56" i="385"/>
  <c r="K56" i="385"/>
  <c r="J56" i="385"/>
  <c r="I56" i="385"/>
  <c r="H56" i="385"/>
  <c r="G56" i="385"/>
  <c r="F56" i="385"/>
  <c r="E56" i="385"/>
  <c r="D56" i="385"/>
  <c r="C56" i="385"/>
  <c r="Q55" i="385"/>
  <c r="M55" i="385"/>
  <c r="L55" i="385"/>
  <c r="K55" i="385"/>
  <c r="J55" i="385"/>
  <c r="H55" i="385"/>
  <c r="G55" i="385"/>
  <c r="F55" i="385"/>
  <c r="E55" i="385"/>
  <c r="D55" i="385"/>
  <c r="C55" i="385"/>
  <c r="Q54" i="385"/>
  <c r="P54" i="385"/>
  <c r="C54" i="385"/>
  <c r="Q53" i="385"/>
  <c r="I53" i="385"/>
  <c r="D53" i="385"/>
  <c r="C53" i="385"/>
  <c r="Q52" i="385"/>
  <c r="D52" i="385"/>
  <c r="C52" i="385"/>
  <c r="Q51" i="385"/>
  <c r="C51" i="385"/>
  <c r="Q50" i="385"/>
  <c r="P50" i="385"/>
  <c r="I50" i="385"/>
  <c r="C50" i="385"/>
  <c r="Q49" i="385"/>
  <c r="C49" i="385"/>
  <c r="Q48" i="385"/>
  <c r="D48" i="385"/>
  <c r="C48" i="385"/>
  <c r="Q47" i="385"/>
  <c r="C47" i="385"/>
  <c r="Q46" i="385"/>
  <c r="C46" i="385"/>
  <c r="Q45" i="385"/>
  <c r="P45" i="385"/>
  <c r="C45" i="385"/>
  <c r="Q44" i="385"/>
  <c r="I44" i="385"/>
  <c r="D44" i="385"/>
  <c r="C44" i="385"/>
  <c r="Q43" i="385"/>
  <c r="D43" i="385"/>
  <c r="C43" i="385"/>
  <c r="Q42" i="385"/>
  <c r="P42" i="385"/>
  <c r="C42" i="385"/>
  <c r="Q41" i="385"/>
  <c r="P41" i="385"/>
  <c r="I41" i="385"/>
  <c r="D41" i="385"/>
  <c r="C41" i="385"/>
  <c r="Q40" i="385"/>
  <c r="C40" i="385"/>
  <c r="Q39" i="385"/>
  <c r="L39" i="385"/>
  <c r="C39" i="385"/>
  <c r="Q38" i="385"/>
  <c r="P38" i="385"/>
  <c r="C38" i="385"/>
  <c r="Q37" i="385"/>
  <c r="D37" i="385"/>
  <c r="C37" i="385"/>
  <c r="Q36" i="385"/>
  <c r="C36" i="385"/>
  <c r="Q35" i="385"/>
  <c r="P35" i="385"/>
  <c r="C35" i="385"/>
  <c r="Q34" i="385"/>
  <c r="P34" i="385"/>
  <c r="I34" i="385"/>
  <c r="G34" i="385"/>
  <c r="C34" i="385"/>
  <c r="Q33" i="385"/>
  <c r="D33" i="385"/>
  <c r="C33" i="385"/>
  <c r="Q32" i="385"/>
  <c r="C32" i="385"/>
  <c r="Q31" i="385"/>
  <c r="D31" i="385"/>
  <c r="C31" i="385"/>
  <c r="Q30" i="385"/>
  <c r="P30" i="385"/>
  <c r="G30" i="385"/>
  <c r="C30" i="385"/>
  <c r="Q29" i="385"/>
  <c r="I29" i="385"/>
  <c r="D29" i="385"/>
  <c r="C29" i="385"/>
  <c r="Q28" i="385"/>
  <c r="K28" i="385"/>
  <c r="D28" i="385"/>
  <c r="C28" i="385"/>
  <c r="Q27" i="385"/>
  <c r="D27" i="385"/>
  <c r="C27" i="385"/>
  <c r="Q26" i="385"/>
  <c r="P26" i="385"/>
  <c r="I26" i="385"/>
  <c r="C26" i="385"/>
  <c r="Q25" i="385"/>
  <c r="P25" i="385"/>
  <c r="I25" i="385"/>
  <c r="D25" i="385"/>
  <c r="C25" i="385"/>
  <c r="Q24" i="385"/>
  <c r="S24" i="385" s="1"/>
  <c r="P24" i="385"/>
  <c r="I24" i="385"/>
  <c r="C24" i="385"/>
  <c r="Q23" i="385"/>
  <c r="P23" i="385"/>
  <c r="D23" i="385"/>
  <c r="C23" i="385"/>
  <c r="Q22" i="385"/>
  <c r="P22" i="385"/>
  <c r="G22" i="385"/>
  <c r="C22" i="385"/>
  <c r="Q21" i="385"/>
  <c r="P21" i="385"/>
  <c r="C21" i="385"/>
  <c r="Q20" i="385"/>
  <c r="S20" i="385" s="1"/>
  <c r="P20" i="385"/>
  <c r="I20" i="385"/>
  <c r="D20" i="385"/>
  <c r="C20" i="385"/>
  <c r="Q19" i="385"/>
  <c r="P19" i="385"/>
  <c r="C19" i="385"/>
  <c r="Q18" i="385"/>
  <c r="P18" i="385"/>
  <c r="I18" i="385"/>
  <c r="G18" i="385"/>
  <c r="C18" i="385"/>
  <c r="Q17" i="385"/>
  <c r="D17" i="385"/>
  <c r="C17" i="385"/>
  <c r="Q16" i="385"/>
  <c r="I16" i="385"/>
  <c r="D16" i="385"/>
  <c r="C16" i="385"/>
  <c r="Q15" i="385"/>
  <c r="P15" i="385"/>
  <c r="L15" i="385"/>
  <c r="C15" i="385"/>
  <c r="Q14" i="385"/>
  <c r="P14" i="385"/>
  <c r="I14" i="385"/>
  <c r="C14" i="385"/>
  <c r="Q13" i="385"/>
  <c r="I13" i="385"/>
  <c r="D13" i="385"/>
  <c r="C13" i="385"/>
  <c r="Q12" i="385"/>
  <c r="I12" i="385"/>
  <c r="C12" i="385"/>
  <c r="Q11" i="385"/>
  <c r="D11" i="385"/>
  <c r="C11" i="385"/>
  <c r="Q10" i="385"/>
  <c r="I10" i="385"/>
  <c r="C10" i="385"/>
  <c r="Q9" i="385"/>
  <c r="P9" i="385"/>
  <c r="D9" i="385"/>
  <c r="C9" i="385"/>
  <c r="Q8" i="385"/>
  <c r="I8" i="385"/>
  <c r="C8" i="385"/>
  <c r="Q7" i="385"/>
  <c r="P7" i="385"/>
  <c r="D7" i="385"/>
  <c r="C7" i="385"/>
  <c r="Q6" i="385"/>
  <c r="I6" i="385"/>
  <c r="G6" i="385"/>
  <c r="C6" i="385"/>
  <c r="Q5" i="385"/>
  <c r="P5" i="385"/>
  <c r="L5" i="385"/>
  <c r="I5" i="385"/>
  <c r="D5" i="385"/>
  <c r="C5" i="385"/>
  <c r="N1" i="385"/>
  <c r="L27" i="385" l="1"/>
  <c r="L23" i="385"/>
  <c r="L51" i="385"/>
  <c r="L9" i="385"/>
  <c r="L19" i="385"/>
  <c r="K20" i="385"/>
  <c r="K6" i="385"/>
  <c r="L47" i="385"/>
  <c r="L35" i="385"/>
  <c r="K12" i="385"/>
  <c r="K24" i="385"/>
  <c r="K36" i="385"/>
  <c r="L11" i="385"/>
  <c r="L31" i="385"/>
  <c r="L7" i="385"/>
  <c r="L43" i="385"/>
  <c r="K22" i="385"/>
  <c r="K8" i="385"/>
  <c r="K16" i="385"/>
  <c r="K32" i="385"/>
  <c r="R24" i="385"/>
  <c r="V42" i="444"/>
  <c r="W42" i="444" s="1"/>
  <c r="R60" i="385"/>
  <c r="V12" i="444"/>
  <c r="W12" i="444" s="1"/>
  <c r="V32" i="444"/>
  <c r="W32" i="444" s="1"/>
  <c r="V92" i="444"/>
  <c r="W92" i="444" s="1"/>
  <c r="R20" i="385"/>
  <c r="V112" i="444"/>
  <c r="W112" i="444" s="1"/>
  <c r="V162" i="444"/>
  <c r="W162" i="444" s="1"/>
  <c r="V122" i="444"/>
  <c r="W122" i="444" s="1"/>
  <c r="S34" i="385"/>
  <c r="R34" i="385"/>
  <c r="P47" i="385"/>
  <c r="I114" i="385"/>
  <c r="I154" i="385"/>
  <c r="D39" i="385"/>
  <c r="P43" i="385"/>
  <c r="I52" i="385"/>
  <c r="I65" i="385"/>
  <c r="I70" i="385"/>
  <c r="I110" i="385"/>
  <c r="I150" i="385"/>
  <c r="I190" i="385"/>
  <c r="S23" i="385"/>
  <c r="R23" i="385"/>
  <c r="R5" i="385"/>
  <c r="S5" i="385"/>
  <c r="I9" i="385"/>
  <c r="P27" i="385"/>
  <c r="D35" i="385"/>
  <c r="P55" i="385"/>
  <c r="I57" i="385"/>
  <c r="S63" i="385"/>
  <c r="R63" i="385"/>
  <c r="I117" i="385"/>
  <c r="I157" i="385"/>
  <c r="D24" i="385"/>
  <c r="P31" i="385"/>
  <c r="P39" i="385"/>
  <c r="I48" i="385"/>
  <c r="I106" i="385"/>
  <c r="I146" i="385"/>
  <c r="I186" i="385"/>
  <c r="S58" i="385"/>
  <c r="R58" i="385"/>
  <c r="I113" i="385"/>
  <c r="S71" i="385"/>
  <c r="R71" i="385"/>
  <c r="I187" i="385"/>
  <c r="I179" i="385"/>
  <c r="I171" i="385"/>
  <c r="I159" i="385"/>
  <c r="I147" i="385"/>
  <c r="I143" i="385"/>
  <c r="I127" i="385"/>
  <c r="I119" i="385"/>
  <c r="I111" i="385"/>
  <c r="I99" i="385"/>
  <c r="I87" i="385"/>
  <c r="I75" i="385"/>
  <c r="I71" i="385"/>
  <c r="P64" i="385"/>
  <c r="P56" i="385"/>
  <c r="I51" i="385"/>
  <c r="P48" i="385"/>
  <c r="D46" i="385"/>
  <c r="P40" i="385"/>
  <c r="D38" i="385"/>
  <c r="D34" i="385"/>
  <c r="I31" i="385"/>
  <c r="P28" i="385"/>
  <c r="D26" i="385"/>
  <c r="D22" i="385"/>
  <c r="D18" i="385"/>
  <c r="I15" i="385"/>
  <c r="P12" i="385"/>
  <c r="D10" i="385"/>
  <c r="I7" i="385"/>
  <c r="I68" i="385"/>
  <c r="I183" i="385"/>
  <c r="I167" i="385"/>
  <c r="I151" i="385"/>
  <c r="I135" i="385"/>
  <c r="I123" i="385"/>
  <c r="I107" i="385"/>
  <c r="I95" i="385"/>
  <c r="I79" i="385"/>
  <c r="P72" i="385"/>
  <c r="I67" i="385"/>
  <c r="I63" i="385"/>
  <c r="I55" i="385"/>
  <c r="P52" i="385"/>
  <c r="D50" i="385"/>
  <c r="P77" i="385"/>
  <c r="P65" i="385"/>
  <c r="I191" i="385"/>
  <c r="I175" i="385"/>
  <c r="I163" i="385"/>
  <c r="I155" i="385"/>
  <c r="I139" i="385"/>
  <c r="I131" i="385"/>
  <c r="I115" i="385"/>
  <c r="I103" i="385"/>
  <c r="I91" i="385"/>
  <c r="I83" i="385"/>
  <c r="P76" i="385"/>
  <c r="P68" i="385"/>
  <c r="I59" i="385"/>
  <c r="D54" i="385"/>
  <c r="I47" i="385"/>
  <c r="P44" i="385"/>
  <c r="I43" i="385"/>
  <c r="D42" i="385"/>
  <c r="I39" i="385"/>
  <c r="P36" i="385"/>
  <c r="I35" i="385"/>
  <c r="P32" i="385"/>
  <c r="D30" i="385"/>
  <c r="I27" i="385"/>
  <c r="I23" i="385"/>
  <c r="I19" i="385"/>
  <c r="P16" i="385"/>
  <c r="D14" i="385"/>
  <c r="I11" i="385"/>
  <c r="P8" i="385"/>
  <c r="D6" i="385"/>
  <c r="F15" i="385"/>
  <c r="I80" i="385"/>
  <c r="P69" i="385"/>
  <c r="I60" i="385"/>
  <c r="F43" i="385"/>
  <c r="F27" i="385"/>
  <c r="F23" i="385"/>
  <c r="F19" i="385"/>
  <c r="I72" i="385"/>
  <c r="F39" i="385"/>
  <c r="F31" i="385"/>
  <c r="F47" i="385"/>
  <c r="F35" i="385"/>
  <c r="F11" i="385"/>
  <c r="F7" i="385"/>
  <c r="I76" i="385"/>
  <c r="I184" i="385"/>
  <c r="I176" i="385"/>
  <c r="I168" i="385"/>
  <c r="I164" i="385"/>
  <c r="I160" i="385"/>
  <c r="I152" i="385"/>
  <c r="I148" i="385"/>
  <c r="I140" i="385"/>
  <c r="I132" i="385"/>
  <c r="I128" i="385"/>
  <c r="I120" i="385"/>
  <c r="I116" i="385"/>
  <c r="I112" i="385"/>
  <c r="I104" i="385"/>
  <c r="I96" i="385"/>
  <c r="I92" i="385"/>
  <c r="I84" i="385"/>
  <c r="P73" i="385"/>
  <c r="I188" i="385"/>
  <c r="I180" i="385"/>
  <c r="I172" i="385"/>
  <c r="I156" i="385"/>
  <c r="I144" i="385"/>
  <c r="I136" i="385"/>
  <c r="I124" i="385"/>
  <c r="I108" i="385"/>
  <c r="I100" i="385"/>
  <c r="I88" i="385"/>
  <c r="I64" i="385"/>
  <c r="F13" i="385"/>
  <c r="F9" i="385"/>
  <c r="F5" i="385"/>
  <c r="S30" i="385"/>
  <c r="R30" i="385"/>
  <c r="R9" i="385"/>
  <c r="S9" i="385"/>
  <c r="I102" i="385"/>
  <c r="F54" i="385"/>
  <c r="S35" i="385"/>
  <c r="R35" i="385"/>
  <c r="I62" i="385"/>
  <c r="I17" i="385"/>
  <c r="I28" i="385"/>
  <c r="D40" i="385"/>
  <c r="P53" i="385"/>
  <c r="P75" i="385"/>
  <c r="I109" i="385"/>
  <c r="I149" i="385"/>
  <c r="I189" i="385"/>
  <c r="P6" i="385"/>
  <c r="G10" i="385"/>
  <c r="P17" i="385"/>
  <c r="D21" i="385"/>
  <c r="I32" i="385"/>
  <c r="D36" i="385"/>
  <c r="I40" i="385"/>
  <c r="I49" i="385"/>
  <c r="S57" i="385"/>
  <c r="R57" i="385"/>
  <c r="I98" i="385"/>
  <c r="I138" i="385"/>
  <c r="I178" i="385"/>
  <c r="D45" i="385"/>
  <c r="I185" i="385"/>
  <c r="I77" i="385"/>
  <c r="I142" i="385"/>
  <c r="I182" i="385"/>
  <c r="P13" i="385"/>
  <c r="D32" i="385"/>
  <c r="D49" i="385"/>
  <c r="P70" i="385"/>
  <c r="I21" i="385"/>
  <c r="I36" i="385"/>
  <c r="P49" i="385"/>
  <c r="I105" i="385"/>
  <c r="I145" i="385"/>
  <c r="P10" i="385"/>
  <c r="G14" i="385"/>
  <c r="S21" i="385"/>
  <c r="R21" i="385"/>
  <c r="I45" i="385"/>
  <c r="I54" i="385"/>
  <c r="I69" i="385"/>
  <c r="I74" i="385"/>
  <c r="I94" i="385"/>
  <c r="I134" i="385"/>
  <c r="I174" i="385"/>
  <c r="S38" i="385"/>
  <c r="R38" i="385"/>
  <c r="I181" i="385"/>
  <c r="S67" i="385"/>
  <c r="R67" i="385"/>
  <c r="I130" i="385"/>
  <c r="I170" i="385"/>
  <c r="S62" i="385"/>
  <c r="R62" i="385"/>
  <c r="I137" i="385"/>
  <c r="S41" i="385"/>
  <c r="R41" i="385"/>
  <c r="S59" i="385"/>
  <c r="R59" i="385"/>
  <c r="I177" i="385"/>
  <c r="I22" i="385"/>
  <c r="P29" i="385"/>
  <c r="I33" i="385"/>
  <c r="I37" i="385"/>
  <c r="I46" i="385"/>
  <c r="I66" i="385"/>
  <c r="I86" i="385"/>
  <c r="I126" i="385"/>
  <c r="I166" i="385"/>
  <c r="R45" i="385"/>
  <c r="S45" i="385"/>
  <c r="S14" i="385"/>
  <c r="R14" i="385"/>
  <c r="S18" i="385"/>
  <c r="R18" i="385"/>
  <c r="S25" i="385"/>
  <c r="R25" i="385"/>
  <c r="S50" i="385"/>
  <c r="R50" i="385"/>
  <c r="P11" i="385"/>
  <c r="P46" i="385"/>
  <c r="I133" i="385"/>
  <c r="I173" i="385"/>
  <c r="S66" i="385"/>
  <c r="R66" i="385"/>
  <c r="S54" i="385"/>
  <c r="R54" i="385"/>
  <c r="S7" i="385"/>
  <c r="R7" i="385"/>
  <c r="I61" i="385"/>
  <c r="I97" i="385"/>
  <c r="D15" i="385"/>
  <c r="P33" i="385"/>
  <c r="P37" i="385"/>
  <c r="P74" i="385"/>
  <c r="I93" i="385"/>
  <c r="D8" i="385"/>
  <c r="D19" i="385"/>
  <c r="S22" i="385"/>
  <c r="R22" i="385"/>
  <c r="G26" i="385"/>
  <c r="I42" i="385"/>
  <c r="D51" i="385"/>
  <c r="I58" i="385"/>
  <c r="I82" i="385"/>
  <c r="I122" i="385"/>
  <c r="I162" i="385"/>
  <c r="S15" i="385"/>
  <c r="R15" i="385"/>
  <c r="S42" i="385"/>
  <c r="R42" i="385"/>
  <c r="I169" i="385"/>
  <c r="D12" i="385"/>
  <c r="S19" i="385"/>
  <c r="R19" i="385"/>
  <c r="S26" i="385"/>
  <c r="R26" i="385"/>
  <c r="I30" i="385"/>
  <c r="I38" i="385"/>
  <c r="D47" i="385"/>
  <c r="P51" i="385"/>
  <c r="S61" i="385"/>
  <c r="R61" i="385"/>
  <c r="I73" i="385"/>
  <c r="I78" i="385"/>
  <c r="I118" i="385"/>
  <c r="I158" i="385"/>
  <c r="G42" i="385"/>
  <c r="G54" i="385"/>
  <c r="S60" i="385"/>
  <c r="C18" i="415"/>
  <c r="D31" i="415"/>
  <c r="C38" i="415"/>
  <c r="D51" i="415"/>
  <c r="E51" i="415" s="1"/>
  <c r="V2" i="444"/>
  <c r="W2" i="444" s="1"/>
  <c r="G46" i="385"/>
  <c r="G50" i="385"/>
  <c r="C5" i="415"/>
  <c r="D18" i="415"/>
  <c r="C25" i="415"/>
  <c r="D38" i="415"/>
  <c r="D5" i="415"/>
  <c r="D25" i="415"/>
  <c r="C32" i="415"/>
  <c r="C52" i="415"/>
  <c r="V82" i="444"/>
  <c r="W82" i="444" s="1"/>
  <c r="C19" i="415"/>
  <c r="D32" i="415"/>
  <c r="C39" i="415"/>
  <c r="D52" i="415"/>
  <c r="K26" i="385"/>
  <c r="F29" i="385"/>
  <c r="K30" i="385"/>
  <c r="F33" i="385"/>
  <c r="K34" i="385"/>
  <c r="F37" i="385"/>
  <c r="K38" i="385"/>
  <c r="F41" i="385"/>
  <c r="K42" i="385"/>
  <c r="F45" i="385"/>
  <c r="K46" i="385"/>
  <c r="F49" i="385"/>
  <c r="K50" i="385"/>
  <c r="F53" i="385"/>
  <c r="K54" i="385"/>
  <c r="C6" i="415"/>
  <c r="E6" i="415" s="1"/>
  <c r="D19" i="415"/>
  <c r="C26" i="415"/>
  <c r="E26" i="415" s="1"/>
  <c r="D39" i="415"/>
  <c r="C46" i="415"/>
  <c r="B4" i="383"/>
  <c r="K10" i="385"/>
  <c r="K14" i="385"/>
  <c r="F17" i="385"/>
  <c r="K18" i="385"/>
  <c r="F21" i="385"/>
  <c r="F25" i="385"/>
  <c r="G5" i="385"/>
  <c r="L6" i="385"/>
  <c r="G9" i="385"/>
  <c r="L10" i="385"/>
  <c r="G13" i="385"/>
  <c r="L14" i="385"/>
  <c r="G17" i="385"/>
  <c r="L18" i="385"/>
  <c r="G21" i="385"/>
  <c r="L22" i="385"/>
  <c r="G25" i="385"/>
  <c r="L26" i="385"/>
  <c r="G29" i="385"/>
  <c r="L30" i="385"/>
  <c r="G33" i="385"/>
  <c r="L34" i="385"/>
  <c r="G37" i="385"/>
  <c r="L38" i="385"/>
  <c r="G41" i="385"/>
  <c r="L42" i="385"/>
  <c r="G45" i="385"/>
  <c r="L46" i="385"/>
  <c r="G49" i="385"/>
  <c r="L50" i="385"/>
  <c r="G53" i="385"/>
  <c r="L54" i="385"/>
  <c r="D6" i="415"/>
  <c r="D26" i="415"/>
  <c r="C33" i="415"/>
  <c r="D46" i="415"/>
  <c r="C53" i="415"/>
  <c r="V62" i="444"/>
  <c r="W62" i="444" s="1"/>
  <c r="V142" i="444"/>
  <c r="W142" i="444" s="1"/>
  <c r="C20" i="415"/>
  <c r="E20" i="415" s="1"/>
  <c r="D33" i="415"/>
  <c r="C40" i="415"/>
  <c r="D53" i="415"/>
  <c r="V52" i="444"/>
  <c r="W52" i="444" s="1"/>
  <c r="C7" i="415"/>
  <c r="D20" i="415"/>
  <c r="C27" i="415"/>
  <c r="E27" i="415" s="1"/>
  <c r="D40" i="415"/>
  <c r="C47" i="415"/>
  <c r="D7" i="415"/>
  <c r="D27" i="415"/>
  <c r="C34" i="415"/>
  <c r="D47" i="415"/>
  <c r="C54" i="415"/>
  <c r="V152" i="444"/>
  <c r="W152" i="444" s="1"/>
  <c r="K5" i="385"/>
  <c r="F8" i="385"/>
  <c r="K9" i="385"/>
  <c r="F12" i="385"/>
  <c r="K13" i="385"/>
  <c r="F16" i="385"/>
  <c r="K17" i="385"/>
  <c r="F20" i="385"/>
  <c r="K21" i="385"/>
  <c r="F24" i="385"/>
  <c r="K25" i="385"/>
  <c r="F28" i="385"/>
  <c r="K29" i="385"/>
  <c r="F32" i="385"/>
  <c r="K33" i="385"/>
  <c r="F36" i="385"/>
  <c r="K37" i="385"/>
  <c r="F40" i="385"/>
  <c r="K41" i="385"/>
  <c r="F44" i="385"/>
  <c r="K45" i="385"/>
  <c r="F48" i="385"/>
  <c r="K49" i="385"/>
  <c r="F52" i="385"/>
  <c r="K53" i="385"/>
  <c r="C21" i="415"/>
  <c r="D34" i="415"/>
  <c r="C41" i="415"/>
  <c r="D54" i="415"/>
  <c r="V132" i="444"/>
  <c r="W132" i="444" s="1"/>
  <c r="V22" i="444"/>
  <c r="W22" i="444" s="1"/>
  <c r="G8" i="385"/>
  <c r="G12" i="385"/>
  <c r="L13" i="385"/>
  <c r="L17" i="385"/>
  <c r="L21" i="385"/>
  <c r="L25" i="385"/>
  <c r="L29" i="385"/>
  <c r="L33" i="385"/>
  <c r="L37" i="385"/>
  <c r="L41" i="385"/>
  <c r="L45" i="385"/>
  <c r="L49" i="385"/>
  <c r="G52" i="385"/>
  <c r="C8" i="415"/>
  <c r="D21" i="415"/>
  <c r="C28" i="415"/>
  <c r="D41" i="415"/>
  <c r="C48" i="415"/>
  <c r="G20" i="385"/>
  <c r="G24" i="385"/>
  <c r="G28" i="385"/>
  <c r="G32" i="385"/>
  <c r="G36" i="385"/>
  <c r="G40" i="385"/>
  <c r="G44" i="385"/>
  <c r="G48" i="385"/>
  <c r="L53" i="385"/>
  <c r="D8" i="415"/>
  <c r="D28" i="415"/>
  <c r="C35" i="415"/>
  <c r="D48" i="415"/>
  <c r="C22" i="415"/>
  <c r="D35" i="415"/>
  <c r="C9" i="415"/>
  <c r="E9" i="415" s="1"/>
  <c r="D22" i="415"/>
  <c r="C29" i="415"/>
  <c r="C49" i="415"/>
  <c r="K40" i="385"/>
  <c r="K52" i="385"/>
  <c r="D9" i="415"/>
  <c r="D29" i="415"/>
  <c r="C36" i="415"/>
  <c r="D49" i="415"/>
  <c r="V102" i="444"/>
  <c r="W102" i="444" s="1"/>
  <c r="K44" i="385"/>
  <c r="K48" i="385"/>
  <c r="G7" i="385"/>
  <c r="L8" i="385"/>
  <c r="G11" i="385"/>
  <c r="L12" i="385"/>
  <c r="G15" i="385"/>
  <c r="L16" i="385"/>
  <c r="G19" i="385"/>
  <c r="L20" i="385"/>
  <c r="G23" i="385"/>
  <c r="L24" i="385"/>
  <c r="G27" i="385"/>
  <c r="L28" i="385"/>
  <c r="G31" i="385"/>
  <c r="L32" i="385"/>
  <c r="G35" i="385"/>
  <c r="L36" i="385"/>
  <c r="G39" i="385"/>
  <c r="L40" i="385"/>
  <c r="G43" i="385"/>
  <c r="L44" i="385"/>
  <c r="G47" i="385"/>
  <c r="L48" i="385"/>
  <c r="G51" i="385"/>
  <c r="L52" i="385"/>
  <c r="C23" i="415"/>
  <c r="D36" i="415"/>
  <c r="F51" i="385"/>
  <c r="D23" i="415"/>
  <c r="C30" i="415"/>
  <c r="C50" i="415"/>
  <c r="D30" i="415"/>
  <c r="C37" i="415"/>
  <c r="D50" i="415"/>
  <c r="V72" i="444"/>
  <c r="W72" i="444" s="1"/>
  <c r="C24" i="415"/>
  <c r="D37" i="415"/>
  <c r="F6" i="385"/>
  <c r="K7" i="385"/>
  <c r="F10" i="385"/>
  <c r="K11" i="385"/>
  <c r="F14" i="385"/>
  <c r="K15" i="385"/>
  <c r="F18" i="385"/>
  <c r="K19" i="385"/>
  <c r="F22" i="385"/>
  <c r="K23" i="385"/>
  <c r="F26" i="385"/>
  <c r="K27" i="385"/>
  <c r="F30" i="385"/>
  <c r="K31" i="385"/>
  <c r="F34" i="385"/>
  <c r="K35" i="385"/>
  <c r="F38" i="385"/>
  <c r="K39" i="385"/>
  <c r="F42" i="385"/>
  <c r="K43" i="385"/>
  <c r="F46" i="385"/>
  <c r="K47" i="385"/>
  <c r="F50" i="385"/>
  <c r="K51" i="385"/>
  <c r="D24" i="415"/>
  <c r="C31" i="415"/>
  <c r="I53" i="54"/>
  <c r="H53" i="54"/>
  <c r="H54" i="54" s="1"/>
  <c r="I52" i="54"/>
  <c r="E23" i="415" l="1"/>
  <c r="E54" i="415"/>
  <c r="E41" i="415"/>
  <c r="E34" i="415"/>
  <c r="E35" i="415"/>
  <c r="E31" i="415"/>
  <c r="E52" i="415"/>
  <c r="E47" i="415"/>
  <c r="E25" i="415"/>
  <c r="E50" i="415"/>
  <c r="E53" i="415"/>
  <c r="E36" i="415"/>
  <c r="E30" i="415"/>
  <c r="E5" i="415"/>
  <c r="E33" i="415"/>
  <c r="E24" i="415"/>
  <c r="R48" i="385"/>
  <c r="S48" i="385"/>
  <c r="R68" i="385"/>
  <c r="S68" i="385"/>
  <c r="M38" i="385"/>
  <c r="E38" i="385" s="1"/>
  <c r="J38" i="385"/>
  <c r="H38" i="385"/>
  <c r="M25" i="385"/>
  <c r="E25" i="385" s="1"/>
  <c r="J25" i="385"/>
  <c r="H25" i="385"/>
  <c r="M42" i="385"/>
  <c r="E42" i="385" s="1"/>
  <c r="J42" i="385"/>
  <c r="H42" i="385"/>
  <c r="R8" i="385"/>
  <c r="S8" i="385"/>
  <c r="M24" i="385"/>
  <c r="E24" i="385" s="1"/>
  <c r="J24" i="385"/>
  <c r="H24" i="385"/>
  <c r="E7" i="415"/>
  <c r="M21" i="385"/>
  <c r="E21" i="385" s="1"/>
  <c r="J21" i="385"/>
  <c r="H21" i="385"/>
  <c r="M37" i="385"/>
  <c r="E37" i="385" s="1"/>
  <c r="J37" i="385"/>
  <c r="H37" i="385"/>
  <c r="M54" i="385"/>
  <c r="E54" i="385" s="1"/>
  <c r="J54" i="385"/>
  <c r="H54" i="385"/>
  <c r="R56" i="385"/>
  <c r="S56" i="385"/>
  <c r="M28" i="385"/>
  <c r="E28" i="385" s="1"/>
  <c r="J28" i="385"/>
  <c r="H28" i="385"/>
  <c r="E37" i="415"/>
  <c r="M34" i="385"/>
  <c r="E34" i="385" s="1"/>
  <c r="J34" i="385"/>
  <c r="H34" i="385"/>
  <c r="E48" i="415"/>
  <c r="S49" i="385"/>
  <c r="R49" i="385"/>
  <c r="R16" i="385"/>
  <c r="S16" i="385"/>
  <c r="R64" i="385"/>
  <c r="S64" i="385"/>
  <c r="J7" i="385"/>
  <c r="H7" i="385"/>
  <c r="M7" i="385"/>
  <c r="E7" i="385" s="1"/>
  <c r="M20" i="385"/>
  <c r="E20" i="385" s="1"/>
  <c r="J20" i="385"/>
  <c r="H20" i="385"/>
  <c r="E28" i="415"/>
  <c r="E38" i="415"/>
  <c r="S73" i="385"/>
  <c r="R73" i="385"/>
  <c r="J11" i="385"/>
  <c r="H11" i="385"/>
  <c r="M11" i="385"/>
  <c r="E11" i="385" s="1"/>
  <c r="R40" i="385"/>
  <c r="S40" i="385"/>
  <c r="R76" i="385"/>
  <c r="S76" i="385"/>
  <c r="M41" i="385"/>
  <c r="E41" i="385" s="1"/>
  <c r="J41" i="385"/>
  <c r="H41" i="385"/>
  <c r="E21" i="415"/>
  <c r="M16" i="385"/>
  <c r="E16" i="385" s="1"/>
  <c r="J16" i="385"/>
  <c r="H16" i="385"/>
  <c r="M29" i="385"/>
  <c r="E29" i="385" s="1"/>
  <c r="J29" i="385"/>
  <c r="H29" i="385"/>
  <c r="R17" i="385"/>
  <c r="S17" i="385"/>
  <c r="J35" i="385"/>
  <c r="H35" i="385"/>
  <c r="M35" i="385"/>
  <c r="E35" i="385" s="1"/>
  <c r="S39" i="385"/>
  <c r="R39" i="385"/>
  <c r="M6" i="385"/>
  <c r="E6" i="385" s="1"/>
  <c r="J6" i="385"/>
  <c r="H6" i="385"/>
  <c r="M17" i="385"/>
  <c r="E17" i="385" s="1"/>
  <c r="J17" i="385"/>
  <c r="H17" i="385"/>
  <c r="M30" i="385"/>
  <c r="E30" i="385" s="1"/>
  <c r="J30" i="385"/>
  <c r="H30" i="385"/>
  <c r="S29" i="385"/>
  <c r="R29" i="385"/>
  <c r="S70" i="385"/>
  <c r="R70" i="385"/>
  <c r="J47" i="385"/>
  <c r="H47" i="385"/>
  <c r="M47" i="385"/>
  <c r="E47" i="385" s="1"/>
  <c r="S31" i="385"/>
  <c r="R31" i="385"/>
  <c r="E29" i="415"/>
  <c r="M26" i="385"/>
  <c r="E26" i="385" s="1"/>
  <c r="J26" i="385"/>
  <c r="H26" i="385"/>
  <c r="E8" i="415"/>
  <c r="E18" i="415"/>
  <c r="M52" i="385"/>
  <c r="E52" i="385" s="1"/>
  <c r="J52" i="385"/>
  <c r="H52" i="385"/>
  <c r="M12" i="385"/>
  <c r="E12" i="385" s="1"/>
  <c r="J12" i="385"/>
  <c r="H12" i="385"/>
  <c r="E46" i="415"/>
  <c r="S74" i="385"/>
  <c r="R74" i="385"/>
  <c r="S11" i="385"/>
  <c r="R11" i="385"/>
  <c r="S6" i="385"/>
  <c r="R6" i="385"/>
  <c r="J31" i="385"/>
  <c r="H31" i="385"/>
  <c r="M31" i="385"/>
  <c r="E31" i="385" s="1"/>
  <c r="R32" i="385"/>
  <c r="S32" i="385"/>
  <c r="M32" i="385"/>
  <c r="E32" i="385" s="1"/>
  <c r="J32" i="385"/>
  <c r="H32" i="385"/>
  <c r="S10" i="385"/>
  <c r="R10" i="385"/>
  <c r="E49" i="415"/>
  <c r="M33" i="385"/>
  <c r="E33" i="385" s="1"/>
  <c r="J33" i="385"/>
  <c r="H33" i="385"/>
  <c r="E40" i="415"/>
  <c r="J51" i="385"/>
  <c r="H51" i="385"/>
  <c r="M51" i="385"/>
  <c r="E51" i="385" s="1"/>
  <c r="S46" i="385"/>
  <c r="R46" i="385"/>
  <c r="J52" i="54"/>
  <c r="I54" i="54"/>
  <c r="M22" i="385"/>
  <c r="E22" i="385" s="1"/>
  <c r="J22" i="385"/>
  <c r="H22" i="385"/>
  <c r="E22" i="415"/>
  <c r="E39" i="415"/>
  <c r="J39" i="385"/>
  <c r="H39" i="385"/>
  <c r="M39" i="385"/>
  <c r="E39" i="385" s="1"/>
  <c r="R12" i="385"/>
  <c r="S12" i="385"/>
  <c r="M8" i="385"/>
  <c r="E8" i="385" s="1"/>
  <c r="J8" i="385"/>
  <c r="H8" i="385"/>
  <c r="R13" i="385"/>
  <c r="S13" i="385"/>
  <c r="R36" i="385"/>
  <c r="S36" i="385"/>
  <c r="S65" i="385"/>
  <c r="R65" i="385"/>
  <c r="M48" i="385"/>
  <c r="E48" i="385" s="1"/>
  <c r="J48" i="385"/>
  <c r="H48" i="385"/>
  <c r="J53" i="54"/>
  <c r="M18" i="385"/>
  <c r="E18" i="385" s="1"/>
  <c r="J18" i="385"/>
  <c r="H18" i="385"/>
  <c r="E19" i="415"/>
  <c r="R37" i="385"/>
  <c r="S37" i="385"/>
  <c r="M5" i="385"/>
  <c r="E5" i="385" s="1"/>
  <c r="J5" i="385"/>
  <c r="H5" i="385"/>
  <c r="J19" i="385"/>
  <c r="H19" i="385"/>
  <c r="M19" i="385"/>
  <c r="E19" i="385" s="1"/>
  <c r="S77" i="385"/>
  <c r="R77" i="385"/>
  <c r="S43" i="385"/>
  <c r="R43" i="385"/>
  <c r="S33" i="385"/>
  <c r="R33" i="385"/>
  <c r="S75" i="385"/>
  <c r="R75" i="385"/>
  <c r="M9" i="385"/>
  <c r="E9" i="385" s="1"/>
  <c r="J9" i="385"/>
  <c r="H9" i="385"/>
  <c r="J23" i="385"/>
  <c r="H23" i="385"/>
  <c r="M23" i="385"/>
  <c r="E23" i="385" s="1"/>
  <c r="M14" i="385"/>
  <c r="E14" i="385" s="1"/>
  <c r="J14" i="385"/>
  <c r="H14" i="385"/>
  <c r="S53" i="385"/>
  <c r="R53" i="385"/>
  <c r="M13" i="385"/>
  <c r="E13" i="385" s="1"/>
  <c r="J13" i="385"/>
  <c r="H13" i="385"/>
  <c r="J27" i="385"/>
  <c r="H27" i="385"/>
  <c r="M27" i="385"/>
  <c r="E27" i="385" s="1"/>
  <c r="R52" i="385"/>
  <c r="S52" i="385"/>
  <c r="M45" i="385"/>
  <c r="E45" i="385" s="1"/>
  <c r="J45" i="385"/>
  <c r="H45" i="385"/>
  <c r="J15" i="385"/>
  <c r="H15" i="385"/>
  <c r="M15" i="385"/>
  <c r="E15" i="385" s="1"/>
  <c r="M40" i="385"/>
  <c r="E40" i="385" s="1"/>
  <c r="J40" i="385"/>
  <c r="H40" i="385"/>
  <c r="M53" i="385"/>
  <c r="E53" i="385" s="1"/>
  <c r="J53" i="385"/>
  <c r="H53" i="385"/>
  <c r="E32" i="415"/>
  <c r="J43" i="385"/>
  <c r="H43" i="385"/>
  <c r="M43" i="385"/>
  <c r="E43" i="385" s="1"/>
  <c r="R44" i="385"/>
  <c r="S44" i="385"/>
  <c r="R28" i="385"/>
  <c r="S28" i="385"/>
  <c r="M10" i="385"/>
  <c r="E10" i="385" s="1"/>
  <c r="J10" i="385"/>
  <c r="H10" i="385"/>
  <c r="S55" i="385"/>
  <c r="R55" i="385"/>
  <c r="S47" i="385"/>
  <c r="R47" i="385"/>
  <c r="M46" i="385"/>
  <c r="E46" i="385" s="1"/>
  <c r="J46" i="385"/>
  <c r="H46" i="385"/>
  <c r="M44" i="385"/>
  <c r="E44" i="385" s="1"/>
  <c r="J44" i="385"/>
  <c r="H44" i="385"/>
  <c r="M50" i="385"/>
  <c r="E50" i="385" s="1"/>
  <c r="J50" i="385"/>
  <c r="H50" i="385"/>
  <c r="M36" i="385"/>
  <c r="E36" i="385" s="1"/>
  <c r="J36" i="385"/>
  <c r="H36" i="385"/>
  <c r="M49" i="385"/>
  <c r="E49" i="385" s="1"/>
  <c r="J49" i="385"/>
  <c r="H49" i="385"/>
  <c r="S69" i="385"/>
  <c r="R69" i="385"/>
  <c r="S51" i="385"/>
  <c r="R51" i="385"/>
  <c r="R72" i="385"/>
  <c r="S72" i="385"/>
  <c r="S27" i="385"/>
  <c r="R27" i="385"/>
  <c r="J54" i="54" l="1"/>
  <c r="Q118" i="89" l="1"/>
  <c r="I118" i="89"/>
  <c r="W113" i="89" a="1"/>
  <c r="W113" i="89" l="1"/>
  <c r="L113" i="89" a="1"/>
  <c r="L113" i="89" l="1"/>
  <c r="K113" i="89" a="1"/>
  <c r="K113" i="89" l="1"/>
  <c r="M113" i="89" s="1"/>
  <c r="H113" i="89"/>
  <c r="F113" i="89" a="1"/>
  <c r="I113" i="89" l="1"/>
  <c r="F113" i="89"/>
  <c r="AE113" i="89"/>
  <c r="AA113" i="89" a="1"/>
  <c r="N113" i="89" a="1"/>
  <c r="AA113" i="89" l="1"/>
  <c r="N113" i="89"/>
  <c r="Z113" i="89" a="1"/>
  <c r="Z113" i="89" l="1"/>
  <c r="P113" i="89"/>
  <c r="Q113" i="89" s="1"/>
  <c r="AE112" i="89"/>
  <c r="AC113" i="89" l="1"/>
  <c r="Y113" i="89"/>
  <c r="U113" i="89"/>
  <c r="J113" i="89"/>
  <c r="W112" i="89" a="1"/>
  <c r="W112" i="89" l="1"/>
  <c r="L112" i="89" a="1"/>
  <c r="L112" i="89" l="1"/>
  <c r="K112" i="89" a="1"/>
  <c r="K112" i="89" l="1"/>
  <c r="M112" i="89" s="1"/>
  <c r="K114" i="89"/>
  <c r="I112" i="89"/>
  <c r="AA112" i="89" a="1"/>
  <c r="F112" i="89" a="1"/>
  <c r="AA112" i="89" l="1"/>
  <c r="F112" i="89"/>
  <c r="N112" i="89" a="1"/>
  <c r="N112" i="89" l="1"/>
  <c r="Z112" i="89" a="1"/>
  <c r="Z112" i="89" l="1"/>
  <c r="P112" i="89"/>
  <c r="Q112" i="89" s="1"/>
  <c r="S112" i="89"/>
  <c r="R112" i="89" s="1" a="1"/>
  <c r="R112" i="89" l="1"/>
  <c r="AC112" i="89"/>
  <c r="Y112" i="89"/>
  <c r="U112" i="89"/>
  <c r="J112" i="89"/>
  <c r="W111" i="89" a="1"/>
  <c r="W111" i="89" l="1"/>
  <c r="L111" i="89" a="1"/>
  <c r="L111" i="89" l="1"/>
  <c r="K111" i="89" a="1"/>
  <c r="K111" i="89" l="1"/>
  <c r="K115" i="89" s="1"/>
  <c r="H111" i="89"/>
  <c r="F111" i="89" a="1"/>
  <c r="I111" i="89" l="1"/>
  <c r="M111" i="89"/>
  <c r="F111" i="89"/>
  <c r="AE111" i="89"/>
  <c r="AA111" i="89" a="1"/>
  <c r="N111" i="89" a="1"/>
  <c r="AA111" i="89" l="1"/>
  <c r="I116" i="89"/>
  <c r="N111" i="89"/>
  <c r="I114" i="89"/>
  <c r="Z111" i="89" a="1"/>
  <c r="Z111" i="89" l="1"/>
  <c r="P111" i="89"/>
  <c r="P114" i="89" s="1"/>
  <c r="Q114" i="89" s="1"/>
  <c r="I110" i="89"/>
  <c r="Q109" i="89"/>
  <c r="I109" i="89"/>
  <c r="S111" i="89" a="1"/>
  <c r="Q111" i="89" l="1"/>
  <c r="Q110" i="89" s="1"/>
  <c r="S111" i="89"/>
  <c r="R111" i="89" a="1"/>
  <c r="R111" i="89" l="1"/>
  <c r="AC111" i="89"/>
  <c r="Y111" i="89"/>
  <c r="U111" i="89"/>
  <c r="J111" i="89"/>
  <c r="Y115" i="89" l="1"/>
  <c r="W104" i="89" a="1"/>
  <c r="W104" i="89" l="1"/>
  <c r="L104" i="89" a="1"/>
  <c r="L104" i="89" l="1"/>
  <c r="K104" i="89" a="1"/>
  <c r="K104" i="89" l="1"/>
  <c r="M104" i="89" s="1"/>
  <c r="I104" i="89"/>
  <c r="H104" i="89"/>
  <c r="AA104" i="89" a="1"/>
  <c r="F104" i="89" a="1"/>
  <c r="AA104" i="89" l="1"/>
  <c r="F104" i="89"/>
  <c r="AE104" i="89"/>
  <c r="N104" i="89" a="1"/>
  <c r="N104" i="89" l="1"/>
  <c r="D104" i="89"/>
  <c r="Z104" i="89" a="1"/>
  <c r="Z104" i="89" l="1"/>
  <c r="P104" i="89"/>
  <c r="Q104" i="89" s="1"/>
  <c r="AE103" i="89"/>
  <c r="AC104" i="89" l="1"/>
  <c r="Y104" i="89"/>
  <c r="U104" i="89"/>
  <c r="J104" i="89"/>
  <c r="W103" i="89" a="1"/>
  <c r="W103" i="89" l="1"/>
  <c r="L103" i="89" a="1"/>
  <c r="L103" i="89" l="1"/>
  <c r="K103" i="89" a="1"/>
  <c r="K103" i="89" l="1"/>
  <c r="M103" i="89" s="1"/>
  <c r="K105" i="89"/>
  <c r="F103" i="89" a="1"/>
  <c r="I103" i="89" l="1"/>
  <c r="F103" i="89"/>
  <c r="AA103" i="89" a="1"/>
  <c r="N103" i="89" a="1"/>
  <c r="AA103" i="89" l="1"/>
  <c r="N103" i="89"/>
  <c r="D103" i="89"/>
  <c r="Z103" i="89" a="1"/>
  <c r="Z103" i="89" l="1"/>
  <c r="P103" i="89"/>
  <c r="S103" i="89" a="1"/>
  <c r="S103" i="89" l="1"/>
  <c r="Q103" i="89"/>
  <c r="R103" i="89" a="1"/>
  <c r="R103" i="89" l="1"/>
  <c r="AC103" i="89"/>
  <c r="Y103" i="89"/>
  <c r="U103" i="89"/>
  <c r="J103" i="89"/>
  <c r="W102" i="89" a="1"/>
  <c r="W102" i="89" l="1"/>
  <c r="L102" i="89" a="1"/>
  <c r="L102" i="89" l="1"/>
  <c r="K102" i="89" a="1"/>
  <c r="K102" i="89" l="1"/>
  <c r="K106" i="89" s="1"/>
  <c r="I102" i="89"/>
  <c r="H102" i="89"/>
  <c r="AA102" i="89" a="1"/>
  <c r="F102" i="89" a="1"/>
  <c r="AA102" i="89" l="1"/>
  <c r="M102" i="89"/>
  <c r="F102" i="89"/>
  <c r="AE102" i="89"/>
  <c r="I107" i="89"/>
  <c r="I105" i="89"/>
  <c r="N102" i="89" a="1"/>
  <c r="N102" i="89" l="1"/>
  <c r="D102" i="89"/>
  <c r="Z102" i="89" a="1"/>
  <c r="Z102" i="89" l="1"/>
  <c r="P102" i="89"/>
  <c r="J101" i="89"/>
  <c r="I101" i="89"/>
  <c r="AE96" i="89"/>
  <c r="S102" i="89" a="1"/>
  <c r="K101" i="89" l="1"/>
  <c r="S102" i="89"/>
  <c r="P105" i="89"/>
  <c r="Q102" i="89"/>
  <c r="Q101" i="89" s="1"/>
  <c r="R102" i="89" a="1"/>
  <c r="R102" i="89" l="1"/>
  <c r="Q105" i="89"/>
  <c r="B107" i="89"/>
  <c r="AC102" i="89"/>
  <c r="Y102" i="89"/>
  <c r="U102" i="89"/>
  <c r="J102" i="89"/>
  <c r="Y106" i="89" l="1"/>
  <c r="W96" i="89" a="1"/>
  <c r="W96" i="89" l="1"/>
  <c r="L96" i="89" a="1"/>
  <c r="L96" i="89" l="1"/>
  <c r="K96" i="89" a="1"/>
  <c r="K96" i="89" l="1"/>
  <c r="M96" i="89" s="1"/>
  <c r="I96" i="89"/>
  <c r="AA96" i="89" a="1"/>
  <c r="F96" i="89" a="1"/>
  <c r="AA96" i="89" l="1"/>
  <c r="F96" i="89"/>
  <c r="N96" i="89" a="1"/>
  <c r="N96" i="89" l="1"/>
  <c r="D96" i="89"/>
  <c r="Z96" i="89" a="1"/>
  <c r="Z96" i="89" l="1"/>
  <c r="P96" i="89"/>
  <c r="Q96" i="89" s="1"/>
  <c r="AE95" i="89"/>
  <c r="S96" i="89" a="1"/>
  <c r="S96" i="89" l="1"/>
  <c r="R96" i="89" a="1"/>
  <c r="R96" i="89" l="1"/>
  <c r="AC96" i="89"/>
  <c r="Y96" i="89"/>
  <c r="U96" i="89"/>
  <c r="J96" i="89"/>
  <c r="W95" i="89" a="1"/>
  <c r="W95" i="89" l="1"/>
  <c r="L95" i="89" a="1"/>
  <c r="L95" i="89" l="1"/>
  <c r="K95" i="89" a="1"/>
  <c r="K95" i="89" l="1"/>
  <c r="M95" i="89" s="1"/>
  <c r="K97" i="89"/>
  <c r="I95" i="89"/>
  <c r="F95" i="89" a="1"/>
  <c r="F95" i="89" l="1"/>
  <c r="N95" i="89" a="1"/>
  <c r="N95" i="89" l="1"/>
  <c r="D95" i="89"/>
  <c r="P95" i="89" l="1"/>
  <c r="AB95" i="89" a="1"/>
  <c r="S95" i="89" a="1"/>
  <c r="AB95" i="89" l="1"/>
  <c r="S95" i="89"/>
  <c r="Q95" i="89"/>
  <c r="R95" i="89" a="1"/>
  <c r="R95" i="89" l="1"/>
  <c r="AC95" i="89"/>
  <c r="Y95" i="89"/>
  <c r="U95" i="89"/>
  <c r="J95" i="89"/>
  <c r="W94" i="89" a="1"/>
  <c r="W94" i="89" l="1"/>
  <c r="L94" i="89" a="1"/>
  <c r="L94" i="89" l="1"/>
  <c r="K94" i="89" a="1"/>
  <c r="K94" i="89" l="1"/>
  <c r="K98" i="89" s="1"/>
  <c r="I94" i="89"/>
  <c r="H94" i="89"/>
  <c r="F94" i="89" a="1"/>
  <c r="M94" i="89" l="1"/>
  <c r="F94" i="89"/>
  <c r="I99" i="89"/>
  <c r="I97" i="89"/>
  <c r="AE94" i="89"/>
  <c r="N94" i="89" a="1"/>
  <c r="N94" i="89" l="1"/>
  <c r="D94" i="89"/>
  <c r="P94" i="89" l="1"/>
  <c r="J93" i="89"/>
  <c r="I93" i="89"/>
  <c r="AE87" i="89"/>
  <c r="AB94" i="89" a="1"/>
  <c r="S94" i="89" a="1"/>
  <c r="K93" i="89" l="1"/>
  <c r="AB94" i="89"/>
  <c r="S94" i="89"/>
  <c r="P97" i="89"/>
  <c r="Q97" i="89" s="1"/>
  <c r="Q94" i="89"/>
  <c r="Q93" i="89" s="1"/>
  <c r="R94" i="89" a="1"/>
  <c r="R94" i="89" l="1"/>
  <c r="AC94" i="89"/>
  <c r="Y94" i="89"/>
  <c r="U94" i="89"/>
  <c r="J94" i="89"/>
  <c r="Y98" i="89" l="1"/>
  <c r="W87" i="89" a="1"/>
  <c r="W87" i="89" l="1"/>
  <c r="L87" i="89" a="1"/>
  <c r="L87" i="89" l="1"/>
  <c r="K87" i="89" a="1"/>
  <c r="K87" i="89" l="1"/>
  <c r="M87" i="89" s="1"/>
  <c r="I87" i="89"/>
  <c r="AA87" i="89" a="1"/>
  <c r="F87" i="89" a="1"/>
  <c r="AA87" i="89" l="1"/>
  <c r="F87" i="89"/>
  <c r="N87" i="89" a="1"/>
  <c r="N87" i="89" l="1"/>
  <c r="D87" i="89"/>
  <c r="Z87" i="89" a="1"/>
  <c r="Z87" i="89" l="1"/>
  <c r="P87" i="89"/>
  <c r="Q87" i="89" s="1"/>
  <c r="AE86" i="89"/>
  <c r="AC87" i="89" l="1"/>
  <c r="Y87" i="89"/>
  <c r="U87" i="89"/>
  <c r="J87" i="89"/>
  <c r="W86" i="89" a="1"/>
  <c r="W86" i="89" l="1"/>
  <c r="L86" i="89" a="1"/>
  <c r="L86" i="89" l="1"/>
  <c r="K86" i="89" a="1"/>
  <c r="K86" i="89" l="1"/>
  <c r="M86" i="89" s="1"/>
  <c r="K88" i="89"/>
  <c r="F86" i="89" a="1"/>
  <c r="I86" i="89" l="1"/>
  <c r="F86" i="89"/>
  <c r="AA86" i="89" a="1"/>
  <c r="N86" i="89" a="1"/>
  <c r="AA86" i="89" l="1"/>
  <c r="N86" i="89"/>
  <c r="I91" i="89"/>
  <c r="D86" i="89"/>
  <c r="Z86" i="89" a="1"/>
  <c r="Z86" i="89" l="1"/>
  <c r="P86" i="89"/>
  <c r="AE85" i="89"/>
  <c r="S86" i="89" a="1"/>
  <c r="S86" i="89" l="1"/>
  <c r="Q86" i="89"/>
  <c r="R86" i="89" a="1"/>
  <c r="R86" i="89" l="1"/>
  <c r="AC86" i="89"/>
  <c r="Y86" i="89"/>
  <c r="U86" i="89"/>
  <c r="J86" i="89"/>
  <c r="W85" i="89" a="1"/>
  <c r="W85" i="89" l="1"/>
  <c r="L85" i="89" a="1"/>
  <c r="L85" i="89" l="1"/>
  <c r="K85" i="89" a="1"/>
  <c r="K85" i="89" l="1"/>
  <c r="K89" i="89" s="1"/>
  <c r="I85" i="89"/>
  <c r="AA85" i="89" a="1"/>
  <c r="F85" i="89" a="1"/>
  <c r="AA85" i="89" l="1"/>
  <c r="M85" i="89"/>
  <c r="F85" i="89"/>
  <c r="I88" i="89"/>
  <c r="I90" i="89"/>
  <c r="N85" i="89" a="1"/>
  <c r="N85" i="89" l="1"/>
  <c r="D85" i="89"/>
  <c r="Z85" i="89" a="1"/>
  <c r="Z85" i="89" l="1"/>
  <c r="P85" i="89"/>
  <c r="I84" i="89"/>
  <c r="I83" i="89"/>
  <c r="AG76" i="89"/>
  <c r="S85" i="89" a="1"/>
  <c r="S85" i="89" l="1"/>
  <c r="P88" i="89"/>
  <c r="Q88" i="89" s="1"/>
  <c r="Q85" i="89"/>
  <c r="R85" i="89" a="1"/>
  <c r="R85" i="89" l="1"/>
  <c r="AC85" i="89"/>
  <c r="Y85" i="89"/>
  <c r="U85" i="89"/>
  <c r="J85" i="89"/>
  <c r="Y89" i="89" l="1"/>
  <c r="W76" i="89" a="1"/>
  <c r="W76" i="89" l="1"/>
  <c r="T78" i="89" l="1"/>
  <c r="L76" i="89" a="1"/>
  <c r="L76" i="89" l="1"/>
  <c r="K76" i="89" a="1"/>
  <c r="K76" i="89" l="1"/>
  <c r="L80" i="89"/>
  <c r="K78" i="89"/>
  <c r="M76" i="89"/>
  <c r="I76" i="89"/>
  <c r="AA76" i="89" a="1"/>
  <c r="AA76" i="89" l="1"/>
  <c r="I78" i="89"/>
  <c r="I79" i="89" s="1"/>
  <c r="P76" i="89"/>
  <c r="Q76" i="89" s="1"/>
  <c r="Q78" i="89" s="1"/>
  <c r="K80" i="89"/>
  <c r="K79" i="89"/>
  <c r="AG70" i="89" l="1"/>
  <c r="AC76" i="89" l="1"/>
  <c r="Y76" i="89"/>
  <c r="U76" i="89"/>
  <c r="J76" i="89"/>
  <c r="Y78" i="89" l="1"/>
  <c r="Y79" i="89" s="1"/>
  <c r="W70" i="89" a="1"/>
  <c r="W70" i="89" l="1"/>
  <c r="L70" i="89" a="1"/>
  <c r="L70" i="89" l="1"/>
  <c r="K70" i="89" a="1"/>
  <c r="K70" i="89" l="1"/>
  <c r="M70" i="89" s="1"/>
  <c r="I70" i="89"/>
  <c r="AA70" i="89" a="1"/>
  <c r="F70" i="89" a="1"/>
  <c r="AA70" i="89" l="1"/>
  <c r="F70" i="89"/>
  <c r="N70" i="89" a="1"/>
  <c r="N70" i="89" l="1"/>
  <c r="P70" i="89"/>
  <c r="Q70" i="89" s="1"/>
  <c r="AG69" i="89"/>
  <c r="Z70" i="89" a="1"/>
  <c r="Z70" i="89" l="1"/>
  <c r="AC70" i="89"/>
  <c r="Y70" i="89"/>
  <c r="U70" i="89"/>
  <c r="J70" i="89"/>
  <c r="T71" i="89" l="1"/>
  <c r="M69" i="89" l="1"/>
  <c r="L73" i="89"/>
  <c r="L82" i="89" s="1"/>
  <c r="K71" i="89"/>
  <c r="I69" i="89" l="1"/>
  <c r="K73" i="89"/>
  <c r="K82" i="89" s="1"/>
  <c r="K72" i="89"/>
  <c r="AA69" i="89" a="1"/>
  <c r="AA69" i="89" l="1"/>
  <c r="I71" i="89"/>
  <c r="I72" i="89" s="1"/>
  <c r="P69" i="89"/>
  <c r="Q69" i="89" s="1"/>
  <c r="Q71" i="89" s="1"/>
  <c r="Q81" i="89" s="1"/>
  <c r="Z68" i="89" l="1"/>
  <c r="AC69" i="89" l="1"/>
  <c r="Y69" i="89"/>
  <c r="U69" i="89"/>
  <c r="J69" i="89"/>
  <c r="Y71" i="89" l="1"/>
  <c r="Y72" i="89" s="1"/>
  <c r="W61" i="89" a="1"/>
  <c r="W61" i="89" l="1"/>
  <c r="L61" i="89" a="1"/>
  <c r="L61" i="89" l="1"/>
  <c r="K61" i="89" a="1"/>
  <c r="K61" i="89" l="1"/>
  <c r="M61" i="89" s="1"/>
  <c r="I61" i="89"/>
  <c r="H61" i="89"/>
  <c r="AA61" i="89" a="1"/>
  <c r="F61" i="89" a="1"/>
  <c r="AA61" i="89" l="1"/>
  <c r="F61" i="89"/>
  <c r="AG61" i="89"/>
  <c r="N61" i="89"/>
  <c r="Z61" i="89" s="1" a="1"/>
  <c r="Z61" i="89" l="1"/>
  <c r="P61" i="89"/>
  <c r="Q61" i="89" s="1"/>
  <c r="AG60" i="89" l="1"/>
  <c r="AC61" i="89" l="1"/>
  <c r="Y61" i="89"/>
  <c r="U61" i="89"/>
  <c r="J61" i="89"/>
  <c r="W60" i="89" a="1"/>
  <c r="W60" i="89" l="1"/>
  <c r="T62" i="89" l="1"/>
  <c r="L60" i="89" a="1"/>
  <c r="L60" i="89" l="1"/>
  <c r="K60" i="89" a="1"/>
  <c r="K60" i="89" l="1"/>
  <c r="L64" i="89"/>
  <c r="K62" i="89"/>
  <c r="M60" i="89"/>
  <c r="I60" i="89"/>
  <c r="AA60" i="89" a="1"/>
  <c r="F60" i="89" a="1"/>
  <c r="AA60" i="89" l="1"/>
  <c r="F60" i="89"/>
  <c r="I62" i="89"/>
  <c r="I63" i="89" s="1"/>
  <c r="K64" i="89"/>
  <c r="K63" i="89"/>
  <c r="N60" i="89" a="1"/>
  <c r="N60" i="89" l="1"/>
  <c r="Z60" i="89" a="1"/>
  <c r="Z60" i="89" l="1"/>
  <c r="P60" i="89"/>
  <c r="Q60" i="89" s="1"/>
  <c r="Q62" i="89" s="1"/>
  <c r="S60" i="89" a="1"/>
  <c r="S60" i="89" l="1"/>
  <c r="R60" i="89" a="1"/>
  <c r="R60" i="89" l="1"/>
  <c r="AC60" i="89"/>
  <c r="Y60" i="89"/>
  <c r="U60" i="89"/>
  <c r="J60" i="89"/>
  <c r="Y63" i="89" l="1"/>
  <c r="W54" i="89" a="1"/>
  <c r="W54" i="89" l="1"/>
  <c r="L54" i="89" a="1"/>
  <c r="L54" i="89" l="1"/>
  <c r="K54" i="89" a="1"/>
  <c r="K54" i="89" l="1"/>
  <c r="M54" i="89" s="1"/>
  <c r="I54" i="89"/>
  <c r="H54" i="89"/>
  <c r="AA54" i="89" a="1"/>
  <c r="F54" i="89" a="1"/>
  <c r="AA54" i="89" l="1"/>
  <c r="F54" i="89"/>
  <c r="AG54" i="89"/>
  <c r="N54" i="89"/>
  <c r="Z54" i="89" s="1" a="1"/>
  <c r="Z54" i="89" l="1"/>
  <c r="P54" i="89"/>
  <c r="Q54" i="89" s="1"/>
  <c r="AG53" i="89" l="1"/>
  <c r="AC54" i="89" l="1"/>
  <c r="Y54" i="89"/>
  <c r="U54" i="89"/>
  <c r="J54" i="89"/>
  <c r="W53" i="89" a="1"/>
  <c r="W53" i="89" l="1"/>
  <c r="T55" i="89" l="1"/>
  <c r="L53" i="89" a="1"/>
  <c r="L53" i="89" l="1"/>
  <c r="K53" i="89" a="1"/>
  <c r="K53" i="89" l="1"/>
  <c r="K57" i="89" s="1"/>
  <c r="K65" i="89" s="1"/>
  <c r="L57" i="89"/>
  <c r="L65" i="89" s="1"/>
  <c r="K55" i="89"/>
  <c r="I53" i="89"/>
  <c r="AA53" i="89" a="1"/>
  <c r="F53" i="89" a="1"/>
  <c r="AA53" i="89" l="1"/>
  <c r="M53" i="89"/>
  <c r="F53" i="89"/>
  <c r="N53" i="89"/>
  <c r="Z53" i="89" s="1" a="1"/>
  <c r="Z53" i="89" l="1"/>
  <c r="P53" i="89"/>
  <c r="Q53" i="89" l="1"/>
  <c r="S53" i="89" a="1"/>
  <c r="S53" i="89" l="1"/>
  <c r="R53" i="89" a="1"/>
  <c r="R53" i="89" l="1"/>
  <c r="AC53" i="89"/>
  <c r="Y53" i="89"/>
  <c r="U53" i="89"/>
  <c r="J53" i="89"/>
  <c r="W52" i="89" a="1"/>
  <c r="W52" i="89" l="1"/>
  <c r="L52" i="89" a="1"/>
  <c r="L52" i="89" l="1"/>
  <c r="K52" i="89" a="1"/>
  <c r="K52" i="89" l="1"/>
  <c r="K56" i="89" s="1"/>
  <c r="I52" i="89"/>
  <c r="H52" i="89"/>
  <c r="AA52" i="89" a="1"/>
  <c r="F52" i="89" a="1"/>
  <c r="AA52" i="89" l="1"/>
  <c r="M52" i="89"/>
  <c r="F52" i="89"/>
  <c r="AG52" i="89"/>
  <c r="I55" i="89"/>
  <c r="I56" i="89" s="1"/>
  <c r="N52" i="89"/>
  <c r="Z52" i="89" s="1" a="1"/>
  <c r="Z52" i="89" l="1"/>
  <c r="P52" i="89"/>
  <c r="P55" i="89" l="1"/>
  <c r="Q55" i="89" s="1"/>
  <c r="Q64" i="89" s="1"/>
  <c r="Q52" i="89"/>
  <c r="K51" i="89" l="1"/>
  <c r="S52" i="89" a="1"/>
  <c r="S52" i="89" l="1"/>
  <c r="R52" i="89" a="1"/>
  <c r="R52" i="89" l="1"/>
  <c r="AC52" i="89"/>
  <c r="Y52" i="89"/>
  <c r="U52" i="89"/>
  <c r="J52" i="89"/>
  <c r="Y56" i="89" l="1"/>
  <c r="M44" i="89" l="1"/>
  <c r="H44" i="89"/>
  <c r="I44" i="89" l="1"/>
  <c r="AE44" i="89"/>
  <c r="AA44" i="89" a="1"/>
  <c r="N44" i="89" a="1"/>
  <c r="AA44" i="89" l="1"/>
  <c r="N44" i="89"/>
  <c r="P44" i="89"/>
  <c r="Q44" i="89" s="1"/>
  <c r="Z44" i="89" a="1"/>
  <c r="Z44" i="89" l="1"/>
  <c r="AE43" i="89"/>
  <c r="AC44" i="89" l="1"/>
  <c r="Y44" i="89"/>
  <c r="U44" i="89"/>
  <c r="J44" i="89"/>
  <c r="T45" i="89" l="1"/>
  <c r="M43" i="89" l="1"/>
  <c r="K45" i="89"/>
  <c r="I43" i="89"/>
  <c r="AA43" i="89" a="1"/>
  <c r="AA43" i="89" l="1"/>
  <c r="I45" i="89"/>
  <c r="I46" i="89" s="1"/>
  <c r="K46" i="89"/>
  <c r="N43" i="89" a="1"/>
  <c r="N43" i="89" l="1"/>
  <c r="L42" i="89"/>
  <c r="Z43" i="89" a="1"/>
  <c r="S43" i="89" a="1"/>
  <c r="Z43" i="89" l="1"/>
  <c r="P43" i="89"/>
  <c r="S43" i="89"/>
  <c r="R43" i="89" a="1"/>
  <c r="R43" i="89" l="1"/>
  <c r="Q43" i="89"/>
  <c r="Q45" i="89" s="1"/>
  <c r="AC43" i="89"/>
  <c r="Y43" i="89"/>
  <c r="U43" i="89"/>
  <c r="J43" i="89"/>
  <c r="T42" i="89"/>
  <c r="Y45" i="89" l="1"/>
  <c r="Z46" i="89" s="1"/>
  <c r="M37" i="89" l="1"/>
  <c r="H37" i="89"/>
  <c r="I37" i="89" l="1"/>
  <c r="AE37" i="89"/>
  <c r="AA37" i="89" a="1"/>
  <c r="N37" i="89" a="1"/>
  <c r="AA37" i="89" l="1"/>
  <c r="N37" i="89"/>
  <c r="Z37" i="89" a="1"/>
  <c r="Z37" i="89" l="1"/>
  <c r="P37" i="89"/>
  <c r="Q37" i="89" s="1"/>
  <c r="AE36" i="89" l="1"/>
  <c r="S37" i="89" a="1"/>
  <c r="S37" i="89" l="1"/>
  <c r="R37" i="89" a="1"/>
  <c r="R37" i="89" l="1"/>
  <c r="AC37" i="89"/>
  <c r="Y37" i="89"/>
  <c r="U37" i="89"/>
  <c r="J37" i="89"/>
  <c r="T38" i="89" l="1"/>
  <c r="K39" i="89" l="1"/>
  <c r="K38" i="89"/>
  <c r="I36" i="89"/>
  <c r="AA36" i="89" a="1"/>
  <c r="AA36" i="89" l="1"/>
  <c r="M36" i="89"/>
  <c r="I38" i="89"/>
  <c r="N36" i="89" a="1"/>
  <c r="N36" i="89" l="1"/>
  <c r="I41" i="89"/>
  <c r="G38" i="89"/>
  <c r="I39" i="89"/>
  <c r="Z36" i="89" a="1"/>
  <c r="Z36" i="89" l="1"/>
  <c r="P36" i="89"/>
  <c r="Q36" i="89" s="1"/>
  <c r="Q38" i="89" s="1"/>
  <c r="P35" i="89" l="1"/>
  <c r="A32" i="89"/>
  <c r="AC36" i="89" l="1"/>
  <c r="Y36" i="89"/>
  <c r="U36" i="89"/>
  <c r="J36" i="89"/>
  <c r="J35" i="89" s="1"/>
  <c r="Y39" i="89" l="1"/>
  <c r="Y40" i="89" s="1"/>
  <c r="W31" i="89" a="1"/>
  <c r="W31" i="89" l="1"/>
  <c r="L31" i="89" a="1"/>
  <c r="L31" i="89" l="1"/>
  <c r="K31" i="89" a="1"/>
  <c r="K31" i="89" l="1"/>
  <c r="M31" i="89" s="1"/>
  <c r="H31" i="89"/>
  <c r="F31" i="89" a="1"/>
  <c r="I31" i="89" l="1"/>
  <c r="F31" i="89"/>
  <c r="AE31" i="89"/>
  <c r="AA31" i="89" a="1"/>
  <c r="N31" i="89" a="1"/>
  <c r="AA31" i="89" l="1"/>
  <c r="N31" i="89"/>
  <c r="P31" i="89"/>
  <c r="Q31" i="89" s="1"/>
  <c r="Z31" i="89" a="1"/>
  <c r="Z31" i="89" l="1"/>
  <c r="AE30" i="89"/>
  <c r="AC31" i="89" l="1"/>
  <c r="Y31" i="89"/>
  <c r="U31" i="89"/>
  <c r="J31" i="89"/>
  <c r="T32" i="89" l="1"/>
  <c r="I33" i="89" s="1"/>
  <c r="K33" i="89" l="1"/>
  <c r="K32" i="89"/>
  <c r="I30" i="89"/>
  <c r="AA30" i="89" a="1"/>
  <c r="AA30" i="89" l="1"/>
  <c r="M30" i="89"/>
  <c r="K41" i="89"/>
  <c r="K40" i="89"/>
  <c r="N30" i="89" a="1"/>
  <c r="N30" i="89" l="1"/>
  <c r="P30" i="89"/>
  <c r="Q30" i="89" s="1"/>
  <c r="Q32" i="89" s="1"/>
  <c r="Z30" i="89" a="1"/>
  <c r="Z30" i="89" l="1"/>
  <c r="I29" i="89"/>
  <c r="P28" i="89"/>
  <c r="L27" i="89"/>
  <c r="K27" i="89"/>
  <c r="AC30" i="89" l="1"/>
  <c r="Y30" i="89"/>
  <c r="U30" i="89"/>
  <c r="J30" i="89"/>
  <c r="Y32" i="89" l="1"/>
  <c r="Z33" i="89" s="1"/>
  <c r="I25" i="89" l="1"/>
  <c r="AL24" i="89"/>
  <c r="AK24" i="89"/>
  <c r="AJ20" i="89"/>
  <c r="AL21" i="89" s="1"/>
  <c r="AK21" i="89" l="1"/>
  <c r="M20" i="89" l="1"/>
  <c r="H20" i="89"/>
  <c r="AE20" i="89" l="1"/>
  <c r="AA20" i="89" a="1"/>
  <c r="N20" i="89" a="1"/>
  <c r="AA20" i="89" l="1"/>
  <c r="I23" i="89"/>
  <c r="N20" i="89"/>
  <c r="Z20" i="89" a="1"/>
  <c r="Z20" i="89" l="1"/>
  <c r="P20" i="89"/>
  <c r="Q20" i="89" s="1"/>
  <c r="AJ19" i="89"/>
  <c r="AE19" i="89"/>
  <c r="AC20" i="89" l="1"/>
  <c r="Y20" i="89"/>
  <c r="U20" i="89"/>
  <c r="J20" i="89"/>
  <c r="T21" i="89" l="1"/>
  <c r="K23" i="89" l="1"/>
  <c r="K22" i="89"/>
  <c r="L23" i="89"/>
  <c r="K21" i="89"/>
  <c r="M19" i="89"/>
  <c r="AA19" i="89" a="1"/>
  <c r="S19" i="89" a="1"/>
  <c r="AA19" i="89" l="1"/>
  <c r="S19" i="89"/>
  <c r="I21" i="89"/>
  <c r="I22" i="89" s="1"/>
  <c r="G18" i="89"/>
  <c r="R19" i="89" a="1"/>
  <c r="N19" i="89" a="1"/>
  <c r="R19" i="89" l="1"/>
  <c r="J19" i="89"/>
  <c r="N19" i="89"/>
  <c r="AC19" i="89"/>
  <c r="Y19" i="89"/>
  <c r="U19" i="89"/>
  <c r="Z19" i="89" a="1"/>
  <c r="Z19" i="89" l="1"/>
  <c r="P19" i="89"/>
  <c r="Y21" i="89"/>
  <c r="Y22" i="89" s="1"/>
  <c r="W14" i="89" a="1"/>
  <c r="P22" i="89" l="1"/>
  <c r="P23" i="89" s="1"/>
  <c r="Q19" i="89"/>
  <c r="Q21" i="89" s="1"/>
  <c r="Q24" i="89" s="1"/>
  <c r="W14" i="89"/>
  <c r="L14" i="89" a="1"/>
  <c r="L14" i="89" l="1"/>
  <c r="K14" i="89" a="1"/>
  <c r="K14" i="89" l="1"/>
  <c r="I14" i="89" s="1"/>
  <c r="H14" i="89"/>
  <c r="AA14" i="89" a="1"/>
  <c r="F14" i="89" a="1"/>
  <c r="AA14" i="89" l="1"/>
  <c r="M14" i="89"/>
  <c r="F14" i="89"/>
  <c r="AF14" i="89"/>
  <c r="AE14" i="89"/>
  <c r="N14" i="89" a="1"/>
  <c r="N14" i="89" l="1"/>
  <c r="P14" i="89"/>
  <c r="Q14" i="89" s="1"/>
  <c r="Z14" i="89" a="1"/>
  <c r="Z14" i="89" l="1"/>
  <c r="AF13" i="89"/>
  <c r="AE13" i="89"/>
  <c r="S14" i="89" a="1"/>
  <c r="S14" i="89" l="1"/>
  <c r="R14" i="89" a="1"/>
  <c r="R14" i="89" l="1"/>
  <c r="AC14" i="89"/>
  <c r="Y14" i="89"/>
  <c r="U14" i="89"/>
  <c r="J14" i="89"/>
  <c r="W13" i="89" a="1"/>
  <c r="W13" i="89" l="1"/>
  <c r="W16" i="89" s="1"/>
  <c r="T15" i="89" l="1"/>
  <c r="L13" i="89" a="1"/>
  <c r="L13" i="89" l="1"/>
  <c r="K13" i="89" a="1"/>
  <c r="K13" i="89" l="1"/>
  <c r="M13" i="89" s="1"/>
  <c r="L17" i="89"/>
  <c r="K15" i="89"/>
  <c r="I13" i="89"/>
  <c r="AA13" i="89" a="1"/>
  <c r="F13" i="89" a="1"/>
  <c r="AA13" i="89" l="1"/>
  <c r="F13" i="89"/>
  <c r="I15" i="89"/>
  <c r="I16" i="89" s="1"/>
  <c r="K17" i="89"/>
  <c r="K16" i="89"/>
  <c r="N13" i="89" a="1"/>
  <c r="N13" i="89" l="1"/>
  <c r="AI12" i="89"/>
  <c r="AH12" i="89"/>
  <c r="AH11" i="89" s="1"/>
  <c r="AI11" i="89"/>
  <c r="Z13" i="89" a="1"/>
  <c r="Z13" i="89" l="1"/>
  <c r="AJ11" i="89"/>
  <c r="P13" i="89"/>
  <c r="P16" i="89" s="1"/>
  <c r="Q13" i="89" l="1"/>
  <c r="Q15" i="89" s="1"/>
  <c r="Q17" i="89" s="1"/>
  <c r="AC13" i="89"/>
  <c r="Y13" i="89"/>
  <c r="U13" i="89"/>
  <c r="J13" i="89"/>
  <c r="J17" i="89" s="1"/>
  <c r="Y15" i="89" l="1"/>
  <c r="W8" i="89" a="1"/>
  <c r="W8" i="89" l="1"/>
  <c r="Y16" i="89"/>
  <c r="P17" i="89"/>
  <c r="L8" i="89" a="1"/>
  <c r="L8" i="89" l="1"/>
  <c r="K8" i="89" a="1"/>
  <c r="K8" i="89" l="1"/>
  <c r="M8" i="89" s="1"/>
  <c r="H8" i="89"/>
  <c r="F8" i="89" a="1"/>
  <c r="I8" i="89" l="1"/>
  <c r="F8" i="89"/>
  <c r="AF8" i="89"/>
  <c r="AE8" i="89"/>
  <c r="AA8" i="89" a="1"/>
  <c r="N8" i="89" a="1"/>
  <c r="AA8" i="89" l="1"/>
  <c r="N8" i="89"/>
  <c r="P8" i="89"/>
  <c r="Q8" i="89" s="1"/>
  <c r="Z8" i="89" a="1"/>
  <c r="Z8" i="89" l="1"/>
  <c r="AF7" i="89"/>
  <c r="AE7" i="89"/>
  <c r="AC8" i="89" l="1"/>
  <c r="Y8" i="89"/>
  <c r="U8" i="89"/>
  <c r="J8" i="89"/>
  <c r="T9" i="89" l="1"/>
  <c r="M7" i="89" l="1"/>
  <c r="L11" i="89"/>
  <c r="K9" i="89"/>
  <c r="I7" i="89"/>
  <c r="AA7" i="89"/>
  <c r="I9" i="89" l="1"/>
  <c r="I10" i="89" s="1"/>
  <c r="K10" i="89"/>
  <c r="K18" i="89" s="1"/>
  <c r="K11" i="89"/>
  <c r="N7" i="89" a="1"/>
  <c r="N7" i="89" l="1"/>
  <c r="K5" i="89"/>
  <c r="H46" i="2"/>
  <c r="H45" i="2"/>
  <c r="H44" i="2"/>
  <c r="H43" i="2"/>
  <c r="J41" i="2"/>
  <c r="J40" i="2"/>
  <c r="J39" i="2"/>
  <c r="J38" i="2"/>
  <c r="J37" i="2"/>
  <c r="J36" i="2"/>
  <c r="J35" i="2"/>
  <c r="J34" i="2"/>
  <c r="I30" i="2"/>
  <c r="Q28" i="2"/>
  <c r="P28" i="2"/>
  <c r="BA25" i="2"/>
  <c r="Z7" i="89"/>
  <c r="J44" i="2" l="1"/>
  <c r="I44" i="2" s="1"/>
  <c r="J43" i="2"/>
  <c r="I43" i="2" s="1"/>
  <c r="J46" i="2"/>
  <c r="I46" i="2" s="1"/>
  <c r="J45" i="2"/>
  <c r="I45" i="2" s="1"/>
  <c r="P7" i="89"/>
  <c r="P10" i="89" l="1"/>
  <c r="Q7" i="89"/>
  <c r="Q9" i="89" s="1"/>
  <c r="AC7" i="89"/>
  <c r="Y7" i="89"/>
  <c r="U7" i="89"/>
  <c r="J7" i="89"/>
  <c r="J11" i="89" s="1"/>
  <c r="Y9" i="89" l="1"/>
  <c r="Y10" i="89" s="1"/>
  <c r="Q11" i="89"/>
  <c r="Q5" i="89"/>
  <c r="P11" i="89" l="1"/>
  <c r="R25" i="2" l="1"/>
  <c r="BB25" i="2" l="1"/>
  <c r="BC25" i="2" s="1"/>
  <c r="O25" i="2" l="1"/>
  <c r="S25" i="2" a="1"/>
  <c r="S25" i="2" l="1"/>
  <c r="AO25" i="2" s="1"/>
  <c r="U25" i="2" l="1"/>
  <c r="AP25" i="2"/>
  <c r="AE25" i="2"/>
  <c r="AT25" i="2"/>
  <c r="AS25" i="2"/>
  <c r="AL25" i="2"/>
  <c r="AB25" i="2"/>
  <c r="M25" i="2"/>
  <c r="BA24" i="2"/>
  <c r="AM25" i="2" l="1"/>
  <c r="X25" i="2"/>
  <c r="Y25" i="2" s="1"/>
  <c r="R24" i="2" l="1"/>
  <c r="BB24" i="2" l="1"/>
  <c r="BC24" i="2" s="1"/>
  <c r="O24" i="2" l="1"/>
  <c r="S24" i="2" a="1"/>
  <c r="S24" i="2" l="1"/>
  <c r="AO24" i="2" s="1"/>
  <c r="Z24" i="2"/>
  <c r="AV24" i="2" s="1" a="1"/>
  <c r="AV24" i="2" l="1"/>
  <c r="U24" i="2"/>
  <c r="AP24" i="2"/>
  <c r="AE24" i="2"/>
  <c r="AT24" i="2"/>
  <c r="AS24" i="2"/>
  <c r="AL24" i="2"/>
  <c r="AB24" i="2"/>
  <c r="M24" i="2"/>
  <c r="AM24" i="2" l="1"/>
  <c r="X24" i="2"/>
  <c r="Y24" i="2" s="1"/>
  <c r="BA20" i="2" l="1"/>
  <c r="Q17" i="1" l="1"/>
  <c r="T17" i="1" l="1"/>
  <c r="AF20" i="2" a="1"/>
  <c r="AF20" i="2" l="1"/>
  <c r="Q20" i="2" a="1"/>
  <c r="Q20" i="2" l="1"/>
  <c r="P20" i="2" a="1"/>
  <c r="P20" i="2" l="1"/>
  <c r="R20" i="2" s="1"/>
  <c r="BB20" i="2" l="1"/>
  <c r="BC20" i="2" s="1"/>
  <c r="G20" i="2" a="1"/>
  <c r="G20" i="2" l="1"/>
  <c r="O20" i="2"/>
  <c r="S20" i="2" a="1"/>
  <c r="S20" i="2" l="1"/>
  <c r="AO20" i="2" s="1"/>
  <c r="AP20" i="2"/>
  <c r="U20" i="2"/>
  <c r="Z20" i="2"/>
  <c r="AV20" i="2" s="1" a="1"/>
  <c r="AV20" i="2" l="1"/>
  <c r="AE20" i="2"/>
  <c r="AT20" i="2"/>
  <c r="AS20" i="2"/>
  <c r="AL20" i="2"/>
  <c r="AB20" i="2"/>
  <c r="M20" i="2"/>
  <c r="BA19" i="2"/>
  <c r="AM20" i="2" l="1"/>
  <c r="X20" i="2"/>
  <c r="Y20" i="2" s="1"/>
  <c r="AF19" i="2" a="1"/>
  <c r="AF19" i="2" l="1"/>
  <c r="Q19" i="2" a="1"/>
  <c r="Q19" i="2" l="1"/>
  <c r="P19" i="2" a="1"/>
  <c r="P19" i="2" l="1"/>
  <c r="R19" i="2" s="1"/>
  <c r="BB19" i="2" l="1"/>
  <c r="BC19" i="2" s="1"/>
  <c r="G19" i="2" a="1"/>
  <c r="G19" i="2" l="1"/>
  <c r="O19" i="2"/>
  <c r="S19" i="2" a="1"/>
  <c r="S19" i="2" l="1"/>
  <c r="AP19" i="2"/>
  <c r="AO19" i="2" l="1"/>
  <c r="U19" i="2"/>
  <c r="Z19" i="2"/>
  <c r="AV19" i="2" s="1" a="1"/>
  <c r="AV19" i="2" l="1"/>
  <c r="AE19" i="2"/>
  <c r="AT19" i="2"/>
  <c r="AS19" i="2"/>
  <c r="AL19" i="2"/>
  <c r="AB19" i="2"/>
  <c r="M19" i="2"/>
  <c r="BA18" i="2"/>
  <c r="AM19" i="2" l="1"/>
  <c r="X19" i="2"/>
  <c r="Y19" i="2" s="1"/>
  <c r="AF18" i="2" a="1"/>
  <c r="AF18" i="2" l="1"/>
  <c r="Q18" i="2" a="1"/>
  <c r="Q18" i="2" l="1"/>
  <c r="P18" i="2" a="1"/>
  <c r="P18" i="2" l="1"/>
  <c r="R18" i="2" s="1"/>
  <c r="BB18" i="2" l="1"/>
  <c r="BC18" i="2" s="1"/>
  <c r="G18" i="2" a="1"/>
  <c r="G18" i="2" l="1"/>
  <c r="O18" i="2"/>
  <c r="S18" i="2" a="1"/>
  <c r="S18" i="2" l="1"/>
  <c r="AO18" i="2" s="1"/>
  <c r="Z18" i="2"/>
  <c r="AV18" i="2" s="1" a="1"/>
  <c r="AV18" i="2" l="1"/>
  <c r="U18" i="2"/>
  <c r="AP18" i="2"/>
  <c r="AE18" i="2"/>
  <c r="AT18" i="2"/>
  <c r="AS18" i="2"/>
  <c r="AL18" i="2"/>
  <c r="AB18" i="2"/>
  <c r="M18" i="2"/>
  <c r="BA16" i="2"/>
  <c r="AM18" i="2" l="1"/>
  <c r="X18" i="2"/>
  <c r="Y18" i="2" s="1"/>
  <c r="AF16" i="2" a="1"/>
  <c r="AF16" i="2" l="1"/>
  <c r="Q16" i="2" a="1"/>
  <c r="Q16" i="2" l="1"/>
  <c r="P16" i="2" a="1"/>
  <c r="P16" i="2" l="1"/>
  <c r="R16" i="2" s="1"/>
  <c r="BB16" i="2" l="1"/>
  <c r="BC16" i="2" s="1"/>
  <c r="G16" i="2" a="1"/>
  <c r="G16" i="2" l="1"/>
  <c r="O16" i="2"/>
  <c r="S16" i="2" a="1"/>
  <c r="S16" i="2" l="1"/>
  <c r="AO16" i="2" s="1"/>
  <c r="AP16" i="2"/>
  <c r="U16" i="2"/>
  <c r="Z16" i="2"/>
  <c r="AV16" i="2" s="1" a="1"/>
  <c r="AV16" i="2" l="1"/>
  <c r="AE16" i="2"/>
  <c r="AS16" i="2"/>
  <c r="AT16" i="2"/>
  <c r="AL16" i="2"/>
  <c r="AB16" i="2"/>
  <c r="M16" i="2"/>
  <c r="BA15" i="2"/>
  <c r="AM16" i="2" l="1"/>
  <c r="X16" i="2"/>
  <c r="Y16" i="2" s="1"/>
  <c r="R15" i="2" l="1"/>
  <c r="L28" i="2" l="1"/>
  <c r="J30" i="2" l="1"/>
  <c r="BB15" i="2"/>
  <c r="BC15" i="2" s="1"/>
  <c r="K30" i="2"/>
  <c r="L30" i="2"/>
  <c r="O15" i="2"/>
  <c r="S15" i="2" a="1"/>
  <c r="S15" i="2" l="1"/>
  <c r="AO15" i="2"/>
  <c r="AP15" i="2"/>
  <c r="U15" i="2"/>
  <c r="AE15" i="2" l="1"/>
  <c r="AT15" i="2"/>
  <c r="AS15" i="2"/>
  <c r="AL15" i="2"/>
  <c r="AB15" i="2"/>
  <c r="M15" i="2"/>
  <c r="BB14" i="2"/>
  <c r="BA14" i="2"/>
  <c r="BC14" i="2" l="1"/>
  <c r="AM15" i="2"/>
  <c r="X15" i="2"/>
  <c r="Y15" i="2" s="1"/>
  <c r="R14" i="2" l="1"/>
  <c r="O14" i="2" l="1"/>
  <c r="S14" i="2" a="1"/>
  <c r="S14" i="2" l="1"/>
  <c r="AO14" i="2" s="1"/>
  <c r="U14" i="2"/>
  <c r="AP14" i="2" l="1"/>
  <c r="AE14" i="2"/>
  <c r="AS14" i="2"/>
  <c r="AT14" i="2"/>
  <c r="AL14" i="2"/>
  <c r="AB14" i="2"/>
  <c r="M14" i="2"/>
  <c r="BB13" i="2"/>
  <c r="BA13" i="2"/>
  <c r="BC13" i="2" l="1"/>
  <c r="AM14" i="2"/>
  <c r="X14" i="2"/>
  <c r="Y14" i="2" s="1"/>
  <c r="R13" i="2" l="1"/>
  <c r="O13" i="2" l="1"/>
  <c r="S13" i="2" a="1"/>
  <c r="S13" i="2" l="1"/>
  <c r="AO13" i="2" s="1"/>
  <c r="AP13" i="2"/>
  <c r="U13" i="2"/>
  <c r="Z13" i="2"/>
  <c r="AV13" i="2" s="1" a="1"/>
  <c r="AV13" i="2" l="1"/>
  <c r="AE13" i="2"/>
  <c r="AT13" i="2"/>
  <c r="AS13" i="2"/>
  <c r="AL13" i="2"/>
  <c r="AB13" i="2"/>
  <c r="M13" i="2"/>
  <c r="AM13" i="2" l="1"/>
  <c r="X13" i="2"/>
  <c r="Y13" i="2" s="1"/>
  <c r="BA12" i="2" l="1"/>
  <c r="AF12" i="2" a="1"/>
  <c r="AF12" i="2" l="1"/>
  <c r="Q12" i="2" a="1"/>
  <c r="Q12" i="2" l="1"/>
  <c r="P12" i="2" a="1"/>
  <c r="P12" i="2" l="1"/>
  <c r="R12" i="2" s="1"/>
  <c r="BB12" i="2" l="1"/>
  <c r="BC12" i="2" s="1"/>
  <c r="G12" i="2" a="1"/>
  <c r="G12" i="2" l="1"/>
  <c r="O12" i="2"/>
  <c r="S12" i="2" a="1"/>
  <c r="S12" i="2" l="1"/>
  <c r="AO12" i="2"/>
  <c r="Z12" i="2"/>
  <c r="AV12" i="2" s="1" a="1"/>
  <c r="AV12" i="2" l="1"/>
  <c r="AP12" i="2"/>
  <c r="U12" i="2"/>
  <c r="AE12" i="2"/>
  <c r="AT12" i="2"/>
  <c r="AS12" i="2"/>
  <c r="AL12" i="2"/>
  <c r="AB12" i="2"/>
  <c r="M12" i="2"/>
  <c r="BB11" i="2"/>
  <c r="BA11" i="2"/>
  <c r="BC11" i="2" l="1"/>
  <c r="AM12" i="2"/>
  <c r="X12" i="2"/>
  <c r="Y12" i="2" s="1"/>
  <c r="R11" i="2" l="1"/>
  <c r="O11" i="2" l="1"/>
  <c r="S11" i="2" a="1"/>
  <c r="S11" i="2" l="1"/>
  <c r="AO11" i="2"/>
  <c r="AP11" i="2"/>
  <c r="U11" i="2"/>
  <c r="AE11" i="2" l="1"/>
  <c r="AT11" i="2"/>
  <c r="AS11" i="2"/>
  <c r="AL11" i="2"/>
  <c r="AB11" i="2"/>
  <c r="M11" i="2"/>
  <c r="BB10" i="2"/>
  <c r="BA10" i="2"/>
  <c r="BC10" i="2" l="1"/>
  <c r="AM11" i="2"/>
  <c r="X11" i="2"/>
  <c r="Y11" i="2" s="1"/>
  <c r="R10" i="2" l="1"/>
  <c r="O10" i="2" l="1"/>
  <c r="S10" i="2" a="1"/>
  <c r="S10" i="2" l="1"/>
  <c r="AO10" i="2" s="1"/>
  <c r="Z10" i="2"/>
  <c r="AV10" i="2" s="1" a="1"/>
  <c r="AV10" i="2" l="1"/>
  <c r="U10" i="2"/>
  <c r="AP10" i="2"/>
  <c r="AE10" i="2"/>
  <c r="AT10" i="2"/>
  <c r="AS10" i="2"/>
  <c r="AL10" i="2"/>
  <c r="AB10" i="2"/>
  <c r="M10" i="2"/>
  <c r="BA9" i="2"/>
  <c r="T23" i="1" l="1"/>
  <c r="AM10" i="2"/>
  <c r="X10" i="2"/>
  <c r="Y10" i="2" s="1"/>
  <c r="R9" i="2" l="1"/>
  <c r="BB9" i="2" l="1"/>
  <c r="BC9" i="2" s="1"/>
  <c r="O9" i="2" l="1"/>
  <c r="S9" i="2" a="1"/>
  <c r="S9" i="2" l="1"/>
  <c r="AO9" i="2" s="1"/>
  <c r="AP9" i="2" l="1"/>
  <c r="U9" i="2"/>
  <c r="AE9" i="2"/>
  <c r="AT9" i="2"/>
  <c r="AS9" i="2"/>
  <c r="AL9" i="2"/>
  <c r="AB9" i="2"/>
  <c r="M9" i="2"/>
  <c r="BA5" i="2"/>
  <c r="AM9" i="2" l="1"/>
  <c r="X9" i="2"/>
  <c r="Y9" i="2" s="1"/>
  <c r="R5" i="2" l="1"/>
  <c r="BB5" i="2" l="1"/>
  <c r="BC5" i="2" s="1"/>
  <c r="O5" i="2" l="1"/>
  <c r="S5" i="2" a="1"/>
  <c r="S5" i="2" l="1"/>
  <c r="AP5" i="2"/>
  <c r="AO5" i="2" l="1"/>
  <c r="U5" i="2"/>
  <c r="AE5" i="2" l="1"/>
  <c r="AT5" i="2"/>
  <c r="AS5" i="2"/>
  <c r="AL5" i="2"/>
  <c r="AB5" i="2"/>
  <c r="M5" i="2"/>
  <c r="BA4" i="2"/>
  <c r="AM5" i="2" l="1"/>
  <c r="X5" i="2"/>
  <c r="Y5" i="2" s="1"/>
  <c r="R4" i="2" l="1"/>
  <c r="J4" i="2" l="1"/>
  <c r="BB4" i="2" s="1"/>
  <c r="BC4" i="2" s="1"/>
  <c r="K4" i="2" l="1"/>
  <c r="O4" i="2"/>
  <c r="S4" i="2" a="1"/>
  <c r="S4" i="2" l="1"/>
  <c r="AO4" i="2" s="1"/>
  <c r="AP4" i="2" l="1"/>
  <c r="U4" i="2"/>
  <c r="AE4" i="2"/>
  <c r="AT4" i="2"/>
  <c r="AS4" i="2"/>
  <c r="AL4" i="2"/>
  <c r="AB4" i="2"/>
  <c r="M4" i="2"/>
  <c r="U2" i="2"/>
  <c r="R2" i="2"/>
  <c r="Q2" i="2" a="1"/>
  <c r="Q2" i="2" l="1"/>
  <c r="S2" i="2" s="1"/>
  <c r="AM4" i="2"/>
  <c r="X4" i="2"/>
  <c r="Y4" i="2" s="1"/>
  <c r="P2" i="2" a="1"/>
  <c r="P2" i="2" l="1"/>
  <c r="I2" i="2" l="1"/>
  <c r="X1" i="2"/>
  <c r="R1" i="2"/>
  <c r="O1" i="2"/>
  <c r="H1" i="2"/>
  <c r="S48" i="1"/>
  <c r="Q48" i="1"/>
  <c r="N48" i="1" l="1"/>
  <c r="J48" i="1"/>
  <c r="T48" i="1" l="1"/>
  <c r="S47" i="1"/>
  <c r="Q47" i="1"/>
  <c r="N47" i="1" l="1"/>
  <c r="J47" i="1"/>
  <c r="T47" i="1" l="1"/>
  <c r="S46" i="1"/>
  <c r="Q46" i="1"/>
  <c r="N46" i="1" l="1"/>
  <c r="J46" i="1"/>
  <c r="T46" i="1" l="1"/>
  <c r="S45" i="1"/>
  <c r="Q45" i="1"/>
  <c r="N45" i="1" l="1"/>
  <c r="J45" i="1"/>
  <c r="T45" i="1" l="1"/>
  <c r="S44" i="1"/>
  <c r="Q44" i="1"/>
  <c r="N44" i="1" l="1"/>
  <c r="J44" i="1"/>
  <c r="T44" i="1" l="1"/>
  <c r="S43" i="1"/>
  <c r="Q43" i="1"/>
  <c r="N43" i="1" l="1"/>
  <c r="J43" i="1"/>
  <c r="T43" i="1" l="1"/>
  <c r="Q42" i="1"/>
  <c r="N42" i="1" l="1"/>
  <c r="J42" i="1"/>
  <c r="T42" i="1" l="1"/>
  <c r="Q41" i="1" l="1"/>
  <c r="N41" i="1" l="1"/>
  <c r="J41" i="1"/>
  <c r="T41" i="1" l="1"/>
  <c r="Q40" i="1"/>
  <c r="N40" i="1" l="1"/>
  <c r="J40" i="1"/>
  <c r="T40" i="1" l="1"/>
  <c r="Q39" i="1"/>
  <c r="N39" i="1" l="1"/>
  <c r="J39" i="1"/>
  <c r="T39" i="1" l="1"/>
  <c r="Q38" i="1"/>
  <c r="N38" i="1" l="1"/>
  <c r="J38" i="1"/>
  <c r="T38" i="1" l="1"/>
  <c r="S37" i="1" l="1"/>
  <c r="Q37" i="1"/>
  <c r="N37" i="1" l="1"/>
  <c r="J37" i="1"/>
  <c r="T37" i="1" l="1"/>
  <c r="S36" i="1"/>
  <c r="Q36" i="1"/>
  <c r="N36" i="1" l="1"/>
  <c r="J36" i="1"/>
  <c r="T36" i="1" l="1"/>
  <c r="S35" i="1" l="1"/>
  <c r="Q35" i="1"/>
  <c r="N35" i="1" l="1"/>
  <c r="J35" i="1"/>
  <c r="T35" i="1" l="1"/>
  <c r="S34" i="1"/>
  <c r="Q34" i="1"/>
  <c r="N34" i="1" l="1"/>
  <c r="J34" i="1"/>
  <c r="T34" i="1" l="1"/>
  <c r="S29" i="1"/>
  <c r="Q29" i="1"/>
  <c r="N29" i="1" l="1"/>
  <c r="J29" i="1"/>
  <c r="T29" i="1" l="1"/>
  <c r="S28" i="1" l="1"/>
  <c r="Q28" i="1"/>
  <c r="N28" i="1" l="1"/>
  <c r="J28" i="1"/>
  <c r="T28" i="1" l="1"/>
  <c r="S27" i="1"/>
  <c r="Q27" i="1"/>
  <c r="N27" i="1" l="1"/>
  <c r="J27" i="1"/>
  <c r="T27" i="1" l="1"/>
  <c r="S25" i="1"/>
  <c r="Q25" i="1"/>
  <c r="N25" i="1" l="1"/>
  <c r="J25" i="1"/>
  <c r="T25" i="1" l="1"/>
  <c r="S26" i="1"/>
  <c r="Q26" i="1"/>
  <c r="N26" i="1" l="1"/>
  <c r="J26" i="1"/>
  <c r="T26" i="1" l="1"/>
  <c r="Q24" i="1"/>
  <c r="N24" i="1" l="1"/>
  <c r="J24" i="1"/>
  <c r="T24" i="1" l="1"/>
  <c r="Q22" i="1"/>
  <c r="N22" i="1" l="1"/>
  <c r="J22" i="1"/>
  <c r="T22" i="1" l="1"/>
  <c r="S21" i="1"/>
  <c r="Q21" i="1"/>
  <c r="N21" i="1" l="1"/>
  <c r="J21" i="1"/>
  <c r="T21" i="1" l="1"/>
  <c r="Q20" i="1"/>
  <c r="N20" i="1" l="1"/>
  <c r="J20" i="1"/>
  <c r="T20" i="1" l="1"/>
  <c r="Q19" i="1"/>
  <c r="N19" i="1" l="1"/>
  <c r="J19" i="1"/>
  <c r="T19" i="1" l="1"/>
  <c r="Q16" i="1" l="1"/>
  <c r="N16" i="1" l="1"/>
  <c r="J16" i="1"/>
  <c r="T16" i="1" l="1"/>
  <c r="F16" i="1" l="1"/>
  <c r="Q14" i="1"/>
  <c r="N14" i="1" l="1"/>
  <c r="J14" i="1"/>
  <c r="T14" i="1" l="1"/>
  <c r="F14" i="1" l="1"/>
  <c r="S13" i="1"/>
  <c r="Q13" i="1"/>
  <c r="N13" i="1" l="1"/>
  <c r="J13" i="1"/>
  <c r="T13" i="1" l="1"/>
  <c r="F13" i="1" l="1"/>
  <c r="S12" i="1"/>
  <c r="Q12" i="1"/>
  <c r="N12" i="1" l="1"/>
  <c r="J12" i="1"/>
  <c r="T12" i="1" l="1"/>
  <c r="M10" i="1" l="1"/>
  <c r="F12" i="1"/>
  <c r="D10" i="1" l="1"/>
  <c r="M9" i="1" l="1"/>
  <c r="D9" i="1" l="1"/>
  <c r="M8" i="1" l="1"/>
  <c r="I8" i="1" l="1"/>
  <c r="D8" i="1" l="1"/>
  <c r="AD7" i="1"/>
  <c r="P30" i="1" l="1"/>
  <c r="P33" i="1"/>
  <c r="P31" i="1"/>
  <c r="P32" i="1"/>
  <c r="AH32" i="1"/>
  <c r="AH33" i="1"/>
  <c r="AH30" i="1"/>
  <c r="AH31" i="1"/>
  <c r="BD8" i="2"/>
  <c r="V8" i="2"/>
  <c r="AI8" i="2"/>
  <c r="AK8" i="2"/>
  <c r="S19" i="1" s="1"/>
  <c r="W8" i="2"/>
  <c r="P15" i="1"/>
  <c r="AD15" i="1" s="1"/>
  <c r="AH15" i="1"/>
  <c r="BD21" i="2"/>
  <c r="BD22" i="2"/>
  <c r="AI22" i="2"/>
  <c r="AK21" i="2"/>
  <c r="V21" i="2"/>
  <c r="AK22" i="2"/>
  <c r="V22" i="2"/>
  <c r="AI21" i="2"/>
  <c r="W21" i="2"/>
  <c r="W22" i="2"/>
  <c r="BD7" i="2"/>
  <c r="BD6" i="2"/>
  <c r="AK6" i="2"/>
  <c r="AK7" i="2"/>
  <c r="V7" i="2"/>
  <c r="V6" i="2"/>
  <c r="AI7" i="2"/>
  <c r="W7" i="2"/>
  <c r="W6" i="2"/>
  <c r="AI6" i="2"/>
  <c r="BD17" i="2"/>
  <c r="V17" i="2"/>
  <c r="AI17" i="2"/>
  <c r="W17" i="2"/>
  <c r="AK17" i="2"/>
  <c r="S23" i="1" s="1"/>
  <c r="P23" i="1"/>
  <c r="AD23" i="1" s="1"/>
  <c r="AH23" i="1"/>
  <c r="P17" i="1"/>
  <c r="AD17" i="1" s="1"/>
  <c r="AH17" i="1"/>
  <c r="BD23" i="2"/>
  <c r="AK23" i="2"/>
  <c r="V23" i="2"/>
  <c r="W23" i="2"/>
  <c r="P18" i="1"/>
  <c r="AH18" i="1"/>
  <c r="F72" i="54"/>
  <c r="F67" i="54"/>
  <c r="F73" i="54"/>
  <c r="J55" i="54"/>
  <c r="BD25" i="2"/>
  <c r="AK25" i="2"/>
  <c r="AI25" i="2"/>
  <c r="V25" i="2"/>
  <c r="W25" i="2"/>
  <c r="BD24" i="2"/>
  <c r="V24" i="2"/>
  <c r="AK24" i="2"/>
  <c r="AI24" i="2"/>
  <c r="W24" i="2"/>
  <c r="BD20" i="2"/>
  <c r="V20" i="2"/>
  <c r="AK20" i="2"/>
  <c r="AI20" i="2"/>
  <c r="W20" i="2"/>
  <c r="BD19" i="2"/>
  <c r="AK19" i="2"/>
  <c r="V19" i="2"/>
  <c r="AI19" i="2"/>
  <c r="W19" i="2"/>
  <c r="BD18" i="2"/>
  <c r="V18" i="2"/>
  <c r="AK18" i="2"/>
  <c r="AI18" i="2"/>
  <c r="W18" i="2"/>
  <c r="BD16" i="2"/>
  <c r="AK16" i="2"/>
  <c r="V16" i="2"/>
  <c r="AI16" i="2"/>
  <c r="W16" i="2"/>
  <c r="BD15" i="2"/>
  <c r="AK15" i="2"/>
  <c r="V15" i="2"/>
  <c r="AI15" i="2"/>
  <c r="BD14" i="2"/>
  <c r="W15" i="2"/>
  <c r="V14" i="2"/>
  <c r="AK14" i="2"/>
  <c r="AI14" i="2"/>
  <c r="BD13" i="2"/>
  <c r="W14" i="2"/>
  <c r="AK13" i="2"/>
  <c r="V13" i="2"/>
  <c r="AI13" i="2"/>
  <c r="W13" i="2"/>
  <c r="BD12" i="2"/>
  <c r="AK12" i="2"/>
  <c r="V12" i="2"/>
  <c r="AI12" i="2"/>
  <c r="BD11" i="2"/>
  <c r="W12" i="2"/>
  <c r="AK11" i="2"/>
  <c r="V11" i="2"/>
  <c r="AI11" i="2"/>
  <c r="BD10" i="2"/>
  <c r="W11" i="2"/>
  <c r="AK10" i="2"/>
  <c r="V10" i="2"/>
  <c r="AI10" i="2"/>
  <c r="W10" i="2"/>
  <c r="BD9" i="2"/>
  <c r="AK9" i="2"/>
  <c r="V9" i="2"/>
  <c r="AI9" i="2"/>
  <c r="W9" i="2"/>
  <c r="BD5" i="2"/>
  <c r="AK5" i="2"/>
  <c r="V5" i="2"/>
  <c r="AI5" i="2"/>
  <c r="W5" i="2"/>
  <c r="BD4" i="2"/>
  <c r="AK4" i="2"/>
  <c r="S14" i="1" s="1"/>
  <c r="V4" i="2"/>
  <c r="AI4" i="2"/>
  <c r="W4" i="2"/>
  <c r="P48" i="1"/>
  <c r="AH48" i="1"/>
  <c r="P47" i="1"/>
  <c r="AH47" i="1"/>
  <c r="P46" i="1"/>
  <c r="AH46" i="1"/>
  <c r="P45" i="1"/>
  <c r="AH45" i="1"/>
  <c r="P44" i="1"/>
  <c r="AH44" i="1"/>
  <c r="P43" i="1"/>
  <c r="AH43" i="1"/>
  <c r="P42" i="1"/>
  <c r="AH42" i="1"/>
  <c r="P41" i="1"/>
  <c r="AH41" i="1"/>
  <c r="P40" i="1"/>
  <c r="AH40" i="1"/>
  <c r="P39" i="1"/>
  <c r="AH39" i="1"/>
  <c r="P38" i="1"/>
  <c r="AH38" i="1"/>
  <c r="P37" i="1"/>
  <c r="AH37" i="1"/>
  <c r="P36" i="1"/>
  <c r="AH36" i="1"/>
  <c r="P35" i="1"/>
  <c r="AH35" i="1"/>
  <c r="P34" i="1"/>
  <c r="AH34" i="1"/>
  <c r="P29" i="1"/>
  <c r="AH29" i="1"/>
  <c r="P28" i="1"/>
  <c r="AH28" i="1"/>
  <c r="P27" i="1"/>
  <c r="AH27" i="1"/>
  <c r="P25" i="1"/>
  <c r="AH25" i="1"/>
  <c r="P26" i="1"/>
  <c r="AH26" i="1"/>
  <c r="P24" i="1"/>
  <c r="AH24" i="1"/>
  <c r="P22" i="1"/>
  <c r="AH22" i="1"/>
  <c r="P21" i="1"/>
  <c r="AH21" i="1"/>
  <c r="P20" i="1"/>
  <c r="AH20" i="1"/>
  <c r="P19" i="1"/>
  <c r="AH19" i="1"/>
  <c r="P16" i="1"/>
  <c r="AH16" i="1"/>
  <c r="P14" i="1"/>
  <c r="AH14" i="1"/>
  <c r="P13" i="1"/>
  <c r="AH13" i="1"/>
  <c r="P12" i="1"/>
  <c r="AH12" i="1"/>
  <c r="AH10" i="1" s="1"/>
  <c r="AD8" i="1"/>
  <c r="AD32" i="1" l="1"/>
  <c r="V32" i="1"/>
  <c r="AD31" i="1"/>
  <c r="V31" i="1"/>
  <c r="V33" i="1"/>
  <c r="AD33" i="1"/>
  <c r="V30" i="1"/>
  <c r="AD30" i="1"/>
  <c r="S15" i="1"/>
  <c r="V15" i="1" s="1"/>
  <c r="S41" i="1"/>
  <c r="V41" i="1" s="1"/>
  <c r="S38" i="1"/>
  <c r="V38" i="1" s="1"/>
  <c r="V23" i="1"/>
  <c r="S42" i="1"/>
  <c r="V42" i="1" s="1"/>
  <c r="S22" i="1"/>
  <c r="V22" i="1" s="1"/>
  <c r="S40" i="1"/>
  <c r="V40" i="1" s="1"/>
  <c r="S39" i="1"/>
  <c r="V39" i="1" s="1"/>
  <c r="S16" i="1"/>
  <c r="V16" i="1" s="1"/>
  <c r="S17" i="1"/>
  <c r="V17" i="1" s="1"/>
  <c r="V18" i="1"/>
  <c r="AD18" i="1"/>
  <c r="W1" i="2"/>
  <c r="V1" i="2"/>
  <c r="S24" i="1"/>
  <c r="V24" i="1" s="1"/>
  <c r="S20" i="1"/>
  <c r="M7" i="1"/>
  <c r="AD24" i="1"/>
  <c r="AD47" i="1"/>
  <c r="V47" i="1"/>
  <c r="AD36" i="1"/>
  <c r="V36" i="1"/>
  <c r="AD43" i="1"/>
  <c r="V43" i="1"/>
  <c r="AD16" i="1"/>
  <c r="AD22" i="1"/>
  <c r="AD45" i="1"/>
  <c r="V45" i="1"/>
  <c r="AI1" i="2"/>
  <c r="AJ8" i="2" s="1"/>
  <c r="AD48" i="1"/>
  <c r="V48" i="1"/>
  <c r="AD44" i="1"/>
  <c r="V44" i="1"/>
  <c r="AD26" i="1"/>
  <c r="V26" i="1"/>
  <c r="AD39" i="1"/>
  <c r="AD12" i="1"/>
  <c r="V12" i="1"/>
  <c r="P10" i="1"/>
  <c r="P7" i="1"/>
  <c r="AD13" i="1"/>
  <c r="V13" i="1"/>
  <c r="AD27" i="1"/>
  <c r="V27" i="1"/>
  <c r="AD29" i="1"/>
  <c r="V29" i="1"/>
  <c r="AD37" i="1"/>
  <c r="V37" i="1"/>
  <c r="AD34" i="1"/>
  <c r="V34" i="1"/>
  <c r="AD25" i="1"/>
  <c r="V25" i="1"/>
  <c r="AD14" i="1"/>
  <c r="V14" i="1"/>
  <c r="AD28" i="1"/>
  <c r="V28" i="1"/>
  <c r="AD40" i="1"/>
  <c r="AD19" i="1"/>
  <c r="V19" i="1"/>
  <c r="AD20" i="1"/>
  <c r="AD35" i="1"/>
  <c r="V35" i="1"/>
  <c r="AD42" i="1"/>
  <c r="AD46" i="1"/>
  <c r="V46" i="1"/>
  <c r="AD38" i="1"/>
  <c r="AD41" i="1"/>
  <c r="AD21" i="1"/>
  <c r="V21" i="1"/>
  <c r="AJ22" i="2" l="1"/>
  <c r="AJ21" i="2"/>
  <c r="AJ6" i="2"/>
  <c r="AJ7" i="2"/>
  <c r="AJ17" i="2"/>
  <c r="AJ9" i="2"/>
  <c r="AJ13" i="2"/>
  <c r="AJ16" i="2"/>
  <c r="AJ24" i="2"/>
  <c r="AJ25" i="2"/>
  <c r="S10" i="1"/>
  <c r="AJ10" i="2"/>
  <c r="AJ19" i="2"/>
  <c r="AJ14" i="2"/>
  <c r="V20" i="1"/>
  <c r="AJ20" i="2"/>
  <c r="AJ15" i="2"/>
  <c r="AJ18" i="2"/>
  <c r="AJ11" i="2"/>
  <c r="AD10" i="1"/>
  <c r="AJ5" i="2"/>
  <c r="S7" i="1"/>
  <c r="AJ4" i="2"/>
  <c r="AJ12" i="2"/>
  <c r="I7" i="1"/>
  <c r="D7" i="1" l="1"/>
  <c r="AE6" i="1"/>
  <c r="V6" i="1"/>
  <c r="S6" i="1"/>
  <c r="P6" i="1"/>
  <c r="M6" i="1" l="1"/>
  <c r="I6" i="1" l="1"/>
  <c r="D6" i="1" l="1"/>
  <c r="AE5" i="1"/>
  <c r="V5" i="1"/>
  <c r="V7" i="1" s="1"/>
  <c r="S5" i="1"/>
  <c r="P5" i="1"/>
  <c r="V10" i="1" l="1"/>
  <c r="B1" i="2" s="1"/>
  <c r="X113" i="89"/>
  <c r="AD113" i="89"/>
  <c r="X112" i="89"/>
  <c r="AD112" i="89"/>
  <c r="AD114" i="89" s="1"/>
  <c r="X111" i="89"/>
  <c r="AD111" i="89"/>
  <c r="X104" i="89"/>
  <c r="AD104" i="89"/>
  <c r="X103" i="89"/>
  <c r="AD103" i="89"/>
  <c r="AD105" i="89" s="1"/>
  <c r="AD102" i="89"/>
  <c r="X102" i="89"/>
  <c r="X96" i="89"/>
  <c r="AD96" i="89"/>
  <c r="X95" i="89"/>
  <c r="AD95" i="89"/>
  <c r="AD97" i="89" s="1"/>
  <c r="X94" i="89"/>
  <c r="AD94" i="89"/>
  <c r="X87" i="89"/>
  <c r="AD87" i="89"/>
  <c r="X86" i="89"/>
  <c r="AD86" i="89"/>
  <c r="AD88" i="89" s="1"/>
  <c r="X85" i="89"/>
  <c r="AD85" i="89"/>
  <c r="X76" i="89"/>
  <c r="X78" i="89" s="1"/>
  <c r="AD76" i="89"/>
  <c r="AD78" i="89" s="1"/>
  <c r="X70" i="89"/>
  <c r="AD70" i="89"/>
  <c r="X69" i="89"/>
  <c r="AD69" i="89"/>
  <c r="AD71" i="89" s="1"/>
  <c r="X61" i="89"/>
  <c r="AD61" i="89"/>
  <c r="X60" i="89"/>
  <c r="AD60" i="89"/>
  <c r="AD62" i="89" s="1"/>
  <c r="X54" i="89"/>
  <c r="AD54" i="89"/>
  <c r="X53" i="89"/>
  <c r="AD53" i="89"/>
  <c r="AD55" i="89" s="1"/>
  <c r="X52" i="89"/>
  <c r="AD52" i="89"/>
  <c r="X44" i="89"/>
  <c r="AD44" i="89"/>
  <c r="X43" i="89"/>
  <c r="AD43" i="89"/>
  <c r="AD45" i="89" s="1"/>
  <c r="X37" i="89"/>
  <c r="AD37" i="89"/>
  <c r="AD36" i="89"/>
  <c r="AD38" i="89" s="1"/>
  <c r="X36" i="89"/>
  <c r="X31" i="89"/>
  <c r="AD31" i="89"/>
  <c r="AD30" i="89"/>
  <c r="AD32" i="89" s="1"/>
  <c r="X30" i="89"/>
  <c r="X20" i="89"/>
  <c r="AD20" i="89"/>
  <c r="X19" i="89"/>
  <c r="AD19" i="89"/>
  <c r="AD21" i="89" s="1"/>
  <c r="X14" i="89"/>
  <c r="AD14" i="89"/>
  <c r="X13" i="89"/>
  <c r="AD13" i="89"/>
  <c r="AD15" i="89" s="1"/>
  <c r="X8" i="89"/>
  <c r="AD8" i="89"/>
  <c r="X7" i="89"/>
  <c r="AD7" i="89"/>
  <c r="AD9" i="89" s="1"/>
  <c r="AE7" i="1"/>
  <c r="K1" i="2"/>
  <c r="R30" i="1" l="1"/>
  <c r="R32" i="1"/>
  <c r="R33" i="1"/>
  <c r="R31" i="1"/>
  <c r="O30" i="1"/>
  <c r="O32" i="1"/>
  <c r="O31" i="1"/>
  <c r="O33" i="1"/>
  <c r="U33" i="1"/>
  <c r="U31" i="1"/>
  <c r="U32" i="1"/>
  <c r="U30" i="1"/>
  <c r="AG8" i="2"/>
  <c r="AH8" i="2"/>
  <c r="O15" i="1"/>
  <c r="R15" i="1"/>
  <c r="U15" i="1"/>
  <c r="AG22" i="2"/>
  <c r="AH22" i="2"/>
  <c r="AH21" i="2"/>
  <c r="AG21" i="2"/>
  <c r="AG6" i="2"/>
  <c r="AH7" i="2"/>
  <c r="AH6" i="2"/>
  <c r="AG7" i="2"/>
  <c r="AH17" i="2"/>
  <c r="AG17" i="2"/>
  <c r="R23" i="1"/>
  <c r="O23" i="1"/>
  <c r="U23" i="1"/>
  <c r="O17" i="1"/>
  <c r="R17" i="1"/>
  <c r="U17" i="1"/>
  <c r="X15" i="89"/>
  <c r="X105" i="89"/>
  <c r="X21" i="89"/>
  <c r="X45" i="89"/>
  <c r="AH23" i="2"/>
  <c r="AG23" i="2"/>
  <c r="R18" i="1"/>
  <c r="O18" i="1"/>
  <c r="U18" i="1"/>
  <c r="X71" i="89"/>
  <c r="X38" i="89"/>
  <c r="X9" i="89"/>
  <c r="X62" i="89"/>
  <c r="M5" i="1"/>
  <c r="X88" i="89"/>
  <c r="X12" i="89" s="1"/>
  <c r="X114" i="89"/>
  <c r="X116" i="89" s="1"/>
  <c r="X55" i="89"/>
  <c r="AG25" i="2"/>
  <c r="AH25" i="2"/>
  <c r="AG24" i="2"/>
  <c r="AH24" i="2"/>
  <c r="AG20" i="2"/>
  <c r="AH20" i="2"/>
  <c r="AG19" i="2"/>
  <c r="AH19" i="2"/>
  <c r="AG18" i="2"/>
  <c r="AH18" i="2"/>
  <c r="AG16" i="2"/>
  <c r="AH16" i="2"/>
  <c r="AG15" i="2"/>
  <c r="AH15" i="2"/>
  <c r="AG14" i="2"/>
  <c r="AH14" i="2"/>
  <c r="AG13" i="2"/>
  <c r="AH13" i="2"/>
  <c r="AG12" i="2"/>
  <c r="AH12" i="2"/>
  <c r="AG11" i="2"/>
  <c r="AH11" i="2"/>
  <c r="AG10" i="2"/>
  <c r="AH10" i="2"/>
  <c r="AG9" i="2"/>
  <c r="AH9" i="2"/>
  <c r="AG5" i="2"/>
  <c r="AH5" i="2"/>
  <c r="AG4" i="2"/>
  <c r="AH4" i="2"/>
  <c r="R48" i="1"/>
  <c r="O48" i="1"/>
  <c r="R47" i="1"/>
  <c r="U48" i="1"/>
  <c r="O47" i="1"/>
  <c r="R46" i="1"/>
  <c r="U47" i="1"/>
  <c r="O46" i="1"/>
  <c r="R45" i="1"/>
  <c r="U46" i="1"/>
  <c r="O45" i="1"/>
  <c r="R44" i="1"/>
  <c r="U45" i="1"/>
  <c r="O44" i="1"/>
  <c r="R43" i="1"/>
  <c r="U44" i="1"/>
  <c r="O43" i="1"/>
  <c r="R42" i="1"/>
  <c r="U43" i="1"/>
  <c r="O42" i="1"/>
  <c r="U42" i="1"/>
  <c r="R41" i="1"/>
  <c r="O41" i="1"/>
  <c r="R40" i="1"/>
  <c r="U41" i="1"/>
  <c r="O40" i="1"/>
  <c r="R39" i="1"/>
  <c r="U40" i="1"/>
  <c r="O39" i="1"/>
  <c r="R38" i="1"/>
  <c r="U39" i="1"/>
  <c r="O38" i="1"/>
  <c r="U38" i="1"/>
  <c r="R37" i="1"/>
  <c r="O37" i="1"/>
  <c r="R36" i="1"/>
  <c r="U37" i="1"/>
  <c r="O36" i="1"/>
  <c r="U36" i="1"/>
  <c r="R35" i="1"/>
  <c r="O35" i="1"/>
  <c r="R34" i="1"/>
  <c r="U35" i="1"/>
  <c r="O34" i="1"/>
  <c r="R29" i="1"/>
  <c r="U34" i="1"/>
  <c r="O29" i="1"/>
  <c r="U29" i="1"/>
  <c r="R28" i="1"/>
  <c r="O28" i="1"/>
  <c r="R27" i="1"/>
  <c r="U28" i="1"/>
  <c r="O27" i="1"/>
  <c r="R25" i="1"/>
  <c r="U27" i="1"/>
  <c r="O25" i="1"/>
  <c r="R26" i="1"/>
  <c r="U25" i="1"/>
  <c r="O26" i="1"/>
  <c r="R24" i="1"/>
  <c r="U26" i="1"/>
  <c r="O24" i="1"/>
  <c r="R22" i="1"/>
  <c r="U24" i="1"/>
  <c r="O22" i="1"/>
  <c r="R21" i="1"/>
  <c r="U22" i="1"/>
  <c r="O21" i="1"/>
  <c r="R20" i="1"/>
  <c r="U21" i="1"/>
  <c r="O20" i="1"/>
  <c r="R19" i="1"/>
  <c r="U20" i="1"/>
  <c r="O19" i="1"/>
  <c r="U19" i="1"/>
  <c r="R16" i="1"/>
  <c r="O16" i="1"/>
  <c r="U16" i="1"/>
  <c r="R14" i="1"/>
  <c r="O14" i="1"/>
  <c r="U14" i="1"/>
  <c r="R13" i="1"/>
  <c r="O13" i="1"/>
  <c r="U13" i="1"/>
  <c r="R12" i="1"/>
  <c r="W10" i="1"/>
  <c r="O12" i="1"/>
  <c r="U12" i="1"/>
  <c r="X97" i="89"/>
  <c r="X32" i="89"/>
  <c r="R2" i="1" l="1"/>
  <c r="AA30" i="1"/>
  <c r="Z30" i="1"/>
  <c r="Y30" i="1"/>
  <c r="AA31" i="1"/>
  <c r="Z31" i="1"/>
  <c r="Y31" i="1"/>
  <c r="AA33" i="1"/>
  <c r="Z33" i="1"/>
  <c r="Y33" i="1"/>
  <c r="AA32" i="1"/>
  <c r="Z32" i="1"/>
  <c r="Y32" i="1"/>
  <c r="W30" i="1"/>
  <c r="W32" i="1"/>
  <c r="W33" i="1"/>
  <c r="W31" i="1"/>
  <c r="Y15" i="1"/>
  <c r="AA15" i="1"/>
  <c r="Z15" i="1"/>
  <c r="W15" i="1"/>
  <c r="U1" i="1"/>
  <c r="W23" i="1"/>
  <c r="Y23" i="1"/>
  <c r="Z23" i="1"/>
  <c r="AA23" i="1"/>
  <c r="W17" i="1"/>
  <c r="AA17" i="1"/>
  <c r="Y17" i="1"/>
  <c r="Z17" i="1"/>
  <c r="W18" i="1"/>
  <c r="AA18" i="1"/>
  <c r="Y18" i="1"/>
  <c r="Z18" i="1"/>
  <c r="I5" i="1"/>
  <c r="Z13" i="1"/>
  <c r="AA13" i="1"/>
  <c r="Y13" i="1"/>
  <c r="Z14" i="1"/>
  <c r="AA14" i="1"/>
  <c r="Y14" i="1"/>
  <c r="AA34" i="1"/>
  <c r="Z34" i="1"/>
  <c r="Y34" i="1"/>
  <c r="Z25" i="1"/>
  <c r="Y25" i="1"/>
  <c r="AA25" i="1"/>
  <c r="AA43" i="1"/>
  <c r="Z43" i="1"/>
  <c r="Y43" i="1"/>
  <c r="Z26" i="1"/>
  <c r="AA26" i="1"/>
  <c r="Y26" i="1"/>
  <c r="Z35" i="1"/>
  <c r="Y35" i="1"/>
  <c r="AA35" i="1"/>
  <c r="U6" i="1"/>
  <c r="Y24" i="1"/>
  <c r="AA24" i="1"/>
  <c r="Z24" i="1"/>
  <c r="AA39" i="1"/>
  <c r="Y39" i="1"/>
  <c r="Z39" i="1"/>
  <c r="AA16" i="1"/>
  <c r="Y16" i="1"/>
  <c r="Z16" i="1"/>
  <c r="Z45" i="1"/>
  <c r="Y45" i="1"/>
  <c r="AA45" i="1"/>
  <c r="AA40" i="1"/>
  <c r="Y40" i="1"/>
  <c r="Z40" i="1"/>
  <c r="AA44" i="1"/>
  <c r="Y44" i="1"/>
  <c r="Z44" i="1"/>
  <c r="AA29" i="1"/>
  <c r="Z29" i="1"/>
  <c r="Y29" i="1"/>
  <c r="Y41" i="1"/>
  <c r="AA41" i="1"/>
  <c r="Z41" i="1"/>
  <c r="Z22" i="1"/>
  <c r="AA22" i="1"/>
  <c r="Y22" i="1"/>
  <c r="AA27" i="1"/>
  <c r="Y27" i="1"/>
  <c r="Z27" i="1"/>
  <c r="AA47" i="1"/>
  <c r="Z47" i="1"/>
  <c r="Y47" i="1"/>
  <c r="AA37" i="1"/>
  <c r="Z37" i="1"/>
  <c r="Y37" i="1"/>
  <c r="Y38" i="1"/>
  <c r="Z38" i="1"/>
  <c r="AA38" i="1"/>
  <c r="AA28" i="1"/>
  <c r="Z28" i="1"/>
  <c r="Y28" i="1"/>
  <c r="Z12" i="1"/>
  <c r="AA12" i="1"/>
  <c r="Y12" i="1"/>
  <c r="Y21" i="1"/>
  <c r="AA21" i="1"/>
  <c r="Z21" i="1"/>
  <c r="AA42" i="1"/>
  <c r="Z42" i="1"/>
  <c r="Y42" i="1"/>
  <c r="AA46" i="1"/>
  <c r="Z46" i="1"/>
  <c r="Y46" i="1"/>
  <c r="AA36" i="1"/>
  <c r="Z36" i="1"/>
  <c r="Y36" i="1"/>
  <c r="AA20" i="1"/>
  <c r="Z20" i="1"/>
  <c r="Y20" i="1"/>
  <c r="O6" i="1"/>
  <c r="O5" i="1"/>
  <c r="W48" i="1"/>
  <c r="W47" i="1"/>
  <c r="W46" i="1"/>
  <c r="W45" i="1"/>
  <c r="W44" i="1"/>
  <c r="W43" i="1"/>
  <c r="W42" i="1"/>
  <c r="W41" i="1"/>
  <c r="W40" i="1"/>
  <c r="W39" i="1"/>
  <c r="W38" i="1"/>
  <c r="W37" i="1"/>
  <c r="W36" i="1"/>
  <c r="W35" i="1"/>
  <c r="W34" i="1"/>
  <c r="W29" i="1"/>
  <c r="W28" i="1"/>
  <c r="W27" i="1"/>
  <c r="W25" i="1"/>
  <c r="W26" i="1"/>
  <c r="W24" i="1"/>
  <c r="W22" i="1"/>
  <c r="W21" i="1"/>
  <c r="W20" i="1"/>
  <c r="W19" i="1"/>
  <c r="W16" i="1"/>
  <c r="W14" i="1"/>
  <c r="W13" i="1"/>
  <c r="W12" i="1"/>
  <c r="AA19" i="1"/>
  <c r="Z19" i="1"/>
  <c r="Y19" i="1"/>
  <c r="U5" i="1"/>
  <c r="AA48" i="1"/>
  <c r="Y48" i="1"/>
  <c r="Z48" i="1"/>
  <c r="R6" i="1"/>
  <c r="R5" i="1"/>
  <c r="Z10" i="1" l="1"/>
  <c r="AA6" i="1"/>
  <c r="AB6" i="1" s="1"/>
  <c r="AA5" i="1"/>
  <c r="D5" i="1"/>
  <c r="U8" i="1"/>
  <c r="U7" i="1"/>
  <c r="W5" i="1"/>
  <c r="O8" i="1"/>
  <c r="O7" i="1"/>
  <c r="W6" i="1"/>
  <c r="R8" i="1"/>
  <c r="R7" i="1"/>
  <c r="AA8" i="1" l="1"/>
  <c r="AB5" i="1"/>
  <c r="AA7" i="1"/>
  <c r="AA10" i="1" s="1"/>
  <c r="U10" i="1"/>
  <c r="W7" i="1"/>
  <c r="M4" i="1" l="1"/>
  <c r="I4" i="1" l="1"/>
  <c r="D4" i="1" l="1"/>
  <c r="X6" i="1" l="1"/>
  <c r="Y6" i="1" s="1"/>
  <c r="Z5" i="1"/>
  <c r="Z6" i="1"/>
  <c r="X5" i="1"/>
  <c r="Y5" i="1" s="1"/>
  <c r="AD3" i="1"/>
  <c r="U3" i="1"/>
  <c r="Y7" i="1" l="1"/>
  <c r="Z7" i="1"/>
  <c r="M3" i="1" l="1"/>
  <c r="I3" i="1" l="1"/>
  <c r="D3" i="1" l="1"/>
  <c r="W2" i="1" l="1"/>
  <c r="T2" i="1"/>
  <c r="S2" i="1" l="1"/>
  <c r="M2" i="1"/>
  <c r="I2" i="1" l="1"/>
  <c r="AH5" i="1" l="1"/>
  <c r="AH4" i="1"/>
  <c r="AH3" i="1"/>
  <c r="AJ5" i="1"/>
  <c r="AJ4" i="1"/>
  <c r="AJ3" i="1"/>
  <c r="D2" i="1"/>
  <c r="V1" i="1"/>
  <c r="T1" i="1"/>
  <c r="T3" i="1" s="1"/>
  <c r="R1" i="1"/>
  <c r="R3" i="1" s="1"/>
  <c r="S3" i="1" l="1"/>
  <c r="P3" i="1" s="1"/>
  <c r="S1" i="1"/>
  <c r="P1" i="1" s="1"/>
  <c r="M1" i="1" l="1"/>
  <c r="I1" i="1" l="1"/>
  <c r="D1" i="1" l="1"/>
  <c r="A11" i="24"/>
  <c r="B10" i="24"/>
  <c r="C8" i="24"/>
  <c r="C9" i="24" s="1"/>
  <c r="F7" i="24"/>
  <c r="F6" i="24"/>
  <c r="C6" i="24"/>
  <c r="F5" i="24"/>
  <c r="C5" i="24"/>
  <c r="F4" i="24"/>
  <c r="C4" i="24"/>
  <c r="AA10" i="528" l="1"/>
  <c r="Y10" i="528"/>
  <c r="W10" i="528"/>
  <c r="Q10" i="528"/>
  <c r="O10" i="528"/>
  <c r="M10" i="528"/>
  <c r="G10" i="528"/>
  <c r="E10" i="528"/>
  <c r="AA9" i="528"/>
  <c r="Y9" i="528"/>
  <c r="W9" i="528"/>
  <c r="Q9" i="528"/>
  <c r="O9" i="528"/>
  <c r="M9" i="528"/>
  <c r="G9" i="528"/>
  <c r="E9" i="528"/>
  <c r="AA8" i="528"/>
  <c r="Y8" i="528"/>
  <c r="W8" i="528"/>
  <c r="Q8" i="528"/>
  <c r="O8" i="528"/>
  <c r="M8" i="528"/>
  <c r="G8" i="528"/>
  <c r="E8" i="528"/>
  <c r="AA7" i="528"/>
  <c r="Y7" i="528"/>
  <c r="W7" i="528"/>
  <c r="Q7" i="528"/>
  <c r="O7" i="528"/>
  <c r="M7" i="528"/>
  <c r="G7" i="528"/>
  <c r="E7" i="528"/>
  <c r="M10" i="529"/>
  <c r="K10" i="529"/>
  <c r="K9" i="529"/>
  <c r="M9" i="529" s="1"/>
  <c r="K8" i="529"/>
  <c r="M8" i="529" s="1"/>
  <c r="M6" i="529"/>
  <c r="K6" i="529"/>
  <c r="K5" i="529"/>
  <c r="M5" i="529" s="1"/>
  <c r="I66" i="531"/>
  <c r="I59" i="531"/>
  <c r="T45" i="531"/>
  <c r="S45" i="531"/>
  <c r="R45" i="531"/>
  <c r="Q45" i="531"/>
  <c r="P45" i="531"/>
  <c r="AC43" i="531"/>
  <c r="AA43" i="531"/>
  <c r="Y43" i="531"/>
  <c r="W43" i="531"/>
  <c r="L42" i="531"/>
  <c r="L41" i="531" s="1"/>
  <c r="K42" i="531"/>
  <c r="J42" i="531"/>
  <c r="I42" i="531"/>
  <c r="H42" i="531"/>
  <c r="T40" i="531"/>
  <c r="S40" i="531"/>
  <c r="R40" i="531"/>
  <c r="Q40" i="531"/>
  <c r="P40" i="531"/>
  <c r="T30" i="531"/>
  <c r="S30" i="531"/>
  <c r="R30" i="531"/>
  <c r="Q30" i="531"/>
  <c r="P30" i="531"/>
  <c r="AC28" i="531"/>
  <c r="AA28" i="531"/>
  <c r="Y28" i="531"/>
  <c r="W28" i="531"/>
  <c r="L27" i="531"/>
  <c r="L26" i="531" s="1"/>
  <c r="K27" i="531"/>
  <c r="I34" i="531" s="1"/>
  <c r="J27" i="531"/>
  <c r="I27" i="531"/>
  <c r="H27" i="531"/>
  <c r="T21" i="531"/>
  <c r="T22" i="531" s="1"/>
  <c r="S21" i="531"/>
  <c r="S22" i="531" s="1"/>
  <c r="R21" i="531"/>
  <c r="R22" i="531" s="1"/>
  <c r="Q21" i="531"/>
  <c r="Q22" i="531" s="1"/>
  <c r="P21" i="531"/>
  <c r="P22" i="531" s="1"/>
  <c r="T20" i="531"/>
  <c r="S20" i="531"/>
  <c r="R20" i="531"/>
  <c r="Q20" i="531"/>
  <c r="P20" i="531"/>
  <c r="AC18" i="531"/>
  <c r="AA18" i="531"/>
  <c r="Y18" i="531"/>
  <c r="W18" i="531"/>
  <c r="L17" i="531"/>
  <c r="K17" i="531"/>
  <c r="I24" i="531" s="1"/>
  <c r="J17" i="531"/>
  <c r="I17" i="531"/>
  <c r="H17" i="531"/>
  <c r="L16" i="531"/>
  <c r="T14" i="531"/>
  <c r="S14" i="531"/>
  <c r="R14" i="531"/>
  <c r="Q14" i="531"/>
  <c r="P14" i="531"/>
  <c r="AC10" i="531"/>
  <c r="AA10" i="531"/>
  <c r="Y10" i="531"/>
  <c r="W10" i="531"/>
  <c r="L8" i="531"/>
  <c r="K8" i="531"/>
  <c r="J8" i="531"/>
  <c r="I8" i="531"/>
  <c r="H8" i="531"/>
  <c r="F8" i="531"/>
  <c r="Q48" i="446"/>
  <c r="Q47" i="446"/>
  <c r="Q46" i="446"/>
  <c r="Q45" i="446"/>
  <c r="R46" i="531" l="1"/>
  <c r="R47" i="531" s="1"/>
  <c r="S46" i="531"/>
  <c r="S47" i="531" s="1"/>
  <c r="P46" i="531"/>
  <c r="P47" i="531" s="1"/>
  <c r="P51" i="531" s="1"/>
  <c r="Q46" i="531"/>
  <c r="Q47" i="531" s="1"/>
  <c r="S31" i="531"/>
  <c r="S32" i="531" s="1"/>
  <c r="S36" i="531" s="1"/>
  <c r="P31" i="531"/>
  <c r="P32" i="531" s="1"/>
  <c r="P34" i="531" s="1"/>
  <c r="Q31" i="531"/>
  <c r="Q32" i="531" s="1"/>
  <c r="Q36" i="531" s="1"/>
  <c r="T31" i="531"/>
  <c r="T32" i="531" s="1"/>
  <c r="R31" i="531"/>
  <c r="R32" i="531" s="1"/>
  <c r="R36" i="531" s="1"/>
  <c r="T46" i="531"/>
  <c r="T47" i="531" s="1"/>
  <c r="T49" i="531" s="1"/>
  <c r="P24" i="531"/>
  <c r="P36" i="531"/>
  <c r="Q49" i="531"/>
  <c r="Q51" i="531"/>
  <c r="T24" i="531"/>
  <c r="T36" i="531"/>
  <c r="S34" i="531"/>
  <c r="Q34" i="531"/>
  <c r="T34" i="531"/>
  <c r="Q24" i="531"/>
  <c r="R24" i="531"/>
  <c r="S24" i="531"/>
  <c r="R51" i="531"/>
  <c r="R49" i="531"/>
  <c r="S49" i="531"/>
  <c r="S51" i="531"/>
  <c r="I60" i="531"/>
  <c r="I61" i="531"/>
  <c r="T51" i="531" l="1"/>
  <c r="P49" i="531"/>
  <c r="R34" i="531"/>
  <c r="Q43" i="446"/>
  <c r="Q42" i="446" l="1"/>
  <c r="Q39" i="446" l="1"/>
  <c r="AI14" i="446" l="1"/>
  <c r="AH14" i="446"/>
  <c r="AD14" i="446"/>
  <c r="W14" i="446"/>
  <c r="V14" i="446"/>
  <c r="AA13" i="446" l="1"/>
  <c r="Z13" i="446"/>
  <c r="AB13" i="446" s="1"/>
  <c r="L13" i="446" a="1"/>
  <c r="L13" i="446" l="1"/>
  <c r="M13" i="446" s="1"/>
  <c r="AE13" i="446"/>
  <c r="AA12" i="446" l="1"/>
  <c r="Z12" i="446"/>
  <c r="AB12" i="446" s="1"/>
  <c r="L12" i="446" a="1"/>
  <c r="L12" i="446" l="1"/>
  <c r="M12" i="446" s="1"/>
  <c r="AE12" i="446"/>
  <c r="AA11" i="446" l="1"/>
  <c r="Z11" i="446"/>
  <c r="AB11" i="446" s="1"/>
  <c r="L11" i="446" a="1"/>
  <c r="L11" i="446" l="1"/>
  <c r="M11" i="446" s="1"/>
  <c r="AE11" i="446"/>
  <c r="AA10" i="446" l="1"/>
  <c r="Z10" i="446"/>
  <c r="AB10" i="446" s="1"/>
  <c r="L10" i="446" a="1"/>
  <c r="L10" i="446" l="1"/>
  <c r="M10" i="446" s="1"/>
  <c r="AE10" i="446"/>
  <c r="AA9" i="446" l="1"/>
  <c r="Z9" i="446"/>
  <c r="AB9" i="446" s="1"/>
  <c r="L9" i="446" a="1"/>
  <c r="L9" i="446" l="1"/>
  <c r="M9" i="446" s="1"/>
  <c r="AE9" i="446"/>
  <c r="AA8" i="446" l="1"/>
  <c r="Z8" i="446"/>
  <c r="AB8" i="446" s="1"/>
  <c r="L8" i="446" a="1"/>
  <c r="L8" i="446" l="1"/>
  <c r="M8" i="446" s="1"/>
  <c r="AE8" i="446"/>
  <c r="AA7" i="446" l="1"/>
  <c r="Z7" i="446"/>
  <c r="AB7" i="446" s="1"/>
  <c r="L7" i="446" a="1"/>
  <c r="L7" i="446" l="1"/>
  <c r="M7" i="446" s="1"/>
  <c r="AE7" i="446"/>
  <c r="AG6" i="446" l="1"/>
  <c r="AA6" i="446"/>
  <c r="Z6" i="446"/>
  <c r="AB6" i="446" s="1"/>
  <c r="L6" i="446" a="1"/>
  <c r="L6" i="446" l="1"/>
  <c r="M6" i="446" s="1"/>
  <c r="AA5" i="446" l="1"/>
  <c r="Z5" i="446"/>
  <c r="AB5" i="446" s="1"/>
  <c r="L5" i="446" a="1"/>
  <c r="L5" i="446" l="1"/>
  <c r="M5" i="446" s="1"/>
  <c r="AE5" i="446"/>
  <c r="AA4" i="446" l="1"/>
  <c r="AA14" i="446" s="1"/>
  <c r="Z4" i="446"/>
  <c r="Z14" i="446" s="1"/>
  <c r="AB2" i="446"/>
  <c r="AB4" i="446" l="1"/>
  <c r="AB14" i="446" l="1"/>
  <c r="AE4" i="446"/>
  <c r="X4" i="446"/>
  <c r="AG4" i="446" l="1"/>
  <c r="X13" i="446"/>
  <c r="AG13" i="446" s="1"/>
  <c r="X12" i="446"/>
  <c r="AG12" i="446" s="1"/>
  <c r="X11" i="446"/>
  <c r="AG11" i="446" s="1"/>
  <c r="X10" i="446"/>
  <c r="AG10" i="446" s="1"/>
  <c r="X9" i="446"/>
  <c r="AG9" i="446" s="1"/>
  <c r="X8" i="446"/>
  <c r="AG8" i="446" s="1"/>
  <c r="X7" i="446"/>
  <c r="AG7" i="446" s="1"/>
  <c r="X5" i="446"/>
  <c r="AG5" i="446" s="1"/>
  <c r="AG14" i="446" l="1"/>
  <c r="X14" i="446"/>
  <c r="I12" i="338" a="1"/>
  <c r="I12" i="338" l="1"/>
  <c r="J12" i="338" a="1"/>
  <c r="G12" i="338" a="1"/>
  <c r="J12" i="338" l="1"/>
  <c r="G12" i="338"/>
  <c r="A12" i="338"/>
  <c r="H12" i="338" a="1"/>
  <c r="H12" i="338" l="1"/>
  <c r="O12" i="338"/>
  <c r="K12" i="338"/>
  <c r="L12" i="338" a="1"/>
  <c r="V12" i="338" a="1"/>
  <c r="U12" i="338" a="1"/>
  <c r="U12" i="338" l="1"/>
  <c r="V12" i="338"/>
  <c r="L12" i="338"/>
  <c r="AD12" i="338"/>
  <c r="AB12" i="338"/>
  <c r="Z12" i="338"/>
  <c r="I11" i="338" a="1"/>
  <c r="N12" i="338" l="1"/>
  <c r="I11" i="338"/>
  <c r="J11" i="338" a="1"/>
  <c r="G11" i="338" a="1"/>
  <c r="J11" i="338" l="1"/>
  <c r="G11" i="338"/>
  <c r="A11" i="338"/>
  <c r="H11" i="338" a="1"/>
  <c r="H11" i="338" l="1"/>
  <c r="O11" i="338"/>
  <c r="K11" i="338"/>
  <c r="L11" i="338" a="1"/>
  <c r="U11" i="338" a="1"/>
  <c r="V11" i="338" a="1"/>
  <c r="V11" i="338" l="1"/>
  <c r="U11" i="338"/>
  <c r="L11" i="338"/>
  <c r="AD11" i="338"/>
  <c r="AB11" i="338"/>
  <c r="Z11" i="338"/>
  <c r="I10" i="338" a="1"/>
  <c r="N11" i="338" l="1"/>
  <c r="I10" i="338"/>
  <c r="J10" i="338" a="1"/>
  <c r="G10" i="338" a="1"/>
  <c r="J10" i="338" l="1"/>
  <c r="G10" i="338"/>
  <c r="A10" i="338"/>
  <c r="H10" i="338" a="1"/>
  <c r="H10" i="338" l="1"/>
  <c r="O10" i="338"/>
  <c r="K10" i="338"/>
  <c r="L10" i="338" a="1"/>
  <c r="V10" i="338" a="1"/>
  <c r="U10" i="338" a="1"/>
  <c r="U10" i="338" l="1"/>
  <c r="V10" i="338"/>
  <c r="L10" i="338"/>
  <c r="AD10" i="338"/>
  <c r="AB10" i="338"/>
  <c r="Z10" i="338"/>
  <c r="I9" i="338" a="1"/>
  <c r="N10" i="338" l="1"/>
  <c r="I9" i="338"/>
  <c r="J9" i="338" a="1"/>
  <c r="G9" i="338" a="1"/>
  <c r="J9" i="338" l="1"/>
  <c r="G9" i="338"/>
  <c r="A9" i="338"/>
  <c r="H9" i="338" a="1"/>
  <c r="H9" i="338" l="1"/>
  <c r="O9" i="338"/>
  <c r="K9" i="338"/>
  <c r="L9" i="338" a="1"/>
  <c r="U9" i="338" a="1"/>
  <c r="V9" i="338" a="1"/>
  <c r="V9" i="338" l="1"/>
  <c r="U9" i="338"/>
  <c r="L9" i="338"/>
  <c r="AD9" i="338"/>
  <c r="AB9" i="338"/>
  <c r="Z9" i="338"/>
  <c r="I8" i="338" a="1"/>
  <c r="N9" i="338" l="1"/>
  <c r="I8" i="338"/>
  <c r="J8" i="338" a="1"/>
  <c r="G8" i="338" a="1"/>
  <c r="J8" i="338" l="1"/>
  <c r="G8" i="338"/>
  <c r="A8" i="338"/>
  <c r="H8" i="338" a="1"/>
  <c r="H8" i="338" l="1"/>
  <c r="O8" i="338"/>
  <c r="K8" i="338"/>
  <c r="L8" i="338" a="1"/>
  <c r="V8" i="338" a="1"/>
  <c r="U8" i="338" a="1"/>
  <c r="U8" i="338" l="1"/>
  <c r="V8" i="338"/>
  <c r="L8" i="338"/>
  <c r="AD8" i="338"/>
  <c r="AB8" i="338"/>
  <c r="Z8" i="338"/>
  <c r="N8" i="338" l="1"/>
  <c r="D4" i="338" l="1"/>
  <c r="Q5" i="338"/>
  <c r="D5" i="338"/>
  <c r="Q3" i="338"/>
  <c r="AP9" i="338" a="1"/>
  <c r="AU9" i="338" a="1"/>
  <c r="AU10" i="338" a="1"/>
  <c r="AP11" i="338" a="1"/>
  <c r="AP8" i="338" a="1"/>
  <c r="AP12" i="338" a="1"/>
  <c r="AP10" i="338" a="1"/>
  <c r="AU8" i="338" a="1"/>
  <c r="AU11" i="338" a="1"/>
  <c r="AU12" i="338" a="1"/>
  <c r="AU12" i="338" l="1"/>
  <c r="AU11" i="338"/>
  <c r="AU8" i="338"/>
  <c r="AP10" i="338"/>
  <c r="AP12" i="338"/>
  <c r="AP8" i="338"/>
  <c r="AP11" i="338"/>
  <c r="AU10" i="338"/>
  <c r="AU9" i="338"/>
  <c r="AP9" i="338"/>
  <c r="AM3" i="338"/>
  <c r="Q2" i="338"/>
  <c r="Q4" i="338" s="1"/>
  <c r="AN3" i="338"/>
  <c r="E4" i="338"/>
  <c r="E2" i="338" s="1"/>
  <c r="AR12" i="338"/>
  <c r="AM8" i="338"/>
  <c r="AM11" i="338"/>
  <c r="AM9" i="338"/>
  <c r="AR11" i="338"/>
  <c r="AR9" i="338"/>
  <c r="AR8" i="338"/>
  <c r="AM10" i="338"/>
  <c r="AM12" i="338"/>
  <c r="AR10" i="338"/>
  <c r="AS12" i="338"/>
  <c r="AS11" i="338"/>
  <c r="AS8" i="338"/>
  <c r="AN10" i="338"/>
  <c r="AN12" i="338"/>
  <c r="AN8" i="338"/>
  <c r="AN11" i="338"/>
  <c r="AS9" i="338"/>
  <c r="AS10" i="338"/>
  <c r="AN9" i="338"/>
  <c r="Q10" i="338" a="1"/>
  <c r="Q11" i="338" a="1"/>
  <c r="Q12" i="338" a="1"/>
  <c r="Q8" i="338" a="1"/>
  <c r="Q9" i="338" a="1"/>
  <c r="Q12" i="338" l="1"/>
  <c r="Q11" i="338"/>
  <c r="Q10" i="338"/>
  <c r="Q9" i="338"/>
  <c r="Q8" i="338"/>
  <c r="AO9" i="338"/>
  <c r="AT9" i="338"/>
  <c r="AT12" i="338"/>
  <c r="AO10" i="338"/>
  <c r="E1" i="338"/>
  <c r="AO12" i="338"/>
  <c r="AT10" i="338"/>
  <c r="AO11" i="338"/>
  <c r="AT11" i="338"/>
  <c r="AO8" i="338"/>
  <c r="AT8" i="338"/>
  <c r="G37" i="530" l="1"/>
  <c r="G38" i="530" s="1"/>
  <c r="F37" i="530"/>
  <c r="F38" i="530" s="1"/>
  <c r="J36" i="530"/>
  <c r="J37" i="530" s="1"/>
  <c r="J38" i="530" s="1"/>
  <c r="I36" i="530"/>
  <c r="I37" i="530" s="1"/>
  <c r="I38" i="530" s="1"/>
  <c r="H36" i="530"/>
  <c r="H37" i="530" s="1"/>
  <c r="H38" i="530" s="1"/>
  <c r="G36" i="530"/>
  <c r="F36" i="530"/>
  <c r="C36" i="530"/>
  <c r="J33" i="530"/>
  <c r="J34" i="530" s="1"/>
  <c r="I33" i="530"/>
  <c r="I34" i="530" s="1"/>
  <c r="H33" i="530"/>
  <c r="H34" i="530" s="1"/>
  <c r="G33" i="530"/>
  <c r="G34" i="530" s="1"/>
  <c r="F33" i="530"/>
  <c r="F34" i="530" s="1"/>
  <c r="E33" i="530"/>
  <c r="D33" i="530"/>
  <c r="D32" i="530"/>
  <c r="C34" i="530" s="1"/>
  <c r="C29" i="530"/>
  <c r="J27" i="530"/>
  <c r="D26" i="530"/>
  <c r="A26" i="530"/>
  <c r="C27" i="530" s="1"/>
  <c r="D25" i="530"/>
  <c r="U23" i="530"/>
  <c r="U24" i="530" s="1"/>
  <c r="C20" i="530"/>
  <c r="J19" i="530"/>
  <c r="L19" i="530" s="1"/>
  <c r="L18" i="530"/>
  <c r="D17" i="530"/>
  <c r="D16" i="530"/>
  <c r="C18" i="530" s="1"/>
  <c r="J14" i="530"/>
  <c r="J15" i="530" s="1"/>
  <c r="J16" i="530" s="1"/>
  <c r="G14" i="530"/>
  <c r="F12" i="530"/>
  <c r="C10" i="530"/>
  <c r="D7" i="530"/>
  <c r="D6" i="530"/>
  <c r="C8" i="530" s="1"/>
  <c r="F4" i="530"/>
  <c r="F3" i="530"/>
  <c r="L16" i="530" l="1"/>
  <c r="K16" i="530"/>
  <c r="F39" i="530"/>
  <c r="F40" i="530" s="1"/>
  <c r="G39" i="530"/>
  <c r="G40" i="530" s="1"/>
  <c r="H39" i="530"/>
  <c r="H40" i="530" s="1"/>
  <c r="I39" i="530"/>
  <c r="I40" i="530" s="1"/>
  <c r="J39" i="530"/>
  <c r="J40" i="530" s="1"/>
  <c r="L20" i="530"/>
  <c r="M20" i="530" s="1"/>
  <c r="H42" i="530" l="1"/>
  <c r="H41" i="530"/>
  <c r="I42" i="530"/>
  <c r="I41" i="530"/>
  <c r="G42" i="530"/>
  <c r="G41" i="530"/>
  <c r="F42" i="530"/>
  <c r="F41" i="530"/>
  <c r="J42" i="530"/>
  <c r="J41" i="53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 Grozdea</author>
  </authors>
  <commentList>
    <comment ref="B27" authorId="0" shapeId="0" xr:uid="{8B430706-38F5-44D4-BABE-EBB6AB3422EF}">
      <text>
        <r>
          <rPr>
            <b/>
            <sz val="9"/>
            <color indexed="81"/>
            <rFont val="Tahoma"/>
            <family val="2"/>
          </rPr>
          <t>Daniel Grozdea:</t>
        </r>
        <r>
          <rPr>
            <sz val="9"/>
            <color indexed="81"/>
            <rFont val="Tahoma"/>
            <family val="2"/>
          </rPr>
          <t xml:space="preserve">
1393 GS
170 BAML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<sst xmlns="http://schemas.openxmlformats.org/spreadsheetml/2006/main" count="3655" uniqueCount="1205">
  <si>
    <t>SPY</t>
  </si>
  <si>
    <t>Vol</t>
  </si>
  <si>
    <t>ESA</t>
  </si>
  <si>
    <t>RSP</t>
  </si>
  <si>
    <t>XLP</t>
  </si>
  <si>
    <t>Price</t>
  </si>
  <si>
    <t>KBWB</t>
  </si>
  <si>
    <t>ASHR</t>
  </si>
  <si>
    <t>ADR</t>
  </si>
  <si>
    <t>KWEB</t>
  </si>
  <si>
    <t>Return</t>
  </si>
  <si>
    <t>Exp</t>
  </si>
  <si>
    <t>Longs</t>
  </si>
  <si>
    <t>Shorts</t>
  </si>
  <si>
    <t>Net</t>
  </si>
  <si>
    <t>Gross</t>
  </si>
  <si>
    <t>USD return</t>
  </si>
  <si>
    <t>BRL return</t>
  </si>
  <si>
    <t>Ex Gold</t>
  </si>
  <si>
    <t>KRE</t>
  </si>
  <si>
    <t>Row Labels</t>
  </si>
  <si>
    <t>Average of % Chg</t>
  </si>
  <si>
    <t>Sum of 
P&amp;L bps</t>
  </si>
  <si>
    <t>Sum of D1 Exp %</t>
  </si>
  <si>
    <t>Sum of Option Exp %</t>
  </si>
  <si>
    <t>Sum of Exp %</t>
  </si>
  <si>
    <t>Index</t>
  </si>
  <si>
    <t>AAPL</t>
  </si>
  <si>
    <t>COIN</t>
  </si>
  <si>
    <t>META</t>
  </si>
  <si>
    <t>TTWO</t>
  </si>
  <si>
    <t>UBER</t>
  </si>
  <si>
    <t>Financials</t>
  </si>
  <si>
    <t>BRK/B</t>
  </si>
  <si>
    <t>MA</t>
  </si>
  <si>
    <t>V</t>
  </si>
  <si>
    <t>XLF</t>
  </si>
  <si>
    <t>IGV</t>
  </si>
  <si>
    <t>MSFT</t>
  </si>
  <si>
    <t>Gold</t>
  </si>
  <si>
    <t>LYSDY</t>
  </si>
  <si>
    <t>MP</t>
  </si>
  <si>
    <t>NVDA</t>
  </si>
  <si>
    <t>SOXX</t>
  </si>
  <si>
    <t>TSM</t>
  </si>
  <si>
    <t>Grand Total</t>
  </si>
  <si>
    <t>XXXX</t>
  </si>
  <si>
    <t>Long</t>
  </si>
  <si>
    <t>Short</t>
  </si>
  <si>
    <t>Expo Long</t>
  </si>
  <si>
    <t>Expo Short</t>
  </si>
  <si>
    <t>% Chg</t>
  </si>
  <si>
    <t>Pair</t>
  </si>
  <si>
    <t>Daily Z</t>
  </si>
  <si>
    <t>Imp Vol</t>
  </si>
  <si>
    <t>Vol 30D</t>
  </si>
  <si>
    <t>Cor 126D</t>
  </si>
  <si>
    <t xml:space="preserve">% 2D </t>
  </si>
  <si>
    <t xml:space="preserve">% 5D </t>
  </si>
  <si>
    <t>% 52H</t>
  </si>
  <si>
    <t>% 52L</t>
  </si>
  <si>
    <t>RSI</t>
  </si>
  <si>
    <t>Target</t>
  </si>
  <si>
    <t>Stop</t>
  </si>
  <si>
    <t>Cost</t>
  </si>
  <si>
    <t>Next Event Long</t>
  </si>
  <si>
    <t>Next Event Short</t>
  </si>
  <si>
    <t>SI Days Long</t>
  </si>
  <si>
    <t>SI Days Short</t>
  </si>
  <si>
    <t>SI % FF Long</t>
  </si>
  <si>
    <t>SI % FF Short</t>
  </si>
  <si>
    <t>EPS Revsn 4W</t>
  </si>
  <si>
    <t>EPS Revsn 13W</t>
  </si>
  <si>
    <t>P/E</t>
  </si>
  <si>
    <t>EPS BF Long</t>
  </si>
  <si>
    <t>EPS BF Short</t>
  </si>
  <si>
    <t>BKNG</t>
  </si>
  <si>
    <t>ABNB</t>
  </si>
  <si>
    <t>GDX</t>
  </si>
  <si>
    <t>NEM</t>
  </si>
  <si>
    <t>EXPE</t>
  </si>
  <si>
    <t>CRM</t>
  </si>
  <si>
    <t>QQQ</t>
  </si>
  <si>
    <t>SMH</t>
  </si>
  <si>
    <t>AVGO</t>
  </si>
  <si>
    <t>MRVL</t>
  </si>
  <si>
    <t>GSENEPOW</t>
  </si>
  <si>
    <t>XLU</t>
  </si>
  <si>
    <t>QQQE</t>
  </si>
  <si>
    <t>IWM</t>
  </si>
  <si>
    <t>Mid</t>
  </si>
  <si>
    <t>Entry</t>
  </si>
  <si>
    <t>vol 30D</t>
  </si>
  <si>
    <t>EFA</t>
  </si>
  <si>
    <t>vol 10D</t>
  </si>
  <si>
    <t>X</t>
  </si>
  <si>
    <t>TOTAL</t>
  </si>
  <si>
    <t>"C:\Users\dgroz\OneDrive - Capstone\Documents\CAPSTONE\Gerencial\Apoio\Relatorios de Posicao\2024 09 06 - Relatorio Posicao Equity.xlsx"</t>
  </si>
  <si>
    <t>SPX</t>
  </si>
  <si>
    <t>D1 Exp %</t>
  </si>
  <si>
    <t>D1 P&amp;L bps</t>
  </si>
  <si>
    <t>Option Exp %</t>
  </si>
  <si>
    <t>Options P&amp;L bps</t>
  </si>
  <si>
    <t>Exp %</t>
  </si>
  <si>
    <t>P&amp;L bps</t>
  </si>
  <si>
    <t>Returns %</t>
  </si>
  <si>
    <t>Alpha %</t>
  </si>
  <si>
    <t>Alpha Cont bps</t>
  </si>
  <si>
    <t>Beta Cont bps</t>
  </si>
  <si>
    <t>Beta Adj Exp %</t>
  </si>
  <si>
    <t>AuM USD (beg day)</t>
  </si>
  <si>
    <t>CapsOne</t>
  </si>
  <si>
    <t>Zenith</t>
  </si>
  <si>
    <t>Total</t>
  </si>
  <si>
    <t>Ano</t>
  </si>
  <si>
    <t xml:space="preserve">Mês </t>
  </si>
  <si>
    <t>Dia</t>
  </si>
  <si>
    <t>Ticker</t>
  </si>
  <si>
    <t>Product</t>
  </si>
  <si>
    <t>Crncy</t>
  </si>
  <si>
    <t>Long / Short</t>
  </si>
  <si>
    <t xml:space="preserve">Qtdd </t>
  </si>
  <si>
    <t>Price Today</t>
  </si>
  <si>
    <t>Price Yest</t>
  </si>
  <si>
    <t>FX</t>
  </si>
  <si>
    <t>Mult</t>
  </si>
  <si>
    <t>D1 Exp USD</t>
  </si>
  <si>
    <t>Options Exp USD (delta adj)</t>
  </si>
  <si>
    <t>xx</t>
  </si>
  <si>
    <t>Ticker2</t>
  </si>
  <si>
    <t>xx2</t>
  </si>
  <si>
    <t>Expo Beta Adj</t>
  </si>
  <si>
    <t>Beta Adj</t>
  </si>
  <si>
    <t>VALUE</t>
  </si>
  <si>
    <t>Report Date2</t>
  </si>
  <si>
    <t>Column3</t>
  </si>
  <si>
    <t>Column4</t>
  </si>
  <si>
    <t>PnL Cash</t>
  </si>
  <si>
    <t>USD</t>
  </si>
  <si>
    <t>HCTK5</t>
  </si>
  <si>
    <t>4EJ5P 4700</t>
  </si>
  <si>
    <t>1,0X</t>
  </si>
  <si>
    <t>Option Ticker</t>
  </si>
  <si>
    <t>Call / Put</t>
  </si>
  <si>
    <t>Underlying</t>
  </si>
  <si>
    <t>Expiry</t>
  </si>
  <si>
    <t>Days to Expiry</t>
  </si>
  <si>
    <t>Currency</t>
  </si>
  <si>
    <t>Qtt</t>
  </si>
  <si>
    <t>Price BTG</t>
  </si>
  <si>
    <t>Price Yest Close</t>
  </si>
  <si>
    <t>Last Price</t>
  </si>
  <si>
    <t>% of spot</t>
  </si>
  <si>
    <t>Bid</t>
  </si>
  <si>
    <t>Ask</t>
  </si>
  <si>
    <t>Bid / Ask Spread</t>
  </si>
  <si>
    <t>Prem Exp USD</t>
  </si>
  <si>
    <t>Prem bps</t>
  </si>
  <si>
    <t>Ex-Intrins bps</t>
  </si>
  <si>
    <t>Intrins Value</t>
  </si>
  <si>
    <t>Prem minus Intrins</t>
  </si>
  <si>
    <t>Under-lying Price</t>
  </si>
  <si>
    <t>Strike</t>
  </si>
  <si>
    <t>% OTM</t>
  </si>
  <si>
    <t>Delta</t>
  </si>
  <si>
    <t>Exp % (delta adj)</t>
  </si>
  <si>
    <t>Exp USD (delta adj)</t>
  </si>
  <si>
    <t>Theta</t>
  </si>
  <si>
    <t>Theta USD</t>
  </si>
  <si>
    <t>Theta bps</t>
  </si>
  <si>
    <t>P&amp;L USD</t>
  </si>
  <si>
    <t>Next Earnings</t>
  </si>
  <si>
    <t>Delta 1</t>
  </si>
  <si>
    <t>Notional</t>
  </si>
  <si>
    <t>Gamma</t>
  </si>
  <si>
    <t>LAST PRICE value</t>
  </si>
  <si>
    <t>BRL VALUE</t>
  </si>
  <si>
    <t>P&amp;L BRL</t>
  </si>
  <si>
    <t>INTC US 12/19/25 P10</t>
  </si>
  <si>
    <t>COIN US 06/20/25 C210</t>
  </si>
  <si>
    <t>COIN US 06/20/25 C240</t>
  </si>
  <si>
    <t>GDX US 06/20/25 C52</t>
  </si>
  <si>
    <t>GDX US 06/20/25 C56</t>
  </si>
  <si>
    <t>GDX US 06/20/25 C50</t>
  </si>
  <si>
    <t>GDX US 06/20/25 C55</t>
  </si>
  <si>
    <t>GDX US 07/18/25 C50</t>
  </si>
  <si>
    <t>GDX US 07/18/25 C55</t>
  </si>
  <si>
    <t>Prem Exp bps</t>
  </si>
  <si>
    <t>Last PX</t>
  </si>
  <si>
    <t>Theta % of Spot</t>
  </si>
  <si>
    <t>CALL near</t>
  </si>
  <si>
    <t>Buy</t>
  </si>
  <si>
    <t>Sell</t>
  </si>
  <si>
    <t>Far/near</t>
  </si>
  <si>
    <t>Prem</t>
  </si>
  <si>
    <t>Interval</t>
  </si>
  <si>
    <t>Delta adj</t>
  </si>
  <si>
    <t>Payoff</t>
  </si>
  <si>
    <t>Put Spread - Buy to Open</t>
  </si>
  <si>
    <t>PUT near</t>
  </si>
  <si>
    <t>RSP US 03/21/25 P175 -&gt; Sell to close 500x</t>
  </si>
  <si>
    <t>RSP US 04/17/25 P170 -&gt; Buy to open 750x</t>
  </si>
  <si>
    <t>3EQ5P    5000</t>
  </si>
  <si>
    <t>NVDA US 12/20/24 C130 - Sell to open 1000x</t>
  </si>
  <si>
    <t>NVDA US 12/20/24 C120 -&gt; Sell to open 2000x</t>
  </si>
  <si>
    <t>NVDA US 12/20/24 C105 -&gt; Buy to open 2000x</t>
  </si>
  <si>
    <t>META US 05/02/25 C540</t>
  </si>
  <si>
    <t>META US 05/02/25 C580</t>
  </si>
  <si>
    <t>META US 06/20/25 C560</t>
  </si>
  <si>
    <t>META US 06/20/25 C610</t>
  </si>
  <si>
    <t>EQTY.IntlUS.off</t>
  </si>
  <si>
    <t>EQTY.InternacionalUS2.off</t>
  </si>
  <si>
    <t>Ticker (Daniel)</t>
  </si>
  <si>
    <t>Carteira (Daniel)</t>
  </si>
  <si>
    <t>Amount (APM)</t>
  </si>
  <si>
    <t>Dif (APM)</t>
  </si>
  <si>
    <t>Amount (Daniel)</t>
  </si>
  <si>
    <t>Amount (Saraiva)</t>
  </si>
  <si>
    <t>Dif (Books)</t>
  </si>
  <si>
    <t>Total FUNDO</t>
  </si>
  <si>
    <t>Ticker (APM)</t>
  </si>
  <si>
    <t>Amount</t>
  </si>
  <si>
    <t>Dif</t>
  </si>
  <si>
    <t>Cash CAD</t>
  </si>
  <si>
    <t>Cash CHF</t>
  </si>
  <si>
    <t>Cash CNH</t>
  </si>
  <si>
    <t>Cash EUR</t>
  </si>
  <si>
    <t>Cash GBP</t>
  </si>
  <si>
    <t>Cash HKD</t>
  </si>
  <si>
    <t>Cash KRW</t>
  </si>
  <si>
    <t>Cash USD</t>
  </si>
  <si>
    <t>GOOGL</t>
  </si>
  <si>
    <t>GSC1000P 03/20/26 C79.50</t>
  </si>
  <si>
    <t>NTGR</t>
  </si>
  <si>
    <t>Provision ETF USD_</t>
  </si>
  <si>
    <t>Provision US Equity USD_</t>
  </si>
  <si>
    <t>S&amp;P500 E-mini Options Expiration USD_</t>
  </si>
  <si>
    <t>SPY US 05/30/25 P505</t>
  </si>
  <si>
    <t>SPY US 05/30/25 P545</t>
  </si>
  <si>
    <t/>
  </si>
  <si>
    <t>Product Class</t>
  </si>
  <si>
    <t>Book</t>
  </si>
  <si>
    <t>YestAmount</t>
  </si>
  <si>
    <t>3EQ5P 5000</t>
  </si>
  <si>
    <t>US Equity</t>
  </si>
  <si>
    <t>Provisions and Costs</t>
  </si>
  <si>
    <t>US Equity Options</t>
  </si>
  <si>
    <t>ETF</t>
  </si>
  <si>
    <t>Cash</t>
  </si>
  <si>
    <t>ESM5</t>
  </si>
  <si>
    <t>ETF Options</t>
  </si>
  <si>
    <t>Basket Index Options</t>
  </si>
  <si>
    <t>META US</t>
  </si>
  <si>
    <t>ADR Options</t>
  </si>
  <si>
    <t>2EK5P 5000</t>
  </si>
  <si>
    <t>2EK5P 5100</t>
  </si>
  <si>
    <t>2EK5P 5150</t>
  </si>
  <si>
    <t>2EK5P 5250</t>
  </si>
  <si>
    <t>2EK5P 5400</t>
  </si>
  <si>
    <t>COIN US 05/02/25 C205</t>
  </si>
  <si>
    <t>COIN US 05/02/25 C225</t>
  </si>
  <si>
    <t>HCTJ5</t>
  </si>
  <si>
    <t>Provision ETF Options USD_</t>
  </si>
  <si>
    <t>Provision US Equity Options USD_</t>
  </si>
  <si>
    <t>QQQ DIVIDEND_</t>
  </si>
  <si>
    <t>Data</t>
  </si>
  <si>
    <t>Ajuste</t>
  </si>
  <si>
    <t>D+1 adjust</t>
  </si>
  <si>
    <t>Dia Referencia</t>
  </si>
  <si>
    <t>.</t>
  </si>
  <si>
    <t>De (Lote)</t>
  </si>
  <si>
    <t>Para (Ticker Daniel)</t>
  </si>
  <si>
    <t>Input_One</t>
  </si>
  <si>
    <t>NOW</t>
  </si>
  <si>
    <t>Input_Zenith</t>
  </si>
  <si>
    <t>SWAP GSTMTAIS 22JAN2025 19JAN2026 118.3726</t>
  </si>
  <si>
    <t>GSTMTAIS</t>
  </si>
  <si>
    <t>SWAP GSTMTAIS 24JAN2025 22JAN2026 123.562</t>
  </si>
  <si>
    <t>SWAP GSTMTAIS 31JAN2025 29JAN2026 125.2757</t>
  </si>
  <si>
    <t>RDDT</t>
  </si>
  <si>
    <t>SWAP 3661 TT 23JAN2025 22JAN2026 89.8239</t>
  </si>
  <si>
    <t>3661 TT</t>
  </si>
  <si>
    <t>STX</t>
  </si>
  <si>
    <t>ESH5</t>
  </si>
  <si>
    <t>VGH5</t>
  </si>
  <si>
    <t>VGA</t>
  </si>
  <si>
    <t>SWAP UXAH5 02DEC2024 31MAR2025 79.25</t>
  </si>
  <si>
    <t>UXAH5</t>
  </si>
  <si>
    <t>SWAP UXAH5 02DEC2024 31MAR2025 79.75</t>
  </si>
  <si>
    <t>U-U CN</t>
  </si>
  <si>
    <t>YCA LN</t>
  </si>
  <si>
    <t>SWAP 3661 TT 11FEB2025 11FEB2026 103.8209</t>
  </si>
  <si>
    <t>SWAP GSENEPOW 10FEB2025 09FEB2026 157.212</t>
  </si>
  <si>
    <t>SWAP GSENEPOW 11FEB2025 09FEB2026 158.5867</t>
  </si>
  <si>
    <t>GSXECEAS</t>
  </si>
  <si>
    <t>SWAP MSAPCACC 26FEB2025 24FEB2026 1185.2033</t>
  </si>
  <si>
    <t>MSAPCACC</t>
  </si>
  <si>
    <t>SWAP MSAPCATE 26FEB2025 24FEB2026 96.1324</t>
  </si>
  <si>
    <t>MSAPCATE</t>
  </si>
  <si>
    <t>SWAP MSAPCACC 27FEB2025 25FEB2026 1148.4593</t>
  </si>
  <si>
    <t>SWAP MSAPCATE 27FEB2025 25FEB2026 94.5188</t>
  </si>
  <si>
    <t>SWAP GSCBDEDC 11MAR2025 10MAR2026 110.3534</t>
  </si>
  <si>
    <t>SWAP GSXACHAI 10MAR2025 10MAR2026 136.8834</t>
  </si>
  <si>
    <t>GSXACHAI</t>
  </si>
  <si>
    <t>SWAP GSXECEAS 10MAR2025 10MAR2026 109.8798</t>
  </si>
  <si>
    <t>SWAP GSXEGFSC 11MAR2025 10MAR2026 107.5275</t>
  </si>
  <si>
    <t>GSXEGFSC</t>
  </si>
  <si>
    <t>SWAP GSXEGFSC 12MAR2025 10MAR2026 105.048</t>
  </si>
  <si>
    <t>SWAP GSXEGFSC 18MAR2025 17MAR2026 108.596</t>
  </si>
  <si>
    <t>SWAP GSXEGFSC 18MAR2025 17MAR2026 108.8994</t>
  </si>
  <si>
    <t>4EJ5P 5200</t>
  </si>
  <si>
    <t>4EJ5P    5200</t>
  </si>
  <si>
    <t>4EJ5P 5000</t>
  </si>
  <si>
    <t>4EJ5P    5000</t>
  </si>
  <si>
    <t>4EJ5P    4700</t>
  </si>
  <si>
    <t>4EJ5P 5100</t>
  </si>
  <si>
    <t>4EJ5P    5100</t>
  </si>
  <si>
    <t>BPS</t>
  </si>
  <si>
    <t>AMZN</t>
  </si>
  <si>
    <t>ACN</t>
  </si>
  <si>
    <t>XRT</t>
  </si>
  <si>
    <t>US</t>
  </si>
  <si>
    <t>BZ</t>
  </si>
  <si>
    <t>CHINA CDS</t>
  </si>
  <si>
    <t>CNH CS AGO 7,33/7,47</t>
  </si>
  <si>
    <t>CNH CS DEZ 7,35/7,50</t>
  </si>
  <si>
    <t>Itraxx</t>
  </si>
  <si>
    <t>DB</t>
  </si>
  <si>
    <t>Soc Gen</t>
  </si>
  <si>
    <t>Barclays</t>
  </si>
  <si>
    <t>Points</t>
  </si>
  <si>
    <t>DV01</t>
  </si>
  <si>
    <t>Size</t>
  </si>
  <si>
    <t>BOOK</t>
  </si>
  <si>
    <t>AMD</t>
  </si>
  <si>
    <t>ASML</t>
  </si>
  <si>
    <t>BABA</t>
  </si>
  <si>
    <t>Global Bonds</t>
  </si>
  <si>
    <t>CDS</t>
  </si>
  <si>
    <t>COPX</t>
  </si>
  <si>
    <t>DELL</t>
  </si>
  <si>
    <t>EWT</t>
  </si>
  <si>
    <t>MELI</t>
  </si>
  <si>
    <t>MU</t>
  </si>
  <si>
    <t>Total Return Swap</t>
  </si>
  <si>
    <t>INTC</t>
  </si>
  <si>
    <t>ValDate</t>
  </si>
  <si>
    <t>ProductClass</t>
  </si>
  <si>
    <t>Provision NYSE USD_</t>
  </si>
  <si>
    <t>EQTY.IntlUS.on</t>
  </si>
  <si>
    <t>Synthetic Exposure Transfer Products</t>
  </si>
  <si>
    <t>Exposure Transfer USD_</t>
  </si>
  <si>
    <t>Ativo</t>
  </si>
  <si>
    <t>Diff</t>
  </si>
  <si>
    <t>P&amp;L VALUE</t>
  </si>
  <si>
    <t>SWAP GSTMTAIS 15MAY2025 15MAY2026 128.4708</t>
  </si>
  <si>
    <t>CGSPRSPX</t>
  </si>
  <si>
    <t>Oil</t>
  </si>
  <si>
    <t>BP</t>
  </si>
  <si>
    <t>SHEL</t>
  </si>
  <si>
    <t>TTE</t>
  </si>
  <si>
    <t>COF</t>
  </si>
  <si>
    <t>Risco</t>
  </si>
  <si>
    <t>Carteira</t>
  </si>
  <si>
    <t>AUM</t>
  </si>
  <si>
    <t>XHB</t>
  </si>
  <si>
    <t>TEVA</t>
  </si>
  <si>
    <t>TEVA US 07/18/25 C17</t>
  </si>
  <si>
    <t>TEVA US 07/18/25 C19</t>
  </si>
  <si>
    <t>ITB</t>
  </si>
  <si>
    <t>UBER US 07/18/25 C95</t>
  </si>
  <si>
    <t>UBER US 07/18/25 C105</t>
  </si>
  <si>
    <t>Carteira  2</t>
  </si>
  <si>
    <t>GLD</t>
  </si>
  <si>
    <t>BETA vs SPY</t>
  </si>
  <si>
    <t>Vol 10d</t>
  </si>
  <si>
    <t>VLOOKUP(B4;Precificação!$B:$O;14;FALSE)</t>
  </si>
  <si>
    <t>UBER US 07/18/25 C90</t>
  </si>
  <si>
    <t>UBER US 07/18/25 C100</t>
  </si>
  <si>
    <t>Beta Adj2</t>
  </si>
  <si>
    <t>IF(F1="Short"; "Pls sell " &amp; X1 &amp; " " &amp; ROUND(W1; 0) &amp; " shs"; IF(F1="Long"; "Pls buy " &amp; X1 &amp; " " &amp; ROUND(W1; 0) &amp; " shs"; ""))</t>
  </si>
  <si>
    <t>Daily P&amp;L</t>
  </si>
  <si>
    <t>TEVA US 07/18/25 C18</t>
  </si>
  <si>
    <t>TEVA US 07/18/25 C20</t>
  </si>
  <si>
    <t>MSFT US 07/18/25 P455</t>
  </si>
  <si>
    <t>Qtt Shs</t>
  </si>
  <si>
    <t>GDX US 09/19/25 C54</t>
  </si>
  <si>
    <t>GDX US 09/19/25 C59</t>
  </si>
  <si>
    <t>SMH US 07/18/25 P240</t>
  </si>
  <si>
    <t>SMH US 07/18/25 P225</t>
  </si>
  <si>
    <t>NVDA US 07/18/25 P135</t>
  </si>
  <si>
    <t>NVDA US 07/18/25 P125</t>
  </si>
  <si>
    <t>GLD US 09/19/25 C315</t>
  </si>
  <si>
    <t>GLD US 09/19/25 C335</t>
  </si>
  <si>
    <t>MA US 07/18/25 P550</t>
  </si>
  <si>
    <t>ESM5P    5950</t>
  </si>
  <si>
    <t>META US 07/18/25 P645</t>
  </si>
  <si>
    <t>META US 07/18/25 C750</t>
  </si>
  <si>
    <t>NVDA US 07/18/25 P140</t>
  </si>
  <si>
    <t>NVDA US 07/18/25 P130</t>
  </si>
  <si>
    <t>NVDA US 07/18/25 C160</t>
  </si>
  <si>
    <t>MSFT US 07/18/25 C495</t>
  </si>
  <si>
    <t>SOXX US 07/18/25 C240</t>
  </si>
  <si>
    <t>SOXX US 07/18/25 P215</t>
  </si>
  <si>
    <t>SOXX US 07/18/25 P200</t>
  </si>
  <si>
    <t>ESM5P 5950</t>
  </si>
  <si>
    <t>SWAP CGCPRSPX 06JUN2025 05NOV2025 97.2738</t>
  </si>
  <si>
    <t>XLF US 07/18/25 P50</t>
  </si>
  <si>
    <t>XLF US 07/18/25 P48</t>
  </si>
  <si>
    <t>4EM5P    5800</t>
  </si>
  <si>
    <t>4EM5C    6300</t>
  </si>
  <si>
    <t>TSM US 10/17/25 C210</t>
  </si>
  <si>
    <t>TSM US 10/17/25 C230</t>
  </si>
  <si>
    <t>4EM5P    6025</t>
  </si>
  <si>
    <t>SPY US 07/18/25 P595</t>
  </si>
  <si>
    <t>SPY US 07/18/25 P580</t>
  </si>
  <si>
    <t>SPY US 07/18/25 C625</t>
  </si>
  <si>
    <t>NVDA US 07/18/25 C155</t>
  </si>
  <si>
    <t>HOOD</t>
  </si>
  <si>
    <t>AAPL US 07/18/25 C215</t>
  </si>
  <si>
    <t>HCTA</t>
  </si>
  <si>
    <t>CPNG</t>
  </si>
  <si>
    <t>KMU5</t>
  </si>
  <si>
    <t>MSFT US 07/18/25 P465</t>
  </si>
  <si>
    <t>MSFT US 07/18/25 P445</t>
  </si>
  <si>
    <t>META US 07/18/25 P685</t>
  </si>
  <si>
    <t>META US 07/18/25 P655</t>
  </si>
  <si>
    <t>O QUE IMPORTA</t>
  </si>
  <si>
    <t>2EM5P    6000</t>
  </si>
  <si>
    <t>2EM5P    5900</t>
  </si>
  <si>
    <t>MU US 07/18/25 C135</t>
  </si>
  <si>
    <t>WDAY</t>
  </si>
  <si>
    <t>EWY</t>
  </si>
  <si>
    <t>2EM5P 5900</t>
  </si>
  <si>
    <t>2EM5P 6000</t>
  </si>
  <si>
    <t>NVDA DIVIDEND_</t>
  </si>
  <si>
    <t>SWAP KMU5 12JUN2025 11SEP2025 0.2845</t>
  </si>
  <si>
    <t>TSM DIVIDEND_</t>
  </si>
  <si>
    <t>3EM5P    6000</t>
  </si>
  <si>
    <t>000660 KS</t>
  </si>
  <si>
    <t>2330 TT</t>
  </si>
  <si>
    <t>GLD US 07/18/25 C315</t>
  </si>
  <si>
    <t>3EM5P 6000</t>
  </si>
  <si>
    <t>SWAP 00066=N5 KS 17JUN2025 10JUL2025 173.764667182441</t>
  </si>
  <si>
    <t>SWAP 2330 TT 17JUN2025 20APR2026 1.00421617588799</t>
  </si>
  <si>
    <t>SWAP 2330 TT 17JUN2025 20APR2026 1.1715745111261</t>
  </si>
  <si>
    <t>SWAP KMU5 17JUN2025 11SEP2025 0.284364300696736</t>
  </si>
  <si>
    <t>MA US 07/18/25 C580</t>
  </si>
  <si>
    <t>x</t>
  </si>
  <si>
    <t>QQQ US 07/11/25 C550</t>
  </si>
  <si>
    <t>CHINAGOV 06/20/30</t>
  </si>
  <si>
    <t>GLD US 07/18/25 C325</t>
  </si>
  <si>
    <t>ADBE</t>
  </si>
  <si>
    <t>CRM DIVIDEND_</t>
  </si>
  <si>
    <t>SWAP KMU5 18JUN2025 11SEP2025 0.295603790277753</t>
  </si>
  <si>
    <t>TTE DIVIDEND_</t>
  </si>
  <si>
    <t>QQQ US 07/18/25 P525</t>
  </si>
  <si>
    <t>QQQ US 07/18/25 P515</t>
  </si>
  <si>
    <t>Ivol</t>
  </si>
  <si>
    <t>Vol 10D</t>
  </si>
  <si>
    <t>Ivol/Vol</t>
  </si>
  <si>
    <t>V US 07/11/25 P335</t>
  </si>
  <si>
    <t>V US 07/11/25 P325</t>
  </si>
  <si>
    <t>V US 07/11/25 C350</t>
  </si>
  <si>
    <t>EWT US 09/19/25 P50</t>
  </si>
  <si>
    <t>EWT US 09/19/25 C58</t>
  </si>
  <si>
    <t>EWT US 09/19/25 P55</t>
  </si>
  <si>
    <t>QQQ US 07/03/25 P525</t>
  </si>
  <si>
    <t>QQQ US 07/03/25 P520</t>
  </si>
  <si>
    <t>MSFT US 08/15/25 P480</t>
  </si>
  <si>
    <t>MSFT US 08/15/25 P460</t>
  </si>
  <si>
    <t>MSFT US 08/15/25 C515</t>
  </si>
  <si>
    <t>XLF US 07/18/25 P49</t>
  </si>
  <si>
    <t>XLF US 07/18/25 P51.5</t>
  </si>
  <si>
    <t>MU US 07/18/25 C130</t>
  </si>
  <si>
    <t>MU US 07/18/25 C140</t>
  </si>
  <si>
    <t>XLF US 07/18/25 C53.5</t>
  </si>
  <si>
    <t>KKR US 07/18/25 C130</t>
  </si>
  <si>
    <t>KKR</t>
  </si>
  <si>
    <t>Column5</t>
  </si>
  <si>
    <t>HOOD US 07/18/25 C90</t>
  </si>
  <si>
    <t>HOOD US 07/18/25 C100</t>
  </si>
  <si>
    <t>PINS US 07/18/25 C36</t>
  </si>
  <si>
    <t>MSFT US 08/15/25 C520</t>
  </si>
  <si>
    <t>MSFT US 08/15/25 P490</t>
  </si>
  <si>
    <t>MSFT US 08/15/25 P470</t>
  </si>
  <si>
    <t>MA US 07/18/25 P520</t>
  </si>
  <si>
    <t>XLF US 07/11/25 P51</t>
  </si>
  <si>
    <t>XLF US 07/18/25 C53.5 - Sell to open 3750x</t>
  </si>
  <si>
    <t>NVDA US 07/18/25 P150</t>
  </si>
  <si>
    <t>NVDA US 07/18/25 C165</t>
  </si>
  <si>
    <t>SOXX US 07/18/25 P235</t>
  </si>
  <si>
    <t>SOXX US 07/18/25 P220</t>
  </si>
  <si>
    <t>SOXX US 07/18/25 C250</t>
  </si>
  <si>
    <t>QQQ US 07/18/25 C555</t>
  </si>
  <si>
    <t>QQQ US 07/18/25 P530</t>
  </si>
  <si>
    <t>QQQ US 07/18/25 P540</t>
  </si>
  <si>
    <t>MU US 07/03/25 C140</t>
  </si>
  <si>
    <t>MU US 07/03/25 C150</t>
  </si>
  <si>
    <t>EWT US 09/19/25 C60</t>
  </si>
  <si>
    <t>EWT US 09/19/25 P53</t>
  </si>
  <si>
    <t>EWT US 09/19/25 P57</t>
  </si>
  <si>
    <t>COIN US 07/18/25 C360</t>
  </si>
  <si>
    <t>COIN US 07/18/25 C400</t>
  </si>
  <si>
    <t>TSM US 07/18/25 C225</t>
  </si>
  <si>
    <t>TSM US 07/18/25 C240</t>
  </si>
  <si>
    <t>EWY US 07/18/25 C72</t>
  </si>
  <si>
    <t>QQQ US 07/03/25 P546</t>
  </si>
  <si>
    <t>COPX DIVIDEND_</t>
  </si>
  <si>
    <t>MU US 08/15/25 C125</t>
  </si>
  <si>
    <t>MU US 08/15/25 C135</t>
  </si>
  <si>
    <t>CPNG US 09/19/25 C30</t>
  </si>
  <si>
    <t>CPNG US 09/19/25 C33</t>
  </si>
  <si>
    <t>Total Return Swap Payment USD_</t>
  </si>
  <si>
    <t>GEO US 12/19/25 C26</t>
  </si>
  <si>
    <t>CXW US 12/19/25 C22</t>
  </si>
  <si>
    <t>CXW US 12/19/25 C25</t>
  </si>
  <si>
    <t>GEO US 12/19/25 C29</t>
  </si>
  <si>
    <t>Cotações EoD</t>
  </si>
  <si>
    <t>GSXUNPTC</t>
  </si>
  <si>
    <t>SWAP GSXUNPTC 28JUL2025 28JUL2026 182.501</t>
  </si>
  <si>
    <t>BTG Day after</t>
  </si>
  <si>
    <t>Financeiro</t>
  </si>
  <si>
    <t>Bps</t>
  </si>
  <si>
    <t>XLI</t>
  </si>
  <si>
    <t>CRWV</t>
  </si>
  <si>
    <t>SWAP GSXUNPTC 31JUL2025 31JUL2026 173.6652</t>
  </si>
  <si>
    <t xml:space="preserve">MSXXQE7 </t>
  </si>
  <si>
    <t>GSXUDEFS</t>
  </si>
  <si>
    <t>GSXUCYCL</t>
  </si>
  <si>
    <t>402340 KS</t>
  </si>
  <si>
    <t>SWAP 402340 KS 04AUG2025 20APR2026 110.1082</t>
  </si>
  <si>
    <t>SWAP GSXUCYCL 05AUG2025 05AUG2026 130.0642</t>
  </si>
  <si>
    <t>SWAP GSXUDEFS 05AUG2025 05AUG2026 103.5302</t>
  </si>
  <si>
    <t>RTYA</t>
  </si>
  <si>
    <t>HCTQ5</t>
  </si>
  <si>
    <t>RTYU5</t>
  </si>
  <si>
    <t>SWAP 00066=U5 KS 06AUG2025 15SEP2025 184.506452894925</t>
  </si>
  <si>
    <t>SWAP 00066=U5 KS 06AUG2025 15SEP2025 186.230164403145</t>
  </si>
  <si>
    <t>SWAP GSXUCYCL 06AUG2025 06AUG2026 131.6125</t>
  </si>
  <si>
    <t>SWAP GSXUDEFS 06AUG2025 06AUG2026 107.4908</t>
  </si>
  <si>
    <t>SWAP MSXXQE7 04AUG2025 03JUN2026 104.2289</t>
  </si>
  <si>
    <t>SWAP GSXUCYCL 07AUG2025 07AUG2026 130.7612</t>
  </si>
  <si>
    <t>SWAP GSXUDEFS 05AUG2025 05AUG2026 106.5302</t>
  </si>
  <si>
    <t>SWAP GSXUDEFS 07AUG2025 07AUG2026 107.5129</t>
  </si>
  <si>
    <t>SWAP GSXUCYCL 11AUG2025 11AUG2026 130.5074</t>
  </si>
  <si>
    <t>SWAP GSXUDEFS 11AUG2025 11AUG2026 107.7306</t>
  </si>
  <si>
    <t>Trading Basis</t>
  </si>
  <si>
    <t>Sector</t>
  </si>
  <si>
    <t>Diretoria</t>
  </si>
  <si>
    <t>Software</t>
  </si>
  <si>
    <t>Internet</t>
  </si>
  <si>
    <t>Semis</t>
  </si>
  <si>
    <t>4EU5P    6450</t>
  </si>
  <si>
    <t>4EU5P    6250</t>
  </si>
  <si>
    <t>4EU5P 6250</t>
  </si>
  <si>
    <t>4EU5P 6450</t>
  </si>
  <si>
    <t>HCTU5</t>
  </si>
  <si>
    <t>ESu5</t>
  </si>
  <si>
    <t>ORCL</t>
  </si>
  <si>
    <t>Core</t>
  </si>
  <si>
    <t>Tactical</t>
  </si>
  <si>
    <t>Current</t>
  </si>
  <si>
    <t>FM</t>
  </si>
  <si>
    <t>BT</t>
  </si>
  <si>
    <t>SW/oAI</t>
  </si>
  <si>
    <t>Semis/oAI</t>
  </si>
  <si>
    <t>Metal</t>
  </si>
  <si>
    <t>GSC1000P 03/20/26 C104</t>
  </si>
  <si>
    <t>GSC1000P 03/20/26 C119</t>
  </si>
  <si>
    <t>RTYWU5C3 2425</t>
  </si>
  <si>
    <t>RTYWU5C3 2500</t>
  </si>
  <si>
    <t>SW</t>
  </si>
  <si>
    <t>BX</t>
  </si>
  <si>
    <t>AO1/'Master P&amp;L'!$AD$6*10000</t>
  </si>
  <si>
    <t>xxx</t>
  </si>
  <si>
    <t>CRWV/NBIS</t>
  </si>
  <si>
    <t>Inc / (Dec)</t>
  </si>
  <si>
    <t>CHINAGOV 12/20/30</t>
  </si>
  <si>
    <t>China</t>
  </si>
  <si>
    <t>NQA</t>
  </si>
  <si>
    <t>NQZ5</t>
  </si>
  <si>
    <t>FCX</t>
  </si>
  <si>
    <t>SHOP</t>
  </si>
  <si>
    <t>Tech Longs</t>
  </si>
  <si>
    <t>Cod. Capstone</t>
  </si>
  <si>
    <t>Equity Option</t>
  </si>
  <si>
    <t>Underlying Stock</t>
  </si>
  <si>
    <t>Maturity</t>
  </si>
  <si>
    <t>P/C</t>
  </si>
  <si>
    <t>Spot</t>
  </si>
  <si>
    <t>Fut</t>
  </si>
  <si>
    <t>Intrinsic Value</t>
  </si>
  <si>
    <t>PX_BID</t>
  </si>
  <si>
    <t>PX_ASK</t>
  </si>
  <si>
    <t>PX_MID</t>
  </si>
  <si>
    <t>Price - BTG</t>
  </si>
  <si>
    <t>criterio_marcacao</t>
  </si>
  <si>
    <t>Put</t>
  </si>
  <si>
    <t>-</t>
  </si>
  <si>
    <t>calculadora_bgg</t>
  </si>
  <si>
    <t>GSC1000P 03/20/26 C104 Equity</t>
  </si>
  <si>
    <t>GSC1000P Equity</t>
  </si>
  <si>
    <t>Call</t>
  </si>
  <si>
    <t>CNY</t>
  </si>
  <si>
    <t>calculadora_BVAL</t>
  </si>
  <si>
    <t>GSC1000P 03/20/26 C119 Equity</t>
  </si>
  <si>
    <t>mid_negociacao</t>
  </si>
  <si>
    <t>EWZ US Equity</t>
  </si>
  <si>
    <t>MSFT US Equity</t>
  </si>
  <si>
    <t>TSM US Equity</t>
  </si>
  <si>
    <t>MSCS500X 09/15/26 C7487.249</t>
  </si>
  <si>
    <t>MSCS500X 09/15/26 C7487.249 Equity</t>
  </si>
  <si>
    <t>MSCS500X Equity</t>
  </si>
  <si>
    <t>MSCS500X 09/15/26 C8200.3203</t>
  </si>
  <si>
    <t>MSCS500X 09/15/26 C8200.3203 Equity</t>
  </si>
  <si>
    <t>ABEV US 04/17/26 C2.55</t>
  </si>
  <si>
    <t>ABEV US 04/17/26 C2.55 Equity</t>
  </si>
  <si>
    <t>ABEV US Equity</t>
  </si>
  <si>
    <t>ABEV US 04/17/26 P1.95</t>
  </si>
  <si>
    <t>ABEV US 04/17/26 P1.95 Equity</t>
  </si>
  <si>
    <t>ABEV US 04/17/26 P2.25</t>
  </si>
  <si>
    <t>ABEV US 04/17/26 P2.25 Equity</t>
  </si>
  <si>
    <t>QQQ US Equity</t>
  </si>
  <si>
    <t>SMFT3 Equity</t>
  </si>
  <si>
    <t>calculadora_proprietaria</t>
  </si>
  <si>
    <t>ABEV3 Equity</t>
  </si>
  <si>
    <t>1Q</t>
  </si>
  <si>
    <t>2Q</t>
  </si>
  <si>
    <t>3Q</t>
  </si>
  <si>
    <t>4Q</t>
  </si>
  <si>
    <t>1M Imp</t>
  </si>
  <si>
    <t>Vol 30 Realized</t>
  </si>
  <si>
    <t>1M Implied</t>
  </si>
  <si>
    <t>% Move</t>
  </si>
  <si>
    <t>% Realized</t>
  </si>
  <si>
    <t>1W Implied</t>
  </si>
  <si>
    <t>AMZN US 10/31/25 C220</t>
  </si>
  <si>
    <t xml:space="preserve">Call ATM </t>
  </si>
  <si>
    <t>Day</t>
  </si>
  <si>
    <t>Avg decline</t>
  </si>
  <si>
    <t>Ratio</t>
  </si>
  <si>
    <t>GOOGL US 10/31/25 C275 Equity</t>
  </si>
  <si>
    <t>Vol T0</t>
  </si>
  <si>
    <t>Vol T+1</t>
  </si>
  <si>
    <t>META US 10/31/25 C750 Equity</t>
  </si>
  <si>
    <t>MSFT US 10/31/25 C542.5 Equity</t>
  </si>
  <si>
    <t>AAPL US 10/31/25 C270 Equity</t>
  </si>
  <si>
    <t>n/a</t>
  </si>
  <si>
    <t>(A)</t>
  </si>
  <si>
    <t>(B)</t>
  </si>
  <si>
    <t>(A)/(B)</t>
  </si>
  <si>
    <t>ratio</t>
  </si>
  <si>
    <t>desvpad anualizado do dia do earnings</t>
  </si>
  <si>
    <t>desvpad do dia do earnings</t>
  </si>
  <si>
    <t>variancia do dia do earnings</t>
  </si>
  <si>
    <t>varianca no periodo de 21 dias</t>
  </si>
  <si>
    <t>desv pad de 21 dias, depois do earnings</t>
  </si>
  <si>
    <t>desvpad diário, depois do earnings</t>
  </si>
  <si>
    <t>cov ewz, eem</t>
  </si>
  <si>
    <t>desvpad 1 mes a frente, anualizado, depois do earnings</t>
  </si>
  <si>
    <t>correl ewz, eem</t>
  </si>
  <si>
    <t>variancia 22 dias a frente, antes do earnings</t>
  </si>
  <si>
    <t>desvpad ewz/eem justo</t>
  </si>
  <si>
    <t>desvpad 22 dias a frente, antes do earnings</t>
  </si>
  <si>
    <t>desvpad eem</t>
  </si>
  <si>
    <t>desvpad 1 mes a frente, anualizado, 1 dia antes do earnings</t>
  </si>
  <si>
    <t>desvpad ewz</t>
  </si>
  <si>
    <t>meta ultmoi</t>
  </si>
  <si>
    <t>metal penultino</t>
  </si>
  <si>
    <t>meta antepenultino</t>
  </si>
  <si>
    <t>amazon ultimo</t>
  </si>
  <si>
    <t>googl ultimo</t>
  </si>
  <si>
    <t>var</t>
  </si>
  <si>
    <t>desvpad</t>
  </si>
  <si>
    <t>cov itub,xp</t>
  </si>
  <si>
    <t>correl itub xp</t>
  </si>
  <si>
    <t>desvpad itub+xp justo</t>
  </si>
  <si>
    <t>b</t>
  </si>
  <si>
    <t>desvpad xp</t>
  </si>
  <si>
    <t>a</t>
  </si>
  <si>
    <t>desvpad itub</t>
  </si>
  <si>
    <t>var (xa+yb) = x^2 * var(a) + y^2 * var(b) + 2xy*cov(a,b)</t>
  </si>
  <si>
    <t>desvpad brl</t>
  </si>
  <si>
    <t>desvpad ibov</t>
  </si>
  <si>
    <t>correl(a,b)=cov(a,b)/(desvpad(a)*desvpad(b))</t>
  </si>
  <si>
    <t>var (a+b) = var(a) + var(b) + 2*cov(a,b)</t>
  </si>
  <si>
    <t>IBOVE Equity</t>
  </si>
  <si>
    <t>TSM US 06/18/26 C370</t>
  </si>
  <si>
    <t>TSM US 06/18/26 C300</t>
  </si>
  <si>
    <t>TSM US 06/18/26 P210</t>
  </si>
  <si>
    <t>TSM US 06/18/26 P250</t>
  </si>
  <si>
    <t>MSFT US 06/18/26 C585</t>
  </si>
  <si>
    <t>MSFT US 06/18/26 C515</t>
  </si>
  <si>
    <t>MSFT US 06/18/26 P425</t>
  </si>
  <si>
    <t>TSM US 06/18/26 C300 Equity</t>
  </si>
  <si>
    <t>TSM US 06/18/26 C370 Equity</t>
  </si>
  <si>
    <t>TSM US 06/18/26 P250 Equity</t>
  </si>
  <si>
    <t>TSM US 06/18/26 P210 Equity</t>
  </si>
  <si>
    <t>MSFT US 06/18/26 P425 Equity</t>
  </si>
  <si>
    <t>MSFT US 06/18/26 C515 Equity</t>
  </si>
  <si>
    <t>MSFT US 06/18/26 C585 Equity</t>
  </si>
  <si>
    <t>QQQ US 03/20/26 P580</t>
  </si>
  <si>
    <t>QQQ US 03/20/26 P550</t>
  </si>
  <si>
    <t>QQQ US 03/20/26 P550 Equity</t>
  </si>
  <si>
    <t>AMZN US Equity</t>
  </si>
  <si>
    <t>QQQ US 03/20/26 P580 Equity</t>
  </si>
  <si>
    <t>AMZN US 06/18/26 C230</t>
  </si>
  <si>
    <t>AMZN US 06/18/26 C260</t>
  </si>
  <si>
    <t>AMZN US 06/18/26 P200</t>
  </si>
  <si>
    <t>AMZN US 06/18/26 C230 Equity</t>
  </si>
  <si>
    <t>AMZN US 06/18/26 C260 Equity</t>
  </si>
  <si>
    <t>AMZN US 06/18/26 P200 Equity</t>
  </si>
  <si>
    <t>SMFT3 20/02/26 C27.57 OTC</t>
  </si>
  <si>
    <t>SMFT3 20/02/26 P21.57 OTC</t>
  </si>
  <si>
    <t>SMFT3 20/02/26 P24.07 OTC</t>
  </si>
  <si>
    <t>SMFT3 20/02/26 C28.32 OTC</t>
  </si>
  <si>
    <t>SMFT3 20/02/26 P23.82 OTC</t>
  </si>
  <si>
    <t>SMFT3 20/02/26 P26.32 OTC</t>
  </si>
  <si>
    <t>MSFT US 03/20/26 C515</t>
  </si>
  <si>
    <t>MSFT US 03/20/26 C490</t>
  </si>
  <si>
    <t>MSFT US 03/20/26 P465</t>
  </si>
  <si>
    <t>MSFT US 03/20/26 P455</t>
  </si>
  <si>
    <t>MSFT US 03/20/26 C490 Equity</t>
  </si>
  <si>
    <t>MSFT US 03/20/26 C515 Equity</t>
  </si>
  <si>
    <t>MSFT US 03/20/26 P455 Equity</t>
  </si>
  <si>
    <t>MSFT US 03/20/26 P465 Equity</t>
  </si>
  <si>
    <t>ENEV3 20/02/26 P19.00 OTC</t>
  </si>
  <si>
    <t>ENEV3 Equity</t>
  </si>
  <si>
    <t>ENEV3 20/02/26 P20.50 OTC</t>
  </si>
  <si>
    <t>MRVL US 03/20/26 P80</t>
  </si>
  <si>
    <t>MRVL US 03/20/26 P90</t>
  </si>
  <si>
    <t>MRVL US 03/20/26 P80 Equity</t>
  </si>
  <si>
    <t>MRVL US Equity</t>
  </si>
  <si>
    <t>MRVL US 03/20/26 P90 Equity</t>
  </si>
  <si>
    <t>LITE</t>
  </si>
  <si>
    <t>Networking</t>
  </si>
  <si>
    <t>EWZ US 01/16/26 P34</t>
  </si>
  <si>
    <t>EWZ US 01/16/26 P34 Equity</t>
  </si>
  <si>
    <t>META US 04/17/26 C750</t>
  </si>
  <si>
    <t>META US 04/17/26 C690</t>
  </si>
  <si>
    <t>META US 04/17/26 P590</t>
  </si>
  <si>
    <t>META US 04/17/26 C690 Equity</t>
  </si>
  <si>
    <t>META US Equity</t>
  </si>
  <si>
    <t>META US 04/17/26 C750 Equity</t>
  </si>
  <si>
    <t>META US 04/17/26 P590 Equity</t>
  </si>
  <si>
    <t>LITE US 02/20/26 C400</t>
  </si>
  <si>
    <t>LITE US 02/20/26 C450</t>
  </si>
  <si>
    <t>ABEV3 20/02/26 P12.11 OTC</t>
  </si>
  <si>
    <t>ABEV3 20/02/26 P13.36 OTC</t>
  </si>
  <si>
    <t>COHR US 03/20/26 C210</t>
  </si>
  <si>
    <t>COHR US 03/20/26 C250</t>
  </si>
  <si>
    <t>LITE US 02/20/26 C450 Equity</t>
  </si>
  <si>
    <t>LITE US Equity</t>
  </si>
  <si>
    <t>LITE US 02/20/26 C400 Equity</t>
  </si>
  <si>
    <t>COHR US 03/20/26 C210 Equity</t>
  </si>
  <si>
    <t>COHR US Equity</t>
  </si>
  <si>
    <t>COHR US 03/20/26 C250 Equity</t>
  </si>
  <si>
    <t>AXIA3 Equity</t>
  </si>
  <si>
    <t>NFLX US 03/20/26 P92</t>
  </si>
  <si>
    <t>NFLX US 03/20/26 C104</t>
  </si>
  <si>
    <t>NFLX US 03/20/26 P83</t>
  </si>
  <si>
    <t>NFLX US 03/20/26 C104 Equity</t>
  </si>
  <si>
    <t>NFLX US Equity</t>
  </si>
  <si>
    <t>NFLX US 03/20/26 P83 Equity</t>
  </si>
  <si>
    <t>NFLX US 03/20/26 P92 Equity</t>
  </si>
  <si>
    <t>MRVL US 03/20/26 P85</t>
  </si>
  <si>
    <t>MRVL US 03/20/26 P75</t>
  </si>
  <si>
    <t>TSM US 03/20/26 C300</t>
  </si>
  <si>
    <t>TSM US 03/20/26 C330</t>
  </si>
  <si>
    <t>MRVL US 03/20/26 P75 Equity</t>
  </si>
  <si>
    <t>MRVL US 03/20/26 P85 Equity</t>
  </si>
  <si>
    <t>SMAL11 Equity</t>
  </si>
  <si>
    <t>AVGO US 06/18/26 P300</t>
  </si>
  <si>
    <t>AVGO US 06/18/26 C350</t>
  </si>
  <si>
    <t>AVGO US 06/18/26 P270</t>
  </si>
  <si>
    <t>AVGO US 06/18/26 C410</t>
  </si>
  <si>
    <t>META US 04/17/26 P600</t>
  </si>
  <si>
    <t>META US 04/17/26 P570</t>
  </si>
  <si>
    <t>KRW</t>
  </si>
  <si>
    <t>AVGO US 06/18/26 C350 Equity</t>
  </si>
  <si>
    <t>AVGO US Equity</t>
  </si>
  <si>
    <t>AVGO US 06/18/26 C410 Equity</t>
  </si>
  <si>
    <t>AVGO US 06/18/26 P270 Equity</t>
  </si>
  <si>
    <t>AVGO US 06/18/26 P300 Equity</t>
  </si>
  <si>
    <t>META US 04/17/26 P600 Equity</t>
  </si>
  <si>
    <t>TSM US 03/20/26 C330 Equity</t>
  </si>
  <si>
    <t>TSM US 03/20/26 C300 Equity</t>
  </si>
  <si>
    <t>META US 04/17/26 P570 Equity</t>
  </si>
  <si>
    <t>BPAC11 20/02/26 C57.32 OTC</t>
  </si>
  <si>
    <t>BPAC11 Equity</t>
  </si>
  <si>
    <t>BPAC11 20/02/26 P47.82 OTC</t>
  </si>
  <si>
    <t>BPAC11 20/02/26 P51.82 OTC</t>
  </si>
  <si>
    <t>% of Theta bps</t>
  </si>
  <si>
    <t>Theta anlzd</t>
  </si>
  <si>
    <t>Cash CNY</t>
  </si>
  <si>
    <t>SPXW US 12/31/25 C6950</t>
  </si>
  <si>
    <t>AXIA3 20/02/26 P43.00 OTC</t>
  </si>
  <si>
    <t>AXIA3 20/02/26 P48.00 OTC</t>
  </si>
  <si>
    <t>RIOT</t>
  </si>
  <si>
    <t xml:space="preserve">Power </t>
  </si>
  <si>
    <t>Equity Total Return Swap</t>
  </si>
  <si>
    <t>SWAP 000660 KP 26DEC2025 28DEC2026 386.679</t>
  </si>
  <si>
    <t>SUZB3 20/02/26 P50.38 OTC</t>
  </si>
  <si>
    <t>SUZB3 Equity</t>
  </si>
  <si>
    <t>Memory</t>
  </si>
  <si>
    <t>Metals</t>
  </si>
  <si>
    <t xml:space="preserve">GDX </t>
  </si>
  <si>
    <t>PETR4 Equity</t>
  </si>
  <si>
    <t>BIDU</t>
  </si>
  <si>
    <t>ABEV3 20/02/26 P11.42 OTC</t>
  </si>
  <si>
    <t>ABEV3 20/02/26 P12.67 OTC</t>
  </si>
  <si>
    <t>ABEV3 20/02/26 P13.67 OTC</t>
  </si>
  <si>
    <t>LREN3 20/02/26 P12.04 OTC</t>
  </si>
  <si>
    <t>LREN3 Equity</t>
  </si>
  <si>
    <t>LREN3 20/02/26 P13.04 OTC</t>
  </si>
  <si>
    <t>GOOG</t>
  </si>
  <si>
    <t>104</t>
  </si>
  <si>
    <t>119</t>
  </si>
  <si>
    <t>7487.249</t>
  </si>
  <si>
    <t>8200.3203</t>
  </si>
  <si>
    <t>2.55</t>
  </si>
  <si>
    <t>1.95</t>
  </si>
  <si>
    <t>2.25</t>
  </si>
  <si>
    <t>300</t>
  </si>
  <si>
    <t>370</t>
  </si>
  <si>
    <t>250</t>
  </si>
  <si>
    <t>210</t>
  </si>
  <si>
    <t>425</t>
  </si>
  <si>
    <t>515</t>
  </si>
  <si>
    <t>585</t>
  </si>
  <si>
    <t>550</t>
  </si>
  <si>
    <t>580</t>
  </si>
  <si>
    <t>230</t>
  </si>
  <si>
    <t>260</t>
  </si>
  <si>
    <t>200</t>
  </si>
  <si>
    <t>330</t>
  </si>
  <si>
    <t>490</t>
  </si>
  <si>
    <t>455</t>
  </si>
  <si>
    <t>465</t>
  </si>
  <si>
    <t>80</t>
  </si>
  <si>
    <t>90</t>
  </si>
  <si>
    <t>34</t>
  </si>
  <si>
    <t>690</t>
  </si>
  <si>
    <t>750</t>
  </si>
  <si>
    <t>590</t>
  </si>
  <si>
    <t>450</t>
  </si>
  <si>
    <t>400</t>
  </si>
  <si>
    <t>83</t>
  </si>
  <si>
    <t>92</t>
  </si>
  <si>
    <t>75</t>
  </si>
  <si>
    <t>85</t>
  </si>
  <si>
    <t>350</t>
  </si>
  <si>
    <t>410</t>
  </si>
  <si>
    <t>270</t>
  </si>
  <si>
    <t>600</t>
  </si>
  <si>
    <t>570</t>
  </si>
  <si>
    <t>27.57</t>
  </si>
  <si>
    <t>21.57</t>
  </si>
  <si>
    <t>24.07</t>
  </si>
  <si>
    <t>28.32</t>
  </si>
  <si>
    <t>23.82</t>
  </si>
  <si>
    <t>26.32</t>
  </si>
  <si>
    <t>19.00</t>
  </si>
  <si>
    <t>20.50</t>
  </si>
  <si>
    <t>12.11</t>
  </si>
  <si>
    <t>13.36</t>
  </si>
  <si>
    <t>57.32</t>
  </si>
  <si>
    <t>47.82</t>
  </si>
  <si>
    <t>51.82</t>
  </si>
  <si>
    <t>43.00</t>
  </si>
  <si>
    <t>48.00</t>
  </si>
  <si>
    <t>50.38</t>
  </si>
  <si>
    <t>11.42</t>
  </si>
  <si>
    <t>12.67</t>
  </si>
  <si>
    <t>13.67</t>
  </si>
  <si>
    <t>12.04</t>
  </si>
  <si>
    <t>13.04</t>
  </si>
  <si>
    <t>AXIA3 20/02/26 C54.50 OTC</t>
  </si>
  <si>
    <t>54.50</t>
  </si>
  <si>
    <t>AXIA3 20/02/26 P47.00 OTC</t>
  </si>
  <si>
    <t>47.00</t>
  </si>
  <si>
    <t>AXIA3 20/02/26 P50.50 OTC</t>
  </si>
  <si>
    <t>50.50</t>
  </si>
  <si>
    <t>SMFT3 20/03/26 C25.31 OTC</t>
  </si>
  <si>
    <t>25.31</t>
  </si>
  <si>
    <t>SMFT3 20/03/26 P21.31 OTC</t>
  </si>
  <si>
    <t>21.31</t>
  </si>
  <si>
    <t>SMFT3 20/03/26 P23.31 OTC</t>
  </si>
  <si>
    <t>23.31</t>
  </si>
  <si>
    <t>VALE3 20/02/26 C75.90 OTC</t>
  </si>
  <si>
    <t>VALE3 Equity</t>
  </si>
  <si>
    <t>75.90</t>
  </si>
  <si>
    <t>VALE3 20/02/26 C80.90 OTC</t>
  </si>
  <si>
    <t>80.90</t>
  </si>
  <si>
    <t>ASHR US 02/20/26 C35</t>
  </si>
  <si>
    <t>TSM US 06/18/26 C340</t>
  </si>
  <si>
    <t>TSM US 06/18/26 C380</t>
  </si>
  <si>
    <t>TSM US 06/18/26 C340 Equity</t>
  </si>
  <si>
    <t>340</t>
  </si>
  <si>
    <t>TSM US 06/18/26 C380 Equity</t>
  </si>
  <si>
    <t>380</t>
  </si>
  <si>
    <t>ASHR US 02/20/26 C35 Equity</t>
  </si>
  <si>
    <t>ASHR US Equity</t>
  </si>
  <si>
    <t>35</t>
  </si>
  <si>
    <t>ABEV3 20/02/26 C14.92 OTC</t>
  </si>
  <si>
    <t>14.92</t>
  </si>
  <si>
    <t>IBOVE 18/02/26 P161000 OTC</t>
  </si>
  <si>
    <t>161000</t>
  </si>
  <si>
    <t>SMAL11 20/02/26 P108 OTC</t>
  </si>
  <si>
    <t>108</t>
  </si>
  <si>
    <t>SMAL11 20/02/26 P113 OTC</t>
  </si>
  <si>
    <t>113</t>
  </si>
  <si>
    <t>Internet/SW</t>
  </si>
  <si>
    <t>Pairs</t>
  </si>
  <si>
    <t>SMAL11 20/02/26 P114 OTC</t>
  </si>
  <si>
    <t>114</t>
  </si>
  <si>
    <t>VIVA3 20/02/26 C30.14 OTC</t>
  </si>
  <si>
    <t>VIVA3 Equity</t>
  </si>
  <si>
    <t>30.14</t>
  </si>
  <si>
    <t>VIVA3 20/02/26 P25.89 OTC</t>
  </si>
  <si>
    <t>25.89</t>
  </si>
  <si>
    <t>VIVA3 20/02/26 P28.14 OTC</t>
  </si>
  <si>
    <t>28.14</t>
  </si>
  <si>
    <t>GDX US 09/18/26 C105</t>
  </si>
  <si>
    <t>GDX US 09/18/26 C115</t>
  </si>
  <si>
    <t>KHC</t>
  </si>
  <si>
    <t>GDX US 09/18/26 C115 Equity</t>
  </si>
  <si>
    <t>GDX US Equity</t>
  </si>
  <si>
    <t>115</t>
  </si>
  <si>
    <t>GDX US 09/18/26 C105 Equity</t>
  </si>
  <si>
    <t>105</t>
  </si>
  <si>
    <t>IBOVE 18/02/26 P163000 OTC</t>
  </si>
  <si>
    <t>000660 KP</t>
  </si>
  <si>
    <t>SNDK US 02/20/26 C500</t>
  </si>
  <si>
    <t>MRVL US 03/20/26 P70</t>
  </si>
  <si>
    <t>Net ex Metals</t>
  </si>
  <si>
    <t>Net total</t>
  </si>
  <si>
    <t>SNDK US 02/20/26 C500 Equity</t>
  </si>
  <si>
    <t>SNDK US Equity</t>
  </si>
  <si>
    <t>500</t>
  </si>
  <si>
    <t>EWZ US 02/20/26 C35</t>
  </si>
  <si>
    <t>EWZ US 02/20/26 C35 Equity</t>
  </si>
  <si>
    <t>MRVL US 03/20/26 P70 Equity</t>
  </si>
  <si>
    <t>70</t>
  </si>
  <si>
    <t>163000</t>
  </si>
  <si>
    <t>SNDK US 02/20/26 C550</t>
  </si>
  <si>
    <t>LITE US 03/20/26 C420</t>
  </si>
  <si>
    <t>AMZN US 07/17/26 C245</t>
  </si>
  <si>
    <t>META US 07/17/26 C670</t>
  </si>
  <si>
    <t>MSFT US 07/17/26 C465</t>
  </si>
  <si>
    <t>QQQ US 02/06/26 C630</t>
  </si>
  <si>
    <t>META US 02/27/26 C660</t>
  </si>
  <si>
    <t>SNDK US 02/20/26 C550 Equity</t>
  </si>
  <si>
    <t>META US 07/17/26 C670 Equity</t>
  </si>
  <si>
    <t>670</t>
  </si>
  <si>
    <t>AMZN US 07/17/26 C245 Equity</t>
  </si>
  <si>
    <t>245</t>
  </si>
  <si>
    <t>KOSPI2 12/10/26 C1000</t>
  </si>
  <si>
    <t>KOSPI2 12/10/26 C1000 Equity</t>
  </si>
  <si>
    <t>KOSPI2 Equity</t>
  </si>
  <si>
    <t>1000</t>
  </si>
  <si>
    <t>LITE US 03/20/26 C420 Equity</t>
  </si>
  <si>
    <t>420</t>
  </si>
  <si>
    <t>MSFT US 07/17/26 C465 Equity</t>
  </si>
  <si>
    <t>QQQ US 02/06/26 C630 Equity</t>
  </si>
  <si>
    <t>630</t>
  </si>
  <si>
    <t>PETR4 20/02/26 P34.15 OTC</t>
  </si>
  <si>
    <t>34.15</t>
  </si>
  <si>
    <t>PRIO3 20/02/26 P43.25 OTC</t>
  </si>
  <si>
    <t>PRIO3 Equity</t>
  </si>
  <si>
    <t>43.25</t>
  </si>
  <si>
    <t>PRIO3 20/02/26 P46.25 OTC</t>
  </si>
  <si>
    <t>46.25</t>
  </si>
  <si>
    <t>PRIO3 20/03/26 C50.50 OTC</t>
  </si>
  <si>
    <t>PRIO3 20/03/26 P42.50 OTC</t>
  </si>
  <si>
    <t>42.50</t>
  </si>
  <si>
    <t>PRIO3 20/03/26 P46.50 OTC</t>
  </si>
  <si>
    <t>46.50</t>
  </si>
  <si>
    <t>Chg</t>
  </si>
  <si>
    <t>bps</t>
  </si>
  <si>
    <t>KOSPI 200 Index Options - KRX</t>
  </si>
  <si>
    <t>SWAP 000660 KS 26JAN2026 26JAN2027 509.6192</t>
  </si>
  <si>
    <t>INTC US 07/17/26 P40</t>
  </si>
  <si>
    <t>INTC US 07/17/26 C50</t>
  </si>
  <si>
    <t>INTC US 07/17/26 C60</t>
  </si>
  <si>
    <t>MSFT US 07/17/26 C475</t>
  </si>
  <si>
    <t>EWZ US 02/20/26 C37</t>
  </si>
  <si>
    <t>EWZ US 02/20/26 C37 Equity</t>
  </si>
  <si>
    <t>37</t>
  </si>
  <si>
    <t>INTC US 07/17/26 C50 Equity</t>
  </si>
  <si>
    <t>INTC US Equity</t>
  </si>
  <si>
    <t>50</t>
  </si>
  <si>
    <t>INTC US 07/17/26 C60 Equity</t>
  </si>
  <si>
    <t>60</t>
  </si>
  <si>
    <t>INTC US 07/17/26 P40 Equity</t>
  </si>
  <si>
    <t>40</t>
  </si>
  <si>
    <t>MSFT US 07/17/26 C475 Equity</t>
  </si>
  <si>
    <t>475</t>
  </si>
  <si>
    <t>ITUB4 20/02/26 P40.94 OTC</t>
  </si>
  <si>
    <t>ITUB4 Equity</t>
  </si>
  <si>
    <t>40.94</t>
  </si>
  <si>
    <t>ITUB4 20/02/26 P42.88 OTC</t>
  </si>
  <si>
    <t>42.88</t>
  </si>
  <si>
    <t>CSCO</t>
  </si>
  <si>
    <t>YEST</t>
  </si>
  <si>
    <t>TODAY</t>
  </si>
  <si>
    <t>SMAL11 20/02/26 P120 OTC</t>
  </si>
  <si>
    <t>120</t>
  </si>
  <si>
    <t>VALE3 20/02/26 P77.90 OTC</t>
  </si>
  <si>
    <t>77.90</t>
  </si>
  <si>
    <t>VALE3 20/02/26 P82.90 OTC</t>
  </si>
  <si>
    <t>82.90</t>
  </si>
  <si>
    <t>AKAM</t>
  </si>
  <si>
    <t>MSFT US 07/17/26 C500</t>
  </si>
  <si>
    <t>Max Loss bps</t>
  </si>
  <si>
    <t>META 4 ⅞ 11/15/35 Corp</t>
  </si>
  <si>
    <t>Spread</t>
  </si>
  <si>
    <t>Bond</t>
  </si>
  <si>
    <t>Treasury</t>
  </si>
  <si>
    <t>Yield</t>
  </si>
  <si>
    <t>YAS</t>
  </si>
  <si>
    <t>META 4 ¾ 08/15/2034 Corp</t>
  </si>
  <si>
    <t>BB Bid Sprd to Bnch</t>
  </si>
  <si>
    <t>Loss</t>
  </si>
  <si>
    <t>Gain</t>
  </si>
  <si>
    <t>Annual Carry</t>
  </si>
  <si>
    <t>MSFT US 07/17/26 C500 Equity</t>
  </si>
  <si>
    <t>EEM US 04/17/26 C61</t>
  </si>
  <si>
    <t>EEM US 04/17/26 C61 Equity</t>
  </si>
  <si>
    <t>EEM US Equity</t>
  </si>
  <si>
    <t>61</t>
  </si>
  <si>
    <t>EEM US 04/17/26 C65</t>
  </si>
  <si>
    <t>EEM US 04/17/26 C65 Equity</t>
  </si>
  <si>
    <t>65</t>
  </si>
  <si>
    <t>EEM US 02/20/26 C61</t>
  </si>
  <si>
    <t>EEM US 02/20/26 C61 Equity</t>
  </si>
  <si>
    <t>ABEV3 20/02/26 P14.67 OTC</t>
  </si>
  <si>
    <t>14.67</t>
  </si>
  <si>
    <t>GGBR4 20/03/26 P21.31 OTC</t>
  </si>
  <si>
    <t>GGBR4 Equity</t>
  </si>
  <si>
    <t>GGBR4 20/03/26 P22.81 OTC</t>
  </si>
  <si>
    <t>22.81</t>
  </si>
  <si>
    <t>NVDA US 05/15/26 C200</t>
  </si>
  <si>
    <t>NVDA US 02/06/26 C197.5</t>
  </si>
  <si>
    <t>NVDA US 02/13/26 C202.5</t>
  </si>
  <si>
    <t>%OTM</t>
  </si>
  <si>
    <t>%Not</t>
  </si>
  <si>
    <t>%Delta</t>
  </si>
  <si>
    <t>Bps Risk</t>
  </si>
  <si>
    <t>Pre</t>
  </si>
  <si>
    <t>Post</t>
  </si>
  <si>
    <t>DOWN</t>
  </si>
  <si>
    <t>UP</t>
  </si>
  <si>
    <t>Unch</t>
  </si>
  <si>
    <t>bps chg</t>
  </si>
  <si>
    <t>META US 07/17/26 C700</t>
  </si>
  <si>
    <t>P&amp;L</t>
  </si>
  <si>
    <t>META 4.875% 11/15/35</t>
  </si>
  <si>
    <t>Provision Equity Total Return Swap USD_</t>
  </si>
  <si>
    <t>SWAP 300502 CH 30JAN2026 01FEB2027 57.9966</t>
  </si>
  <si>
    <t>TBOND</t>
  </si>
  <si>
    <t>T 4.000% 11/15/35</t>
  </si>
  <si>
    <t>NVDA US 02/06/26 C197.5 Equity</t>
  </si>
  <si>
    <t>NVDA US Equity</t>
  </si>
  <si>
    <t>197.5</t>
  </si>
  <si>
    <t>NVDA US 02/13/26 C202.5 Equity</t>
  </si>
  <si>
    <t>202.5</t>
  </si>
  <si>
    <t>NVDA US 05/15/26 C200 Equity</t>
  </si>
  <si>
    <t>META US 07/17/26 C700 Equity</t>
  </si>
  <si>
    <t>700</t>
  </si>
  <si>
    <t>CPLE3 20/02/26 P12.48 OTC</t>
  </si>
  <si>
    <t>CPLE3 Equity</t>
  </si>
  <si>
    <t>12.48</t>
  </si>
  <si>
    <t>CPLE3 20/02/26 P13.23 OTC</t>
  </si>
  <si>
    <t>13.23</t>
  </si>
  <si>
    <t>MULT3 20/03/26 C34.63 OTC</t>
  </si>
  <si>
    <t>MULT3 Equity</t>
  </si>
  <si>
    <t>34.63</t>
  </si>
  <si>
    <t>RADL3 20/03/26 C27.05 OTC</t>
  </si>
  <si>
    <t>RADL3 Equity</t>
  </si>
  <si>
    <t>27.05</t>
  </si>
  <si>
    <t>RADL3 20/03/26 P22.39 OTC</t>
  </si>
  <si>
    <t>22.39</t>
  </si>
  <si>
    <t>RADL3 20/03/26 P24.84 OTC</t>
  </si>
  <si>
    <t>24.84</t>
  </si>
  <si>
    <t>USIM5 20/02/26 C7.03 OTC</t>
  </si>
  <si>
    <t>USIM5 Equity</t>
  </si>
  <si>
    <t>7.03</t>
  </si>
  <si>
    <t>USIM5 20/02/26 C7.83 OTC</t>
  </si>
  <si>
    <t>7.83</t>
  </si>
  <si>
    <t>005930 KS</t>
  </si>
  <si>
    <t>YSS</t>
  </si>
  <si>
    <t>620</t>
  </si>
  <si>
    <t>META US 07/17/26 C750</t>
  </si>
  <si>
    <t>AAPL US 04/17/26 C260</t>
  </si>
  <si>
    <t>AAPL US 04/17/26 C280</t>
  </si>
  <si>
    <t>Expo QQQ Adj</t>
  </si>
  <si>
    <t>market</t>
  </si>
  <si>
    <t>1OG6P 25000</t>
  </si>
  <si>
    <t>1OH6</t>
  </si>
  <si>
    <t>NASDAQ-100 E-mini Futures - CME</t>
  </si>
  <si>
    <t>NQH6</t>
  </si>
  <si>
    <t>AAPL US 04/17/26 C260 Equity</t>
  </si>
  <si>
    <t>AAPL US Equity</t>
  </si>
  <si>
    <t>AAPL US 04/17/26 C280 Equity</t>
  </si>
  <si>
    <t>280</t>
  </si>
  <si>
    <t>META US 07/17/26 C750 Equity</t>
  </si>
  <si>
    <t>B3SA3 20/02/26 C17.67 OTC</t>
  </si>
  <si>
    <t>B3SA3 Equity</t>
  </si>
  <si>
    <t>17.67</t>
  </si>
  <si>
    <t>MOTV3 20/02/26 C18.01 OTC</t>
  </si>
  <si>
    <t>MOTV3 Equity</t>
  </si>
  <si>
    <t>18.01</t>
  </si>
  <si>
    <t>QQQ US 02/06/26 C634</t>
  </si>
  <si>
    <t>QQQ US 02/06/26 P624</t>
  </si>
  <si>
    <t>1OG6P 25750</t>
  </si>
  <si>
    <t>QQQ US 02/06/26 C640</t>
  </si>
  <si>
    <t>QQQ US 02/06/26 P620</t>
  </si>
  <si>
    <t>QQQ US 02/06/26 P615</t>
  </si>
  <si>
    <t>NASDAQ-100 E-mini Options - CME</t>
  </si>
  <si>
    <t>Provision CME USD_</t>
  </si>
  <si>
    <t>QQQ US 02/06/26 P615 Equity</t>
  </si>
  <si>
    <t>615</t>
  </si>
  <si>
    <t>QQQ US 02/06/26 P620 Equity</t>
  </si>
  <si>
    <t>PRIO3 17/04/26 P45.5 OTC</t>
  </si>
  <si>
    <t>45.5</t>
  </si>
  <si>
    <t>PRIO3 17/04/26 P49.5 OTC</t>
  </si>
  <si>
    <t>49.5</t>
  </si>
  <si>
    <t>2OG6P 25000</t>
  </si>
  <si>
    <t>2OH6</t>
  </si>
  <si>
    <t>WMB</t>
  </si>
  <si>
    <t>Korea</t>
  </si>
  <si>
    <t>Others</t>
  </si>
  <si>
    <t>SNDK</t>
  </si>
  <si>
    <t>AMAT</t>
  </si>
  <si>
    <t>KLAC</t>
  </si>
  <si>
    <t>LRCX</t>
  </si>
  <si>
    <t>MRVL US 03/20/26 P60</t>
  </si>
  <si>
    <t>NFLX US 05/15/26 C90</t>
  </si>
  <si>
    <t>NFLX US 05/15/26 P70</t>
  </si>
  <si>
    <t>NFLX</t>
  </si>
  <si>
    <t>WDC</t>
  </si>
  <si>
    <t>QQQ US 02/03/26 P613</t>
  </si>
  <si>
    <t>QQQ US 02/03/26 P612</t>
  </si>
  <si>
    <t>CTA</t>
  </si>
  <si>
    <t>ST</t>
  </si>
  <si>
    <t>MT</t>
  </si>
  <si>
    <t>LT</t>
  </si>
  <si>
    <t>3110 JT</t>
  </si>
  <si>
    <t>JPY</t>
  </si>
  <si>
    <t>Equity Total Return Swap Payment USD_</t>
  </si>
  <si>
    <t>MRVL US 03/20/26 P60 Equity</t>
  </si>
  <si>
    <t>NFLX US 05/15/26 C90 Equity</t>
  </si>
  <si>
    <t>NFLX US 05/15/26 P70 Equity</t>
  </si>
  <si>
    <t>QQQ US 02/03/26 P612 Equity</t>
  </si>
  <si>
    <t>612</t>
  </si>
  <si>
    <t>QQQ US 02/03/26 P613 Equity</t>
  </si>
  <si>
    <t>613</t>
  </si>
  <si>
    <t>KLBN11 20/03/26 P18.87 OTC</t>
  </si>
  <si>
    <t>KLBN11 Equity</t>
  </si>
  <si>
    <t>18.87</t>
  </si>
  <si>
    <t>VIVA3 20/02/26 C30.64 OTC</t>
  </si>
  <si>
    <t>30.64</t>
  </si>
  <si>
    <t>VIVA3 20/02/26 P26.64 OTC</t>
  </si>
  <si>
    <t>26.64</t>
  </si>
  <si>
    <t>VIVA3 20/02/26 P28.64 OTC</t>
  </si>
  <si>
    <t>28.64</t>
  </si>
  <si>
    <t>SAP</t>
  </si>
  <si>
    <t>1OG6C 26000</t>
  </si>
  <si>
    <t>MELI US 02/20/26 C2150</t>
  </si>
  <si>
    <t>AVGO US 02/06/26 C315</t>
  </si>
  <si>
    <t>AVGO US 02/13/26 C330</t>
  </si>
  <si>
    <t>QQQ US 02/06/26 P600</t>
  </si>
  <si>
    <t>QQQ US 02/06/26 P595</t>
  </si>
  <si>
    <t>QQQ US 02/06/26 P580</t>
  </si>
  <si>
    <t>QQQ US 02/06/26 P585</t>
  </si>
  <si>
    <t>GOOG US 02/06/26 P115</t>
  </si>
  <si>
    <t>GOOG US 02/06/26 P300</t>
  </si>
  <si>
    <t>Security_Type</t>
  </si>
  <si>
    <t>LAST_PRICE</t>
  </si>
  <si>
    <t>PX_YEST_CLOSE</t>
  </si>
  <si>
    <t>CHG_PCT</t>
  </si>
  <si>
    <t>VOLATILITY_10D</t>
  </si>
  <si>
    <t>EQY_BETA</t>
  </si>
  <si>
    <t>EXPECTED_REPORT_DT</t>
  </si>
  <si>
    <t>DVD_EX_DT</t>
  </si>
  <si>
    <t>--- STATIC BELOW ---</t>
  </si>
  <si>
    <t>Equity</t>
  </si>
  <si>
    <t>Curncy</t>
  </si>
  <si>
    <t>--- OPTIONS DATA ---</t>
  </si>
  <si>
    <t>MID</t>
  </si>
  <si>
    <t>BID</t>
  </si>
  <si>
    <t>ASK</t>
  </si>
  <si>
    <t>DELTA</t>
  </si>
  <si>
    <t>THETA</t>
  </si>
  <si>
    <t>GAMMA</t>
  </si>
  <si>
    <t>IVOL</t>
  </si>
  <si>
    <t>STRIKE</t>
  </si>
  <si>
    <t>UNDL_TICKER</t>
  </si>
  <si>
    <t>EXPIRY</t>
  </si>
  <si>
    <t>PUT_CALL</t>
  </si>
  <si>
    <t>Type</t>
  </si>
  <si>
    <t>MULTIPLIER</t>
  </si>
  <si>
    <t>DAYS_EXP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</si>
</sst>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6">
    <numFmt numFmtId="8" formatCode="&quot;R$&quot;\ #,##0.00;[Red]\-&quot;R$&quot;\ #,##0.00"/>
    <numFmt numFmtId="41" formatCode="_-* #,##0_-;\-* #,##0_-;_-* &quot;-&quot;_-;_-@_-"/>
    <numFmt numFmtId="43" formatCode="_-* #,##0.00_-;\-* #,##0.00_-;_-* &quot;-&quot;??_-;_-@_-"/>
    <numFmt numFmtId="164" formatCode="&quot;$&quot;#,##0.00_);\(&quot;$&quot;#,##0.00\)"/>
    <numFmt numFmtId="165" formatCode="_(* #,##0.00_);_(* \(#,##0.00\);_(* &quot;-&quot;??_);_(@_)"/>
    <numFmt numFmtId="166" formatCode="#,##0_ ;[Red]\-#,##0\ "/>
    <numFmt numFmtId="167" formatCode="_-* #,##0.0_-;\-* #,##0.0_-;_-* &quot;-&quot;??_-;_-@_-"/>
    <numFmt numFmtId="168" formatCode="_-* #,##0_-;\-* #,##0_-;_-* &quot;-&quot;??_-;_-@_-"/>
    <numFmt numFmtId="169" formatCode="#,##0.0_ ;[Red]\-#,##0.0\ "/>
    <numFmt numFmtId="170" formatCode="#,##0.00_ ;[Red]\-#,##0.00\ "/>
    <numFmt numFmtId="171" formatCode="#,##0.000_ ;[Red]\-#,##0.000\ "/>
    <numFmt numFmtId="172" formatCode="0.0%"/>
    <numFmt numFmtId="173" formatCode="0.000%"/>
    <numFmt numFmtId="174" formatCode="_(* #,##0.0_);_(* \(#,##0.0\);_(* &quot;-&quot;??_);_(@_)"/>
    <numFmt numFmtId="175" formatCode="0.000"/>
    <numFmt numFmtId="176" formatCode="[$-416]d\-mmm\-yy;@"/>
    <numFmt numFmtId="177" formatCode="[$-409]dd\-mmm\-yy;@"/>
    <numFmt numFmtId="178" formatCode="_(* #,##0_);_(* \(#,##0\);_(* &quot;-&quot;??_);_(@_)"/>
    <numFmt numFmtId="179" formatCode="[$-416]d\-mmm;@"/>
    <numFmt numFmtId="180" formatCode="_-* #,##0.000_-;\-* #,##0.000_-;_-* &quot;-&quot;??_-;_-@_-"/>
    <numFmt numFmtId="181" formatCode="0.0"/>
    <numFmt numFmtId="182" formatCode="0.0000"/>
    <numFmt numFmtId="183" formatCode="0&quot;bp&quot;"/>
    <numFmt numFmtId="184" formatCode="_([$€-2]* #,##0.00_);_([$€-2]* \(#,##0.00\);_([$€-2]* &quot;-&quot;??_)"/>
    <numFmt numFmtId="185" formatCode="0.00_);\(0.00\)"/>
    <numFmt numFmtId="186" formatCode="_([$€-2]* #,##0.0000_);_([$€-2]* \(#,##0.0000\);_([$€-2]* &quot;-&quot;??_)"/>
    <numFmt numFmtId="187" formatCode="0.00\%;\-0.00\%;0.00\%"/>
    <numFmt numFmtId="188" formatCode="0.00\x;\-0.00\x;0.00\x"/>
    <numFmt numFmtId="189" formatCode="##0.00000"/>
    <numFmt numFmtId="190" formatCode="_-&quot;£&quot;* #,##0_-;\-&quot;£&quot;* #,##0_-;_-&quot;£&quot;* &quot;-&quot;_-;_-@_-"/>
    <numFmt numFmtId="191" formatCode="_-&quot;£&quot;* #,##0.00_-;\-&quot;£&quot;* #,##0.00_-;_-&quot;£&quot;* &quot;-&quot;??_-;_-@_-"/>
    <numFmt numFmtId="192" formatCode="#,##0.000"/>
    <numFmt numFmtId="193" formatCode="_-* #,##0.000_-;\-* #,##0.000_-;_-* &quot;-&quot;???_-;_-@_-"/>
    <numFmt numFmtId="194" formatCode="#,##0.0"/>
    <numFmt numFmtId="195" formatCode="d/m/yy;@"/>
    <numFmt numFmtId="196" formatCode="0.0000%"/>
  </numFmts>
  <fonts count="106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u/>
      <sz val="11"/>
      <color rgb="FFFF000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B050"/>
      <name val="Aptos Narrow"/>
      <family val="2"/>
      <scheme val="minor"/>
    </font>
    <font>
      <i/>
      <sz val="10"/>
      <color theme="1"/>
      <name val="Aptos Narrow"/>
      <family val="2"/>
      <scheme val="minor"/>
    </font>
    <font>
      <sz val="10"/>
      <color rgb="FF0000FF"/>
      <name val="Aptos Narrow"/>
      <family val="2"/>
      <scheme val="minor"/>
    </font>
    <font>
      <sz val="10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8"/>
      <color theme="3"/>
      <name val="Aptos Display"/>
      <family val="2"/>
      <scheme val="major"/>
    </font>
    <font>
      <sz val="11"/>
      <color rgb="FF9C6500"/>
      <name val="Aptos Narrow"/>
      <family val="2"/>
      <scheme val="minor"/>
    </font>
    <font>
      <sz val="12"/>
      <name val="Helv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name val="Arial"/>
      <family val="2"/>
    </font>
    <font>
      <b/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0"/>
      <name val="Arial Narrow"/>
      <family val="2"/>
    </font>
    <font>
      <sz val="10"/>
      <color indexed="22"/>
      <name val="MS Sans Serif"/>
      <family val="2"/>
    </font>
    <font>
      <sz val="14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sz val="10"/>
      <color indexed="24"/>
      <name val="Arial"/>
      <family val="2"/>
    </font>
    <font>
      <sz val="8"/>
      <name val="Times New Roman"/>
      <family val="1"/>
    </font>
    <font>
      <sz val="8"/>
      <name val="Courier"/>
      <family val="3"/>
    </font>
    <font>
      <b/>
      <sz val="8"/>
      <name val="Courier"/>
      <family val="3"/>
    </font>
    <font>
      <b/>
      <u/>
      <sz val="10"/>
      <name val="Courier"/>
      <family val="3"/>
    </font>
    <font>
      <u/>
      <sz val="11"/>
      <color theme="10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color indexed="0"/>
      <name val="Arial"/>
      <family val="2"/>
    </font>
    <font>
      <i/>
      <sz val="10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2"/>
      <color indexed="8"/>
      <name val="Frutiger 45 Light"/>
      <family val="2"/>
    </font>
    <font>
      <b/>
      <i/>
      <sz val="12"/>
      <color indexed="8"/>
      <name val="Arial"/>
      <family val="2"/>
    </font>
    <font>
      <sz val="12"/>
      <color indexed="8"/>
      <name val="Frutiger 45 Light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0"/>
      <color indexed="8"/>
      <name val="Frutiger 45 Light"/>
      <family val="2"/>
    </font>
    <font>
      <i/>
      <sz val="12"/>
      <color indexed="8"/>
      <name val="Arial"/>
      <family val="2"/>
    </font>
    <font>
      <sz val="19"/>
      <color indexed="48"/>
      <name val="Frutiger 45 Light"/>
      <family val="2"/>
    </font>
    <font>
      <sz val="12"/>
      <color indexed="14"/>
      <name val="Arial"/>
      <family val="2"/>
    </font>
    <font>
      <sz val="10"/>
      <color indexed="23"/>
      <name val="Arial"/>
      <family val="2"/>
    </font>
    <font>
      <b/>
      <sz val="12"/>
      <name val="MS Sans Serif"/>
      <family val="2"/>
    </font>
    <font>
      <sz val="10"/>
      <name val="Courier"/>
      <family val="3"/>
    </font>
    <font>
      <b/>
      <sz val="8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i/>
      <sz val="11"/>
      <color indexed="23"/>
      <name val="Calibri"/>
      <family val="2"/>
    </font>
    <font>
      <b/>
      <sz val="18"/>
      <color indexed="49"/>
      <name val="Cambria"/>
      <family val="2"/>
    </font>
    <font>
      <b/>
      <sz val="15"/>
      <color indexed="49"/>
      <name val="Calibri"/>
      <family val="2"/>
    </font>
    <font>
      <b/>
      <sz val="13"/>
      <color indexed="49"/>
      <name val="Calibri"/>
      <family val="2"/>
    </font>
    <font>
      <b/>
      <sz val="11"/>
      <color indexed="49"/>
      <name val="Calibri"/>
      <family val="2"/>
    </font>
    <font>
      <sz val="11"/>
      <color indexed="8"/>
      <name val="Aptos Narrow"/>
      <family val="2"/>
      <scheme val="minor"/>
    </font>
    <font>
      <sz val="9"/>
      <color theme="1"/>
      <name val="Calibri"/>
      <family val="2"/>
    </font>
    <font>
      <sz val="14"/>
      <color indexed="16"/>
      <name val="Arial"/>
      <family val="2"/>
    </font>
    <font>
      <b/>
      <sz val="8"/>
      <color indexed="62"/>
      <name val="Arial"/>
      <family val="2"/>
    </font>
    <font>
      <b/>
      <sz val="8"/>
      <color indexed="18"/>
      <name val="Arial"/>
      <family val="2"/>
    </font>
    <font>
      <sz val="11"/>
      <color theme="1"/>
      <name val="Calibri"/>
      <family val="2"/>
    </font>
    <font>
      <sz val="10"/>
      <color theme="1"/>
      <name val="Calibri"/>
      <family val="2"/>
    </font>
    <font>
      <b/>
      <sz val="10"/>
      <color theme="0"/>
      <name val="Calibri"/>
      <family val="2"/>
    </font>
    <font>
      <sz val="11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2"/>
      <color theme="1"/>
      <name val="Aptos Display"/>
      <family val="2"/>
      <scheme val="major"/>
    </font>
    <font>
      <b/>
      <u/>
      <sz val="12"/>
      <color theme="1"/>
      <name val="Aptos Display"/>
      <family val="2"/>
      <scheme val="major"/>
    </font>
    <font>
      <sz val="11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0"/>
      <name val="Calibri"/>
      <family val="2"/>
    </font>
    <font>
      <sz val="11"/>
      <color indexed="17"/>
      <name val="Calibri"/>
      <family val="2"/>
    </font>
    <font>
      <sz val="11"/>
      <color indexed="52"/>
      <name val="Calibri"/>
      <family val="2"/>
    </font>
    <font>
      <sz val="11"/>
      <color indexed="54"/>
      <name val="Calibri"/>
      <family val="2"/>
    </font>
    <font>
      <sz val="10"/>
      <name val="Helv"/>
    </font>
    <font>
      <sz val="10"/>
      <name val="Frutiger 45 Light"/>
    </font>
    <font>
      <sz val="8"/>
      <name val="MS Sans Serif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sz val="11"/>
      <color rgb="FF0000FF"/>
      <name val="Aptos Narrow"/>
      <family val="2"/>
      <scheme val="minor"/>
    </font>
    <font>
      <sz val="11"/>
      <color rgb="FF000000"/>
      <name val="Aptos Narrow"/>
      <family val="2"/>
    </font>
    <font>
      <sz val="12"/>
      <color theme="1"/>
      <name val="Aptos Display"/>
      <scheme val="major"/>
    </font>
    <font>
      <b/>
      <sz val="12"/>
      <color theme="1"/>
      <name val="Aptos Display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FFFFF"/>
      <name val="Aptos Narrow"/>
      <family val="2"/>
      <scheme val="minor"/>
    </font>
  </fonts>
  <fills count="9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49"/>
      </patternFill>
    </fill>
    <fill>
      <patternFill patternType="solid">
        <fgColor rgb="FF4F81BD"/>
        <bgColor indexed="64"/>
      </patternFill>
    </fill>
    <fill>
      <patternFill patternType="lightGray">
        <fgColor indexed="12"/>
      </patternFill>
    </fill>
    <fill>
      <patternFill patternType="solid">
        <fgColor indexed="13"/>
        <bgColor indexed="64"/>
      </patternFill>
    </fill>
    <fill>
      <patternFill patternType="darkGray">
        <fgColor indexed="2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13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E5E79D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97D"/>
        <bgColor rgb="FF000000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70AD47"/>
        <bgColor indexed="64"/>
      </patternFill>
    </fill>
  </fills>
  <borders count="59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5473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8" fillId="15" borderId="0" applyNumberFormat="0" applyBorder="0" applyAlignment="0" applyProtection="0"/>
    <xf numFmtId="0" fontId="19" fillId="16" borderId="0" applyNumberFormat="0" applyBorder="0" applyAlignment="0" applyProtection="0"/>
    <xf numFmtId="0" fontId="20" fillId="17" borderId="0" applyNumberFormat="0" applyBorder="0" applyAlignment="0" applyProtection="0"/>
    <xf numFmtId="0" fontId="21" fillId="18" borderId="23" applyNumberFormat="0" applyAlignment="0" applyProtection="0"/>
    <xf numFmtId="0" fontId="24" fillId="0" borderId="25" applyNumberFormat="0" applyFill="0" applyAlignment="0" applyProtection="0"/>
    <xf numFmtId="0" fontId="9" fillId="20" borderId="26" applyNumberFormat="0" applyAlignment="0" applyProtection="0"/>
    <xf numFmtId="0" fontId="25" fillId="0" borderId="0" applyNumberFormat="0" applyFill="0" applyBorder="0" applyAlignment="0" applyProtection="0"/>
    <xf numFmtId="0" fontId="1" fillId="21" borderId="27" applyNumberFormat="0" applyFont="0" applyAlignment="0" applyProtection="0"/>
    <xf numFmtId="0" fontId="2" fillId="0" borderId="28" applyNumberFormat="0" applyFill="0" applyAlignment="0" applyProtection="0"/>
    <xf numFmtId="37" fontId="30" fillId="0" borderId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31" fillId="46" borderId="0" applyNumberFormat="0" applyBorder="0" applyAlignment="0" applyProtection="0"/>
    <xf numFmtId="0" fontId="31" fillId="47" borderId="0" applyNumberFormat="0" applyBorder="0" applyAlignment="0" applyProtection="0"/>
    <xf numFmtId="0" fontId="31" fillId="48" borderId="0" applyNumberFormat="0" applyBorder="0" applyAlignment="0" applyProtection="0"/>
    <xf numFmtId="0" fontId="31" fillId="46" borderId="0" applyNumberFormat="0" applyBorder="0" applyAlignment="0" applyProtection="0"/>
    <xf numFmtId="0" fontId="31" fillId="48" borderId="0" applyNumberFormat="0" applyBorder="0" applyAlignment="0" applyProtection="0"/>
    <xf numFmtId="0" fontId="31" fillId="47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6" borderId="0" applyNumberFormat="0" applyBorder="0" applyAlignment="0" applyProtection="0"/>
    <xf numFmtId="0" fontId="1" fillId="40" borderId="0" applyNumberFormat="0" applyBorder="0" applyAlignment="0" applyProtection="0"/>
    <xf numFmtId="0" fontId="1" fillId="44" borderId="0" applyNumberFormat="0" applyBorder="0" applyAlignment="0" applyProtection="0"/>
    <xf numFmtId="0" fontId="31" fillId="49" borderId="0" applyNumberFormat="0" applyBorder="0" applyAlignment="0" applyProtection="0"/>
    <xf numFmtId="0" fontId="31" fillId="50" borderId="0" applyNumberFormat="0" applyBorder="0" applyAlignment="0" applyProtection="0"/>
    <xf numFmtId="0" fontId="31" fillId="48" borderId="0" applyNumberFormat="0" applyBorder="0" applyAlignment="0" applyProtection="0"/>
    <xf numFmtId="0" fontId="31" fillId="49" borderId="0" applyNumberFormat="0" applyBorder="0" applyAlignment="0" applyProtection="0"/>
    <xf numFmtId="0" fontId="31" fillId="48" borderId="0" applyNumberFormat="0" applyBorder="0" applyAlignment="0" applyProtection="0"/>
    <xf numFmtId="0" fontId="31" fillId="47" borderId="0" applyNumberFormat="0" applyBorder="0" applyAlignment="0" applyProtection="0"/>
    <xf numFmtId="0" fontId="27" fillId="25" borderId="0" applyNumberFormat="0" applyBorder="0" applyAlignment="0" applyProtection="0"/>
    <xf numFmtId="0" fontId="27" fillId="29" borderId="0" applyNumberFormat="0" applyBorder="0" applyAlignment="0" applyProtection="0"/>
    <xf numFmtId="0" fontId="27" fillId="33" borderId="0" applyNumberFormat="0" applyBorder="0" applyAlignment="0" applyProtection="0"/>
    <xf numFmtId="0" fontId="27" fillId="37" borderId="0" applyNumberFormat="0" applyBorder="0" applyAlignment="0" applyProtection="0"/>
    <xf numFmtId="0" fontId="27" fillId="41" borderId="0" applyNumberFormat="0" applyBorder="0" applyAlignment="0" applyProtection="0"/>
    <xf numFmtId="0" fontId="27" fillId="45" borderId="0" applyNumberFormat="0" applyBorder="0" applyAlignment="0" applyProtection="0"/>
    <xf numFmtId="0" fontId="32" fillId="51" borderId="0" applyNumberFormat="0" applyBorder="0" applyAlignment="0" applyProtection="0"/>
    <xf numFmtId="0" fontId="32" fillId="50" borderId="0" applyNumberFormat="0" applyBorder="0" applyAlignment="0" applyProtection="0"/>
    <xf numFmtId="0" fontId="32" fillId="48" borderId="0" applyNumberFormat="0" applyBorder="0" applyAlignment="0" applyProtection="0"/>
    <xf numFmtId="0" fontId="32" fillId="49" borderId="0" applyNumberFormat="0" applyBorder="0" applyAlignment="0" applyProtection="0"/>
    <xf numFmtId="0" fontId="32" fillId="51" borderId="0" applyNumberFormat="0" applyBorder="0" applyAlignment="0" applyProtection="0"/>
    <xf numFmtId="0" fontId="32" fillId="47" borderId="0" applyNumberFormat="0" applyBorder="0" applyAlignment="0" applyProtection="0"/>
    <xf numFmtId="37" fontId="30" fillId="0" borderId="0"/>
    <xf numFmtId="0" fontId="27" fillId="22" borderId="0" applyNumberFormat="0" applyBorder="0" applyAlignment="0" applyProtection="0"/>
    <xf numFmtId="0" fontId="27" fillId="26" borderId="0" applyNumberFormat="0" applyBorder="0" applyAlignment="0" applyProtection="0"/>
    <xf numFmtId="0" fontId="27" fillId="30" borderId="0" applyNumberFormat="0" applyBorder="0" applyAlignment="0" applyProtection="0"/>
    <xf numFmtId="0" fontId="27" fillId="34" borderId="0" applyNumberFormat="0" applyBorder="0" applyAlignment="0" applyProtection="0"/>
    <xf numFmtId="0" fontId="27" fillId="38" borderId="0" applyNumberFormat="0" applyBorder="0" applyAlignment="0" applyProtection="0"/>
    <xf numFmtId="0" fontId="27" fillId="42" borderId="0" applyNumberFormat="0" applyBorder="0" applyAlignment="0" applyProtection="0"/>
    <xf numFmtId="0" fontId="33" fillId="0" borderId="0"/>
    <xf numFmtId="41" fontId="33" fillId="0" borderId="0" applyFont="0" applyFill="0" applyBorder="0" applyAlignment="0" applyProtection="0"/>
    <xf numFmtId="0" fontId="19" fillId="16" borderId="0" applyNumberFormat="0" applyBorder="0" applyAlignment="0" applyProtection="0"/>
    <xf numFmtId="183" fontId="33" fillId="0" borderId="0" applyFill="0" applyBorder="0" applyAlignment="0" applyProtection="0">
      <alignment horizontal="right"/>
      <protection locked="0"/>
    </xf>
    <xf numFmtId="0" fontId="34" fillId="52" borderId="0"/>
    <xf numFmtId="0" fontId="23" fillId="19" borderId="23" applyNumberFormat="0" applyAlignment="0" applyProtection="0"/>
    <xf numFmtId="0" fontId="35" fillId="46" borderId="29" applyNumberFormat="0" applyAlignment="0" applyProtection="0"/>
    <xf numFmtId="0" fontId="9" fillId="20" borderId="26" applyNumberFormat="0" applyAlignment="0" applyProtection="0"/>
    <xf numFmtId="0" fontId="33" fillId="0" borderId="0">
      <alignment horizontal="center" wrapText="1"/>
      <protection hidden="1"/>
    </xf>
    <xf numFmtId="0" fontId="36" fillId="0" borderId="0" applyNumberFormat="0" applyFill="0" applyBorder="0" applyAlignment="0"/>
    <xf numFmtId="182" fontId="33" fillId="0" borderId="0" applyFont="0" applyFill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3" fontId="37" fillId="0" borderId="0" applyFont="0" applyFill="0" applyBorder="0" applyAlignment="0" applyProtection="0"/>
    <xf numFmtId="0" fontId="38" fillId="53" borderId="0">
      <alignment horizontal="center" vertical="center" wrapText="1"/>
    </xf>
    <xf numFmtId="0" fontId="39" fillId="0" borderId="30" applyNumberFormat="0"/>
    <xf numFmtId="0" fontId="40" fillId="0" borderId="30" applyNumberFormat="0"/>
    <xf numFmtId="1" fontId="37" fillId="0" borderId="0" applyFont="0" applyFill="0" applyBorder="0" applyAlignment="0" applyProtection="0"/>
    <xf numFmtId="2" fontId="41" fillId="54" borderId="16">
      <protection locked="0"/>
    </xf>
    <xf numFmtId="0" fontId="42" fillId="0" borderId="0" applyNumberFormat="0" applyBorder="0" applyAlignment="0">
      <alignment horizontal="center"/>
    </xf>
    <xf numFmtId="0" fontId="42" fillId="55" borderId="0" applyNumberFormat="0" applyBorder="0" applyAlignment="0">
      <alignment horizontal="center"/>
    </xf>
    <xf numFmtId="0" fontId="43" fillId="0" borderId="0" applyFont="0" applyFill="0" applyBorder="0" applyAlignment="0" applyProtection="0"/>
    <xf numFmtId="41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0" fontId="32" fillId="51" borderId="0" applyNumberFormat="0" applyBorder="0" applyAlignment="0" applyProtection="0"/>
    <xf numFmtId="0" fontId="32" fillId="56" borderId="0" applyNumberFormat="0" applyBorder="0" applyAlignment="0" applyProtection="0"/>
    <xf numFmtId="0" fontId="32" fillId="57" borderId="0" applyNumberFormat="0" applyBorder="0" applyAlignment="0" applyProtection="0"/>
    <xf numFmtId="0" fontId="32" fillId="58" borderId="0" applyNumberFormat="0" applyBorder="0" applyAlignment="0" applyProtection="0"/>
    <xf numFmtId="0" fontId="32" fillId="51" borderId="0" applyNumberFormat="0" applyBorder="0" applyAlignment="0" applyProtection="0"/>
    <xf numFmtId="0" fontId="32" fillId="59" borderId="0" applyNumberFormat="0" applyBorder="0" applyAlignment="0" applyProtection="0"/>
    <xf numFmtId="0" fontId="33" fillId="0" borderId="0"/>
    <xf numFmtId="184" fontId="3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2" fontId="43" fillId="0" borderId="0" applyFont="0" applyFill="0" applyBorder="0" applyAlignment="0" applyProtection="0"/>
    <xf numFmtId="0" fontId="44" fillId="0" borderId="0" applyFill="0" applyBorder="0" applyProtection="0">
      <alignment horizontal="left"/>
    </xf>
    <xf numFmtId="0" fontId="18" fillId="15" borderId="0" applyNumberFormat="0" applyBorder="0" applyAlignment="0" applyProtection="0"/>
    <xf numFmtId="0" fontId="45" fillId="0" borderId="0" applyNumberFormat="0">
      <alignment horizontal="right"/>
    </xf>
    <xf numFmtId="0" fontId="46" fillId="0" borderId="0" applyNumberFormat="0">
      <alignment horizontal="right"/>
    </xf>
    <xf numFmtId="0" fontId="46" fillId="0" borderId="0" applyNumberFormat="0">
      <alignment horizontal="left"/>
    </xf>
    <xf numFmtId="0" fontId="45" fillId="0" borderId="0" applyNumberFormat="0">
      <alignment horizontal="left"/>
    </xf>
    <xf numFmtId="0" fontId="47" fillId="0" borderId="0" applyNumberFormat="0">
      <alignment horizontal="left" vertical="top"/>
    </xf>
    <xf numFmtId="0" fontId="15" fillId="0" borderId="20" applyNumberFormat="0" applyFill="0" applyAlignment="0" applyProtection="0"/>
    <xf numFmtId="0" fontId="16" fillId="0" borderId="21" applyNumberFormat="0" applyFill="0" applyAlignment="0" applyProtection="0"/>
    <xf numFmtId="0" fontId="17" fillId="0" borderId="22" applyNumberFormat="0" applyFill="0" applyAlignment="0" applyProtection="0"/>
    <xf numFmtId="0" fontId="17" fillId="0" borderId="0" applyNumberFormat="0" applyFill="0" applyBorder="0" applyAlignment="0" applyProtection="0"/>
    <xf numFmtId="0" fontId="48" fillId="0" borderId="0" applyNumberFormat="0" applyFill="0" applyBorder="0" applyAlignment="0" applyProtection="0">
      <alignment vertical="top"/>
      <protection locked="0"/>
    </xf>
    <xf numFmtId="0" fontId="49" fillId="60" borderId="0" applyNumberFormat="0" applyBorder="0" applyAlignment="0" applyProtection="0"/>
    <xf numFmtId="0" fontId="21" fillId="18" borderId="23" applyNumberFormat="0" applyAlignment="0" applyProtection="0"/>
    <xf numFmtId="185" fontId="33" fillId="0" borderId="0" applyFill="0" applyBorder="0">
      <alignment horizontal="right"/>
      <protection locked="0"/>
    </xf>
    <xf numFmtId="0" fontId="41" fillId="61" borderId="30">
      <alignment horizontal="left" vertical="center" wrapText="1"/>
    </xf>
    <xf numFmtId="0" fontId="24" fillId="0" borderId="25" applyNumberFormat="0" applyFill="0" applyAlignment="0" applyProtection="0"/>
    <xf numFmtId="0" fontId="50" fillId="62" borderId="0" applyNumberFormat="0" applyBorder="0" applyAlignment="0" applyProtection="0"/>
    <xf numFmtId="0" fontId="29" fillId="17" borderId="0" applyNumberFormat="0" applyBorder="0" applyAlignment="0" applyProtection="0"/>
    <xf numFmtId="171" fontId="33" fillId="0" borderId="0"/>
    <xf numFmtId="0" fontId="51" fillId="0" borderId="0"/>
    <xf numFmtId="0" fontId="33" fillId="0" borderId="0"/>
    <xf numFmtId="0" fontId="1" fillId="0" borderId="0"/>
    <xf numFmtId="0" fontId="33" fillId="0" borderId="0"/>
    <xf numFmtId="186" fontId="1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1" fillId="21" borderId="27" applyNumberFormat="0" applyFont="0" applyAlignment="0" applyProtection="0"/>
    <xf numFmtId="0" fontId="52" fillId="0" borderId="19"/>
    <xf numFmtId="0" fontId="53" fillId="0" borderId="0"/>
    <xf numFmtId="0" fontId="22" fillId="19" borderId="24" applyNumberFormat="0" applyAlignment="0" applyProtection="0"/>
    <xf numFmtId="9" fontId="33" fillId="0" borderId="0" applyFont="0" applyFill="0" applyBorder="0" applyAlignment="0" applyProtection="0"/>
    <xf numFmtId="9" fontId="1" fillId="0" borderId="0" applyFont="0" applyFill="0" applyBorder="0" applyAlignment="0" applyProtection="0"/>
    <xf numFmtId="187" fontId="33" fillId="0" borderId="0" applyFill="0" applyBorder="0">
      <alignment horizontal="right"/>
      <protection locked="0"/>
    </xf>
    <xf numFmtId="164" fontId="33" fillId="0" borderId="0" applyFont="0" applyFill="0" applyBorder="0" applyAlignment="0" applyProtection="0"/>
    <xf numFmtId="188" fontId="33" fillId="0" borderId="0">
      <alignment horizontal="right"/>
      <protection locked="0"/>
    </xf>
    <xf numFmtId="1" fontId="41" fillId="54" borderId="0" applyBorder="0">
      <protection locked="0"/>
    </xf>
    <xf numFmtId="1" fontId="41" fillId="54" borderId="13" applyBorder="0">
      <protection locked="0"/>
    </xf>
    <xf numFmtId="181" fontId="41" fillId="54" borderId="13" applyBorder="0">
      <protection locked="0"/>
    </xf>
    <xf numFmtId="0" fontId="54" fillId="46" borderId="31" applyNumberFormat="0" applyAlignment="0" applyProtection="0"/>
    <xf numFmtId="4" fontId="55" fillId="63" borderId="32" applyNumberFormat="0" applyProtection="0">
      <alignment vertical="center"/>
    </xf>
    <xf numFmtId="4" fontId="56" fillId="63" borderId="32" applyNumberFormat="0" applyProtection="0">
      <alignment vertical="center"/>
    </xf>
    <xf numFmtId="4" fontId="57" fillId="63" borderId="32" applyNumberFormat="0" applyProtection="0">
      <alignment horizontal="left" vertical="center" indent="1"/>
    </xf>
    <xf numFmtId="4" fontId="57" fillId="64" borderId="0" applyNumberFormat="0" applyProtection="0">
      <alignment horizontal="left" vertical="center" indent="1"/>
    </xf>
    <xf numFmtId="4" fontId="58" fillId="65" borderId="32" applyNumberFormat="0" applyProtection="0">
      <alignment horizontal="right" vertical="center"/>
    </xf>
    <xf numFmtId="4" fontId="58" fillId="66" borderId="32" applyNumberFormat="0" applyProtection="0">
      <alignment horizontal="right" vertical="center"/>
    </xf>
    <xf numFmtId="4" fontId="58" fillId="67" borderId="32" applyNumberFormat="0" applyProtection="0">
      <alignment horizontal="right" vertical="center"/>
    </xf>
    <xf numFmtId="4" fontId="58" fillId="68" borderId="32" applyNumberFormat="0" applyProtection="0">
      <alignment horizontal="right" vertical="center"/>
    </xf>
    <xf numFmtId="4" fontId="58" fillId="69" borderId="32" applyNumberFormat="0" applyProtection="0">
      <alignment horizontal="right" vertical="center"/>
    </xf>
    <xf numFmtId="4" fontId="58" fillId="70" borderId="32" applyNumberFormat="0" applyProtection="0">
      <alignment horizontal="right" vertical="center"/>
    </xf>
    <xf numFmtId="4" fontId="58" fillId="71" borderId="32" applyNumberFormat="0" applyProtection="0">
      <alignment horizontal="right" vertical="center"/>
    </xf>
    <xf numFmtId="4" fontId="58" fillId="72" borderId="32" applyNumberFormat="0" applyProtection="0">
      <alignment horizontal="right" vertical="center"/>
    </xf>
    <xf numFmtId="4" fontId="58" fillId="73" borderId="32" applyNumberFormat="0" applyProtection="0">
      <alignment horizontal="right" vertical="center"/>
    </xf>
    <xf numFmtId="4" fontId="55" fillId="74" borderId="33" applyNumberFormat="0" applyProtection="0">
      <alignment horizontal="left" vertical="center" indent="1"/>
    </xf>
    <xf numFmtId="4" fontId="55" fillId="75" borderId="0" applyNumberFormat="0" applyProtection="0">
      <alignment horizontal="left" vertical="center" indent="1"/>
    </xf>
    <xf numFmtId="4" fontId="59" fillId="64" borderId="0" applyNumberFormat="0" applyProtection="0">
      <alignment horizontal="left" vertical="center" indent="1"/>
    </xf>
    <xf numFmtId="4" fontId="58" fillId="75" borderId="32" applyNumberFormat="0" applyProtection="0">
      <alignment horizontal="right" vertical="center"/>
    </xf>
    <xf numFmtId="4" fontId="60" fillId="75" borderId="0" applyNumberFormat="0" applyProtection="0">
      <alignment horizontal="left" vertical="center" indent="1"/>
    </xf>
    <xf numFmtId="4" fontId="60" fillId="64" borderId="0" applyNumberFormat="0" applyProtection="0">
      <alignment horizontal="left" vertical="center" indent="1"/>
    </xf>
    <xf numFmtId="4" fontId="58" fillId="76" borderId="32" applyNumberFormat="0" applyProtection="0">
      <alignment vertical="center"/>
    </xf>
    <xf numFmtId="4" fontId="61" fillId="76" borderId="32" applyNumberFormat="0" applyProtection="0">
      <alignment vertical="center"/>
    </xf>
    <xf numFmtId="4" fontId="59" fillId="75" borderId="34" applyNumberFormat="0" applyProtection="0">
      <alignment horizontal="left" vertical="center" indent="1"/>
    </xf>
    <xf numFmtId="4" fontId="57" fillId="76" borderId="32" applyNumberFormat="0" applyProtection="0">
      <alignment horizontal="right" vertical="center"/>
    </xf>
    <xf numFmtId="4" fontId="61" fillId="76" borderId="32" applyNumberFormat="0" applyProtection="0">
      <alignment horizontal="right" vertical="center"/>
    </xf>
    <xf numFmtId="4" fontId="55" fillId="75" borderId="32" applyNumberFormat="0" applyProtection="0">
      <alignment horizontal="left" vertical="center" indent="1"/>
    </xf>
    <xf numFmtId="4" fontId="62" fillId="77" borderId="34" applyNumberFormat="0" applyProtection="0">
      <alignment horizontal="left" vertical="center" indent="1"/>
    </xf>
    <xf numFmtId="4" fontId="63" fillId="76" borderId="32" applyNumberFormat="0" applyProtection="0">
      <alignment horizontal="right" vertical="center"/>
    </xf>
    <xf numFmtId="189" fontId="64" fillId="0" borderId="0" applyFill="0" applyBorder="0">
      <alignment horizontal="right"/>
      <protection hidden="1"/>
    </xf>
    <xf numFmtId="0" fontId="65" fillId="53" borderId="16">
      <alignment horizontal="center" vertical="center" wrapText="1"/>
      <protection hidden="1"/>
    </xf>
    <xf numFmtId="0" fontId="41" fillId="54" borderId="0">
      <protection locked="0"/>
    </xf>
    <xf numFmtId="0" fontId="41" fillId="54" borderId="13" applyBorder="0">
      <protection locked="0"/>
    </xf>
    <xf numFmtId="180" fontId="33" fillId="0" borderId="0"/>
    <xf numFmtId="182" fontId="33" fillId="0" borderId="0">
      <alignment textRotation="255"/>
    </xf>
    <xf numFmtId="0" fontId="66" fillId="0" borderId="0">
      <alignment vertical="center"/>
    </xf>
    <xf numFmtId="0" fontId="33" fillId="0" borderId="0"/>
    <xf numFmtId="0" fontId="67" fillId="0" borderId="0" applyBorder="0" applyProtection="0">
      <alignment horizontal="left"/>
    </xf>
    <xf numFmtId="0" fontId="68" fillId="0" borderId="0" applyFill="0" applyBorder="0" applyProtection="0">
      <alignment horizontal="left"/>
    </xf>
    <xf numFmtId="0" fontId="69" fillId="0" borderId="18" applyFill="0" applyBorder="0" applyProtection="0">
      <alignment horizontal="left" vertical="top"/>
    </xf>
    <xf numFmtId="0" fontId="7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33" fillId="0" borderId="0" applyBorder="0"/>
    <xf numFmtId="0" fontId="71" fillId="0" borderId="0" applyNumberFormat="0" applyFill="0" applyBorder="0" applyAlignment="0" applyProtection="0"/>
    <xf numFmtId="0" fontId="72" fillId="0" borderId="35" applyNumberFormat="0" applyFill="0" applyAlignment="0" applyProtection="0"/>
    <xf numFmtId="0" fontId="73" fillId="0" borderId="36" applyNumberFormat="0" applyFill="0" applyAlignment="0" applyProtection="0"/>
    <xf numFmtId="0" fontId="74" fillId="0" borderId="37" applyNumberFormat="0" applyFill="0" applyAlignment="0" applyProtection="0"/>
    <xf numFmtId="0" fontId="74" fillId="0" borderId="0" applyNumberFormat="0" applyFill="0" applyBorder="0" applyAlignment="0" applyProtection="0"/>
    <xf numFmtId="0" fontId="2" fillId="0" borderId="28" applyNumberFormat="0" applyFill="0" applyAlignment="0" applyProtection="0"/>
    <xf numFmtId="175" fontId="41" fillId="54" borderId="16">
      <protection locked="0"/>
    </xf>
    <xf numFmtId="4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190" fontId="33" fillId="0" borderId="0" applyFont="0" applyFill="0" applyBorder="0" applyAlignment="0" applyProtection="0"/>
    <xf numFmtId="191" fontId="3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43" fontId="1" fillId="0" borderId="0" applyFont="0" applyFill="0" applyBorder="0" applyAlignment="0" applyProtection="0"/>
    <xf numFmtId="0" fontId="75" fillId="0" borderId="0"/>
    <xf numFmtId="0" fontId="7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75" fillId="0" borderId="0"/>
    <xf numFmtId="0" fontId="33" fillId="0" borderId="0"/>
    <xf numFmtId="0" fontId="1" fillId="0" borderId="0"/>
    <xf numFmtId="0" fontId="1" fillId="0" borderId="0"/>
    <xf numFmtId="0" fontId="1" fillId="0" borderId="0"/>
    <xf numFmtId="9" fontId="33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3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3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3" fillId="0" borderId="0"/>
    <xf numFmtId="0" fontId="33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3" fillId="0" borderId="0"/>
    <xf numFmtId="14" fontId="30" fillId="0" borderId="0"/>
    <xf numFmtId="14" fontId="30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51" fillId="0" borderId="0"/>
    <xf numFmtId="0" fontId="33" fillId="0" borderId="0"/>
    <xf numFmtId="0" fontId="33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3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3" fillId="0" borderId="0"/>
    <xf numFmtId="0" fontId="33" fillId="0" borderId="0"/>
    <xf numFmtId="0" fontId="33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43" fontId="1" fillId="0" borderId="0" applyFont="0" applyFill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43" fontId="1" fillId="0" borderId="0" applyFont="0" applyFill="0" applyBorder="0" applyAlignment="0" applyProtection="0"/>
    <xf numFmtId="0" fontId="78" fillId="0" borderId="0">
      <alignment vertical="top"/>
    </xf>
    <xf numFmtId="0" fontId="79" fillId="0" borderId="0">
      <alignment horizontal="left" vertical="top"/>
    </xf>
    <xf numFmtId="14" fontId="78" fillId="0" borderId="0">
      <alignment vertical="top"/>
    </xf>
    <xf numFmtId="0" fontId="78" fillId="78" borderId="7">
      <alignment horizontal="left" vertical="top"/>
    </xf>
    <xf numFmtId="0" fontId="77" fillId="0" borderId="0">
      <alignment vertical="top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80" fillId="0" borderId="0"/>
    <xf numFmtId="43" fontId="80" fillId="0" borderId="0" applyFont="0" applyFill="0" applyBorder="0" applyAlignment="0" applyProtection="0"/>
    <xf numFmtId="0" fontId="80" fillId="0" borderId="0"/>
    <xf numFmtId="43" fontId="80" fillId="0" borderId="0" applyFont="0" applyFill="0" applyBorder="0" applyAlignment="0" applyProtection="0"/>
    <xf numFmtId="0" fontId="80" fillId="0" borderId="0"/>
    <xf numFmtId="43" fontId="80" fillId="0" borderId="0" applyFont="0" applyFill="0" applyBorder="0" applyAlignment="0" applyProtection="0"/>
    <xf numFmtId="0" fontId="80" fillId="0" borderId="0"/>
    <xf numFmtId="43" fontId="80" fillId="0" borderId="0" applyFont="0" applyFill="0" applyBorder="0" applyAlignment="0" applyProtection="0"/>
    <xf numFmtId="0" fontId="80" fillId="0" borderId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0" fontId="80" fillId="0" borderId="0"/>
    <xf numFmtId="0" fontId="80" fillId="0" borderId="0"/>
    <xf numFmtId="43" fontId="80" fillId="0" borderId="0" applyFont="0" applyFill="0" applyBorder="0" applyAlignment="0" applyProtection="0"/>
    <xf numFmtId="0" fontId="80" fillId="0" borderId="0"/>
    <xf numFmtId="43" fontId="8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8" fillId="15" borderId="0" applyNumberFormat="0" applyBorder="0" applyAlignment="0" applyProtection="0"/>
    <xf numFmtId="0" fontId="21" fillId="18" borderId="23" applyNumberFormat="0" applyAlignment="0" applyProtection="0"/>
    <xf numFmtId="0" fontId="24" fillId="0" borderId="25" applyNumberFormat="0" applyFill="0" applyAlignment="0" applyProtection="0"/>
    <xf numFmtId="0" fontId="9" fillId="20" borderId="26" applyNumberFormat="0" applyAlignment="0" applyProtection="0"/>
    <xf numFmtId="0" fontId="25" fillId="0" borderId="0" applyNumberFormat="0" applyFill="0" applyBorder="0" applyAlignment="0" applyProtection="0"/>
    <xf numFmtId="0" fontId="1" fillId="21" borderId="27" applyNumberFormat="0" applyFont="0" applyAlignment="0" applyProtection="0"/>
    <xf numFmtId="0" fontId="1" fillId="25" borderId="0" applyNumberFormat="0" applyBorder="0" applyAlignment="0" applyProtection="0"/>
    <xf numFmtId="0" fontId="1" fillId="29" borderId="0" applyNumberFormat="0" applyBorder="0" applyAlignment="0" applyProtection="0"/>
    <xf numFmtId="0" fontId="1" fillId="33" borderId="0" applyNumberFormat="0" applyBorder="0" applyAlignment="0" applyProtection="0"/>
    <xf numFmtId="0" fontId="1" fillId="37" borderId="0" applyNumberFormat="0" applyBorder="0" applyAlignment="0" applyProtection="0"/>
    <xf numFmtId="0" fontId="1" fillId="41" borderId="0" applyNumberFormat="0" applyBorder="0" applyAlignment="0" applyProtection="0"/>
    <xf numFmtId="0" fontId="1" fillId="45" borderId="0" applyNumberFormat="0" applyBorder="0" applyAlignment="0" applyProtection="0"/>
    <xf numFmtId="0" fontId="31" fillId="46" borderId="0" applyNumberFormat="0" applyBorder="0" applyAlignment="0" applyProtection="0"/>
    <xf numFmtId="0" fontId="31" fillId="47" borderId="0" applyNumberFormat="0" applyBorder="0" applyAlignment="0" applyProtection="0"/>
    <xf numFmtId="0" fontId="31" fillId="48" borderId="0" applyNumberFormat="0" applyBorder="0" applyAlignment="0" applyProtection="0"/>
    <xf numFmtId="0" fontId="31" fillId="46" borderId="0" applyNumberFormat="0" applyBorder="0" applyAlignment="0" applyProtection="0"/>
    <xf numFmtId="0" fontId="31" fillId="48" borderId="0" applyNumberFormat="0" applyBorder="0" applyAlignment="0" applyProtection="0"/>
    <xf numFmtId="0" fontId="31" fillId="47" borderId="0" applyNumberFormat="0" applyBorder="0" applyAlignment="0" applyProtection="0"/>
    <xf numFmtId="0" fontId="31" fillId="49" borderId="0" applyNumberFormat="0" applyBorder="0" applyAlignment="0" applyProtection="0"/>
    <xf numFmtId="0" fontId="31" fillId="50" borderId="0" applyNumberFormat="0" applyBorder="0" applyAlignment="0" applyProtection="0"/>
    <xf numFmtId="0" fontId="31" fillId="48" borderId="0" applyNumberFormat="0" applyBorder="0" applyAlignment="0" applyProtection="0"/>
    <xf numFmtId="0" fontId="31" fillId="49" borderId="0" applyNumberFormat="0" applyBorder="0" applyAlignment="0" applyProtection="0"/>
    <xf numFmtId="0" fontId="31" fillId="48" borderId="0" applyNumberFormat="0" applyBorder="0" applyAlignment="0" applyProtection="0"/>
    <xf numFmtId="0" fontId="31" fillId="47" borderId="0" applyNumberFormat="0" applyBorder="0" applyAlignment="0" applyProtection="0"/>
    <xf numFmtId="0" fontId="32" fillId="51" borderId="0" applyNumberFormat="0" applyBorder="0" applyAlignment="0" applyProtection="0"/>
    <xf numFmtId="0" fontId="32" fillId="50" borderId="0" applyNumberFormat="0" applyBorder="0" applyAlignment="0" applyProtection="0"/>
    <xf numFmtId="0" fontId="32" fillId="48" borderId="0" applyNumberFormat="0" applyBorder="0" applyAlignment="0" applyProtection="0"/>
    <xf numFmtId="0" fontId="32" fillId="49" borderId="0" applyNumberFormat="0" applyBorder="0" applyAlignment="0" applyProtection="0"/>
    <xf numFmtId="0" fontId="32" fillId="51" borderId="0" applyNumberFormat="0" applyBorder="0" applyAlignment="0" applyProtection="0"/>
    <xf numFmtId="0" fontId="32" fillId="47" borderId="0" applyNumberFormat="0" applyBorder="0" applyAlignment="0" applyProtection="0"/>
    <xf numFmtId="0" fontId="91" fillId="48" borderId="0" applyNumberFormat="0" applyBorder="0" applyAlignment="0" applyProtection="0"/>
    <xf numFmtId="0" fontId="35" fillId="46" borderId="29" applyNumberFormat="0" applyAlignment="0" applyProtection="0"/>
    <xf numFmtId="0" fontId="34" fillId="86" borderId="42" applyNumberFormat="0" applyAlignment="0" applyProtection="0"/>
    <xf numFmtId="0" fontId="92" fillId="0" borderId="43" applyNumberFormat="0" applyFill="0" applyAlignment="0" applyProtection="0"/>
    <xf numFmtId="0" fontId="32" fillId="51" borderId="0" applyNumberFormat="0" applyBorder="0" applyAlignment="0" applyProtection="0"/>
    <xf numFmtId="0" fontId="32" fillId="56" borderId="0" applyNumberFormat="0" applyBorder="0" applyAlignment="0" applyProtection="0"/>
    <xf numFmtId="0" fontId="32" fillId="57" borderId="0" applyNumberFormat="0" applyBorder="0" applyAlignment="0" applyProtection="0"/>
    <xf numFmtId="0" fontId="32" fillId="58" borderId="0" applyNumberFormat="0" applyBorder="0" applyAlignment="0" applyProtection="0"/>
    <xf numFmtId="0" fontId="32" fillId="51" borderId="0" applyNumberFormat="0" applyBorder="0" applyAlignment="0" applyProtection="0"/>
    <xf numFmtId="0" fontId="32" fillId="59" borderId="0" applyNumberFormat="0" applyBorder="0" applyAlignment="0" applyProtection="0"/>
    <xf numFmtId="0" fontId="93" fillId="47" borderId="29" applyNumberFormat="0" applyAlignment="0" applyProtection="0"/>
    <xf numFmtId="0" fontId="33" fillId="0" borderId="0" applyFont="0" applyFill="0" applyBorder="0" applyAlignment="0" applyProtection="0"/>
    <xf numFmtId="8" fontId="94" fillId="0" borderId="0" applyFont="0" applyFill="0" applyBorder="0" applyAlignment="0" applyProtection="0"/>
    <xf numFmtId="0" fontId="95" fillId="87" borderId="44" applyNumberFormat="0" applyFont="0" applyAlignment="0" applyProtection="0"/>
    <xf numFmtId="0" fontId="54" fillId="46" borderId="31" applyNumberFormat="0" applyAlignment="0" applyProtection="0"/>
    <xf numFmtId="0" fontId="96" fillId="0" borderId="0" applyFont="0" applyFill="0" applyBorder="0" applyAlignment="0" applyProtection="0"/>
    <xf numFmtId="4" fontId="94" fillId="0" borderId="0" applyFont="0" applyFill="0" applyBorder="0" applyAlignment="0" applyProtection="0"/>
    <xf numFmtId="0" fontId="97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72" fillId="0" borderId="35" applyNumberFormat="0" applyFill="0" applyAlignment="0" applyProtection="0"/>
    <xf numFmtId="0" fontId="73" fillId="0" borderId="36" applyNumberFormat="0" applyFill="0" applyAlignment="0" applyProtection="0"/>
    <xf numFmtId="0" fontId="74" fillId="0" borderId="37" applyNumberFormat="0" applyFill="0" applyAlignment="0" applyProtection="0"/>
    <xf numFmtId="0" fontId="74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4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537">
    <xf numFmtId="0" fontId="0" fillId="0" borderId="0" xfId="0"/>
    <xf numFmtId="43" fontId="0" fillId="0" borderId="0" xfId="190" applyNumberFormat="1" applyFont="1"/>
    <xf numFmtId="167" fontId="0" fillId="0" borderId="0" xfId="190" applyNumberFormat="1" applyFont="1"/>
    <xf numFmtId="168" fontId="0" fillId="0" borderId="0" xfId="190" applyNumberFormat="1" applyFont="1"/>
    <xf numFmtId="166" fontId="0" fillId="0" borderId="0" xfId="190" applyNumberFormat="1" applyFont="1"/>
    <xf numFmtId="10" fontId="0" fillId="0" borderId="0" xfId="1" applyNumberFormat="1" applyFont="1"/>
    <xf numFmtId="0" fontId="2" fillId="0" borderId="0" xfId="0" applyFont="1"/>
    <xf numFmtId="0" fontId="2" fillId="0" borderId="0" xfId="0" applyFont="1" applyAlignment="1">
      <alignment horizontal="center"/>
    </xf>
    <xf numFmtId="168" fontId="0" fillId="2" borderId="0" xfId="190" applyNumberFormat="1" applyFont="1" applyFill="1"/>
    <xf numFmtId="170" fontId="0" fillId="0" borderId="0" xfId="190" applyNumberFormat="1" applyFont="1"/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3" xfId="0" applyFont="1" applyBorder="1" applyAlignment="1">
      <alignment horizontal="center" vertical="top" wrapText="1"/>
    </xf>
    <xf numFmtId="166" fontId="0" fillId="0" borderId="0" xfId="0" applyNumberFormat="1"/>
    <xf numFmtId="43" fontId="0" fillId="2" borderId="0" xfId="190" applyNumberFormat="1" applyFont="1" applyFill="1"/>
    <xf numFmtId="166" fontId="0" fillId="0" borderId="0" xfId="190" applyNumberFormat="1" applyFont="1" applyFill="1"/>
    <xf numFmtId="168" fontId="2" fillId="2" borderId="0" xfId="0" applyNumberFormat="1" applyFont="1" applyFill="1"/>
    <xf numFmtId="168" fontId="0" fillId="0" borderId="0" xfId="0" applyNumberFormat="1"/>
    <xf numFmtId="10" fontId="0" fillId="0" borderId="0" xfId="1" applyNumberFormat="1" applyFont="1" applyFill="1"/>
    <xf numFmtId="170" fontId="0" fillId="0" borderId="1" xfId="190" applyNumberFormat="1" applyFont="1" applyFill="1" applyBorder="1"/>
    <xf numFmtId="172" fontId="0" fillId="0" borderId="0" xfId="1" applyNumberFormat="1" applyFont="1"/>
    <xf numFmtId="0" fontId="0" fillId="0" borderId="0" xfId="0" applyAlignment="1">
      <alignment horizontal="center"/>
    </xf>
    <xf numFmtId="14" fontId="0" fillId="0" borderId="0" xfId="0" applyNumberFormat="1"/>
    <xf numFmtId="0" fontId="2" fillId="3" borderId="2" xfId="0" applyFont="1" applyFill="1" applyBorder="1" applyAlignment="1">
      <alignment horizontal="center" vertical="top" wrapText="1"/>
    </xf>
    <xf numFmtId="0" fontId="2" fillId="3" borderId="3" xfId="0" applyFont="1" applyFill="1" applyBorder="1" applyAlignment="1">
      <alignment horizontal="center" vertical="top" wrapText="1"/>
    </xf>
    <xf numFmtId="43" fontId="2" fillId="0" borderId="2" xfId="190" applyNumberFormat="1" applyFont="1" applyFill="1" applyBorder="1" applyAlignment="1">
      <alignment horizontal="center" vertical="top" wrapText="1"/>
    </xf>
    <xf numFmtId="172" fontId="0" fillId="0" borderId="0" xfId="1" applyNumberFormat="1" applyFont="1" applyFill="1" applyBorder="1"/>
    <xf numFmtId="0" fontId="2" fillId="0" borderId="2" xfId="0" applyFont="1" applyBorder="1"/>
    <xf numFmtId="172" fontId="2" fillId="0" borderId="2" xfId="1" applyNumberFormat="1" applyFont="1" applyFill="1" applyBorder="1"/>
    <xf numFmtId="172" fontId="2" fillId="0" borderId="0" xfId="1" applyNumberFormat="1" applyFont="1" applyFill="1" applyBorder="1"/>
    <xf numFmtId="169" fontId="2" fillId="0" borderId="1" xfId="190" applyNumberFormat="1" applyFont="1" applyFill="1" applyBorder="1"/>
    <xf numFmtId="173" fontId="0" fillId="0" borderId="0" xfId="1" applyNumberFormat="1" applyFont="1"/>
    <xf numFmtId="10" fontId="0" fillId="3" borderId="0" xfId="1" applyNumberFormat="1" applyFont="1" applyFill="1" applyBorder="1"/>
    <xf numFmtId="10" fontId="2" fillId="3" borderId="2" xfId="1" applyNumberFormat="1" applyFont="1" applyFill="1" applyBorder="1"/>
    <xf numFmtId="10" fontId="2" fillId="3" borderId="0" xfId="1" applyNumberFormat="1" applyFont="1" applyFill="1" applyBorder="1"/>
    <xf numFmtId="43" fontId="0" fillId="0" borderId="0" xfId="190" applyNumberFormat="1" applyFont="1" applyFill="1"/>
    <xf numFmtId="167" fontId="0" fillId="0" borderId="0" xfId="190" applyNumberFormat="1" applyFont="1" applyFill="1"/>
    <xf numFmtId="170" fontId="0" fillId="0" borderId="0" xfId="190" applyNumberFormat="1" applyFont="1" applyFill="1"/>
    <xf numFmtId="170" fontId="0" fillId="3" borderId="1" xfId="190" applyNumberFormat="1" applyFont="1" applyFill="1" applyBorder="1"/>
    <xf numFmtId="172" fontId="0" fillId="0" borderId="0" xfId="1" applyNumberFormat="1" applyFont="1" applyFill="1"/>
    <xf numFmtId="170" fontId="2" fillId="3" borderId="1" xfId="190" applyNumberFormat="1" applyFont="1" applyFill="1" applyBorder="1"/>
    <xf numFmtId="166" fontId="0" fillId="4" borderId="0" xfId="190" applyNumberFormat="1" applyFont="1" applyFill="1"/>
    <xf numFmtId="10" fontId="0" fillId="0" borderId="0" xfId="0" applyNumberFormat="1"/>
    <xf numFmtId="10" fontId="2" fillId="0" borderId="2" xfId="1" applyNumberFormat="1" applyFont="1" applyFill="1" applyBorder="1"/>
    <xf numFmtId="0" fontId="0" fillId="0" borderId="0" xfId="0" applyAlignment="1">
      <alignment horizontal="right"/>
    </xf>
    <xf numFmtId="169" fontId="2" fillId="0" borderId="0" xfId="190" applyNumberFormat="1" applyFont="1" applyFill="1" applyBorder="1"/>
    <xf numFmtId="170" fontId="2" fillId="0" borderId="2" xfId="190" applyNumberFormat="1" applyFont="1" applyBorder="1"/>
    <xf numFmtId="173" fontId="0" fillId="0" borderId="0" xfId="1" applyNumberFormat="1" applyFont="1" applyFill="1"/>
    <xf numFmtId="172" fontId="2" fillId="0" borderId="0" xfId="1" applyNumberFormat="1" applyFont="1"/>
    <xf numFmtId="170" fontId="0" fillId="0" borderId="0" xfId="0" applyNumberFormat="1"/>
    <xf numFmtId="10" fontId="0" fillId="0" borderId="1" xfId="1" applyNumberFormat="1" applyFont="1" applyFill="1" applyBorder="1"/>
    <xf numFmtId="166" fontId="0" fillId="0" borderId="1" xfId="190" applyNumberFormat="1" applyFont="1" applyFill="1" applyBorder="1"/>
    <xf numFmtId="168" fontId="0" fillId="0" borderId="0" xfId="190" applyNumberFormat="1" applyFont="1" applyFill="1"/>
    <xf numFmtId="10" fontId="0" fillId="0" borderId="0" xfId="1" applyNumberFormat="1" applyFont="1" applyAlignment="1">
      <alignment horizontal="center"/>
    </xf>
    <xf numFmtId="170" fontId="0" fillId="0" borderId="0" xfId="190" applyNumberFormat="1" applyFont="1" applyAlignment="1">
      <alignment horizontal="center"/>
    </xf>
    <xf numFmtId="170" fontId="2" fillId="0" borderId="2" xfId="190" applyNumberFormat="1" applyFont="1" applyBorder="1" applyAlignment="1">
      <alignment horizontal="center"/>
    </xf>
    <xf numFmtId="0" fontId="2" fillId="0" borderId="4" xfId="0" applyFont="1" applyBorder="1" applyAlignment="1">
      <alignment horizontal="center" vertical="top" wrapText="1"/>
    </xf>
    <xf numFmtId="171" fontId="1" fillId="0" borderId="0" xfId="190" applyNumberFormat="1" applyFont="1" applyFill="1"/>
    <xf numFmtId="0" fontId="0" fillId="2" borderId="0" xfId="0" applyFill="1"/>
    <xf numFmtId="43" fontId="2" fillId="0" borderId="0" xfId="190" applyNumberFormat="1" applyFont="1" applyFill="1" applyAlignment="1">
      <alignment horizontal="center" vertical="top" wrapText="1"/>
    </xf>
    <xf numFmtId="167" fontId="0" fillId="7" borderId="0" xfId="190" applyNumberFormat="1" applyFont="1" applyFill="1"/>
    <xf numFmtId="0" fontId="0" fillId="7" borderId="0" xfId="0" applyFill="1"/>
    <xf numFmtId="1" fontId="0" fillId="7" borderId="0" xfId="190" applyNumberFormat="1" applyFont="1" applyFill="1"/>
    <xf numFmtId="43" fontId="0" fillId="0" borderId="0" xfId="0" applyNumberFormat="1"/>
    <xf numFmtId="171" fontId="0" fillId="0" borderId="0" xfId="0" applyNumberFormat="1"/>
    <xf numFmtId="172" fontId="0" fillId="0" borderId="0" xfId="0" applyNumberFormat="1"/>
    <xf numFmtId="168" fontId="2" fillId="0" borderId="0" xfId="190" applyNumberFormat="1" applyFont="1" applyFill="1" applyAlignment="1">
      <alignment horizontal="center" vertical="top" wrapText="1"/>
    </xf>
    <xf numFmtId="171" fontId="2" fillId="0" borderId="0" xfId="0" applyNumberFormat="1" applyFont="1" applyAlignment="1">
      <alignment horizontal="center" vertical="top" wrapText="1"/>
    </xf>
    <xf numFmtId="172" fontId="2" fillId="0" borderId="0" xfId="0" applyNumberFormat="1" applyFont="1" applyAlignment="1">
      <alignment horizontal="center" vertical="top" wrapText="1"/>
    </xf>
    <xf numFmtId="166" fontId="2" fillId="0" borderId="0" xfId="0" applyNumberFormat="1" applyFont="1" applyAlignment="1">
      <alignment horizontal="center" vertical="top" wrapText="1"/>
    </xf>
    <xf numFmtId="173" fontId="0" fillId="0" borderId="0" xfId="0" applyNumberFormat="1"/>
    <xf numFmtId="0" fontId="2" fillId="2" borderId="0" xfId="0" applyFont="1" applyFill="1" applyAlignment="1">
      <alignment horizontal="center" vertical="top" wrapText="1"/>
    </xf>
    <xf numFmtId="0" fontId="0" fillId="4" borderId="0" xfId="0" applyFill="1"/>
    <xf numFmtId="43" fontId="0" fillId="4" borderId="0" xfId="190" applyNumberFormat="1" applyFont="1" applyFill="1"/>
    <xf numFmtId="10" fontId="0" fillId="4" borderId="0" xfId="1" applyNumberFormat="1" applyFont="1" applyFill="1"/>
    <xf numFmtId="172" fontId="0" fillId="4" borderId="0" xfId="1" applyNumberFormat="1" applyFont="1" applyFill="1"/>
    <xf numFmtId="167" fontId="0" fillId="4" borderId="0" xfId="190" applyNumberFormat="1" applyFont="1" applyFill="1"/>
    <xf numFmtId="170" fontId="0" fillId="4" borderId="0" xfId="190" applyNumberFormat="1" applyFont="1" applyFill="1"/>
    <xf numFmtId="43" fontId="0" fillId="2" borderId="0" xfId="0" applyNumberFormat="1" applyFill="1"/>
    <xf numFmtId="16" fontId="0" fillId="0" borderId="0" xfId="0" applyNumberFormat="1"/>
    <xf numFmtId="168" fontId="1" fillId="0" borderId="0" xfId="190" applyNumberFormat="1" applyFont="1"/>
    <xf numFmtId="10" fontId="1" fillId="0" borderId="0" xfId="1" applyNumberFormat="1" applyFont="1"/>
    <xf numFmtId="168" fontId="2" fillId="2" borderId="0" xfId="190" applyNumberFormat="1" applyFont="1" applyFill="1" applyAlignment="1">
      <alignment horizontal="center" vertical="top" wrapText="1"/>
    </xf>
    <xf numFmtId="0" fontId="0" fillId="0" borderId="6" xfId="0" applyBorder="1"/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0" fillId="0" borderId="9" xfId="0" applyBorder="1"/>
    <xf numFmtId="168" fontId="2" fillId="2" borderId="0" xfId="190" applyNumberFormat="1" applyFont="1" applyFill="1" applyBorder="1"/>
    <xf numFmtId="168" fontId="2" fillId="0" borderId="10" xfId="190" applyNumberFormat="1" applyFont="1" applyBorder="1"/>
    <xf numFmtId="0" fontId="0" fillId="0" borderId="11" xfId="0" applyBorder="1"/>
    <xf numFmtId="168" fontId="2" fillId="0" borderId="4" xfId="190" applyNumberFormat="1" applyFont="1" applyBorder="1"/>
    <xf numFmtId="168" fontId="2" fillId="0" borderId="12" xfId="190" applyNumberFormat="1" applyFont="1" applyBorder="1"/>
    <xf numFmtId="0" fontId="2" fillId="2" borderId="0" xfId="0" applyFont="1" applyFill="1"/>
    <xf numFmtId="173" fontId="2" fillId="0" borderId="0" xfId="190" applyNumberFormat="1" applyFont="1" applyFill="1" applyAlignment="1">
      <alignment horizontal="center" vertical="top" wrapText="1"/>
    </xf>
    <xf numFmtId="0" fontId="0" fillId="5" borderId="0" xfId="0" applyFill="1"/>
    <xf numFmtId="166" fontId="0" fillId="9" borderId="0" xfId="190" applyNumberFormat="1" applyFont="1" applyFill="1"/>
    <xf numFmtId="43" fontId="0" fillId="6" borderId="0" xfId="190" applyNumberFormat="1" applyFont="1" applyFill="1"/>
    <xf numFmtId="0" fontId="6" fillId="6" borderId="0" xfId="0" applyFont="1" applyFill="1"/>
    <xf numFmtId="0" fontId="7" fillId="6" borderId="0" xfId="0" applyFont="1" applyFill="1"/>
    <xf numFmtId="0" fontId="8" fillId="3" borderId="0" xfId="0" applyFont="1" applyFill="1"/>
    <xf numFmtId="9" fontId="8" fillId="3" borderId="0" xfId="1" applyFont="1" applyFill="1"/>
    <xf numFmtId="43" fontId="8" fillId="3" borderId="0" xfId="0" applyNumberFormat="1" applyFont="1" applyFill="1"/>
    <xf numFmtId="10" fontId="8" fillId="3" borderId="0" xfId="1" applyNumberFormat="1" applyFont="1" applyFill="1"/>
    <xf numFmtId="166" fontId="8" fillId="6" borderId="0" xfId="190" applyNumberFormat="1" applyFont="1" applyFill="1"/>
    <xf numFmtId="43" fontId="2" fillId="2" borderId="0" xfId="190" applyNumberFormat="1" applyFont="1" applyFill="1" applyAlignment="1">
      <alignment horizontal="center" vertical="top" wrapText="1"/>
    </xf>
    <xf numFmtId="171" fontId="2" fillId="2" borderId="0" xfId="0" applyNumberFormat="1" applyFont="1" applyFill="1" applyAlignment="1">
      <alignment horizontal="center" vertical="top" wrapText="1"/>
    </xf>
    <xf numFmtId="170" fontId="8" fillId="3" borderId="0" xfId="0" applyNumberFormat="1" applyFont="1" applyFill="1"/>
    <xf numFmtId="43" fontId="8" fillId="3" borderId="0" xfId="190" applyNumberFormat="1" applyFont="1" applyFill="1"/>
    <xf numFmtId="0" fontId="2" fillId="2" borderId="0" xfId="0" applyFont="1" applyFill="1" applyAlignment="1">
      <alignment horizontal="center"/>
    </xf>
    <xf numFmtId="9" fontId="2" fillId="2" borderId="0" xfId="0" applyNumberFormat="1" applyFont="1" applyFill="1" applyAlignment="1">
      <alignment horizontal="center" vertical="top" wrapText="1"/>
    </xf>
    <xf numFmtId="9" fontId="2" fillId="0" borderId="0" xfId="0" applyNumberFormat="1" applyFont="1" applyAlignment="1">
      <alignment horizontal="center" vertical="top" wrapText="1"/>
    </xf>
    <xf numFmtId="170" fontId="1" fillId="4" borderId="0" xfId="190" applyNumberFormat="1" applyFont="1" applyFill="1"/>
    <xf numFmtId="172" fontId="0" fillId="2" borderId="0" xfId="0" applyNumberFormat="1" applyFill="1"/>
    <xf numFmtId="172" fontId="2" fillId="2" borderId="0" xfId="0" applyNumberFormat="1" applyFont="1" applyFill="1" applyAlignment="1">
      <alignment horizontal="center" vertical="top" wrapText="1"/>
    </xf>
    <xf numFmtId="170" fontId="0" fillId="5" borderId="0" xfId="0" applyNumberFormat="1" applyFill="1"/>
    <xf numFmtId="170" fontId="2" fillId="0" borderId="0" xfId="190" applyNumberFormat="1" applyFont="1" applyFill="1" applyAlignment="1">
      <alignment horizontal="center" vertical="top" wrapText="1"/>
    </xf>
    <xf numFmtId="43" fontId="0" fillId="4" borderId="0" xfId="190" quotePrefix="1" applyNumberFormat="1" applyFont="1" applyFill="1"/>
    <xf numFmtId="170" fontId="2" fillId="2" borderId="0" xfId="0" applyNumberFormat="1" applyFont="1" applyFill="1" applyAlignment="1">
      <alignment horizontal="center"/>
    </xf>
    <xf numFmtId="170" fontId="2" fillId="0" borderId="0" xfId="0" applyNumberFormat="1" applyFont="1" applyAlignment="1">
      <alignment horizontal="center" vertical="top" wrapText="1"/>
    </xf>
    <xf numFmtId="167" fontId="2" fillId="0" borderId="0" xfId="190" applyNumberFormat="1" applyFont="1" applyAlignment="1">
      <alignment horizontal="center" vertical="top" wrapText="1"/>
    </xf>
    <xf numFmtId="173" fontId="8" fillId="3" borderId="0" xfId="1" applyNumberFormat="1" applyFont="1" applyFill="1"/>
    <xf numFmtId="43" fontId="0" fillId="10" borderId="0" xfId="190" applyNumberFormat="1" applyFont="1" applyFill="1"/>
    <xf numFmtId="170" fontId="1" fillId="0" borderId="0" xfId="190" applyNumberFormat="1" applyFont="1" applyFill="1"/>
    <xf numFmtId="43" fontId="0" fillId="0" borderId="0" xfId="1" applyNumberFormat="1" applyFont="1" applyFill="1"/>
    <xf numFmtId="173" fontId="0" fillId="2" borderId="0" xfId="0" applyNumberFormat="1" applyFill="1"/>
    <xf numFmtId="10" fontId="0" fillId="2" borderId="0" xfId="1" applyNumberFormat="1" applyFont="1" applyFill="1"/>
    <xf numFmtId="9" fontId="0" fillId="0" borderId="0" xfId="1" applyFont="1"/>
    <xf numFmtId="166" fontId="8" fillId="3" borderId="0" xfId="0" applyNumberFormat="1" applyFont="1" applyFill="1"/>
    <xf numFmtId="168" fontId="0" fillId="9" borderId="0" xfId="190" applyNumberFormat="1" applyFont="1" applyFill="1"/>
    <xf numFmtId="0" fontId="0" fillId="11" borderId="0" xfId="0" applyFill="1"/>
    <xf numFmtId="168" fontId="2" fillId="3" borderId="0" xfId="190" applyNumberFormat="1" applyFont="1" applyFill="1" applyBorder="1"/>
    <xf numFmtId="9" fontId="0" fillId="0" borderId="0" xfId="1" applyFont="1" applyBorder="1"/>
    <xf numFmtId="43" fontId="2" fillId="0" borderId="0" xfId="190" applyNumberFormat="1" applyFont="1" applyAlignment="1">
      <alignment horizontal="center" vertical="top" wrapText="1"/>
    </xf>
    <xf numFmtId="166" fontId="0" fillId="0" borderId="0" xfId="190" applyNumberFormat="1" applyFont="1" applyFill="1" applyAlignment="1">
      <alignment horizontal="center"/>
    </xf>
    <xf numFmtId="0" fontId="0" fillId="2" borderId="0" xfId="0" applyFill="1" applyAlignment="1">
      <alignment horizontal="center"/>
    </xf>
    <xf numFmtId="0" fontId="10" fillId="0" borderId="0" xfId="0" applyFont="1" applyAlignment="1">
      <alignment horizontal="center"/>
    </xf>
    <xf numFmtId="43" fontId="2" fillId="2" borderId="0" xfId="0" applyNumberFormat="1" applyFont="1" applyFill="1"/>
    <xf numFmtId="170" fontId="0" fillId="0" borderId="3" xfId="190" applyNumberFormat="1" applyFont="1" applyFill="1" applyBorder="1"/>
    <xf numFmtId="43" fontId="0" fillId="0" borderId="1" xfId="190" applyNumberFormat="1" applyFont="1" applyFill="1" applyBorder="1"/>
    <xf numFmtId="0" fontId="0" fillId="0" borderId="0" xfId="0" applyAlignment="1">
      <alignment horizontal="left"/>
    </xf>
    <xf numFmtId="10" fontId="0" fillId="0" borderId="0" xfId="1" applyNumberFormat="1" applyFont="1" applyFill="1" applyBorder="1"/>
    <xf numFmtId="169" fontId="2" fillId="0" borderId="0" xfId="190" applyNumberFormat="1" applyFont="1"/>
    <xf numFmtId="176" fontId="4" fillId="0" borderId="0" xfId="0" applyNumberFormat="1" applyFont="1" applyAlignment="1">
      <alignment horizontal="center" vertical="center"/>
    </xf>
    <xf numFmtId="177" fontId="5" fillId="0" borderId="0" xfId="0" applyNumberFormat="1" applyFont="1" applyAlignment="1">
      <alignment horizontal="left"/>
    </xf>
    <xf numFmtId="15" fontId="11" fillId="0" borderId="16" xfId="0" applyNumberFormat="1" applyFont="1" applyBorder="1" applyAlignment="1">
      <alignment horizontal="center"/>
    </xf>
    <xf numFmtId="15" fontId="11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9" fontId="2" fillId="0" borderId="2" xfId="1" applyFont="1" applyBorder="1" applyAlignment="1">
      <alignment horizontal="center" vertical="top" wrapText="1"/>
    </xf>
    <xf numFmtId="0" fontId="0" fillId="0" borderId="0" xfId="0" applyAlignment="1">
      <alignment vertical="top" wrapText="1"/>
    </xf>
    <xf numFmtId="15" fontId="12" fillId="3" borderId="0" xfId="0" applyNumberFormat="1" applyFont="1" applyFill="1" applyAlignment="1">
      <alignment horizontal="center"/>
    </xf>
    <xf numFmtId="174" fontId="4" fillId="0" borderId="17" xfId="3" applyNumberFormat="1" applyFont="1" applyBorder="1" applyAlignment="1">
      <alignment horizontal="center" vertical="center"/>
    </xf>
    <xf numFmtId="172" fontId="4" fillId="0" borderId="17" xfId="1" applyNumberFormat="1" applyFont="1" applyBorder="1" applyAlignment="1">
      <alignment horizontal="center" vertical="center"/>
    </xf>
    <xf numFmtId="165" fontId="4" fillId="0" borderId="17" xfId="3" applyFont="1" applyBorder="1" applyAlignment="1">
      <alignment horizontal="center" vertical="center"/>
    </xf>
    <xf numFmtId="167" fontId="13" fillId="0" borderId="17" xfId="190" applyNumberFormat="1" applyFont="1" applyFill="1" applyBorder="1" applyAlignment="1">
      <alignment horizontal="center" vertical="center"/>
    </xf>
    <xf numFmtId="172" fontId="13" fillId="0" borderId="17" xfId="1" applyNumberFormat="1" applyFont="1" applyFill="1" applyBorder="1" applyAlignment="1">
      <alignment horizontal="center" vertical="center"/>
    </xf>
    <xf numFmtId="178" fontId="4" fillId="0" borderId="17" xfId="3" applyNumberFormat="1" applyFont="1" applyBorder="1" applyAlignment="1">
      <alignment horizontal="center" vertical="center"/>
    </xf>
    <xf numFmtId="165" fontId="4" fillId="3" borderId="17" xfId="3" applyFont="1" applyFill="1" applyBorder="1" applyAlignment="1">
      <alignment horizontal="center" vertical="center"/>
    </xf>
    <xf numFmtId="9" fontId="4" fillId="0" borderId="17" xfId="1" applyFont="1" applyBorder="1" applyAlignment="1">
      <alignment horizontal="center" vertical="center"/>
    </xf>
    <xf numFmtId="179" fontId="4" fillId="0" borderId="17" xfId="3" applyNumberFormat="1" applyFont="1" applyBorder="1" applyAlignment="1">
      <alignment horizontal="center" vertical="center"/>
    </xf>
    <xf numFmtId="167" fontId="4" fillId="0" borderId="17" xfId="190" applyNumberFormat="1" applyFont="1" applyBorder="1" applyAlignment="1">
      <alignment horizontal="center" vertical="center"/>
    </xf>
    <xf numFmtId="43" fontId="0" fillId="11" borderId="0" xfId="190" applyNumberFormat="1" applyFont="1" applyFill="1"/>
    <xf numFmtId="43" fontId="0" fillId="5" borderId="0" xfId="0" applyNumberFormat="1" applyFill="1"/>
    <xf numFmtId="0" fontId="0" fillId="0" borderId="38" xfId="0" applyBorder="1"/>
    <xf numFmtId="0" fontId="2" fillId="0" borderId="14" xfId="0" applyFont="1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4" fontId="0" fillId="0" borderId="19" xfId="0" applyNumberFormat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4" xfId="0" applyBorder="1" applyAlignment="1">
      <alignment horizontal="center"/>
    </xf>
    <xf numFmtId="0" fontId="81" fillId="0" borderId="0" xfId="0" applyFont="1"/>
    <xf numFmtId="14" fontId="81" fillId="0" borderId="39" xfId="0" applyNumberFormat="1" applyFont="1" applyBorder="1" applyAlignment="1">
      <alignment horizontal="center"/>
    </xf>
    <xf numFmtId="4" fontId="81" fillId="0" borderId="39" xfId="0" applyNumberFormat="1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4" fontId="0" fillId="0" borderId="0" xfId="0" applyNumberFormat="1" applyAlignment="1">
      <alignment horizontal="center"/>
    </xf>
    <xf numFmtId="4" fontId="0" fillId="0" borderId="0" xfId="0" applyNumberFormat="1"/>
    <xf numFmtId="1" fontId="0" fillId="0" borderId="0" xfId="0" applyNumberFormat="1" applyAlignment="1">
      <alignment horizontal="center"/>
    </xf>
    <xf numFmtId="4" fontId="2" fillId="0" borderId="15" xfId="0" applyNumberFormat="1" applyFont="1" applyBorder="1" applyAlignment="1">
      <alignment horizontal="center"/>
    </xf>
    <xf numFmtId="168" fontId="0" fillId="10" borderId="0" xfId="190" applyNumberFormat="1" applyFont="1" applyFill="1"/>
    <xf numFmtId="180" fontId="8" fillId="3" borderId="0" xfId="190" applyNumberFormat="1" applyFont="1" applyFill="1"/>
    <xf numFmtId="11" fontId="81" fillId="0" borderId="0" xfId="0" applyNumberFormat="1" applyFont="1"/>
    <xf numFmtId="0" fontId="2" fillId="0" borderId="1" xfId="0" applyFont="1" applyBorder="1"/>
    <xf numFmtId="0" fontId="2" fillId="0" borderId="38" xfId="0" applyFont="1" applyBorder="1" applyAlignment="1">
      <alignment horizontal="left" vertical="top"/>
    </xf>
    <xf numFmtId="0" fontId="0" fillId="0" borderId="19" xfId="0" applyBorder="1" applyAlignment="1">
      <alignment horizontal="center"/>
    </xf>
    <xf numFmtId="0" fontId="82" fillId="79" borderId="39" xfId="0" applyFont="1" applyFill="1" applyBorder="1" applyAlignment="1">
      <alignment horizontal="center"/>
    </xf>
    <xf numFmtId="0" fontId="82" fillId="14" borderId="39" xfId="0" applyFont="1" applyFill="1" applyBorder="1" applyAlignment="1">
      <alignment horizontal="center"/>
    </xf>
    <xf numFmtId="170" fontId="0" fillId="0" borderId="0" xfId="190" applyNumberFormat="1" applyFont="1" applyFill="1" applyBorder="1"/>
    <xf numFmtId="166" fontId="2" fillId="0" borderId="15" xfId="190" applyNumberFormat="1" applyFont="1" applyBorder="1" applyAlignment="1">
      <alignment horizontal="center"/>
    </xf>
    <xf numFmtId="166" fontId="0" fillId="0" borderId="0" xfId="190" applyNumberFormat="1" applyFont="1" applyAlignment="1">
      <alignment horizontal="center"/>
    </xf>
    <xf numFmtId="166" fontId="2" fillId="0" borderId="0" xfId="190" applyNumberFormat="1" applyFont="1" applyAlignment="1">
      <alignment horizontal="center"/>
    </xf>
    <xf numFmtId="172" fontId="0" fillId="4" borderId="0" xfId="0" applyNumberFormat="1" applyFill="1"/>
    <xf numFmtId="14" fontId="0" fillId="2" borderId="19" xfId="0" applyNumberFormat="1" applyFill="1" applyBorder="1" applyAlignment="1">
      <alignment horizontal="center"/>
    </xf>
    <xf numFmtId="167" fontId="6" fillId="6" borderId="0" xfId="0" applyNumberFormat="1" applyFont="1" applyFill="1"/>
    <xf numFmtId="165" fontId="0" fillId="0" borderId="0" xfId="0" applyNumberFormat="1"/>
    <xf numFmtId="3" fontId="0" fillId="0" borderId="0" xfId="0" applyNumberFormat="1" applyAlignment="1">
      <alignment horizontal="center"/>
    </xf>
    <xf numFmtId="10" fontId="2" fillId="0" borderId="0" xfId="0" applyNumberFormat="1" applyFont="1" applyAlignment="1">
      <alignment horizontal="center"/>
    </xf>
    <xf numFmtId="170" fontId="0" fillId="0" borderId="0" xfId="1" applyNumberFormat="1" applyFont="1" applyFill="1"/>
    <xf numFmtId="3" fontId="0" fillId="0" borderId="0" xfId="190" applyNumberFormat="1" applyFont="1"/>
    <xf numFmtId="192" fontId="0" fillId="0" borderId="0" xfId="190" applyNumberFormat="1" applyFont="1"/>
    <xf numFmtId="4" fontId="0" fillId="5" borderId="0" xfId="190" applyFont="1" applyFill="1" applyAlignment="1">
      <alignment horizontal="right"/>
    </xf>
    <xf numFmtId="4" fontId="0" fillId="0" borderId="0" xfId="190" applyFont="1" applyFill="1" applyAlignment="1">
      <alignment horizontal="right"/>
    </xf>
    <xf numFmtId="4" fontId="2" fillId="0" borderId="0" xfId="190" applyFont="1" applyAlignment="1">
      <alignment horizontal="right" vertical="top" wrapText="1"/>
    </xf>
    <xf numFmtId="4" fontId="1" fillId="4" borderId="0" xfId="190" applyFont="1" applyFill="1" applyAlignment="1">
      <alignment horizontal="right"/>
    </xf>
    <xf numFmtId="4" fontId="1" fillId="0" borderId="0" xfId="190" applyFont="1" applyFill="1" applyAlignment="1">
      <alignment horizontal="right"/>
    </xf>
    <xf numFmtId="4" fontId="0" fillId="0" borderId="0" xfId="190" applyFont="1" applyAlignment="1">
      <alignment horizontal="right"/>
    </xf>
    <xf numFmtId="0" fontId="2" fillId="0" borderId="15" xfId="0" applyFont="1" applyBorder="1" applyAlignment="1">
      <alignment horizontal="left"/>
    </xf>
    <xf numFmtId="4" fontId="0" fillId="0" borderId="0" xfId="190" applyFont="1"/>
    <xf numFmtId="4" fontId="0" fillId="0" borderId="0" xfId="190" applyFont="1" applyFill="1"/>
    <xf numFmtId="172" fontId="0" fillId="0" borderId="0" xfId="1" applyNumberFormat="1" applyFont="1" applyBorder="1"/>
    <xf numFmtId="194" fontId="0" fillId="0" borderId="0" xfId="190" applyNumberFormat="1" applyFont="1"/>
    <xf numFmtId="4" fontId="6" fillId="6" borderId="0" xfId="190" applyFont="1" applyFill="1"/>
    <xf numFmtId="0" fontId="84" fillId="0" borderId="0" xfId="0" applyFont="1" applyAlignment="1">
      <alignment horizontal="left"/>
    </xf>
    <xf numFmtId="172" fontId="84" fillId="0" borderId="0" xfId="1" applyNumberFormat="1" applyFont="1" applyFill="1"/>
    <xf numFmtId="10" fontId="84" fillId="0" borderId="0" xfId="1" applyNumberFormat="1" applyFont="1" applyFill="1"/>
    <xf numFmtId="43" fontId="84" fillId="0" borderId="0" xfId="190" applyNumberFormat="1" applyFont="1"/>
    <xf numFmtId="0" fontId="84" fillId="0" borderId="0" xfId="0" applyFont="1"/>
    <xf numFmtId="169" fontId="84" fillId="0" borderId="0" xfId="0" applyNumberFormat="1" applyFont="1"/>
    <xf numFmtId="170" fontId="85" fillId="0" borderId="0" xfId="190" applyNumberFormat="1" applyFont="1"/>
    <xf numFmtId="0" fontId="85" fillId="0" borderId="0" xfId="0" applyFont="1" applyAlignment="1">
      <alignment horizontal="left"/>
    </xf>
    <xf numFmtId="10" fontId="85" fillId="0" borderId="0" xfId="1" applyNumberFormat="1" applyFont="1" applyFill="1"/>
    <xf numFmtId="10" fontId="84" fillId="0" borderId="0" xfId="1" applyNumberFormat="1" applyFont="1"/>
    <xf numFmtId="172" fontId="85" fillId="8" borderId="2" xfId="1" applyNumberFormat="1" applyFont="1" applyFill="1" applyBorder="1" applyAlignment="1">
      <alignment horizontal="left"/>
    </xf>
    <xf numFmtId="172" fontId="85" fillId="8" borderId="2" xfId="1" applyNumberFormat="1" applyFont="1" applyFill="1" applyBorder="1"/>
    <xf numFmtId="10" fontId="85" fillId="8" borderId="2" xfId="1" applyNumberFormat="1" applyFont="1" applyFill="1" applyBorder="1"/>
    <xf numFmtId="10" fontId="85" fillId="8" borderId="2" xfId="1" applyNumberFormat="1" applyFont="1" applyFill="1" applyBorder="1" applyAlignment="1">
      <alignment horizontal="center"/>
    </xf>
    <xf numFmtId="10" fontId="85" fillId="8" borderId="0" xfId="1" applyNumberFormat="1" applyFont="1" applyFill="1" applyBorder="1"/>
    <xf numFmtId="172" fontId="84" fillId="0" borderId="0" xfId="1" applyNumberFormat="1" applyFont="1" applyFill="1" applyAlignment="1">
      <alignment horizontal="left"/>
    </xf>
    <xf numFmtId="170" fontId="84" fillId="0" borderId="0" xfId="0" applyNumberFormat="1" applyFont="1" applyAlignment="1">
      <alignment wrapText="1"/>
    </xf>
    <xf numFmtId="172" fontId="85" fillId="3" borderId="0" xfId="1" applyNumberFormat="1" applyFont="1" applyFill="1" applyAlignment="1">
      <alignment horizontal="left"/>
    </xf>
    <xf numFmtId="172" fontId="85" fillId="3" borderId="0" xfId="1" applyNumberFormat="1" applyFont="1" applyFill="1"/>
    <xf numFmtId="170" fontId="85" fillId="3" borderId="0" xfId="0" applyNumberFormat="1" applyFont="1" applyFill="1" applyAlignment="1">
      <alignment wrapText="1"/>
    </xf>
    <xf numFmtId="10" fontId="85" fillId="3" borderId="0" xfId="1" applyNumberFormat="1" applyFont="1" applyFill="1"/>
    <xf numFmtId="10" fontId="85" fillId="0" borderId="0" xfId="1" applyNumberFormat="1" applyFont="1"/>
    <xf numFmtId="0" fontId="85" fillId="0" borderId="0" xfId="0" applyFont="1"/>
    <xf numFmtId="169" fontId="85" fillId="0" borderId="0" xfId="0" applyNumberFormat="1" applyFont="1"/>
    <xf numFmtId="172" fontId="85" fillId="0" borderId="0" xfId="1" applyNumberFormat="1" applyFont="1" applyFill="1" applyAlignment="1">
      <alignment horizontal="left"/>
    </xf>
    <xf numFmtId="172" fontId="85" fillId="0" borderId="0" xfId="1" applyNumberFormat="1" applyFont="1" applyFill="1"/>
    <xf numFmtId="168" fontId="85" fillId="0" borderId="0" xfId="190" applyNumberFormat="1" applyFont="1" applyFill="1"/>
    <xf numFmtId="172" fontId="85" fillId="0" borderId="4" xfId="1" applyNumberFormat="1" applyFont="1" applyFill="1" applyBorder="1" applyAlignment="1">
      <alignment horizontal="left"/>
    </xf>
    <xf numFmtId="172" fontId="85" fillId="0" borderId="4" xfId="1" applyNumberFormat="1" applyFont="1" applyFill="1" applyBorder="1"/>
    <xf numFmtId="168" fontId="85" fillId="0" borderId="4" xfId="190" applyNumberFormat="1" applyFont="1" applyFill="1" applyBorder="1"/>
    <xf numFmtId="10" fontId="85" fillId="0" borderId="4" xfId="1" applyNumberFormat="1" applyFont="1" applyFill="1" applyBorder="1"/>
    <xf numFmtId="10" fontId="85" fillId="0" borderId="0" xfId="1" applyNumberFormat="1" applyFont="1" applyFill="1" applyBorder="1"/>
    <xf numFmtId="14" fontId="85" fillId="0" borderId="0" xfId="0" applyNumberFormat="1" applyFont="1" applyAlignment="1">
      <alignment horizontal="left"/>
    </xf>
    <xf numFmtId="172" fontId="84" fillId="0" borderId="0" xfId="0" applyNumberFormat="1" applyFont="1" applyAlignment="1">
      <alignment horizontal="center" vertical="center" wrapText="1"/>
    </xf>
    <xf numFmtId="10" fontId="84" fillId="0" borderId="0" xfId="0" applyNumberFormat="1" applyFont="1"/>
    <xf numFmtId="0" fontId="86" fillId="0" borderId="0" xfId="0" applyFont="1"/>
    <xf numFmtId="169" fontId="85" fillId="0" borderId="0" xfId="190" applyNumberFormat="1" applyFont="1"/>
    <xf numFmtId="170" fontId="85" fillId="2" borderId="0" xfId="190" applyNumberFormat="1" applyFont="1" applyFill="1"/>
    <xf numFmtId="168" fontId="84" fillId="0" borderId="0" xfId="190" applyNumberFormat="1" applyFont="1" applyFill="1"/>
    <xf numFmtId="0" fontId="0" fillId="12" borderId="0" xfId="0" applyFill="1"/>
    <xf numFmtId="4" fontId="0" fillId="4" borderId="0" xfId="190" applyFont="1" applyFill="1"/>
    <xf numFmtId="194" fontId="0" fillId="4" borderId="0" xfId="190" applyNumberFormat="1" applyFont="1" applyFill="1"/>
    <xf numFmtId="194" fontId="0" fillId="0" borderId="0" xfId="190" applyNumberFormat="1" applyFont="1" applyFill="1"/>
    <xf numFmtId="4" fontId="0" fillId="5" borderId="0" xfId="190" applyFont="1" applyFill="1"/>
    <xf numFmtId="4" fontId="2" fillId="0" borderId="0" xfId="190" applyFont="1" applyAlignment="1">
      <alignment horizontal="center" vertical="top" wrapText="1"/>
    </xf>
    <xf numFmtId="4" fontId="0" fillId="2" borderId="0" xfId="0" applyNumberFormat="1" applyFill="1" applyAlignment="1">
      <alignment horizontal="center"/>
    </xf>
    <xf numFmtId="0" fontId="88" fillId="0" borderId="0" xfId="0" applyFont="1"/>
    <xf numFmtId="14" fontId="87" fillId="0" borderId="0" xfId="0" applyNumberFormat="1" applyFont="1"/>
    <xf numFmtId="0" fontId="87" fillId="0" borderId="0" xfId="0" applyFont="1"/>
    <xf numFmtId="3" fontId="87" fillId="0" borderId="0" xfId="0" applyNumberFormat="1" applyFont="1"/>
    <xf numFmtId="179" fontId="0" fillId="0" borderId="0" xfId="0" applyNumberFormat="1"/>
    <xf numFmtId="179" fontId="0" fillId="5" borderId="0" xfId="0" applyNumberFormat="1" applyFill="1"/>
    <xf numFmtId="179" fontId="2" fillId="0" borderId="0" xfId="0" applyNumberFormat="1" applyFont="1" applyAlignment="1">
      <alignment horizontal="center" vertical="top" wrapText="1"/>
    </xf>
    <xf numFmtId="4" fontId="25" fillId="4" borderId="0" xfId="190" applyFont="1" applyFill="1"/>
    <xf numFmtId="3" fontId="0" fillId="0" borderId="0" xfId="190" applyNumberFormat="1" applyFont="1" applyFill="1"/>
    <xf numFmtId="4" fontId="0" fillId="2" borderId="0" xfId="190" applyFont="1" applyFill="1"/>
    <xf numFmtId="0" fontId="0" fillId="80" borderId="0" xfId="0" applyFill="1"/>
    <xf numFmtId="10" fontId="0" fillId="80" borderId="0" xfId="0" applyNumberFormat="1" applyFill="1"/>
    <xf numFmtId="170" fontId="0" fillId="80" borderId="0" xfId="190" applyNumberFormat="1" applyFont="1" applyFill="1"/>
    <xf numFmtId="10" fontId="2" fillId="81" borderId="0" xfId="0" applyNumberFormat="1" applyFont="1" applyFill="1"/>
    <xf numFmtId="170" fontId="2" fillId="81" borderId="0" xfId="190" applyNumberFormat="1" applyFont="1" applyFill="1"/>
    <xf numFmtId="10" fontId="1" fillId="81" borderId="2" xfId="1" applyNumberFormat="1" applyFont="1" applyFill="1" applyBorder="1"/>
    <xf numFmtId="170" fontId="1" fillId="81" borderId="3" xfId="190" applyNumberFormat="1" applyFont="1" applyFill="1" applyBorder="1"/>
    <xf numFmtId="2" fontId="0" fillId="4" borderId="0" xfId="0" applyNumberFormat="1" applyFill="1"/>
    <xf numFmtId="10" fontId="0" fillId="82" borderId="0" xfId="1" applyNumberFormat="1" applyFont="1" applyFill="1"/>
    <xf numFmtId="166" fontId="0" fillId="11" borderId="0" xfId="190" applyNumberFormat="1" applyFont="1" applyFill="1"/>
    <xf numFmtId="193" fontId="0" fillId="2" borderId="0" xfId="0" applyNumberFormat="1" applyFill="1"/>
    <xf numFmtId="9" fontId="0" fillId="0" borderId="0" xfId="1" applyFont="1" applyFill="1"/>
    <xf numFmtId="9" fontId="2" fillId="0" borderId="0" xfId="1" applyFont="1" applyFill="1" applyAlignment="1">
      <alignment horizontal="center" vertical="top" wrapText="1"/>
    </xf>
    <xf numFmtId="9" fontId="0" fillId="4" borderId="0" xfId="1" applyFont="1" applyFill="1"/>
    <xf numFmtId="172" fontId="0" fillId="83" borderId="0" xfId="1" applyNumberFormat="1" applyFont="1" applyFill="1"/>
    <xf numFmtId="169" fontId="0" fillId="4" borderId="0" xfId="190" applyNumberFormat="1" applyFont="1" applyFill="1"/>
    <xf numFmtId="169" fontId="0" fillId="0" borderId="0" xfId="190" applyNumberFormat="1" applyFont="1" applyFill="1"/>
    <xf numFmtId="4" fontId="25" fillId="0" borderId="0" xfId="190" applyFont="1" applyFill="1"/>
    <xf numFmtId="196" fontId="0" fillId="0" borderId="0" xfId="1" applyNumberFormat="1" applyFont="1" applyFill="1"/>
    <xf numFmtId="9" fontId="0" fillId="3" borderId="0" xfId="0" applyNumberFormat="1" applyFill="1"/>
    <xf numFmtId="172" fontId="0" fillId="3" borderId="0" xfId="0" applyNumberFormat="1" applyFill="1"/>
    <xf numFmtId="172" fontId="0" fillId="9" borderId="0" xfId="1" applyNumberFormat="1" applyFont="1" applyFill="1"/>
    <xf numFmtId="9" fontId="0" fillId="0" borderId="0" xfId="1" applyFont="1" applyAlignment="1">
      <alignment horizontal="center"/>
    </xf>
    <xf numFmtId="0" fontId="81" fillId="0" borderId="0" xfId="0" applyFont="1" applyAlignment="1">
      <alignment horizontal="center"/>
    </xf>
    <xf numFmtId="170" fontId="0" fillId="3" borderId="0" xfId="190" applyNumberFormat="1" applyFont="1" applyFill="1"/>
    <xf numFmtId="10" fontId="84" fillId="0" borderId="0" xfId="0" applyNumberFormat="1" applyFont="1" applyAlignment="1">
      <alignment horizontal="center" vertical="center" wrapText="1"/>
    </xf>
    <xf numFmtId="0" fontId="84" fillId="0" borderId="0" xfId="0" applyFont="1" applyAlignment="1">
      <alignment horizontal="center" vertical="center" wrapText="1"/>
    </xf>
    <xf numFmtId="10" fontId="84" fillId="0" borderId="0" xfId="1" applyNumberFormat="1" applyFont="1" applyAlignment="1">
      <alignment horizontal="center" vertical="center" wrapText="1"/>
    </xf>
    <xf numFmtId="170" fontId="85" fillId="0" borderId="0" xfId="190" applyNumberFormat="1" applyFont="1" applyAlignment="1">
      <alignment horizontal="center" vertical="center" wrapText="1"/>
    </xf>
    <xf numFmtId="4" fontId="0" fillId="10" borderId="0" xfId="190" applyFont="1" applyFill="1"/>
    <xf numFmtId="173" fontId="0" fillId="10" borderId="0" xfId="1" applyNumberFormat="1" applyFont="1" applyFill="1"/>
    <xf numFmtId="14" fontId="81" fillId="0" borderId="0" xfId="0" applyNumberFormat="1" applyFont="1"/>
    <xf numFmtId="172" fontId="89" fillId="0" borderId="0" xfId="0" applyNumberFormat="1" applyFont="1"/>
    <xf numFmtId="10" fontId="89" fillId="0" borderId="0" xfId="0" applyNumberFormat="1" applyFont="1"/>
    <xf numFmtId="0" fontId="89" fillId="0" borderId="0" xfId="0" applyFont="1" applyAlignment="1">
      <alignment horizontal="left" indent="1"/>
    </xf>
    <xf numFmtId="170" fontId="89" fillId="0" borderId="0" xfId="0" applyNumberFormat="1" applyFont="1"/>
    <xf numFmtId="3" fontId="0" fillId="0" borderId="0" xfId="190" applyNumberFormat="1" applyFont="1" applyFill="1" applyAlignment="1">
      <alignment horizontal="center"/>
    </xf>
    <xf numFmtId="0" fontId="85" fillId="0" borderId="40" xfId="0" applyFont="1" applyBorder="1" applyAlignment="1">
      <alignment horizontal="left"/>
    </xf>
    <xf numFmtId="172" fontId="85" fillId="0" borderId="40" xfId="0" applyNumberFormat="1" applyFont="1" applyBorder="1"/>
    <xf numFmtId="170" fontId="85" fillId="0" borderId="40" xfId="0" applyNumberFormat="1" applyFont="1" applyBorder="1"/>
    <xf numFmtId="10" fontId="85" fillId="0" borderId="40" xfId="0" applyNumberFormat="1" applyFont="1" applyBorder="1"/>
    <xf numFmtId="0" fontId="85" fillId="84" borderId="41" xfId="0" applyFont="1" applyFill="1" applyBorder="1" applyAlignment="1">
      <alignment horizontal="left"/>
    </xf>
    <xf numFmtId="172" fontId="85" fillId="84" borderId="41" xfId="0" applyNumberFormat="1" applyFont="1" applyFill="1" applyBorder="1"/>
    <xf numFmtId="170" fontId="85" fillId="84" borderId="41" xfId="0" applyNumberFormat="1" applyFont="1" applyFill="1" applyBorder="1"/>
    <xf numFmtId="10" fontId="85" fillId="84" borderId="41" xfId="0" applyNumberFormat="1" applyFont="1" applyFill="1" applyBorder="1"/>
    <xf numFmtId="0" fontId="0" fillId="10" borderId="0" xfId="0" applyFill="1"/>
    <xf numFmtId="3" fontId="2" fillId="0" borderId="0" xfId="190" applyNumberFormat="1" applyFont="1" applyFill="1" applyAlignment="1">
      <alignment horizontal="center" vertical="top" wrapText="1"/>
    </xf>
    <xf numFmtId="17" fontId="0" fillId="0" borderId="0" xfId="0" applyNumberFormat="1"/>
    <xf numFmtId="194" fontId="0" fillId="13" borderId="0" xfId="190" applyNumberFormat="1" applyFont="1" applyFill="1"/>
    <xf numFmtId="0" fontId="2" fillId="13" borderId="4" xfId="0" applyFont="1" applyFill="1" applyBorder="1" applyAlignment="1">
      <alignment horizontal="center" vertical="top" wrapText="1"/>
    </xf>
    <xf numFmtId="181" fontId="0" fillId="13" borderId="0" xfId="0" applyNumberFormat="1" applyFill="1"/>
    <xf numFmtId="16" fontId="2" fillId="0" borderId="0" xfId="0" applyNumberFormat="1" applyFont="1"/>
    <xf numFmtId="165" fontId="0" fillId="2" borderId="0" xfId="4419" applyFont="1" applyFill="1"/>
    <xf numFmtId="172" fontId="0" fillId="0" borderId="0" xfId="4420" applyNumberFormat="1" applyFont="1"/>
    <xf numFmtId="10" fontId="2" fillId="0" borderId="0" xfId="4420" applyNumberFormat="1" applyFont="1"/>
    <xf numFmtId="10" fontId="0" fillId="0" borderId="0" xfId="4420" applyNumberFormat="1" applyFont="1"/>
    <xf numFmtId="10" fontId="99" fillId="0" borderId="0" xfId="0" applyNumberFormat="1" applyFont="1"/>
    <xf numFmtId="2" fontId="91" fillId="0" borderId="0" xfId="0" applyNumberFormat="1" applyFont="1"/>
    <xf numFmtId="172" fontId="91" fillId="0" borderId="0" xfId="4420" applyNumberFormat="1" applyFont="1"/>
    <xf numFmtId="168" fontId="0" fillId="0" borderId="0" xfId="4419" applyNumberFormat="1" applyFont="1"/>
    <xf numFmtId="0" fontId="99" fillId="0" borderId="0" xfId="0" applyFont="1"/>
    <xf numFmtId="173" fontId="0" fillId="0" borderId="0" xfId="4420" applyNumberFormat="1" applyFont="1"/>
    <xf numFmtId="178" fontId="0" fillId="0" borderId="0" xfId="0" applyNumberFormat="1"/>
    <xf numFmtId="178" fontId="0" fillId="0" borderId="0" xfId="4419" applyNumberFormat="1" applyFont="1"/>
    <xf numFmtId="165" fontId="0" fillId="0" borderId="0" xfId="4419" applyFont="1"/>
    <xf numFmtId="166" fontId="0" fillId="2" borderId="0" xfId="190" applyNumberFormat="1" applyFont="1" applyFill="1"/>
    <xf numFmtId="43" fontId="83" fillId="2" borderId="0" xfId="190" applyNumberFormat="1" applyFont="1" applyFill="1"/>
    <xf numFmtId="43" fontId="83" fillId="11" borderId="0" xfId="190" applyNumberFormat="1" applyFont="1" applyFill="1"/>
    <xf numFmtId="3" fontId="83" fillId="2" borderId="0" xfId="190" applyNumberFormat="1" applyFont="1" applyFill="1"/>
    <xf numFmtId="3" fontId="0" fillId="0" borderId="0" xfId="0" applyNumberFormat="1"/>
    <xf numFmtId="4" fontId="83" fillId="4" borderId="0" xfId="190" applyFont="1" applyFill="1"/>
    <xf numFmtId="4" fontId="83" fillId="0" borderId="0" xfId="190" applyFont="1" applyFill="1"/>
    <xf numFmtId="4" fontId="83" fillId="2" borderId="0" xfId="190" applyFont="1" applyFill="1"/>
    <xf numFmtId="10" fontId="0" fillId="10" borderId="0" xfId="1" applyNumberFormat="1" applyFont="1" applyFill="1"/>
    <xf numFmtId="43" fontId="0" fillId="0" borderId="0" xfId="190" quotePrefix="1" applyNumberFormat="1" applyFont="1" applyFill="1"/>
    <xf numFmtId="2" fontId="0" fillId="0" borderId="0" xfId="0" applyNumberFormat="1"/>
    <xf numFmtId="169" fontId="0" fillId="0" borderId="0" xfId="0" applyNumberFormat="1"/>
    <xf numFmtId="196" fontId="8" fillId="3" borderId="0" xfId="1" applyNumberFormat="1" applyFont="1" applyFill="1"/>
    <xf numFmtId="168" fontId="2" fillId="0" borderId="4" xfId="190" applyNumberFormat="1" applyFont="1" applyFill="1" applyBorder="1" applyAlignment="1">
      <alignment horizontal="center" vertical="top" wrapText="1"/>
    </xf>
    <xf numFmtId="0" fontId="2" fillId="0" borderId="5" xfId="0" applyFont="1" applyBorder="1" applyAlignment="1">
      <alignment horizontal="center" vertical="top" wrapText="1"/>
    </xf>
    <xf numFmtId="43" fontId="2" fillId="0" borderId="4" xfId="190" applyNumberFormat="1" applyFont="1" applyFill="1" applyBorder="1" applyAlignment="1">
      <alignment horizontal="center" vertical="top" wrapText="1"/>
    </xf>
    <xf numFmtId="43" fontId="2" fillId="0" borderId="5" xfId="190" applyNumberFormat="1" applyFont="1" applyFill="1" applyBorder="1" applyAlignment="1">
      <alignment horizontal="center" vertical="top" wrapText="1"/>
    </xf>
    <xf numFmtId="10" fontId="2" fillId="0" borderId="4" xfId="1" applyNumberFormat="1" applyFont="1" applyFill="1" applyBorder="1" applyAlignment="1">
      <alignment horizontal="center" vertical="top" wrapText="1"/>
    </xf>
    <xf numFmtId="173" fontId="2" fillId="0" borderId="4" xfId="1" applyNumberFormat="1" applyFont="1" applyFill="1" applyBorder="1" applyAlignment="1">
      <alignment horizontal="center" vertical="top" wrapText="1"/>
    </xf>
    <xf numFmtId="172" fontId="0" fillId="2" borderId="0" xfId="1" applyNumberFormat="1" applyFont="1" applyFill="1"/>
    <xf numFmtId="9" fontId="0" fillId="2" borderId="0" xfId="1" applyFont="1" applyFill="1"/>
    <xf numFmtId="194" fontId="0" fillId="2" borderId="0" xfId="190" applyNumberFormat="1" applyFont="1" applyFill="1"/>
    <xf numFmtId="171" fontId="0" fillId="0" borderId="0" xfId="190" applyNumberFormat="1" applyFont="1" applyFill="1"/>
    <xf numFmtId="171" fontId="0" fillId="4" borderId="0" xfId="190" applyNumberFormat="1" applyFont="1" applyFill="1"/>
    <xf numFmtId="0" fontId="85" fillId="88" borderId="0" xfId="0" applyFont="1" applyFill="1" applyAlignment="1">
      <alignment horizontal="left" indent="1"/>
    </xf>
    <xf numFmtId="43" fontId="0" fillId="0" borderId="19" xfId="190" applyNumberFormat="1" applyFont="1" applyFill="1" applyBorder="1" applyAlignment="1">
      <alignment horizontal="right"/>
    </xf>
    <xf numFmtId="43" fontId="2" fillId="0" borderId="45" xfId="190" applyNumberFormat="1" applyFont="1" applyFill="1" applyBorder="1" applyAlignment="1">
      <alignment horizontal="center" vertical="top" wrapText="1"/>
    </xf>
    <xf numFmtId="181" fontId="2" fillId="88" borderId="0" xfId="0" applyNumberFormat="1" applyFont="1" applyFill="1" applyAlignment="1">
      <alignment horizontal="center"/>
    </xf>
    <xf numFmtId="0" fontId="13" fillId="0" borderId="0" xfId="0" applyFont="1" applyAlignment="1">
      <alignment horizontal="center"/>
    </xf>
    <xf numFmtId="14" fontId="13" fillId="0" borderId="0" xfId="0" applyNumberFormat="1" applyFont="1" applyAlignment="1">
      <alignment horizontal="center"/>
    </xf>
    <xf numFmtId="172" fontId="0" fillId="0" borderId="0" xfId="1" quotePrefix="1" applyNumberFormat="1" applyFont="1" applyFill="1"/>
    <xf numFmtId="10" fontId="0" fillId="0" borderId="0" xfId="1" applyNumberFormat="1" applyFont="1" applyFill="1" applyAlignment="1">
      <alignment horizontal="center"/>
    </xf>
    <xf numFmtId="195" fontId="0" fillId="0" borderId="0" xfId="0" applyNumberFormat="1"/>
    <xf numFmtId="166" fontId="0" fillId="0" borderId="0" xfId="0" applyNumberFormat="1" applyAlignment="1">
      <alignment horizontal="right"/>
    </xf>
    <xf numFmtId="0" fontId="0" fillId="81" borderId="2" xfId="0" applyFill="1" applyBorder="1"/>
    <xf numFmtId="4" fontId="13" fillId="92" borderId="18" xfId="190" applyFont="1" applyFill="1" applyBorder="1" applyAlignment="1">
      <alignment horizontal="center"/>
    </xf>
    <xf numFmtId="2" fontId="13" fillId="92" borderId="18" xfId="0" applyNumberFormat="1" applyFont="1" applyFill="1" applyBorder="1" applyAlignment="1">
      <alignment horizontal="center"/>
    </xf>
    <xf numFmtId="168" fontId="0" fillId="2" borderId="0" xfId="0" applyNumberFormat="1" applyFill="1"/>
    <xf numFmtId="10" fontId="2" fillId="0" borderId="0" xfId="0" applyNumberFormat="1" applyFont="1"/>
    <xf numFmtId="194" fontId="2" fillId="0" borderId="0" xfId="190" applyNumberFormat="1" applyFont="1"/>
    <xf numFmtId="9" fontId="0" fillId="0" borderId="0" xfId="0" applyNumberFormat="1"/>
    <xf numFmtId="0" fontId="0" fillId="6" borderId="0" xfId="0" applyFill="1"/>
    <xf numFmtId="10" fontId="0" fillId="6" borderId="0" xfId="0" applyNumberFormat="1" applyFill="1"/>
    <xf numFmtId="4" fontId="0" fillId="6" borderId="0" xfId="190" applyFont="1" applyFill="1"/>
    <xf numFmtId="194" fontId="0" fillId="6" borderId="0" xfId="190" applyNumberFormat="1" applyFont="1" applyFill="1"/>
    <xf numFmtId="9" fontId="0" fillId="6" borderId="0" xfId="1" applyFont="1" applyFill="1"/>
    <xf numFmtId="0" fontId="2" fillId="6" borderId="0" xfId="0" applyFont="1" applyFill="1"/>
    <xf numFmtId="10" fontId="2" fillId="6" borderId="0" xfId="0" applyNumberFormat="1" applyFont="1" applyFill="1"/>
    <xf numFmtId="4" fontId="2" fillId="6" borderId="0" xfId="190" applyFont="1" applyFill="1"/>
    <xf numFmtId="194" fontId="2" fillId="6" borderId="0" xfId="190" applyNumberFormat="1" applyFont="1" applyFill="1"/>
    <xf numFmtId="172" fontId="0" fillId="6" borderId="0" xfId="1" applyNumberFormat="1" applyFont="1" applyFill="1"/>
    <xf numFmtId="0" fontId="0" fillId="6" borderId="54" xfId="0" applyFill="1" applyBorder="1"/>
    <xf numFmtId="4" fontId="0" fillId="6" borderId="55" xfId="190" applyFont="1" applyFill="1" applyBorder="1"/>
    <xf numFmtId="43" fontId="2" fillId="6" borderId="0" xfId="0" applyNumberFormat="1" applyFont="1" applyFill="1"/>
    <xf numFmtId="9" fontId="2" fillId="6" borderId="0" xfId="1" applyFont="1" applyFill="1"/>
    <xf numFmtId="0" fontId="2" fillId="6" borderId="54" xfId="0" applyFont="1" applyFill="1" applyBorder="1"/>
    <xf numFmtId="0" fontId="2" fillId="6" borderId="56" xfId="0" applyFont="1" applyFill="1" applyBorder="1"/>
    <xf numFmtId="4" fontId="2" fillId="6" borderId="56" xfId="0" applyNumberFormat="1" applyFont="1" applyFill="1" applyBorder="1"/>
    <xf numFmtId="4" fontId="2" fillId="6" borderId="55" xfId="0" applyNumberFormat="1" applyFont="1" applyFill="1" applyBorder="1"/>
    <xf numFmtId="10" fontId="0" fillId="2" borderId="0" xfId="0" applyNumberFormat="1" applyFill="1"/>
    <xf numFmtId="9" fontId="2" fillId="2" borderId="0" xfId="1" applyFont="1" applyFill="1"/>
    <xf numFmtId="4" fontId="2" fillId="2" borderId="0" xfId="190" applyFont="1" applyFill="1"/>
    <xf numFmtId="10" fontId="2" fillId="2" borderId="0" xfId="0" applyNumberFormat="1" applyFont="1" applyFill="1"/>
    <xf numFmtId="194" fontId="2" fillId="2" borderId="0" xfId="190" applyNumberFormat="1" applyFont="1" applyFill="1"/>
    <xf numFmtId="0" fontId="2" fillId="2" borderId="54" xfId="0" applyFont="1" applyFill="1" applyBorder="1"/>
    <xf numFmtId="0" fontId="2" fillId="2" borderId="56" xfId="0" applyFont="1" applyFill="1" applyBorder="1"/>
    <xf numFmtId="4" fontId="2" fillId="2" borderId="56" xfId="0" applyNumberFormat="1" applyFont="1" applyFill="1" applyBorder="1"/>
    <xf numFmtId="3" fontId="0" fillId="2" borderId="0" xfId="190" applyNumberFormat="1" applyFont="1" applyFill="1"/>
    <xf numFmtId="166" fontId="0" fillId="2" borderId="0" xfId="0" applyNumberFormat="1" applyFill="1" applyAlignment="1">
      <alignment horizontal="right"/>
    </xf>
    <xf numFmtId="10" fontId="0" fillId="2" borderId="1" xfId="1" applyNumberFormat="1" applyFont="1" applyFill="1" applyBorder="1"/>
    <xf numFmtId="166" fontId="0" fillId="2" borderId="1" xfId="190" applyNumberFormat="1" applyFont="1" applyFill="1" applyBorder="1"/>
    <xf numFmtId="196" fontId="0" fillId="2" borderId="0" xfId="1" applyNumberFormat="1" applyFont="1" applyFill="1"/>
    <xf numFmtId="170" fontId="0" fillId="2" borderId="1" xfId="190" applyNumberFormat="1" applyFont="1" applyFill="1" applyBorder="1"/>
    <xf numFmtId="166" fontId="0" fillId="2" borderId="0" xfId="0" applyNumberFormat="1" applyFill="1"/>
    <xf numFmtId="173" fontId="0" fillId="2" borderId="0" xfId="1" applyNumberFormat="1" applyFont="1" applyFill="1"/>
    <xf numFmtId="3" fontId="0" fillId="2" borderId="0" xfId="190" applyNumberFormat="1" applyFont="1" applyFill="1" applyAlignment="1">
      <alignment horizontal="center"/>
    </xf>
    <xf numFmtId="170" fontId="0" fillId="2" borderId="0" xfId="1" applyNumberFormat="1" applyFont="1" applyFill="1"/>
    <xf numFmtId="170" fontId="0" fillId="2" borderId="0" xfId="190" applyNumberFormat="1" applyFont="1" applyFill="1" applyBorder="1"/>
    <xf numFmtId="10" fontId="0" fillId="2" borderId="0" xfId="1" applyNumberFormat="1" applyFont="1" applyFill="1" applyBorder="1"/>
    <xf numFmtId="195" fontId="0" fillId="2" borderId="0" xfId="0" applyNumberFormat="1" applyFill="1"/>
    <xf numFmtId="43" fontId="0" fillId="0" borderId="0" xfId="190" applyNumberFormat="1" applyFont="1" applyFill="1" applyAlignment="1">
      <alignment horizontal="right"/>
    </xf>
    <xf numFmtId="0" fontId="0" fillId="3" borderId="0" xfId="0" applyFill="1"/>
    <xf numFmtId="166" fontId="0" fillId="10" borderId="0" xfId="190" applyNumberFormat="1" applyFont="1" applyFill="1"/>
    <xf numFmtId="43" fontId="0" fillId="2" borderId="19" xfId="190" applyNumberFormat="1" applyFont="1" applyFill="1" applyBorder="1" applyAlignment="1">
      <alignment horizontal="right"/>
    </xf>
    <xf numFmtId="43" fontId="2" fillId="3" borderId="0" xfId="190" applyNumberFormat="1" applyFont="1" applyFill="1" applyBorder="1"/>
    <xf numFmtId="43" fontId="2" fillId="0" borderId="0" xfId="190" applyNumberFormat="1" applyFont="1" applyFill="1"/>
    <xf numFmtId="9" fontId="0" fillId="10" borderId="0" xfId="1" applyFont="1" applyFill="1"/>
    <xf numFmtId="172" fontId="0" fillId="10" borderId="0" xfId="1" applyNumberFormat="1" applyFont="1" applyFill="1"/>
    <xf numFmtId="2" fontId="0" fillId="10" borderId="0" xfId="0" applyNumberFormat="1" applyFill="1"/>
    <xf numFmtId="172" fontId="0" fillId="10" borderId="0" xfId="0" applyNumberFormat="1" applyFill="1"/>
    <xf numFmtId="169" fontId="0" fillId="10" borderId="0" xfId="190" applyNumberFormat="1" applyFont="1" applyFill="1"/>
    <xf numFmtId="171" fontId="0" fillId="10" borderId="0" xfId="190" applyNumberFormat="1" applyFont="1" applyFill="1"/>
    <xf numFmtId="167" fontId="0" fillId="10" borderId="0" xfId="190" applyNumberFormat="1" applyFont="1" applyFill="1"/>
    <xf numFmtId="43" fontId="0" fillId="10" borderId="0" xfId="190" quotePrefix="1" applyNumberFormat="1" applyFont="1" applyFill="1"/>
    <xf numFmtId="43" fontId="0" fillId="3" borderId="0" xfId="190" applyNumberFormat="1" applyFont="1" applyFill="1" applyAlignment="1">
      <alignment horizontal="right"/>
    </xf>
    <xf numFmtId="43" fontId="2" fillId="3" borderId="0" xfId="190" applyNumberFormat="1" applyFont="1" applyFill="1" applyAlignment="1">
      <alignment horizontal="right"/>
    </xf>
    <xf numFmtId="43" fontId="2" fillId="3" borderId="0" xfId="190" applyNumberFormat="1" applyFont="1" applyFill="1"/>
    <xf numFmtId="170" fontId="0" fillId="10" borderId="0" xfId="190" applyNumberFormat="1" applyFont="1" applyFill="1"/>
    <xf numFmtId="4" fontId="83" fillId="10" borderId="0" xfId="190" applyFont="1" applyFill="1"/>
    <xf numFmtId="194" fontId="0" fillId="10" borderId="0" xfId="190" applyNumberFormat="1" applyFont="1" applyFill="1"/>
    <xf numFmtId="4" fontId="1" fillId="10" borderId="0" xfId="190" applyFont="1" applyFill="1" applyAlignment="1">
      <alignment horizontal="right"/>
    </xf>
    <xf numFmtId="170" fontId="1" fillId="10" borderId="0" xfId="190" applyNumberFormat="1" applyFont="1" applyFill="1"/>
    <xf numFmtId="4" fontId="25" fillId="10" borderId="0" xfId="190" applyFont="1" applyFill="1"/>
    <xf numFmtId="14" fontId="13" fillId="3" borderId="0" xfId="0" applyNumberFormat="1" applyFont="1" applyFill="1" applyAlignment="1">
      <alignment horizontal="center"/>
    </xf>
    <xf numFmtId="0" fontId="3" fillId="91" borderId="49" xfId="0" applyFont="1" applyFill="1" applyBorder="1" applyAlignment="1">
      <alignment horizontal="center"/>
    </xf>
    <xf numFmtId="0" fontId="0" fillId="0" borderId="0" xfId="0" applyAlignment="1">
      <alignment vertical="center" wrapText="1"/>
    </xf>
    <xf numFmtId="0" fontId="90" fillId="85" borderId="0" xfId="0" applyFont="1" applyFill="1" applyAlignment="1">
      <alignment horizontal="center"/>
    </xf>
    <xf numFmtId="0" fontId="3" fillId="89" borderId="46" xfId="0" applyFont="1" applyFill="1" applyBorder="1" applyAlignment="1">
      <alignment horizontal="left"/>
    </xf>
    <xf numFmtId="0" fontId="3" fillId="90" borderId="47" xfId="0" applyFont="1" applyFill="1" applyBorder="1" applyAlignment="1">
      <alignment horizontal="center"/>
    </xf>
    <xf numFmtId="0" fontId="3" fillId="90" borderId="48" xfId="0" applyFont="1" applyFill="1" applyBorder="1" applyAlignment="1">
      <alignment horizontal="center"/>
    </xf>
    <xf numFmtId="0" fontId="3" fillId="90" borderId="49" xfId="0" applyFont="1" applyFill="1" applyBorder="1" applyAlignment="1">
      <alignment horizontal="center"/>
    </xf>
    <xf numFmtId="0" fontId="3" fillId="90" borderId="50" xfId="0" applyFont="1" applyFill="1" applyBorder="1" applyAlignment="1">
      <alignment horizontal="center"/>
    </xf>
    <xf numFmtId="0" fontId="3" fillId="90" borderId="51" xfId="0" applyFont="1" applyFill="1" applyBorder="1" applyAlignment="1">
      <alignment horizontal="center"/>
    </xf>
    <xf numFmtId="0" fontId="3" fillId="90" borderId="52" xfId="0" applyFont="1" applyFill="1" applyBorder="1" applyAlignment="1">
      <alignment horizontal="center"/>
    </xf>
    <xf numFmtId="0" fontId="3" fillId="90" borderId="53" xfId="0" applyFont="1" applyFill="1" applyBorder="1" applyAlignment="1">
      <alignment horizontal="center"/>
    </xf>
    <xf numFmtId="0" fontId="13" fillId="0" borderId="1" xfId="0" applyFont="1" applyBorder="1" applyAlignment="1">
      <alignment horizontal="left"/>
    </xf>
    <xf numFmtId="0" fontId="13" fillId="0" borderId="19" xfId="0" applyFont="1" applyBorder="1" applyAlignment="1">
      <alignment horizontal="center"/>
    </xf>
    <xf numFmtId="2" fontId="13" fillId="92" borderId="0" xfId="0" applyNumberFormat="1" applyFont="1" applyFill="1" applyAlignment="1">
      <alignment horizontal="center"/>
    </xf>
    <xf numFmtId="2" fontId="13" fillId="92" borderId="1" xfId="0" applyNumberFormat="1" applyFont="1" applyFill="1" applyBorder="1" applyAlignment="1">
      <alignment horizontal="center"/>
    </xf>
    <xf numFmtId="182" fontId="13" fillId="92" borderId="0" xfId="0" applyNumberFormat="1" applyFont="1" applyFill="1" applyAlignment="1">
      <alignment horizontal="center"/>
    </xf>
    <xf numFmtId="0" fontId="25" fillId="0" borderId="0" xfId="0" applyFont="1"/>
    <xf numFmtId="0" fontId="13" fillId="2" borderId="0" xfId="0" applyFont="1" applyFill="1" applyAlignment="1">
      <alignment horizontal="center"/>
    </xf>
    <xf numFmtId="2" fontId="13" fillId="2" borderId="18" xfId="0" applyNumberFormat="1" applyFont="1" applyFill="1" applyBorder="1" applyAlignment="1">
      <alignment horizontal="center"/>
    </xf>
    <xf numFmtId="2" fontId="13" fillId="2" borderId="1" xfId="0" applyNumberFormat="1" applyFont="1" applyFill="1" applyBorder="1" applyAlignment="1">
      <alignment horizontal="center"/>
    </xf>
    <xf numFmtId="0" fontId="13" fillId="12" borderId="0" xfId="0" applyFont="1" applyFill="1" applyAlignment="1">
      <alignment horizontal="center"/>
    </xf>
    <xf numFmtId="0" fontId="83" fillId="0" borderId="0" xfId="0" applyFont="1"/>
    <xf numFmtId="0" fontId="13" fillId="8" borderId="0" xfId="0" applyFont="1" applyFill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13" fillId="0" borderId="0" xfId="0" applyFont="1" applyAlignment="1">
      <alignment horizontal="left"/>
    </xf>
    <xf numFmtId="0" fontId="83" fillId="0" borderId="0" xfId="0" applyFont="1" applyAlignment="1">
      <alignment horizontal="center"/>
    </xf>
    <xf numFmtId="0" fontId="3" fillId="89" borderId="49" xfId="0" applyFont="1" applyFill="1" applyBorder="1" applyAlignment="1">
      <alignment horizontal="center"/>
    </xf>
    <xf numFmtId="0" fontId="13" fillId="0" borderId="0" xfId="0" quotePrefix="1" applyFont="1"/>
    <xf numFmtId="4" fontId="25" fillId="2" borderId="0" xfId="190" applyFont="1" applyFill="1"/>
    <xf numFmtId="170" fontId="1" fillId="2" borderId="0" xfId="190" applyNumberFormat="1" applyFont="1" applyFill="1"/>
    <xf numFmtId="43" fontId="0" fillId="2" borderId="0" xfId="190" quotePrefix="1" applyNumberFormat="1" applyFont="1" applyFill="1"/>
    <xf numFmtId="4" fontId="1" fillId="2" borderId="0" xfId="190" applyFont="1" applyFill="1" applyAlignment="1">
      <alignment horizontal="right"/>
    </xf>
    <xf numFmtId="167" fontId="0" fillId="2" borderId="0" xfId="190" applyNumberFormat="1" applyFont="1" applyFill="1"/>
    <xf numFmtId="170" fontId="0" fillId="2" borderId="0" xfId="190" applyNumberFormat="1" applyFont="1" applyFill="1"/>
    <xf numFmtId="171" fontId="0" fillId="2" borderId="0" xfId="190" applyNumberFormat="1" applyFont="1" applyFill="1"/>
    <xf numFmtId="169" fontId="0" fillId="2" borderId="0" xfId="190" applyNumberFormat="1" applyFont="1" applyFill="1"/>
    <xf numFmtId="2" fontId="0" fillId="2" borderId="0" xfId="0" applyNumberFormat="1" applyFill="1"/>
    <xf numFmtId="170" fontId="102" fillId="0" borderId="0" xfId="0" applyNumberFormat="1" applyFont="1" applyAlignment="1">
      <alignment horizontal="center" vertical="center" wrapText="1"/>
    </xf>
    <xf numFmtId="0" fontId="101" fillId="0" borderId="0" xfId="0" applyFont="1" applyAlignment="1">
      <alignment horizontal="left"/>
    </xf>
    <xf numFmtId="172" fontId="101" fillId="0" borderId="0" xfId="0" applyNumberFormat="1" applyFont="1"/>
    <xf numFmtId="10" fontId="101" fillId="0" borderId="0" xfId="0" applyNumberFormat="1" applyFont="1"/>
    <xf numFmtId="0" fontId="101" fillId="0" borderId="0" xfId="0" applyFont="1" applyAlignment="1">
      <alignment horizontal="left" indent="1"/>
    </xf>
    <xf numFmtId="170" fontId="101" fillId="0" borderId="0" xfId="0" applyNumberFormat="1" applyFont="1"/>
    <xf numFmtId="10" fontId="101" fillId="0" borderId="0" xfId="0" applyNumberFormat="1" applyFont="1" applyAlignment="1">
      <alignment horizontal="center" vertical="center" wrapText="1"/>
    </xf>
    <xf numFmtId="0" fontId="101" fillId="0" borderId="0" xfId="0" applyFont="1" applyAlignment="1">
      <alignment horizontal="center" vertical="center" wrapText="1"/>
    </xf>
    <xf numFmtId="0" fontId="0" fillId="0" borderId="0" xfId="0" applyFill="1"/>
    <xf numFmtId="0" fontId="0" fillId="0" borderId="0" xfId="0" applyFill="1" applyAlignment="1">
      <alignment horizontal="center"/>
    </xf>
    <xf numFmtId="166" fontId="0" fillId="0" borderId="0" xfId="0" applyNumberFormat="1" applyFill="1"/>
    <xf numFmtId="195" fontId="0" fillId="0" borderId="0" xfId="0" applyNumberFormat="1" applyFill="1"/>
    <xf numFmtId="172" fontId="0" fillId="2" borderId="0" xfId="1" quotePrefix="1" applyNumberFormat="1" applyFont="1" applyFill="1"/>
    <xf numFmtId="3" fontId="0" fillId="13" borderId="0" xfId="190" applyNumberFormat="1" applyFont="1" applyFill="1"/>
    <xf numFmtId="172" fontId="0" fillId="13" borderId="0" xfId="1" applyNumberFormat="1" applyFont="1" applyFill="1"/>
    <xf numFmtId="0" fontId="0" fillId="13" borderId="0" xfId="0" applyFill="1"/>
    <xf numFmtId="0" fontId="0" fillId="13" borderId="0" xfId="0" applyFill="1" applyAlignment="1">
      <alignment horizontal="center"/>
    </xf>
    <xf numFmtId="166" fontId="0" fillId="13" borderId="0" xfId="190" applyNumberFormat="1" applyFont="1" applyFill="1"/>
    <xf numFmtId="166" fontId="0" fillId="13" borderId="0" xfId="0" applyNumberFormat="1" applyFill="1" applyAlignment="1">
      <alignment horizontal="right"/>
    </xf>
    <xf numFmtId="43" fontId="0" fillId="13" borderId="0" xfId="190" applyNumberFormat="1" applyFont="1" applyFill="1"/>
    <xf numFmtId="10" fontId="0" fillId="13" borderId="1" xfId="1" applyNumberFormat="1" applyFont="1" applyFill="1" applyBorder="1"/>
    <xf numFmtId="43" fontId="0" fillId="13" borderId="19" xfId="190" applyNumberFormat="1" applyFont="1" applyFill="1" applyBorder="1" applyAlignment="1">
      <alignment horizontal="right"/>
    </xf>
    <xf numFmtId="168" fontId="0" fillId="13" borderId="0" xfId="190" applyNumberFormat="1" applyFont="1" applyFill="1"/>
    <xf numFmtId="166" fontId="0" fillId="13" borderId="1" xfId="190" applyNumberFormat="1" applyFont="1" applyFill="1" applyBorder="1"/>
    <xf numFmtId="196" fontId="0" fillId="13" borderId="0" xfId="1" applyNumberFormat="1" applyFont="1" applyFill="1"/>
    <xf numFmtId="170" fontId="0" fillId="13" borderId="1" xfId="190" applyNumberFormat="1" applyFont="1" applyFill="1" applyBorder="1"/>
    <xf numFmtId="10" fontId="0" fillId="13" borderId="0" xfId="1" applyNumberFormat="1" applyFont="1" applyFill="1"/>
    <xf numFmtId="166" fontId="0" fillId="13" borderId="0" xfId="0" applyNumberFormat="1" applyFill="1"/>
    <xf numFmtId="173" fontId="0" fillId="13" borderId="0" xfId="1" applyNumberFormat="1" applyFont="1" applyFill="1"/>
    <xf numFmtId="3" fontId="0" fillId="13" borderId="0" xfId="190" applyNumberFormat="1" applyFont="1" applyFill="1" applyAlignment="1">
      <alignment horizontal="center"/>
    </xf>
    <xf numFmtId="170" fontId="0" fillId="13" borderId="0" xfId="1" applyNumberFormat="1" applyFont="1" applyFill="1"/>
    <xf numFmtId="4" fontId="0" fillId="13" borderId="0" xfId="190" applyFont="1" applyFill="1"/>
    <xf numFmtId="170" fontId="0" fillId="13" borderId="0" xfId="190" applyNumberFormat="1" applyFont="1" applyFill="1" applyBorder="1"/>
    <xf numFmtId="10" fontId="0" fillId="13" borderId="0" xfId="1" applyNumberFormat="1" applyFont="1" applyFill="1" applyBorder="1"/>
    <xf numFmtId="195" fontId="0" fillId="13" borderId="0" xfId="0" applyNumberFormat="1" applyFill="1"/>
    <xf numFmtId="166" fontId="0" fillId="13" borderId="0" xfId="190" applyNumberFormat="1" applyFont="1" applyFill="1" applyAlignment="1">
      <alignment horizontal="center"/>
    </xf>
    <xf numFmtId="170" fontId="0" fillId="13" borderId="58" xfId="190" applyNumberFormat="1" applyFont="1" applyFill="1" applyBorder="1"/>
    <xf numFmtId="166" fontId="0" fillId="13" borderId="0" xfId="190" applyNumberFormat="1" applyFont="1" applyFill="1" applyBorder="1"/>
    <xf numFmtId="168" fontId="0" fillId="13" borderId="0" xfId="1" applyNumberFormat="1" applyFont="1" applyFill="1"/>
    <xf numFmtId="4" fontId="0" fillId="13" borderId="0" xfId="190" applyFont="1" applyFill="1" applyAlignment="1">
      <alignment horizontal="right"/>
    </xf>
    <xf numFmtId="170" fontId="0" fillId="13" borderId="57" xfId="190" applyNumberFormat="1" applyFont="1" applyFill="1" applyBorder="1"/>
    <xf numFmtId="166" fontId="0" fillId="0" borderId="0" xfId="0" applyNumberFormat="1" applyFill="1" applyAlignment="1">
      <alignment horizontal="right"/>
    </xf>
    <xf numFmtId="0" fontId="105" fillId="93" borderId="0" xfId="0" applyFont="1" applyFill="1"/>
    <xf numFmtId="0" fontId="105" fillId="94" borderId="0" xfId="0" applyFont="1" applyFill="1"/>
    <xf numFmtId="4" fontId="25" fillId="8" borderId="0" xfId="190" applyFont="1" applyFill="1"/>
    <xf numFmtId="0" fontId="0" fillId="8" borderId="0" xfId="0" applyFill="1"/>
    <xf numFmtId="166" fontId="0" fillId="8" borderId="0" xfId="190" applyNumberFormat="1" applyFont="1" applyFill="1"/>
    <xf numFmtId="4" fontId="83" fillId="8" borderId="0" xfId="190" applyFont="1" applyFill="1"/>
    <xf numFmtId="43" fontId="0" fillId="8" borderId="0" xfId="190" applyNumberFormat="1" applyFont="1" applyFill="1"/>
    <xf numFmtId="10" fontId="0" fillId="8" borderId="0" xfId="1" applyNumberFormat="1" applyFont="1" applyFill="1"/>
    <xf numFmtId="9" fontId="0" fillId="8" borderId="0" xfId="1" applyFont="1" applyFill="1"/>
    <xf numFmtId="172" fontId="0" fillId="8" borderId="0" xfId="1" applyNumberFormat="1" applyFont="1" applyFill="1"/>
    <xf numFmtId="170" fontId="1" fillId="8" borderId="0" xfId="190" applyNumberFormat="1" applyFont="1" applyFill="1"/>
    <xf numFmtId="43" fontId="0" fillId="8" borderId="0" xfId="190" quotePrefix="1" applyNumberFormat="1" applyFont="1" applyFill="1"/>
    <xf numFmtId="4" fontId="1" fillId="8" borderId="0" xfId="190" applyFont="1" applyFill="1" applyAlignment="1">
      <alignment horizontal="right"/>
    </xf>
    <xf numFmtId="167" fontId="0" fillId="8" borderId="0" xfId="190" applyNumberFormat="1" applyFont="1" applyFill="1"/>
    <xf numFmtId="194" fontId="0" fillId="8" borderId="0" xfId="190" applyNumberFormat="1" applyFont="1" applyFill="1"/>
    <xf numFmtId="170" fontId="0" fillId="8" borderId="0" xfId="190" applyNumberFormat="1" applyFont="1" applyFill="1"/>
    <xf numFmtId="171" fontId="0" fillId="8" borderId="0" xfId="190" applyNumberFormat="1" applyFont="1" applyFill="1"/>
    <xf numFmtId="172" fontId="0" fillId="8" borderId="0" xfId="0" applyNumberFormat="1" applyFill="1"/>
    <xf numFmtId="4" fontId="0" fillId="8" borderId="0" xfId="190" applyFont="1" applyFill="1"/>
    <xf numFmtId="169" fontId="0" fillId="8" borderId="0" xfId="190" applyNumberFormat="1" applyFont="1" applyFill="1"/>
    <xf numFmtId="2" fontId="0" fillId="8" borderId="0" xfId="0" applyNumberFormat="1" applyFill="1"/>
  </cellXfs>
  <cellStyles count="5473">
    <cellStyle name="1" xfId="13" xr:uid="{FA6C5025-C4D6-45CB-ABA7-4971283ADA73}"/>
    <cellStyle name="1 2" xfId="279" xr:uid="{FFE46D87-50BF-457A-9A17-751952CF6EE6}"/>
    <cellStyle name="20% - Accent1" xfId="20" builtinId="30" customBuiltin="1"/>
    <cellStyle name="20% - Accent1 2" xfId="14" xr:uid="{C4789119-CACC-4C80-B38B-2E62721FC5D3}"/>
    <cellStyle name="20% - Accent2" xfId="21" builtinId="34" customBuiltin="1"/>
    <cellStyle name="20% - Accent2 2" xfId="15" xr:uid="{D11CDBE3-1598-45A2-ADDC-E256702E0CA7}"/>
    <cellStyle name="20% - Accent3" xfId="22" builtinId="38" customBuiltin="1"/>
    <cellStyle name="20% - Accent3 2" xfId="16" xr:uid="{D1D8A40C-890A-4723-9724-531CC5A8038A}"/>
    <cellStyle name="20% - Accent4" xfId="23" builtinId="42" customBuiltin="1"/>
    <cellStyle name="20% - Accent4 2" xfId="17" xr:uid="{712F88F2-40B6-47CC-A78F-183D99F32E06}"/>
    <cellStyle name="20% - Accent5" xfId="24" builtinId="46" customBuiltin="1"/>
    <cellStyle name="20% - Accent5 2" xfId="18" xr:uid="{6F4E7097-FFD9-4A55-BBDC-E24A09C93257}"/>
    <cellStyle name="20% - Accent6" xfId="25" builtinId="50" customBuiltin="1"/>
    <cellStyle name="20% - Accent6 2" xfId="19" xr:uid="{16745907-9E85-4688-ADB7-BA03B9439457}"/>
    <cellStyle name="20% - Ênfase1" xfId="4370" xr:uid="{D9799FB5-9F4E-4F11-939B-BFE6FE8FCBD1}"/>
    <cellStyle name="20% - Ênfase2" xfId="4371" xr:uid="{C1C756EC-E654-4EC2-BE0E-85EEA5E6F1D2}"/>
    <cellStyle name="20% - Ênfase3" xfId="4372" xr:uid="{AB490D43-8FB5-4C15-B7F2-AB22899B37A5}"/>
    <cellStyle name="20% - Ênfase4" xfId="4373" xr:uid="{697786D3-0426-455C-9757-63B675B631C9}"/>
    <cellStyle name="20% - Ênfase5" xfId="4374" xr:uid="{F5B22213-0FDE-4A32-9CD6-8F2FCAFC8EE6}"/>
    <cellStyle name="20% - Ênfase6" xfId="4375" xr:uid="{A4A1EB7C-6E9B-449F-8E5B-19C69DA67C9C}"/>
    <cellStyle name="40% - Accent1" xfId="32" builtinId="31" customBuiltin="1"/>
    <cellStyle name="40% - Accent1 2" xfId="26" xr:uid="{5F1BA23B-AEB5-406C-95AF-EE31FADFC81C}"/>
    <cellStyle name="40% - Accent2" xfId="33" builtinId="35" customBuiltin="1"/>
    <cellStyle name="40% - Accent2 2" xfId="27" xr:uid="{2CC1FBF9-E2C6-4BA6-A788-C2378720B8C8}"/>
    <cellStyle name="40% - Accent3" xfId="34" builtinId="39" customBuiltin="1"/>
    <cellStyle name="40% - Accent3 2" xfId="28" xr:uid="{FCD11964-8FAC-4C8E-BB9A-068CAF107B4E}"/>
    <cellStyle name="40% - Accent4" xfId="35" builtinId="43" customBuiltin="1"/>
    <cellStyle name="40% - Accent4 2" xfId="29" xr:uid="{95DA549C-74AF-46A8-B319-06D1D87E72A8}"/>
    <cellStyle name="40% - Accent5" xfId="36" builtinId="47" customBuiltin="1"/>
    <cellStyle name="40% - Accent5 2" xfId="30" xr:uid="{92227381-6399-4D7E-AF8E-2DF970DCB324}"/>
    <cellStyle name="40% - Accent6" xfId="37" builtinId="51" customBuiltin="1"/>
    <cellStyle name="40% - Accent6 2" xfId="31" xr:uid="{FA8C97E9-617A-404A-9561-6F98A8BBB6ED}"/>
    <cellStyle name="40% - Ênfase1" xfId="4376" xr:uid="{31484F53-F360-4753-8951-99133744B3F9}"/>
    <cellStyle name="40% - Ênfase2" xfId="4377" xr:uid="{277D8E62-7703-40D3-B0A4-564EBDCAFB22}"/>
    <cellStyle name="40% - Ênfase3" xfId="4378" xr:uid="{F14C75F6-3D84-4116-9638-6B9A8AEB004F}"/>
    <cellStyle name="40% - Ênfase4" xfId="4379" xr:uid="{171B8D31-7396-4B6E-819E-942C79924C6B}"/>
    <cellStyle name="40% - Ênfase5" xfId="4380" xr:uid="{F4D92623-9E0E-436F-A15B-EB8E02F24F38}"/>
    <cellStyle name="40% - Ênfase6" xfId="4381" xr:uid="{44B72067-5CDF-468E-ACED-E2CB8B588600}"/>
    <cellStyle name="60% - Accent1" xfId="44" builtinId="32" customBuiltin="1"/>
    <cellStyle name="60% - Accent1 2" xfId="38" xr:uid="{5962CB18-2814-427A-9AC9-47F862B4D36D}"/>
    <cellStyle name="60% - Accent1 3" xfId="4364" xr:uid="{C6652E27-C874-4B28-B109-63A0DC061363}"/>
    <cellStyle name="60% - Accent2" xfId="45" builtinId="36" customBuiltin="1"/>
    <cellStyle name="60% - Accent2 2" xfId="39" xr:uid="{1A156EAD-B768-4571-B6E4-9AB0609E0364}"/>
    <cellStyle name="60% - Accent2 3" xfId="4365" xr:uid="{4274AD78-CB7D-40E3-9C8D-EE9FC2FFC51E}"/>
    <cellStyle name="60% - Accent3" xfId="46" builtinId="40" customBuiltin="1"/>
    <cellStyle name="60% - Accent3 2" xfId="40" xr:uid="{31FED88C-77B3-417E-A16B-42BF67115F18}"/>
    <cellStyle name="60% - Accent3 3" xfId="4366" xr:uid="{938B7652-DBCD-4922-98BC-3EF09F15CC65}"/>
    <cellStyle name="60% - Accent4" xfId="47" builtinId="44" customBuiltin="1"/>
    <cellStyle name="60% - Accent4 2" xfId="41" xr:uid="{B8C269C0-8390-418A-91DC-6FD2AE71BA1C}"/>
    <cellStyle name="60% - Accent4 3" xfId="4367" xr:uid="{99E02AD5-D6D0-4D5B-90A2-3B0D8180BD6C}"/>
    <cellStyle name="60% - Accent5" xfId="48" builtinId="48" customBuiltin="1"/>
    <cellStyle name="60% - Accent5 2" xfId="42" xr:uid="{322A48DB-DDB3-4C6D-A164-509AACB7271C}"/>
    <cellStyle name="60% - Accent5 3" xfId="4368" xr:uid="{FD5C0BFC-453F-4BD4-BDB9-46CDDD3BDDA4}"/>
    <cellStyle name="60% - Accent6" xfId="49" builtinId="52" customBuiltin="1"/>
    <cellStyle name="60% - Accent6 2" xfId="43" xr:uid="{C6FF43F5-DCF8-4702-8CA4-5F9D8F74F010}"/>
    <cellStyle name="60% - Accent6 3" xfId="4369" xr:uid="{570B1C90-A39C-40D7-B40A-A2E609CF9643}"/>
    <cellStyle name="60% - Ênfase1" xfId="4382" xr:uid="{5A09A1B9-37C6-4B5E-A520-D7643E6A0E61}"/>
    <cellStyle name="60% - Ênfase2" xfId="4383" xr:uid="{1F27CCF3-7750-4F50-871A-03A4E12BAF15}"/>
    <cellStyle name="60% - Ênfase3" xfId="4384" xr:uid="{52B929D7-7F0E-4DB0-9BFF-5359536EABD0}"/>
    <cellStyle name="60% - Ênfase4" xfId="4385" xr:uid="{B6C6D5F6-4A1E-4054-88B5-7A0252D4BFAE}"/>
    <cellStyle name="60% - Ênfase5" xfId="4386" xr:uid="{7AFBAA18-85B8-4D2D-BDE0-DDA6248E422D}"/>
    <cellStyle name="60% - Ênfase6" xfId="4387" xr:uid="{399BFFE8-B6AF-4C2F-9B1C-0C7F68DD200C}"/>
    <cellStyle name="A3 297 x 420 mm" xfId="50" xr:uid="{E5CA78B4-BE3F-4CF2-B5F2-9D959A891196}"/>
    <cellStyle name="A3 297 x 420 mm 2" xfId="280" xr:uid="{7632706A-79CF-400E-A35E-B2ABB5A09C30}"/>
    <cellStyle name="Accent1" xfId="87" builtinId="29" customBuiltin="1"/>
    <cellStyle name="Accent1 2" xfId="51" xr:uid="{9E40406A-1D88-4695-977F-44244E2FC899}"/>
    <cellStyle name="Accent2" xfId="88" builtinId="33" customBuiltin="1"/>
    <cellStyle name="Accent2 2" xfId="52" xr:uid="{0987259B-F76A-4091-B0A5-E6A075B29D1A}"/>
    <cellStyle name="Accent3" xfId="89" builtinId="37" customBuiltin="1"/>
    <cellStyle name="Accent3 2" xfId="53" xr:uid="{2F91FED0-09A9-45D0-B9A6-FD887422E040}"/>
    <cellStyle name="Accent4" xfId="90" builtinId="41" customBuiltin="1"/>
    <cellStyle name="Accent4 2" xfId="54" xr:uid="{8642B6B2-2ECF-45BD-8EEB-0B1B287B282B}"/>
    <cellStyle name="Accent5" xfId="91" builtinId="45" customBuiltin="1"/>
    <cellStyle name="Accent5 2" xfId="55" xr:uid="{7FB63C83-D666-4354-BA79-8F069CD9BD52}"/>
    <cellStyle name="Accent6" xfId="92" builtinId="49" customBuiltin="1"/>
    <cellStyle name="Accent6 2" xfId="56" xr:uid="{5081497C-F172-490D-8815-C8896B794F19}"/>
    <cellStyle name="AFE" xfId="57" xr:uid="{E467E9B1-92C0-4489-A46B-45D4307785B7}"/>
    <cellStyle name="AutoFormat Options" xfId="58" xr:uid="{103BD187-1051-456A-80BB-D78B6693DEFC}"/>
    <cellStyle name="AutoFormat Options 2" xfId="1273" xr:uid="{16DFF83A-75B9-4484-A281-710BE40ACEE2}"/>
    <cellStyle name="AutoFormat Options 2 2" xfId="3331" xr:uid="{CF56E90E-FEC2-4E79-A107-0AE0E74C60F3}"/>
    <cellStyle name="AutoFormat Options 3" xfId="2301" xr:uid="{515718E6-EF14-42DF-B770-FB0F21FB9650}"/>
    <cellStyle name="AutoFormat Options 4" xfId="4426" xr:uid="{B61ED22B-D170-4A3C-A52A-8C8F70EFA008}"/>
    <cellStyle name="Bad" xfId="5" builtinId="27" customBuiltin="1"/>
    <cellStyle name="Bad 2" xfId="59" xr:uid="{E48B8627-36D2-4125-B973-03B779EEC748}"/>
    <cellStyle name="Basis Points" xfId="60" xr:uid="{A472F49C-8C01-4F7C-B7EC-02248F82281C}"/>
    <cellStyle name="blp_column_header" xfId="61" xr:uid="{CE2CEF85-1689-45AA-AE49-D066E4BB202A}"/>
    <cellStyle name="Bom" xfId="4" xr:uid="{6534F8EF-7A32-49AD-8382-CE823E6AD32B}"/>
    <cellStyle name="Bom 2" xfId="4388" xr:uid="{85B6EF5F-49E7-496D-95D1-BA7D300E291B}"/>
    <cellStyle name="Calculation" xfId="63" builtinId="22" customBuiltin="1"/>
    <cellStyle name="Calculation 2" xfId="62" xr:uid="{27D362EB-4C68-4D00-A334-011811D623F5}"/>
    <cellStyle name="Cálculo" xfId="4389" xr:uid="{D8183DAD-9CC3-4AA5-AD60-6A1D94739AA2}"/>
    <cellStyle name="CarteiraCabecalhoColuna 3" xfId="386" xr:uid="{8F520CA7-1508-4003-AAC1-4CC52C4E1906}"/>
    <cellStyle name="CarteiraDestaque" xfId="383" xr:uid="{D1073514-28F4-4C9E-B8EF-FB207FEBEE7B}"/>
    <cellStyle name="CarteiraDestaqueData" xfId="385" xr:uid="{D169CCF5-0E64-4542-AEAB-CF8D168856AA}"/>
    <cellStyle name="CarteiraNomeFundo" xfId="387" xr:uid="{B19B8D34-8A02-4154-8C40-531B74D71553}"/>
    <cellStyle name="CarteiraNomeSecao" xfId="384" xr:uid="{538BD9F7-5ABB-4A5C-9CF0-5EBA16C6D517}"/>
    <cellStyle name="Célula de Verificação" xfId="9" xr:uid="{7F655848-E513-44B3-88FB-88F02F38BDE0}"/>
    <cellStyle name="Célula de Verificação 2" xfId="4390" xr:uid="{7E01400B-0821-4F09-96FA-3559EA08F4B0}"/>
    <cellStyle name="Célula Vinculada" xfId="8" xr:uid="{41C7963F-0796-4B55-9FE9-165B86D646DB}"/>
    <cellStyle name="Célula Vinculada 2" xfId="4391" xr:uid="{EA5E4F6C-15B0-48BB-857E-00C6AF9ABCE2}"/>
    <cellStyle name="Check Cell" xfId="4361" builtinId="23" customBuiltin="1"/>
    <cellStyle name="Check Cell 2" xfId="64" xr:uid="{F6F472C9-F69F-468D-AC68-033571D7070F}"/>
    <cellStyle name="ColHeading" xfId="65" xr:uid="{47745584-3A47-4909-867E-B93775BC2CEC}"/>
    <cellStyle name="ColumnHeading" xfId="66" xr:uid="{5985BF99-C365-4BF5-897F-EE6AC99F9960}"/>
    <cellStyle name="Comma" xfId="190" builtinId="3"/>
    <cellStyle name="Comma [4]" xfId="67" xr:uid="{D2660E36-8D54-4845-BED5-6CCD79CA88C8}"/>
    <cellStyle name="Comma 10" xfId="202" xr:uid="{16AAEAC7-CE16-4834-9D90-1DAD07BA7363}"/>
    <cellStyle name="Comma 10 2" xfId="1288" xr:uid="{2C6206A2-E242-478C-AE88-BAEAF34D0110}"/>
    <cellStyle name="Comma 10 2 2" xfId="3346" xr:uid="{4774E330-AEB3-4FF4-8146-86671285B173}"/>
    <cellStyle name="Comma 10 3" xfId="2316" xr:uid="{03D29B66-7BA3-4499-A348-B1B71D267515}"/>
    <cellStyle name="Comma 10 4" xfId="4442" xr:uid="{9F0C552F-207E-4327-9EF3-D7303194E48B}"/>
    <cellStyle name="Comma 100" xfId="314" xr:uid="{88353064-2C4A-4B2A-A343-F11D1834E3C8}"/>
    <cellStyle name="Comma 100 2" xfId="1378" xr:uid="{A823D0FC-BADF-4F95-8098-54F60F13665A}"/>
    <cellStyle name="Comma 100 2 2" xfId="3436" xr:uid="{6759C0E4-344C-42C3-80A6-5C8A13FC0C8F}"/>
    <cellStyle name="Comma 100 3" xfId="2406" xr:uid="{24EB6B9B-0D33-4789-A338-92093685466A}"/>
    <cellStyle name="Comma 100 4" xfId="4532" xr:uid="{408A3474-775A-41B1-9940-D59FCF9A1DC5}"/>
    <cellStyle name="Comma 1000" xfId="1248" xr:uid="{49D12A22-E5DD-4A83-8D93-ACDD4D22A49B}"/>
    <cellStyle name="Comma 1000 2" xfId="2278" xr:uid="{E5576C1E-A6EB-4680-822F-C480C9948B1F}"/>
    <cellStyle name="Comma 1000 2 2" xfId="4336" xr:uid="{55CD24E7-3B05-46C9-8931-FFF848C6AAF2}"/>
    <cellStyle name="Comma 1000 3" xfId="3306" xr:uid="{15114AEE-04E1-4B47-A1C1-27CA0928C1F2}"/>
    <cellStyle name="Comma 1000 4" xfId="5432" xr:uid="{B1918BD5-D303-4D07-B47B-86E21B7A3ADE}"/>
    <cellStyle name="Comma 1001" xfId="1249" xr:uid="{3B71930B-15FE-450C-A941-B19827FCEC16}"/>
    <cellStyle name="Comma 1001 2" xfId="2279" xr:uid="{DB5AF21B-0C3C-4BB6-86DA-B83457718F16}"/>
    <cellStyle name="Comma 1001 2 2" xfId="4337" xr:uid="{5C154A35-0B5A-44BA-A3DC-F842128C929C}"/>
    <cellStyle name="Comma 1001 3" xfId="3307" xr:uid="{7383BCDA-D04B-4B89-B874-CB2812826B60}"/>
    <cellStyle name="Comma 1001 4" xfId="5433" xr:uid="{10897322-EEEB-4BD5-9A5A-13B4C5D04D16}"/>
    <cellStyle name="Comma 1002" xfId="1250" xr:uid="{E3635005-8C7F-4C94-85F6-732AC020FBAF}"/>
    <cellStyle name="Comma 1002 2" xfId="2280" xr:uid="{0EB68EBE-32D2-4B07-961E-68F29DBE7D76}"/>
    <cellStyle name="Comma 1002 2 2" xfId="4338" xr:uid="{75881AB8-BF25-455C-8A1E-44E2A5C47A2E}"/>
    <cellStyle name="Comma 1002 3" xfId="3308" xr:uid="{F8CEBDFD-A056-4068-BD0C-EBF1B27A53FF}"/>
    <cellStyle name="Comma 1002 4" xfId="5434" xr:uid="{ED38993B-50C0-475B-BD1F-E2774360CF06}"/>
    <cellStyle name="Comma 1003" xfId="1251" xr:uid="{4357EA1E-B594-4188-A5E2-E8E07E296ED5}"/>
    <cellStyle name="Comma 1003 2" xfId="2281" xr:uid="{1F755DA4-5C55-4589-83EB-29A6030CEA5F}"/>
    <cellStyle name="Comma 1003 2 2" xfId="4339" xr:uid="{256BE902-158C-42B9-ACE6-5B37571E0E4D}"/>
    <cellStyle name="Comma 1003 3" xfId="3309" xr:uid="{09BC3F5C-DF4D-4A46-B2C0-FF993ED6774B}"/>
    <cellStyle name="Comma 1003 4" xfId="5435" xr:uid="{AC264BAB-257A-4959-BC99-F7E690F835F2}"/>
    <cellStyle name="Comma 1004" xfId="1252" xr:uid="{8FAF0C1B-3AFF-4D6A-99A2-B14BBE1271E6}"/>
    <cellStyle name="Comma 1004 2" xfId="2282" xr:uid="{BD7B80D5-A5C9-49AF-B27D-7830A12987B1}"/>
    <cellStyle name="Comma 1004 2 2" xfId="4340" xr:uid="{F0FEBC42-CC10-42EC-BC89-CD140D008281}"/>
    <cellStyle name="Comma 1004 3" xfId="3310" xr:uid="{364C1D47-8BB8-4623-A2DE-2C729F0012BF}"/>
    <cellStyle name="Comma 1004 4" xfId="5436" xr:uid="{7DC86402-F243-4A7E-B477-B79C0640B342}"/>
    <cellStyle name="Comma 1005" xfId="1253" xr:uid="{70E6B3EE-274D-450D-9E9E-A387E1952130}"/>
    <cellStyle name="Comma 1005 2" xfId="2283" xr:uid="{49B4B5BD-521B-4715-B1EC-E30F5EB02DDE}"/>
    <cellStyle name="Comma 1005 2 2" xfId="4341" xr:uid="{D4470D09-CB39-4979-94B7-7CC0EAD68A04}"/>
    <cellStyle name="Comma 1005 3" xfId="3311" xr:uid="{F7B4B3C0-9EF1-44ED-AB75-3492E35DD2C1}"/>
    <cellStyle name="Comma 1005 4" xfId="5437" xr:uid="{B022E678-01BA-4E5D-B8B7-8EA7F0B1C263}"/>
    <cellStyle name="Comma 1006" xfId="1254" xr:uid="{C8CB4E6C-3F2B-4C54-92E4-687D95FC1E43}"/>
    <cellStyle name="Comma 1006 2" xfId="2284" xr:uid="{C1811EDD-6ACA-4E05-B3F7-60A7E5E9B955}"/>
    <cellStyle name="Comma 1006 2 2" xfId="4342" xr:uid="{82163AA0-45B9-4FC0-9377-02C9540BAE4F}"/>
    <cellStyle name="Comma 1006 3" xfId="3312" xr:uid="{EF497E47-B73D-48D9-B9BD-4DCD7FDEFADA}"/>
    <cellStyle name="Comma 1006 4" xfId="5438" xr:uid="{FB43255E-EEC3-4122-AF16-104A47E2B907}"/>
    <cellStyle name="Comma 1007" xfId="1255" xr:uid="{6A51372B-B34A-471D-8734-7E2F8B7BEA66}"/>
    <cellStyle name="Comma 1007 2" xfId="2285" xr:uid="{AFBA3CC1-4AA7-474F-8E23-305C45DB5990}"/>
    <cellStyle name="Comma 1007 2 2" xfId="4343" xr:uid="{C47712FF-9635-4411-A0F2-63BC411BD25D}"/>
    <cellStyle name="Comma 1007 3" xfId="3313" xr:uid="{099BA72B-6B0B-4F9D-AFF4-C042687F897B}"/>
    <cellStyle name="Comma 1007 4" xfId="5439" xr:uid="{C338CA5C-6497-4E87-BA9F-5A195A1CFAF1}"/>
    <cellStyle name="Comma 1008" xfId="1256" xr:uid="{CD3C4FDF-6AA6-47B0-A770-C269DB1C4B23}"/>
    <cellStyle name="Comma 1008 2" xfId="2286" xr:uid="{5AF11800-A21E-471F-9ED0-28C9B79D344E}"/>
    <cellStyle name="Comma 1008 2 2" xfId="4344" xr:uid="{7EF1C7A8-70C5-4F51-99FE-C8A40650267E}"/>
    <cellStyle name="Comma 1008 3" xfId="3314" xr:uid="{F2390D1F-8FE2-4491-BAC2-6120E8E3D7EB}"/>
    <cellStyle name="Comma 1008 4" xfId="5440" xr:uid="{A0110322-FAE5-4379-A4B1-D235EFD34F5C}"/>
    <cellStyle name="Comma 1009" xfId="1257" xr:uid="{FE06DFBA-9FBF-470F-B62C-232A2F45048E}"/>
    <cellStyle name="Comma 1009 2" xfId="2287" xr:uid="{C8C21C25-BEAB-4658-9DAB-F2397F722A81}"/>
    <cellStyle name="Comma 1009 2 2" xfId="4345" xr:uid="{DD7BC421-69E7-4145-B46B-C6BBDABD6E59}"/>
    <cellStyle name="Comma 1009 3" xfId="3315" xr:uid="{FFD09C12-FB21-4FA9-A945-3BC72343956C}"/>
    <cellStyle name="Comma 1009 4" xfId="5441" xr:uid="{7AD32F29-BB3E-4547-A8BA-E1A3A7B2F12E}"/>
    <cellStyle name="Comma 101" xfId="315" xr:uid="{3C2B9B20-B10B-4FFC-A2E6-D2576E6AB1A2}"/>
    <cellStyle name="Comma 101 2" xfId="1379" xr:uid="{1D9A355C-33C0-4851-BD16-6D895128F0AC}"/>
    <cellStyle name="Comma 101 2 2" xfId="3437" xr:uid="{10590D3A-594D-4E63-BE58-E097859925D1}"/>
    <cellStyle name="Comma 101 3" xfId="2407" xr:uid="{A82FA974-DD6D-43EE-9B53-CEA5E253CF59}"/>
    <cellStyle name="Comma 101 4" xfId="4533" xr:uid="{0EDFA03B-C580-467B-AAD8-7FA0904CBE3E}"/>
    <cellStyle name="Comma 1010" xfId="1258" xr:uid="{45A98550-3A3B-4E18-A0F1-F620B91BBCCB}"/>
    <cellStyle name="Comma 1010 2" xfId="2288" xr:uid="{6D61823E-0258-4473-ADBE-AA89B9AEB3AA}"/>
    <cellStyle name="Comma 1010 2 2" xfId="4346" xr:uid="{D0C9DEB1-CC8F-4017-A60B-E0BE80F9A4C1}"/>
    <cellStyle name="Comma 1010 3" xfId="3316" xr:uid="{972878BA-3EAF-424A-93F0-3941005BB23E}"/>
    <cellStyle name="Comma 1010 4" xfId="5442" xr:uid="{58DEB174-6757-4E39-A81A-87640394919C}"/>
    <cellStyle name="Comma 1011" xfId="1259" xr:uid="{0DD13077-C331-4F59-A980-3A18661B2D60}"/>
    <cellStyle name="Comma 1011 2" xfId="2289" xr:uid="{B81F9C43-ADC0-40BA-BF5C-9AD843795426}"/>
    <cellStyle name="Comma 1011 2 2" xfId="4347" xr:uid="{0C3F9C5E-07F9-4E22-9086-29CE003D74F7}"/>
    <cellStyle name="Comma 1011 3" xfId="3317" xr:uid="{509FD623-33D3-4DBD-8394-B91EE2760FC5}"/>
    <cellStyle name="Comma 1011 4" xfId="5443" xr:uid="{85424B2E-DE30-43CA-B2FB-AF6C2B576283}"/>
    <cellStyle name="Comma 1012" xfId="1260" xr:uid="{BC60EA7A-C08B-4B92-A776-E04071089B41}"/>
    <cellStyle name="Comma 1012 2" xfId="2290" xr:uid="{88A37581-0198-4FB6-8D22-D9755D7E67DE}"/>
    <cellStyle name="Comma 1012 2 2" xfId="4348" xr:uid="{402E2259-DC12-46D6-9B22-A3A2CC724EF0}"/>
    <cellStyle name="Comma 1012 3" xfId="3318" xr:uid="{17FFFC69-3389-45A4-9587-24C955E60EBF}"/>
    <cellStyle name="Comma 1012 4" xfId="5444" xr:uid="{C8AC3E3B-81AC-4616-9ED9-B563714B0D64}"/>
    <cellStyle name="Comma 1013" xfId="1261" xr:uid="{63EF2F45-5716-44DF-825C-772455C8986E}"/>
    <cellStyle name="Comma 1013 2" xfId="2291" xr:uid="{F5BF0DC9-B0C4-4A2B-883A-AEB3330E6BEC}"/>
    <cellStyle name="Comma 1013 2 2" xfId="4349" xr:uid="{0FFB4F23-B8AB-47D0-BCDF-03675BB9B82A}"/>
    <cellStyle name="Comma 1013 3" xfId="3319" xr:uid="{74780AD3-BDC6-42A5-B57D-4600193A2926}"/>
    <cellStyle name="Comma 1013 4" xfId="5445" xr:uid="{FE538E5A-9071-4741-A333-577F8B1C0080}"/>
    <cellStyle name="Comma 1014" xfId="1262" xr:uid="{6761C714-44FA-4DCB-BE1C-300994589BAE}"/>
    <cellStyle name="Comma 1014 2" xfId="2292" xr:uid="{3DDF3B88-598C-4FCA-913E-2A67A7C0E9F9}"/>
    <cellStyle name="Comma 1014 2 2" xfId="4350" xr:uid="{96585E33-0951-47F9-B0AC-3455E2C4618E}"/>
    <cellStyle name="Comma 1014 3" xfId="3320" xr:uid="{F32F64B2-B02F-4C8D-B8CC-D380C79B3138}"/>
    <cellStyle name="Comma 1014 4" xfId="5446" xr:uid="{97853CD8-636B-4C49-9172-EF9ACB9F9DD8}"/>
    <cellStyle name="Comma 1015" xfId="1263" xr:uid="{B329B2F7-4760-41A3-9117-C406B14B719C}"/>
    <cellStyle name="Comma 1015 2" xfId="2293" xr:uid="{84E83C58-F7B5-42E9-BFB7-4D2A5A52C1FB}"/>
    <cellStyle name="Comma 1015 2 2" xfId="4351" xr:uid="{CE8C30DA-FDFF-4017-8AEE-08AB415A0668}"/>
    <cellStyle name="Comma 1015 3" xfId="3321" xr:uid="{30E8D378-4ACD-48E5-A61E-0DC2AEAEF95A}"/>
    <cellStyle name="Comma 1015 4" xfId="5447" xr:uid="{8FE02ECF-BA98-4A08-9DC9-F6075FF64F6B}"/>
    <cellStyle name="Comma 1016" xfId="1264" xr:uid="{35E0F4F9-D1CC-4553-BDEF-94CD031E085F}"/>
    <cellStyle name="Comma 1016 2" xfId="2294" xr:uid="{8C732791-8966-4014-AB7D-C03C8F132353}"/>
    <cellStyle name="Comma 1016 2 2" xfId="4352" xr:uid="{3A04C736-F49C-4651-8EC6-B2E5D3D57F84}"/>
    <cellStyle name="Comma 1016 3" xfId="3322" xr:uid="{0B7AD7B8-983C-4BED-915B-618FD86A4FDC}"/>
    <cellStyle name="Comma 1016 4" xfId="5448" xr:uid="{0B3A645E-E66A-4BDF-A2DF-6502F0C001E6}"/>
    <cellStyle name="Comma 1017" xfId="1265" xr:uid="{A71AB061-BE7E-48C3-A18A-AEBD36DDA411}"/>
    <cellStyle name="Comma 1017 2" xfId="2295" xr:uid="{2536D02C-015F-40F2-ADD5-CF800FA70C22}"/>
    <cellStyle name="Comma 1017 2 2" xfId="4353" xr:uid="{3E879BF5-000A-4D14-804B-FA910AA7C0FE}"/>
    <cellStyle name="Comma 1017 3" xfId="3323" xr:uid="{42EE3A1D-2056-46D7-8D5B-9FC25283FD71}"/>
    <cellStyle name="Comma 1017 4" xfId="5449" xr:uid="{2DF57D01-11A3-4D9B-ACE9-A08D219A650F}"/>
    <cellStyle name="Comma 1018" xfId="1266" xr:uid="{1502FB31-BC04-48F0-AD61-9FF845186745}"/>
    <cellStyle name="Comma 1018 2" xfId="2296" xr:uid="{57824769-416E-4DF5-A373-32A27FFBF60E}"/>
    <cellStyle name="Comma 1018 2 2" xfId="4354" xr:uid="{E0D183C9-08E1-427C-929D-C06E6B9429DC}"/>
    <cellStyle name="Comma 1018 3" xfId="3324" xr:uid="{254F2D93-D049-45F3-81C8-332E5F8EB09A}"/>
    <cellStyle name="Comma 1018 4" xfId="5450" xr:uid="{A623F689-C7A5-4837-BADB-4A37793F2EFD}"/>
    <cellStyle name="Comma 1019" xfId="1267" xr:uid="{BEC43ECF-5E97-480E-B100-DF299FDE8BE6}"/>
    <cellStyle name="Comma 1019 2" xfId="2297" xr:uid="{2CA5B342-93BB-4146-8C25-08F3D9A166A0}"/>
    <cellStyle name="Comma 1019 2 2" xfId="4355" xr:uid="{DDA72288-A5D6-4457-A217-823B73DCBECB}"/>
    <cellStyle name="Comma 1019 3" xfId="3325" xr:uid="{E796068A-38A5-43E5-9042-2D8333E73A9E}"/>
    <cellStyle name="Comma 1019 4" xfId="5451" xr:uid="{86233C0A-289E-41FD-ACC9-D1F28BB36B20}"/>
    <cellStyle name="Comma 102" xfId="321" xr:uid="{7F6D2BF2-C1E4-438C-8A98-072CFD051583}"/>
    <cellStyle name="Comma 102 2" xfId="1380" xr:uid="{53AFE7D8-14FA-4C46-8C60-353C8BDA016C}"/>
    <cellStyle name="Comma 102 2 2" xfId="3438" xr:uid="{7FAA8EBE-7051-4835-B3CB-9D911E0FDE4E}"/>
    <cellStyle name="Comma 102 3" xfId="2408" xr:uid="{433AAF7B-20A5-4F52-BA58-4E5920F0FABD}"/>
    <cellStyle name="Comma 102 4" xfId="4534" xr:uid="{879EB29A-010C-498A-A728-34258DB46F0D}"/>
    <cellStyle name="Comma 1020" xfId="1268" xr:uid="{7FD5D7B2-38E8-47E0-83E7-BF246786B4F3}"/>
    <cellStyle name="Comma 1020 2" xfId="2298" xr:uid="{AC1B81CB-DB7E-42BE-B527-2A51982C2820}"/>
    <cellStyle name="Comma 1020 2 2" xfId="4356" xr:uid="{0271C537-5CE9-413F-A7D8-20D8199EC598}"/>
    <cellStyle name="Comma 1020 3" xfId="3326" xr:uid="{106AC5B0-E419-462E-A9B1-0313B38B9C86}"/>
    <cellStyle name="Comma 1020 4" xfId="5452" xr:uid="{5B85CDC0-9195-4D76-9756-07CC666C974C}"/>
    <cellStyle name="Comma 1021" xfId="1269" xr:uid="{2A99CC5F-56C0-4B37-B4F3-29161CD7D850}"/>
    <cellStyle name="Comma 1021 2" xfId="2299" xr:uid="{F34A382E-4B94-4345-8915-77DF823C40C1}"/>
    <cellStyle name="Comma 1021 2 2" xfId="4357" xr:uid="{DAA9B4D2-C325-4E56-9DEA-794F06BEF73C}"/>
    <cellStyle name="Comma 1021 3" xfId="3327" xr:uid="{65BE5EE5-E016-4F87-B63B-E4CF3C5077E6}"/>
    <cellStyle name="Comma 1021 4" xfId="5453" xr:uid="{8E518BB0-EBCA-4A15-9BE6-5F44E457D02A}"/>
    <cellStyle name="Comma 1022" xfId="1270" xr:uid="{DBBFC019-46CC-44CF-9BCB-1C67BC5447A9}"/>
    <cellStyle name="Comma 1022 2" xfId="3328" xr:uid="{50DF802E-4AF6-49B5-A05D-5463AE735A7B}"/>
    <cellStyle name="Comma 1023" xfId="4414" xr:uid="{5015F830-FE27-443C-A348-F24786225D55}"/>
    <cellStyle name="Comma 1024" xfId="4415" xr:uid="{BACCC1E1-6D17-47C9-A920-45981EA38067}"/>
    <cellStyle name="Comma 1025" xfId="4416" xr:uid="{AA38180E-6B85-4B80-BB8D-3B3F3160BB99}"/>
    <cellStyle name="Comma 1026" xfId="4417" xr:uid="{BAD99ADF-D919-4940-9660-50CA8C26C7DC}"/>
    <cellStyle name="Comma 1027" xfId="4418" xr:uid="{D38A14E3-BFDB-4F34-BC34-29ABD1E77E80}"/>
    <cellStyle name="Comma 1028" xfId="4419" xr:uid="{F333EB0E-C90B-4110-B498-C52BA6EA4358}"/>
    <cellStyle name="Comma 1029" xfId="4421" xr:uid="{C849BE3A-B248-4D28-B94C-FE8A49F93D2F}"/>
    <cellStyle name="Comma 103" xfId="322" xr:uid="{134AB7E4-DD05-4C02-B61D-6295723FD610}"/>
    <cellStyle name="Comma 103 2" xfId="1381" xr:uid="{B976477E-256F-4754-B813-E68F17AD136E}"/>
    <cellStyle name="Comma 103 2 2" xfId="3439" xr:uid="{033BF25E-B3AF-4111-861A-C68024D0D259}"/>
    <cellStyle name="Comma 103 3" xfId="2409" xr:uid="{F60A78EC-1EAE-4062-A2EB-B0FF9DE5947D}"/>
    <cellStyle name="Comma 103 4" xfId="4535" xr:uid="{9E3013D1-9737-4358-AAB2-C93851941C7A}"/>
    <cellStyle name="Comma 1030" xfId="4422" xr:uid="{A4643C6E-B0B1-4DEB-BB0E-F47F306BC92F}"/>
    <cellStyle name="Comma 1031" xfId="4423" xr:uid="{FD530AC7-61EB-4BE2-93BA-BB4B2A38DB9B}"/>
    <cellStyle name="Comma 1032" xfId="4424" xr:uid="{F607D93F-CA41-4DE1-B0C3-7944B0074125}"/>
    <cellStyle name="Comma 1033" xfId="4425" xr:uid="{98DFA2CC-61A2-40EB-BC6D-4A593E8C158B}"/>
    <cellStyle name="Comma 1034" xfId="5454" xr:uid="{089383CA-D0C2-4434-B42D-99F638921867}"/>
    <cellStyle name="Comma 1035" xfId="5455" xr:uid="{EB01B34E-012F-4B41-9BAE-9208215DA715}"/>
    <cellStyle name="Comma 1036" xfId="5456" xr:uid="{4853C763-1F91-45F2-B8A7-5EB2CA9E90E9}"/>
    <cellStyle name="Comma 1037" xfId="5457" xr:uid="{9B508437-C2E3-4D6A-9881-2ED3693AC6FA}"/>
    <cellStyle name="Comma 1038" xfId="5458" xr:uid="{AA173299-CE71-41E8-ABF7-912BF958D8A6}"/>
    <cellStyle name="Comma 1039" xfId="5459" xr:uid="{87E9A88F-087D-4EEB-99F9-B6CC0A711316}"/>
    <cellStyle name="Comma 104" xfId="323" xr:uid="{9F5E83DF-4C41-478C-AFBC-89B4913F1655}"/>
    <cellStyle name="Comma 104 2" xfId="1382" xr:uid="{551D8A63-8BD4-4029-B248-5D9B6B39154E}"/>
    <cellStyle name="Comma 104 2 2" xfId="3440" xr:uid="{91B8795C-E082-4080-BB8D-A8E6D1207BCB}"/>
    <cellStyle name="Comma 104 3" xfId="2410" xr:uid="{150A34CC-0EFF-4CDB-93CE-0174DF8B45FE}"/>
    <cellStyle name="Comma 104 4" xfId="4536" xr:uid="{ADF61121-E365-43B4-856B-DF110B3E96DC}"/>
    <cellStyle name="Comma 1040" xfId="5460" xr:uid="{C1CDE3AF-6C42-40A4-A830-B045CB152D8D}"/>
    <cellStyle name="Comma 1041" xfId="5461" xr:uid="{1D9E56D4-CAB9-4513-A5AD-78BFD0AB18BC}"/>
    <cellStyle name="Comma 1042" xfId="5462" xr:uid="{399C54C2-D316-46CE-A002-97FBA15A13A8}"/>
    <cellStyle name="Comma 1043" xfId="5463" xr:uid="{DFCE0AB9-6F55-4925-83C8-AA9836656CD9}"/>
    <cellStyle name="Comma 1044" xfId="5464" xr:uid="{9F60B737-9FE0-4B85-A883-F517EB1201A4}"/>
    <cellStyle name="Comma 1045" xfId="5465" xr:uid="{2B63C518-3F18-4AF8-85EB-FDFA24B05DF4}"/>
    <cellStyle name="Comma 1046" xfId="5466" xr:uid="{5AFE10BD-5E1F-4C99-A272-1B05C0AE7B1E}"/>
    <cellStyle name="Comma 1047" xfId="5467" xr:uid="{2231C96B-844D-44C8-B54B-712B871FEB27}"/>
    <cellStyle name="Comma 1048" xfId="5468" xr:uid="{B753660E-6B7A-4CEC-B55D-1D3B678F5647}"/>
    <cellStyle name="Comma 1049" xfId="5469" xr:uid="{B1E668D2-E5E2-4490-A4A2-7E925B1B84FA}"/>
    <cellStyle name="Comma 105" xfId="324" xr:uid="{FAED76FF-8ADC-4876-AD72-F0BB49C3C730}"/>
    <cellStyle name="Comma 105 2" xfId="1383" xr:uid="{32052CB3-6B78-4542-8B22-BC5F9B718B03}"/>
    <cellStyle name="Comma 105 2 2" xfId="3441" xr:uid="{1CEA8264-7C4D-49E7-8A57-CA01C3ADF8FA}"/>
    <cellStyle name="Comma 105 3" xfId="2411" xr:uid="{86ED2DAE-7B17-41C2-9B77-DCA32DFDCC16}"/>
    <cellStyle name="Comma 105 4" xfId="4537" xr:uid="{B63A7EA3-999B-4764-9073-0DEFB6C1D47D}"/>
    <cellStyle name="Comma 1050" xfId="5470" xr:uid="{D92AC5C4-088B-4121-A06E-0F81EE7A4C82}"/>
    <cellStyle name="Comma 1051" xfId="5471" xr:uid="{FD881562-DF42-4A4C-A8B6-6B53FF442CDC}"/>
    <cellStyle name="Comma 1052" xfId="5472" xr:uid="{A5BB7BA3-23CF-4A29-A3A6-52075C340C1A}"/>
    <cellStyle name="Comma 106" xfId="325" xr:uid="{9CCE8664-E4BF-4944-8D27-6BB2E9D5E435}"/>
    <cellStyle name="Comma 106 2" xfId="1384" xr:uid="{6E706FDA-AD22-4FC9-9999-38ACC46C7274}"/>
    <cellStyle name="Comma 106 2 2" xfId="3442" xr:uid="{E5860E82-7F0C-4983-AE2B-7537CD3E4952}"/>
    <cellStyle name="Comma 106 3" xfId="2412" xr:uid="{197DAD20-6612-4C5B-B180-CE937F9BD7F0}"/>
    <cellStyle name="Comma 106 4" xfId="4538" xr:uid="{40F8595A-A1C7-4D82-86C2-34E2783A00C2}"/>
    <cellStyle name="Comma 107" xfId="326" xr:uid="{6B4E2647-E3FE-4E21-9C19-51A6812982C9}"/>
    <cellStyle name="Comma 107 2" xfId="1385" xr:uid="{2FA9F292-E7FC-4D1F-9A9F-E1562C5D80B2}"/>
    <cellStyle name="Comma 107 2 2" xfId="3443" xr:uid="{8A8AB8BA-B1FE-4EC8-A2B2-D97A96ED6504}"/>
    <cellStyle name="Comma 107 3" xfId="2413" xr:uid="{28C2750C-C5D3-4B46-AFD1-A42459284953}"/>
    <cellStyle name="Comma 107 4" xfId="4539" xr:uid="{3DE1BAEA-ED5C-48B5-9898-9DDF8D0533E5}"/>
    <cellStyle name="Comma 108" xfId="327" xr:uid="{C15D873C-6A2C-47CF-97E3-595E69653678}"/>
    <cellStyle name="Comma 108 2" xfId="1386" xr:uid="{7265E21B-C276-4444-8A65-08A3FBDC3139}"/>
    <cellStyle name="Comma 108 2 2" xfId="3444" xr:uid="{FC2A29FD-E728-4389-814C-EC798ECB7275}"/>
    <cellStyle name="Comma 108 3" xfId="2414" xr:uid="{33F746D1-D92B-418C-9AD4-F8274B91EA2E}"/>
    <cellStyle name="Comma 108 4" xfId="4540" xr:uid="{51313FB1-D5E7-4B44-9AE9-F9978AF22BE5}"/>
    <cellStyle name="Comma 109" xfId="328" xr:uid="{ABD97F2D-C669-4A5D-B214-871D7E041E04}"/>
    <cellStyle name="Comma 109 2" xfId="1387" xr:uid="{682F7C95-2523-4CF5-A4E7-C7D96E8EE426}"/>
    <cellStyle name="Comma 109 2 2" xfId="3445" xr:uid="{97552E4C-88C2-453C-8250-CD1674653FE4}"/>
    <cellStyle name="Comma 109 3" xfId="2415" xr:uid="{7883BE86-5196-4EB5-BE88-4C842ABC7DD8}"/>
    <cellStyle name="Comma 109 4" xfId="4541" xr:uid="{DDC4B66E-1709-45CD-8B02-3AEF8F9ED7B8}"/>
    <cellStyle name="Comma 11" xfId="203" xr:uid="{E767EF01-1ECC-4A3E-9A7E-22C77856C7DD}"/>
    <cellStyle name="Comma 11 2" xfId="1289" xr:uid="{8A380D2D-3F43-4876-899A-01DB9B73E333}"/>
    <cellStyle name="Comma 11 2 2" xfId="3347" xr:uid="{5004DF30-FD31-40C5-BC1F-16F713A33586}"/>
    <cellStyle name="Comma 11 3" xfId="2317" xr:uid="{BD8B3A65-BB7B-401B-815D-C685121B93D2}"/>
    <cellStyle name="Comma 11 4" xfId="4443" xr:uid="{3CEE7E51-7D5A-4AD3-97AA-5E87ED0E574D}"/>
    <cellStyle name="Comma 110" xfId="329" xr:uid="{95DF574B-DFB6-4E31-9102-700EF9DEE7F3}"/>
    <cellStyle name="Comma 110 2" xfId="1388" xr:uid="{8DF32020-F1C0-43BA-A856-E0D36B02E899}"/>
    <cellStyle name="Comma 110 2 2" xfId="3446" xr:uid="{447403E2-BA26-4F15-B4A7-F5B2E8790B26}"/>
    <cellStyle name="Comma 110 3" xfId="2416" xr:uid="{946E5A98-CA75-41A8-AF4C-CDF20A569641}"/>
    <cellStyle name="Comma 110 4" xfId="4542" xr:uid="{94C8E1DD-23E7-49A2-8C97-4BDE6C6C31A7}"/>
    <cellStyle name="Comma 111" xfId="330" xr:uid="{834D71A1-DE33-4698-957B-1A45C606EF46}"/>
    <cellStyle name="Comma 111 2" xfId="1389" xr:uid="{C45C0037-C9C9-40D6-8345-ABB1888D085A}"/>
    <cellStyle name="Comma 111 2 2" xfId="3447" xr:uid="{F52D5DCA-DDCA-4FDC-A0A2-E5C61D75B32A}"/>
    <cellStyle name="Comma 111 3" xfId="2417" xr:uid="{74A316BA-95C1-43C5-8B5E-ECAA9874A829}"/>
    <cellStyle name="Comma 111 4" xfId="4543" xr:uid="{2AAC9F4F-91C2-4F13-8A9B-062D8E2C0ACE}"/>
    <cellStyle name="Comma 112" xfId="331" xr:uid="{7D2CF8C1-944E-4B64-8D78-C354C7E86907}"/>
    <cellStyle name="Comma 112 2" xfId="1390" xr:uid="{8C908F9D-0E75-4515-A0D1-A8094E9271AF}"/>
    <cellStyle name="Comma 112 2 2" xfId="3448" xr:uid="{3E791525-96FC-4B30-BE76-DFE7577F5888}"/>
    <cellStyle name="Comma 112 3" xfId="2418" xr:uid="{FB7217BB-606E-4FCC-A147-BB37B85C012B}"/>
    <cellStyle name="Comma 112 4" xfId="4544" xr:uid="{119D2871-B340-4794-B44B-CA72C63BB10E}"/>
    <cellStyle name="Comma 113" xfId="332" xr:uid="{29B787A8-031D-4E0D-8E63-0A58CF782696}"/>
    <cellStyle name="Comma 113 2" xfId="1391" xr:uid="{75157A0C-8E2A-4E90-9A3C-82FE7D02E01D}"/>
    <cellStyle name="Comma 113 2 2" xfId="3449" xr:uid="{EE70C3F7-362F-4449-9E78-A3E011E585DE}"/>
    <cellStyle name="Comma 113 3" xfId="2419" xr:uid="{481EF0F8-7DFB-4ECA-BD5D-033129B87D12}"/>
    <cellStyle name="Comma 113 4" xfId="4545" xr:uid="{512558A7-9A5C-4326-A118-6F8B78DC1F4A}"/>
    <cellStyle name="Comma 114" xfId="333" xr:uid="{C2591185-8CD9-42B9-841B-7C714F1A81F5}"/>
    <cellStyle name="Comma 114 2" xfId="1392" xr:uid="{6A8A3248-16AF-4210-BF11-6B99E12560F8}"/>
    <cellStyle name="Comma 114 2 2" xfId="3450" xr:uid="{29C49FF6-E51D-4C1C-B285-4969DC725E76}"/>
    <cellStyle name="Comma 114 3" xfId="2420" xr:uid="{7D633B02-5A71-43DF-9649-9F2EC80A1F11}"/>
    <cellStyle name="Comma 114 4" xfId="4546" xr:uid="{D5791B81-5E59-4725-81AD-F9E956AF9FFB}"/>
    <cellStyle name="Comma 115" xfId="334" xr:uid="{47899B8B-D024-4727-9569-6727CA3353BA}"/>
    <cellStyle name="Comma 115 2" xfId="1393" xr:uid="{059670D9-34A2-488C-87C5-39C3256ADEA2}"/>
    <cellStyle name="Comma 115 2 2" xfId="3451" xr:uid="{454541F0-7DF3-4CF2-8C24-4EB8684C9265}"/>
    <cellStyle name="Comma 115 3" xfId="2421" xr:uid="{B8ED85C9-051E-4638-817B-66DCC5B0DE50}"/>
    <cellStyle name="Comma 115 4" xfId="4547" xr:uid="{90B736FF-6A28-449A-A275-7C23F483669B}"/>
    <cellStyle name="Comma 116" xfId="335" xr:uid="{8120C5BB-A255-41E5-B446-AF634242F9AD}"/>
    <cellStyle name="Comma 116 2" xfId="1394" xr:uid="{418A549B-8A35-4553-91E4-4CF69EB37F5D}"/>
    <cellStyle name="Comma 116 2 2" xfId="3452" xr:uid="{74C7523B-2850-4CF2-8BEC-98EABA022A02}"/>
    <cellStyle name="Comma 116 3" xfId="2422" xr:uid="{362FDB9E-926E-40BE-8B6F-130EC9501FCD}"/>
    <cellStyle name="Comma 116 4" xfId="4548" xr:uid="{61AB43D6-2D9C-4A65-BF26-19A13519DEFB}"/>
    <cellStyle name="Comma 117" xfId="336" xr:uid="{655B06A7-667E-4CD8-8A8B-2F79EC8DCD10}"/>
    <cellStyle name="Comma 117 2" xfId="1395" xr:uid="{0FB00C6A-FAC2-4BA3-B9C7-F32BBA10AE9D}"/>
    <cellStyle name="Comma 117 2 2" xfId="3453" xr:uid="{9BAE6D0F-FDD1-4E4A-BCFE-7CDDFF2CA9E2}"/>
    <cellStyle name="Comma 117 3" xfId="2423" xr:uid="{F4E37CDC-7AD9-4FD9-8CF4-B769DF61A706}"/>
    <cellStyle name="Comma 117 4" xfId="4549" xr:uid="{ED03D858-62DD-4B4D-BEB1-1511A05CA28F}"/>
    <cellStyle name="Comma 118" xfId="337" xr:uid="{F2914590-1F3B-474F-B511-518CE32FEC4A}"/>
    <cellStyle name="Comma 118 2" xfId="1396" xr:uid="{C2D3D735-3869-4E21-AA4A-2B94C74C86DA}"/>
    <cellStyle name="Comma 118 2 2" xfId="3454" xr:uid="{6B1C0F51-80AA-410A-B701-EE7C35FB1DF2}"/>
    <cellStyle name="Comma 118 3" xfId="2424" xr:uid="{67776558-B3FA-4475-A80F-2E464C64FF6A}"/>
    <cellStyle name="Comma 118 4" xfId="4550" xr:uid="{DC615FC1-6E7A-490A-908F-E1B98AED3A34}"/>
    <cellStyle name="Comma 119" xfId="338" xr:uid="{1846FCB5-FF03-48AA-A9A0-C46509BD3D15}"/>
    <cellStyle name="Comma 119 2" xfId="1397" xr:uid="{E5711730-C57C-4653-A573-516FDADB6B43}"/>
    <cellStyle name="Comma 119 2 2" xfId="3455" xr:uid="{1819F3D9-C416-4E0D-B6A6-453684763EB4}"/>
    <cellStyle name="Comma 119 3" xfId="2425" xr:uid="{8563AB55-E096-4D3F-9BD5-25F69529B0CA}"/>
    <cellStyle name="Comma 119 4" xfId="4551" xr:uid="{279FA778-94DC-4803-97E9-B116E58171F7}"/>
    <cellStyle name="Comma 12" xfId="204" xr:uid="{0557B2DC-0954-4661-A62B-274E7AC82324}"/>
    <cellStyle name="Comma 12 2" xfId="1290" xr:uid="{3BDBAF6E-359A-4E3A-BDA8-C45BAE931028}"/>
    <cellStyle name="Comma 12 2 2" xfId="3348" xr:uid="{8E76701D-2C84-46A6-8FC9-37B7DEB1F5F7}"/>
    <cellStyle name="Comma 12 3" xfId="2318" xr:uid="{E7AC0F0C-39B2-4637-BA74-FE1DAE2A1DF4}"/>
    <cellStyle name="Comma 12 4" xfId="4444" xr:uid="{5A11BE60-A701-42DA-8720-74326EB51AA2}"/>
    <cellStyle name="Comma 120" xfId="339" xr:uid="{D9BD5642-AB9B-4F9C-907B-5E1588BB5CAC}"/>
    <cellStyle name="Comma 120 2" xfId="1398" xr:uid="{5D47F4AA-063F-4F6B-B20C-9B5CEE7CD2F5}"/>
    <cellStyle name="Comma 120 2 2" xfId="3456" xr:uid="{0F1E98E0-F0F2-444E-90CB-70D05EA386D0}"/>
    <cellStyle name="Comma 120 3" xfId="2426" xr:uid="{9955CEE9-29D6-47D5-90BD-05395E98E011}"/>
    <cellStyle name="Comma 120 4" xfId="4552" xr:uid="{83058A1B-5F77-4E2B-ABCE-8B229BA59D51}"/>
    <cellStyle name="Comma 121" xfId="340" xr:uid="{A3068673-7DEB-4561-AA2A-1681992AE43F}"/>
    <cellStyle name="Comma 121 2" xfId="1399" xr:uid="{2B10F7F5-1C85-4443-B5B0-3EFA6223ABE6}"/>
    <cellStyle name="Comma 121 2 2" xfId="3457" xr:uid="{E965AA35-A1BC-43C3-8A74-5E94380F447F}"/>
    <cellStyle name="Comma 121 3" xfId="2427" xr:uid="{0478A1AD-2A2D-4D8F-ABE1-BDA9F6F39825}"/>
    <cellStyle name="Comma 121 4" xfId="4553" xr:uid="{B37D70F7-71BC-4832-98C8-D714DF8ACEF9}"/>
    <cellStyle name="Comma 122" xfId="341" xr:uid="{8C9E2A76-DEF9-4D68-B8CE-63C3D02C4638}"/>
    <cellStyle name="Comma 122 2" xfId="1400" xr:uid="{3BC69A0A-185E-4E0D-8C15-D8FDDE700285}"/>
    <cellStyle name="Comma 122 2 2" xfId="3458" xr:uid="{6370214A-C370-4F15-A811-FC714E0DC382}"/>
    <cellStyle name="Comma 122 3" xfId="2428" xr:uid="{5CC7487B-451F-406A-A097-FB82298444C3}"/>
    <cellStyle name="Comma 122 4" xfId="4554" xr:uid="{930F7C74-3D24-4257-99BC-DB5E807A0384}"/>
    <cellStyle name="Comma 123" xfId="342" xr:uid="{3D213755-9133-4657-B785-B1D85B363285}"/>
    <cellStyle name="Comma 123 2" xfId="1401" xr:uid="{3EB3289B-2A6C-4A80-BDAC-BA9815E73A51}"/>
    <cellStyle name="Comma 123 2 2" xfId="3459" xr:uid="{834C82E5-3DD5-43EF-B2B2-008443F0FFBB}"/>
    <cellStyle name="Comma 123 3" xfId="2429" xr:uid="{313FE122-0EC5-44A2-9146-D72F994994B9}"/>
    <cellStyle name="Comma 123 4" xfId="4555" xr:uid="{75E0410F-1B7B-418C-B3E8-2DEF7D26F25B}"/>
    <cellStyle name="Comma 124" xfId="343" xr:uid="{B209A98D-2B20-4361-8EDC-033DAFA99240}"/>
    <cellStyle name="Comma 124 2" xfId="1402" xr:uid="{4ABC0D21-2F05-4521-BFC1-A8C262FB944B}"/>
    <cellStyle name="Comma 124 2 2" xfId="3460" xr:uid="{A46A7ABF-1198-4983-B22A-3F53F2016AF3}"/>
    <cellStyle name="Comma 124 3" xfId="2430" xr:uid="{0D0C61FE-2435-4ABA-834A-B1C199AA4F23}"/>
    <cellStyle name="Comma 124 4" xfId="4556" xr:uid="{DBED6134-C20C-4EA4-8425-F4348551D863}"/>
    <cellStyle name="Comma 125" xfId="344" xr:uid="{5E08709D-0304-4BE7-858D-115D4DDAA3F9}"/>
    <cellStyle name="Comma 125 2" xfId="1403" xr:uid="{E06D8FA8-6ED4-413C-B1D8-703218435899}"/>
    <cellStyle name="Comma 125 2 2" xfId="3461" xr:uid="{51D7B113-8F86-4021-B73E-FFA40A7676B6}"/>
    <cellStyle name="Comma 125 3" xfId="2431" xr:uid="{DF3D7C20-9AEA-46A8-973C-4FDB6983899A}"/>
    <cellStyle name="Comma 125 4" xfId="4557" xr:uid="{A36BC174-5D42-4B6D-A7F4-07CF0FA13E65}"/>
    <cellStyle name="Comma 126" xfId="345" xr:uid="{24B99720-DF56-49A1-BCEE-8F14CDF8F596}"/>
    <cellStyle name="Comma 126 2" xfId="1404" xr:uid="{B7FE4E9A-501C-4303-ADB9-376FBB9B67BD}"/>
    <cellStyle name="Comma 126 2 2" xfId="3462" xr:uid="{5E666C02-4F69-4206-9456-0106ED69D599}"/>
    <cellStyle name="Comma 126 3" xfId="2432" xr:uid="{9194B9D5-6D28-4743-B55E-D75C0CE37F67}"/>
    <cellStyle name="Comma 126 4" xfId="4558" xr:uid="{797D8588-0D15-4FC2-9155-2407A8E6AD48}"/>
    <cellStyle name="Comma 127" xfId="346" xr:uid="{7C944223-FEA6-4A87-94F1-F27C96BA8F95}"/>
    <cellStyle name="Comma 127 2" xfId="1405" xr:uid="{5F2FEE0B-0627-4481-9201-04525471F9F3}"/>
    <cellStyle name="Comma 127 2 2" xfId="3463" xr:uid="{D4EEA395-2BD1-4DF3-8F8D-F3F47B0DAC4C}"/>
    <cellStyle name="Comma 127 3" xfId="2433" xr:uid="{8427D98B-ACEE-4C04-8CB6-56583F9BE910}"/>
    <cellStyle name="Comma 127 4" xfId="4559" xr:uid="{B2643823-712B-4A7F-AC93-1782622CE643}"/>
    <cellStyle name="Comma 128" xfId="347" xr:uid="{A66866B2-A832-4CAD-A813-08EBEC4BB15D}"/>
    <cellStyle name="Comma 128 2" xfId="1406" xr:uid="{E675DFE7-9D5A-495E-AFFB-E16B4559A54E}"/>
    <cellStyle name="Comma 128 2 2" xfId="3464" xr:uid="{26C49E9C-EE32-4A3B-AFB9-5AEC1A95F6E9}"/>
    <cellStyle name="Comma 128 3" xfId="2434" xr:uid="{557BC27A-CE06-4A50-A9A0-F24466F19970}"/>
    <cellStyle name="Comma 128 4" xfId="4560" xr:uid="{27694665-5B81-41D5-939A-DC3C9E3BB4D8}"/>
    <cellStyle name="Comma 129" xfId="348" xr:uid="{D6633D34-9A44-4D2F-9425-C8A35FE8E1E6}"/>
    <cellStyle name="Comma 129 2" xfId="1407" xr:uid="{90833BDB-4007-42E1-A7F6-460419C83C2D}"/>
    <cellStyle name="Comma 129 2 2" xfId="3465" xr:uid="{FD417BBE-12E7-499C-A26F-0655F7BA027E}"/>
    <cellStyle name="Comma 129 3" xfId="2435" xr:uid="{3EC13081-028C-47AE-A6ED-0DC8BF95B943}"/>
    <cellStyle name="Comma 129 4" xfId="4561" xr:uid="{D56F63FB-D01B-4A21-A88A-F135A72E8B6D}"/>
    <cellStyle name="Comma 13" xfId="205" xr:uid="{97B42E2D-4B70-4D02-890B-29A25E073559}"/>
    <cellStyle name="Comma 13 2" xfId="1291" xr:uid="{7C07C47A-A908-4163-A444-B549B6244506}"/>
    <cellStyle name="Comma 13 2 2" xfId="3349" xr:uid="{EB31747E-6858-4DFF-B1FA-0B351C0D21CE}"/>
    <cellStyle name="Comma 13 3" xfId="2319" xr:uid="{429E9342-1315-4D16-8837-193639FB6078}"/>
    <cellStyle name="Comma 13 4" xfId="4445" xr:uid="{2E1B5D7E-BF08-42FE-AC72-7B3CC8EB2205}"/>
    <cellStyle name="Comma 130" xfId="349" xr:uid="{3D403E5C-DFC6-4C8B-AD5D-3C618AD1C2C2}"/>
    <cellStyle name="Comma 130 2" xfId="1408" xr:uid="{6CD7906F-6C41-4D99-A7E0-F8316821A6B7}"/>
    <cellStyle name="Comma 130 2 2" xfId="3466" xr:uid="{0869C333-31C3-4B5E-A44C-D651D4552894}"/>
    <cellStyle name="Comma 130 3" xfId="2436" xr:uid="{1E13B266-3519-430F-896F-C0462394C4C8}"/>
    <cellStyle name="Comma 130 4" xfId="4562" xr:uid="{18B0C9C2-13E0-4201-A26E-5BC1E60F1E16}"/>
    <cellStyle name="Comma 131" xfId="350" xr:uid="{5D61765E-8D4F-4D29-9BEC-BAD8CCFDE9A5}"/>
    <cellStyle name="Comma 131 2" xfId="1409" xr:uid="{D84B79F0-255A-48CB-939A-8B7E03FB3671}"/>
    <cellStyle name="Comma 131 2 2" xfId="3467" xr:uid="{4EC705DE-69CA-47DF-961F-9FB442146198}"/>
    <cellStyle name="Comma 131 3" xfId="2437" xr:uid="{B5E54089-685F-48E2-96B3-B0FABA948194}"/>
    <cellStyle name="Comma 131 4" xfId="4563" xr:uid="{86DA05ED-2826-4478-8490-09B244484F38}"/>
    <cellStyle name="Comma 132" xfId="351" xr:uid="{505981E3-05B5-4B90-99FB-D889C72992ED}"/>
    <cellStyle name="Comma 132 2" xfId="1410" xr:uid="{F803A6EC-B795-42D7-AF9B-41976BA46D5E}"/>
    <cellStyle name="Comma 132 2 2" xfId="3468" xr:uid="{6FD39093-E7DD-4FFA-8FEE-E597D660BB15}"/>
    <cellStyle name="Comma 132 3" xfId="2438" xr:uid="{8350010C-12FF-48B4-BE35-5186E8250B87}"/>
    <cellStyle name="Comma 132 4" xfId="4564" xr:uid="{A7F954EB-A631-4CE3-BC64-4EFA8F6CDD77}"/>
    <cellStyle name="Comma 133" xfId="352" xr:uid="{1C502EBA-6353-40BA-AD5A-C28B899568B8}"/>
    <cellStyle name="Comma 133 2" xfId="1411" xr:uid="{65258375-98D3-4A3C-93A5-A46B989A1B77}"/>
    <cellStyle name="Comma 133 2 2" xfId="3469" xr:uid="{19F43B5B-C274-421F-9D64-CAEB624A1747}"/>
    <cellStyle name="Comma 133 3" xfId="2439" xr:uid="{E8C13517-0569-443C-BF2F-9A97DAA09757}"/>
    <cellStyle name="Comma 133 4" xfId="4565" xr:uid="{54EB4134-7EC9-4F25-9F56-BAE829C49EE6}"/>
    <cellStyle name="Comma 134" xfId="353" xr:uid="{F98875C7-7571-4A8A-8CE7-3A6AD252CE20}"/>
    <cellStyle name="Comma 134 2" xfId="1412" xr:uid="{923CB61E-5954-402F-8572-1A6E64443F60}"/>
    <cellStyle name="Comma 134 2 2" xfId="3470" xr:uid="{548786C3-973B-4791-BCD3-B3EED5F8B4F7}"/>
    <cellStyle name="Comma 134 3" xfId="2440" xr:uid="{717D56E8-2ED8-49EF-86F1-1D108FB33C15}"/>
    <cellStyle name="Comma 134 4" xfId="4566" xr:uid="{90BD98B8-C875-42B5-85A4-15869EA50E6C}"/>
    <cellStyle name="Comma 135" xfId="354" xr:uid="{159DB37D-5C44-4BE8-AB16-C3814EBEE0C6}"/>
    <cellStyle name="Comma 135 2" xfId="1413" xr:uid="{8349391C-1C16-4826-A44B-B3CC417997EE}"/>
    <cellStyle name="Comma 135 2 2" xfId="3471" xr:uid="{DA5818C3-EA6B-4771-90B4-2D9768C93DCF}"/>
    <cellStyle name="Comma 135 3" xfId="2441" xr:uid="{17E420BA-21A8-4A8C-8C22-B38A70F3C36B}"/>
    <cellStyle name="Comma 135 4" xfId="4567" xr:uid="{108FB822-425C-44CD-BA0E-242311E93BD6}"/>
    <cellStyle name="Comma 136" xfId="355" xr:uid="{90CCF795-D6C1-41AD-A393-8BB96129B5E8}"/>
    <cellStyle name="Comma 136 2" xfId="1414" xr:uid="{4B43936E-6A18-4766-98D9-38BA1BA5FC2F}"/>
    <cellStyle name="Comma 136 2 2" xfId="3472" xr:uid="{B488214B-3557-4AF7-A964-523AD365256F}"/>
    <cellStyle name="Comma 136 3" xfId="2442" xr:uid="{822E6AB3-8D60-45B1-AD1E-74739ACF0FBB}"/>
    <cellStyle name="Comma 136 4" xfId="4568" xr:uid="{E40F3482-1389-4EB5-A688-4D8D6500C206}"/>
    <cellStyle name="Comma 137" xfId="356" xr:uid="{CAEF1B86-6947-41F9-A581-7B3591A4DB70}"/>
    <cellStyle name="Comma 137 2" xfId="1415" xr:uid="{0160F9DC-DF05-4DE9-943B-99DEB4C566F7}"/>
    <cellStyle name="Comma 137 2 2" xfId="3473" xr:uid="{FAD38006-DF64-46B1-B32A-6F5DB0073CA4}"/>
    <cellStyle name="Comma 137 3" xfId="2443" xr:uid="{068C0499-E1E7-4ECD-B51D-E9111AE67790}"/>
    <cellStyle name="Comma 137 4" xfId="4569" xr:uid="{B01792D1-D1EF-41C1-8595-7FC9FECF26D8}"/>
    <cellStyle name="Comma 138" xfId="357" xr:uid="{FA46FB02-91DF-49A0-9AEF-DBB11F24A041}"/>
    <cellStyle name="Comma 138 2" xfId="1416" xr:uid="{6BE97467-D4A8-44EE-8F7F-C738E8EF95E8}"/>
    <cellStyle name="Comma 138 2 2" xfId="3474" xr:uid="{406EED61-D72B-49ED-B4AF-C24825F5D319}"/>
    <cellStyle name="Comma 138 3" xfId="2444" xr:uid="{E5C018E2-5D58-4705-83DA-E961C5ED55D4}"/>
    <cellStyle name="Comma 138 4" xfId="4570" xr:uid="{4BC5A152-1E5D-4430-9770-B087918C9700}"/>
    <cellStyle name="Comma 139" xfId="361" xr:uid="{676C177C-6FFB-4D99-92EE-792B425AAA4A}"/>
    <cellStyle name="Comma 139 2" xfId="1417" xr:uid="{634C521A-73B4-4BB4-A095-158525BE4575}"/>
    <cellStyle name="Comma 139 2 2" xfId="3475" xr:uid="{8BA50F58-0AE0-4F64-A412-3BE3361FFCEA}"/>
    <cellStyle name="Comma 139 3" xfId="2445" xr:uid="{A6EFF9F6-34FD-4B15-99FF-5DE76BBBF5A3}"/>
    <cellStyle name="Comma 139 4" xfId="4571" xr:uid="{B5A1CD50-9B8B-48A2-985F-583185CDA79B}"/>
    <cellStyle name="Comma 14" xfId="206" xr:uid="{4EDB21B3-7FC9-4E44-AA46-DEEC61C3C970}"/>
    <cellStyle name="Comma 14 2" xfId="1292" xr:uid="{9E0737E1-240B-4E48-93CF-161EACCA0B1E}"/>
    <cellStyle name="Comma 14 2 2" xfId="3350" xr:uid="{F31EB82E-9272-4777-9D69-74C2704CF76D}"/>
    <cellStyle name="Comma 14 3" xfId="2320" xr:uid="{BE90FD07-EE80-41BF-9C0A-A2854307D678}"/>
    <cellStyle name="Comma 14 4" xfId="4446" xr:uid="{83E8FDE7-8933-475C-98DF-8D6CB42F19D8}"/>
    <cellStyle name="Comma 140" xfId="362" xr:uid="{3BCCB128-78FF-497C-81CC-C67CAAB178FD}"/>
    <cellStyle name="Comma 140 2" xfId="1418" xr:uid="{08613022-4A89-4FCD-8758-1421A06133AA}"/>
    <cellStyle name="Comma 140 2 2" xfId="3476" xr:uid="{CFB4BA9D-DDAC-4137-9635-447EDECA6DD8}"/>
    <cellStyle name="Comma 140 3" xfId="2446" xr:uid="{D5DD1559-351B-4738-9622-8C9EEE91F8CF}"/>
    <cellStyle name="Comma 140 4" xfId="4572" xr:uid="{F0D68277-21B1-4B24-ADB3-541F92E93ADD}"/>
    <cellStyle name="Comma 141" xfId="363" xr:uid="{4107044C-5C0C-43FA-AC64-1AC8217E23ED}"/>
    <cellStyle name="Comma 141 2" xfId="1419" xr:uid="{8333661C-AE1B-4607-8C1D-561E37FE2468}"/>
    <cellStyle name="Comma 141 2 2" xfId="3477" xr:uid="{8B9EE51F-6154-42D4-B71A-CDAA505DE69C}"/>
    <cellStyle name="Comma 141 3" xfId="2447" xr:uid="{2267A37E-6C67-43F1-8EAD-440E6A6E593C}"/>
    <cellStyle name="Comma 141 4" xfId="4573" xr:uid="{154B191E-177F-4895-B07E-E04D0E41BE64}"/>
    <cellStyle name="Comma 142" xfId="364" xr:uid="{0D727CFB-0DEF-4D78-8EBB-3093D8CB1F70}"/>
    <cellStyle name="Comma 142 2" xfId="1420" xr:uid="{D44AC268-CFC5-4017-966D-7C0FB6DA9AF8}"/>
    <cellStyle name="Comma 142 2 2" xfId="3478" xr:uid="{4B017352-EE49-4306-A814-BB26F8654D58}"/>
    <cellStyle name="Comma 142 3" xfId="2448" xr:uid="{135B73A0-E240-4393-A4B6-29C1209B21D2}"/>
    <cellStyle name="Comma 142 4" xfId="4574" xr:uid="{0CC0989A-5C92-471F-8235-7F128E94FC2F}"/>
    <cellStyle name="Comma 143" xfId="365" xr:uid="{D792C109-F5C8-4C1B-8F99-C69F22471BCC}"/>
    <cellStyle name="Comma 143 2" xfId="1421" xr:uid="{367191DA-B95C-43AA-8B73-E73EC9FD735B}"/>
    <cellStyle name="Comma 143 2 2" xfId="3479" xr:uid="{39E02C3C-7C46-4CF5-A3B2-73823D661C80}"/>
    <cellStyle name="Comma 143 3" xfId="2449" xr:uid="{BEE64EA3-0CF7-4FFE-87C8-EB94608E00A8}"/>
    <cellStyle name="Comma 143 4" xfId="4575" xr:uid="{27FD36B3-A965-4792-B252-7D9A418C0DF1}"/>
    <cellStyle name="Comma 144" xfId="366" xr:uid="{22E4AB0D-A9EC-41F7-80FF-49612A191AB2}"/>
    <cellStyle name="Comma 144 2" xfId="1422" xr:uid="{67B11862-722A-4D10-BED5-02D57C971549}"/>
    <cellStyle name="Comma 144 2 2" xfId="3480" xr:uid="{390475C5-EB4E-4D3B-B211-5F3808EAC4FE}"/>
    <cellStyle name="Comma 144 3" xfId="2450" xr:uid="{151A92FA-0C28-4F6B-BB63-42DA4D20D83D}"/>
    <cellStyle name="Comma 144 4" xfId="4576" xr:uid="{88CA484E-8E7B-4A1B-A02A-64D0F921BC10}"/>
    <cellStyle name="Comma 145" xfId="367" xr:uid="{9F29C4FF-7FE3-4242-82D9-9EB4E4423AF6}"/>
    <cellStyle name="Comma 145 2" xfId="1423" xr:uid="{C4B1096C-A5D5-4F07-9353-89593D5FC386}"/>
    <cellStyle name="Comma 145 2 2" xfId="3481" xr:uid="{27854284-9D82-4839-9793-997AA17685FC}"/>
    <cellStyle name="Comma 145 3" xfId="2451" xr:uid="{02E443B5-7554-4D3B-97DD-F0BDFF0C8829}"/>
    <cellStyle name="Comma 145 4" xfId="4577" xr:uid="{FC747917-8B8D-4D10-BC4C-BDBC3D59830F}"/>
    <cellStyle name="Comma 146" xfId="375" xr:uid="{C75F16B9-E2C8-40E8-B0F1-2793AC398CFD}"/>
    <cellStyle name="Comma 146 2" xfId="1424" xr:uid="{850B79B5-BCA9-4A4D-B4FA-41957E935FB2}"/>
    <cellStyle name="Comma 146 2 2" xfId="3482" xr:uid="{642F7D18-9D40-434E-9352-61F9D8A2EF99}"/>
    <cellStyle name="Comma 146 3" xfId="2452" xr:uid="{44796546-1C17-4BA1-AF21-A451098C0491}"/>
    <cellStyle name="Comma 146 4" xfId="4578" xr:uid="{20EDE181-DA8D-4C6E-AA7E-B84395903B6E}"/>
    <cellStyle name="Comma 147" xfId="382" xr:uid="{3A31B17D-0F61-47E2-894D-C860A9273577}"/>
    <cellStyle name="Comma 147 2" xfId="1425" xr:uid="{CB661903-1EBE-43CA-B6EE-D484F6DF5856}"/>
    <cellStyle name="Comma 147 2 2" xfId="3483" xr:uid="{98EF6845-9DF7-499B-A2FC-C0C73520F8F6}"/>
    <cellStyle name="Comma 147 3" xfId="2453" xr:uid="{0E1876A7-4658-4302-B8F0-D593CBCC72E5}"/>
    <cellStyle name="Comma 147 4" xfId="4579" xr:uid="{E553E86B-C1A1-46A9-8D52-62E4FB0C4159}"/>
    <cellStyle name="Comma 148" xfId="388" xr:uid="{8BCEEFCE-670E-43CD-821E-D79FCBE823E4}"/>
    <cellStyle name="Comma 148 2" xfId="1426" xr:uid="{F25EE4BC-86E2-43EC-98CF-0DB8BE898674}"/>
    <cellStyle name="Comma 148 2 2" xfId="3484" xr:uid="{4D0335C7-B2AB-4DA6-92CA-D4CB09423535}"/>
    <cellStyle name="Comma 148 3" xfId="2454" xr:uid="{5E8BCCDA-C9AD-4EB3-A50B-92C3FEE25D32}"/>
    <cellStyle name="Comma 148 4" xfId="4580" xr:uid="{A5AAA20F-DB43-4FFE-901B-B8212FEF7A3B}"/>
    <cellStyle name="Comma 149" xfId="389" xr:uid="{3EBABFD4-61A4-4DBC-A754-76FF4AAE10AF}"/>
    <cellStyle name="Comma 149 2" xfId="1427" xr:uid="{C88BC1E2-AD0B-49D4-A8FA-8E3F9C3DD547}"/>
    <cellStyle name="Comma 149 2 2" xfId="3485" xr:uid="{BF57DD7F-C2CA-4BF5-AF2B-9B295B23D29E}"/>
    <cellStyle name="Comma 149 3" xfId="2455" xr:uid="{F2685AB6-BF93-4011-AA0F-4120EF117CA9}"/>
    <cellStyle name="Comma 149 4" xfId="4581" xr:uid="{CA595001-F9E1-4875-890A-9D00CC7EED28}"/>
    <cellStyle name="Comma 15" xfId="207" xr:uid="{4F870AAC-98B4-4566-AFFB-6CC813DF8815}"/>
    <cellStyle name="Comma 15 2" xfId="1293" xr:uid="{1C809D68-5E3B-4ABA-AF02-42CC26D1E77C}"/>
    <cellStyle name="Comma 15 2 2" xfId="3351" xr:uid="{FFA6DDF9-C937-4696-ABCF-4B652D9F9315}"/>
    <cellStyle name="Comma 15 3" xfId="2321" xr:uid="{4414ED52-E4A3-4E93-AF41-3052D3375090}"/>
    <cellStyle name="Comma 15 4" xfId="4447" xr:uid="{4EF886F9-57B5-43FA-ABF2-38E9A339BC00}"/>
    <cellStyle name="Comma 150" xfId="390" xr:uid="{881FA580-FE97-4BBC-A548-D0DF44DBB7CA}"/>
    <cellStyle name="Comma 150 2" xfId="1428" xr:uid="{13653595-6266-4D7D-AAE6-23CE68F7BF59}"/>
    <cellStyle name="Comma 150 2 2" xfId="3486" xr:uid="{E862B1F0-92E0-48C9-AF8D-631C59400E19}"/>
    <cellStyle name="Comma 150 3" xfId="2456" xr:uid="{5173EF34-D9C2-40BE-BB29-57AF5E6EA48E}"/>
    <cellStyle name="Comma 150 4" xfId="4582" xr:uid="{800E47B3-3FEF-454D-AB65-24802B00B65A}"/>
    <cellStyle name="Comma 151" xfId="391" xr:uid="{932560C3-5D19-49BB-993A-5BFC9D896772}"/>
    <cellStyle name="Comma 151 2" xfId="1429" xr:uid="{B56E3721-1018-4C6A-81CE-EEBA535126A4}"/>
    <cellStyle name="Comma 151 2 2" xfId="3487" xr:uid="{F010AC74-3857-413C-8143-DA775A13D935}"/>
    <cellStyle name="Comma 151 3" xfId="2457" xr:uid="{8244DDE5-D617-4D02-9F33-C40782DFBD64}"/>
    <cellStyle name="Comma 151 4" xfId="4583" xr:uid="{F0013396-D3B9-4935-8C3F-7B17BF5DE82F}"/>
    <cellStyle name="Comma 152" xfId="392" xr:uid="{8F44820D-9D71-4D58-8571-A49112C6C60C}"/>
    <cellStyle name="Comma 152 2" xfId="1430" xr:uid="{B945653C-E624-498D-A6A1-CECE1256FFBF}"/>
    <cellStyle name="Comma 152 2 2" xfId="3488" xr:uid="{89E0871C-51ED-437C-A929-40656EA73DB3}"/>
    <cellStyle name="Comma 152 3" xfId="2458" xr:uid="{BDE7D182-4696-49E4-8B96-99F7F6F79C79}"/>
    <cellStyle name="Comma 152 4" xfId="4584" xr:uid="{881C96E3-DE3C-4F0A-8EB3-1AE1E04B9281}"/>
    <cellStyle name="Comma 153" xfId="393" xr:uid="{15C08763-ED53-4DBA-8CE3-E57746042029}"/>
    <cellStyle name="Comma 153 2" xfId="1431" xr:uid="{838D4855-E5AC-4F75-AEE0-E8E16DA83D06}"/>
    <cellStyle name="Comma 153 2 2" xfId="3489" xr:uid="{E446FFB7-226C-46B9-BD35-EDA26D638C4D}"/>
    <cellStyle name="Comma 153 3" xfId="2459" xr:uid="{34D69A30-C235-43DD-84AE-CB8E5F3677AE}"/>
    <cellStyle name="Comma 153 4" xfId="4585" xr:uid="{6DD4C1FB-E697-4737-A713-7264789D3DAB}"/>
    <cellStyle name="Comma 154" xfId="394" xr:uid="{C7C24095-286D-48C0-96D8-98BC7E527EBA}"/>
    <cellStyle name="Comma 154 2" xfId="1432" xr:uid="{4570560C-6601-4107-8237-4E3DCC81A2FE}"/>
    <cellStyle name="Comma 154 2 2" xfId="3490" xr:uid="{AEAC26ED-68A7-482A-A62E-97F6C909C8B1}"/>
    <cellStyle name="Comma 154 3" xfId="2460" xr:uid="{764A5A18-4AFD-4C1B-8444-E0082C82F9EA}"/>
    <cellStyle name="Comma 154 4" xfId="4586" xr:uid="{922FE9E8-A6CE-4A1C-B9C5-78149F25A236}"/>
    <cellStyle name="Comma 155" xfId="395" xr:uid="{B621A099-5A24-40AF-8A85-75183EE048ED}"/>
    <cellStyle name="Comma 155 2" xfId="1433" xr:uid="{96391B8E-6716-4874-9959-DB1806020F54}"/>
    <cellStyle name="Comma 155 2 2" xfId="3491" xr:uid="{E4CF8DB8-0496-42F8-8B6F-980CB5441D97}"/>
    <cellStyle name="Comma 155 3" xfId="2461" xr:uid="{41C68FD9-D484-4B0C-8373-F1EA312A1DFD}"/>
    <cellStyle name="Comma 155 4" xfId="4587" xr:uid="{530AC2F9-D267-4087-8A6F-C92D13928DFB}"/>
    <cellStyle name="Comma 156" xfId="396" xr:uid="{ECE4B61B-8182-407F-A0EA-AC33B480890E}"/>
    <cellStyle name="Comma 156 2" xfId="1434" xr:uid="{2F59E761-ED3C-4A5D-BCAF-A7AD7103937E}"/>
    <cellStyle name="Comma 156 2 2" xfId="3492" xr:uid="{AF4DA8F0-4F75-4486-AA9B-CA8BD6CF77A0}"/>
    <cellStyle name="Comma 156 3" xfId="2462" xr:uid="{7828DD7F-E0B7-45AF-938C-5343F5DEA4C0}"/>
    <cellStyle name="Comma 156 4" xfId="4588" xr:uid="{9C031A61-6016-4F7F-A6D3-A076DBAE1A60}"/>
    <cellStyle name="Comma 157" xfId="397" xr:uid="{6A451A36-6E3A-4076-9538-DA3831381D2D}"/>
    <cellStyle name="Comma 157 2" xfId="1435" xr:uid="{85F1F659-5A18-4915-9DC0-F8A86EFCA6A4}"/>
    <cellStyle name="Comma 157 2 2" xfId="3493" xr:uid="{12F494C4-C742-4F25-B121-779AC9D1FD85}"/>
    <cellStyle name="Comma 157 3" xfId="2463" xr:uid="{D0B6621C-8AFC-4EA5-AC9F-C55990B53791}"/>
    <cellStyle name="Comma 157 4" xfId="4589" xr:uid="{BDA7F7CE-BDD4-4D9C-ABAB-E7DB4201EC95}"/>
    <cellStyle name="Comma 158" xfId="398" xr:uid="{FEBB4B36-79AB-4CEA-B59B-8090DF77AFB4}"/>
    <cellStyle name="Comma 158 2" xfId="1436" xr:uid="{5D350438-45E4-40B3-91EA-2BF01772D4DC}"/>
    <cellStyle name="Comma 158 2 2" xfId="3494" xr:uid="{8D3BA3F2-E289-4F5E-89BD-0FAF17D91AC6}"/>
    <cellStyle name="Comma 158 3" xfId="2464" xr:uid="{CF8221AD-F420-42AB-B17E-B4B8F1B571FB}"/>
    <cellStyle name="Comma 158 4" xfId="4590" xr:uid="{499D2797-B6FB-4218-94B3-A5304D448D09}"/>
    <cellStyle name="Comma 159" xfId="399" xr:uid="{65C0B75F-279A-4494-A0D3-E37CB7451794}"/>
    <cellStyle name="Comma 159 2" xfId="1437" xr:uid="{B2C3ED91-5B31-47BC-B3F1-D5ADAB75A35C}"/>
    <cellStyle name="Comma 159 2 2" xfId="3495" xr:uid="{F3B353A6-7B5C-490A-86A8-0DF7B9F9371F}"/>
    <cellStyle name="Comma 159 3" xfId="2465" xr:uid="{5D14D5AF-B3E5-4B8C-9B16-D1B1BD34D96F}"/>
    <cellStyle name="Comma 159 4" xfId="4591" xr:uid="{23B36A4B-BF8A-4F8B-8C62-9F2B7F22417F}"/>
    <cellStyle name="Comma 16" xfId="208" xr:uid="{6A83BED1-742B-46CF-84B1-183905747827}"/>
    <cellStyle name="Comma 16 2" xfId="1294" xr:uid="{8A757DC5-DE94-4D16-8B94-A27B4443B880}"/>
    <cellStyle name="Comma 16 2 2" xfId="3352" xr:uid="{65B9D9EB-AD89-4EF8-A745-6E80DCB3A5F6}"/>
    <cellStyle name="Comma 16 3" xfId="2322" xr:uid="{45730948-83FC-4210-A965-B8A19DC3819B}"/>
    <cellStyle name="Comma 16 4" xfId="4448" xr:uid="{D6536ABC-EB64-43DB-BF0C-FDFCE6F9F3A5}"/>
    <cellStyle name="Comma 160" xfId="400" xr:uid="{4348C1A6-482B-46D7-B74B-D7DA0E1392DB}"/>
    <cellStyle name="Comma 160 2" xfId="1438" xr:uid="{A70F46CA-F9F6-4CFD-AA75-980F50D3B002}"/>
    <cellStyle name="Comma 160 2 2" xfId="3496" xr:uid="{5CC783EB-B447-4552-9687-3781E6F1320E}"/>
    <cellStyle name="Comma 160 3" xfId="2466" xr:uid="{FE48D40B-1180-44D1-B6AA-607457168EF9}"/>
    <cellStyle name="Comma 160 4" xfId="4592" xr:uid="{33D8436B-0F01-4CFB-ADAA-73500A2DC016}"/>
    <cellStyle name="Comma 161" xfId="401" xr:uid="{26D33544-0929-4842-9084-63422A32B954}"/>
    <cellStyle name="Comma 161 2" xfId="1439" xr:uid="{FDA8DA5B-E251-4D92-9B03-375BD1C01CC2}"/>
    <cellStyle name="Comma 161 2 2" xfId="3497" xr:uid="{9D43C710-3AD5-4D18-A1EC-06D84BB71C61}"/>
    <cellStyle name="Comma 161 3" xfId="2467" xr:uid="{7E2BBB61-6B60-42BB-B3D0-2213FFEAD307}"/>
    <cellStyle name="Comma 161 4" xfId="4593" xr:uid="{66DC479B-9618-496D-9CC5-A20D6EC7D38B}"/>
    <cellStyle name="Comma 162" xfId="402" xr:uid="{1F0EC4C3-45C1-438C-8804-29AAD5909475}"/>
    <cellStyle name="Comma 162 2" xfId="1440" xr:uid="{CA684694-D75D-401F-B5A0-003328142BA1}"/>
    <cellStyle name="Comma 162 2 2" xfId="3498" xr:uid="{EE06DFC1-077E-4B43-A235-D1E527C198F8}"/>
    <cellStyle name="Comma 162 3" xfId="2468" xr:uid="{C15F2511-1B79-4DA9-AF16-DEAA074B994F}"/>
    <cellStyle name="Comma 162 4" xfId="4594" xr:uid="{D4BC3E9A-CD50-4497-AFE5-EB5DFD0C814E}"/>
    <cellStyle name="Comma 163" xfId="403" xr:uid="{AD9464A1-7048-42F8-8145-1FF63EABD42B}"/>
    <cellStyle name="Comma 163 2" xfId="1441" xr:uid="{4A8D080A-A6CC-4512-9C4F-1741048375E7}"/>
    <cellStyle name="Comma 163 2 2" xfId="3499" xr:uid="{6CB77E34-C375-46AF-8A11-40F75AB6EA0D}"/>
    <cellStyle name="Comma 163 3" xfId="2469" xr:uid="{18D66DEC-3C1A-4B81-9879-61178EC3F8F2}"/>
    <cellStyle name="Comma 163 4" xfId="4595" xr:uid="{A85152FA-0ABC-4231-AAC0-5402CD0CD788}"/>
    <cellStyle name="Comma 164" xfId="404" xr:uid="{C57FCB3D-CF99-4DE6-8433-FC3618C08E24}"/>
    <cellStyle name="Comma 164 2" xfId="1442" xr:uid="{B3DB5B76-E467-4534-BBD8-736EEBF55E1E}"/>
    <cellStyle name="Comma 164 2 2" xfId="3500" xr:uid="{3FDAE604-03D4-4609-96DD-A797B7179561}"/>
    <cellStyle name="Comma 164 3" xfId="2470" xr:uid="{C364EA49-2509-4D06-BB57-CB2DC91FAA49}"/>
    <cellStyle name="Comma 164 4" xfId="4596" xr:uid="{50917517-1BB8-4B64-B443-A10D9A3922BF}"/>
    <cellStyle name="Comma 165" xfId="405" xr:uid="{A16DAEB1-B310-49C5-9004-93AEEAC16A76}"/>
    <cellStyle name="Comma 165 2" xfId="1443" xr:uid="{5F4C85F0-5DF2-4506-B9F7-CF7C05AA7D37}"/>
    <cellStyle name="Comma 165 2 2" xfId="3501" xr:uid="{A59B0625-9CA8-4716-ABF7-F613245845C5}"/>
    <cellStyle name="Comma 165 3" xfId="2471" xr:uid="{946161B6-7C00-4F8D-A28A-478AF56AECC6}"/>
    <cellStyle name="Comma 165 4" xfId="4597" xr:uid="{8C1F50BF-4365-441C-9F4C-A3C58383C10C}"/>
    <cellStyle name="Comma 166" xfId="406" xr:uid="{4A2326D8-0DC7-4A16-B1CC-6C40F3A3604F}"/>
    <cellStyle name="Comma 166 2" xfId="1444" xr:uid="{8C9B8D47-2AE0-4B25-B7E0-F587145E3AAE}"/>
    <cellStyle name="Comma 166 2 2" xfId="3502" xr:uid="{58DBABF7-85E8-4DF7-99F0-5709E3B0A204}"/>
    <cellStyle name="Comma 166 3" xfId="2472" xr:uid="{97FAE56E-498A-456E-B9D1-4A7D2E3A6A59}"/>
    <cellStyle name="Comma 166 4" xfId="4598" xr:uid="{BBDE5508-1659-49D6-BC63-660DEA939A33}"/>
    <cellStyle name="Comma 167" xfId="407" xr:uid="{B44C368E-B726-4C72-8F87-B40C59ABE9A5}"/>
    <cellStyle name="Comma 167 2" xfId="1445" xr:uid="{33BE6CC2-8659-4DA4-A45C-423876508D14}"/>
    <cellStyle name="Comma 167 2 2" xfId="3503" xr:uid="{D1D39503-17F6-4749-8C9F-0A10E6E40056}"/>
    <cellStyle name="Comma 167 3" xfId="2473" xr:uid="{72941A52-2961-407E-8621-89ED1AAC24E4}"/>
    <cellStyle name="Comma 167 4" xfId="4599" xr:uid="{C61C5E03-6C18-4D63-8AA4-3C2B95802A75}"/>
    <cellStyle name="Comma 168" xfId="408" xr:uid="{E87BE9B8-4666-4240-8259-279FB4350B7E}"/>
    <cellStyle name="Comma 168 2" xfId="1446" xr:uid="{6A56D49D-4F10-45E1-A33D-DA09690EE5AC}"/>
    <cellStyle name="Comma 168 2 2" xfId="3504" xr:uid="{B9CB493B-9B96-408F-8031-011448D02316}"/>
    <cellStyle name="Comma 168 3" xfId="2474" xr:uid="{A9307903-523B-4898-B4F8-FF9D8E02B2CA}"/>
    <cellStyle name="Comma 168 4" xfId="4600" xr:uid="{89304B31-6B1B-4CEE-9997-FFB0A8705183}"/>
    <cellStyle name="Comma 169" xfId="409" xr:uid="{41A77D2F-F94C-48D3-9F7B-5AE6F81C32D1}"/>
    <cellStyle name="Comma 169 2" xfId="1447" xr:uid="{2B1E4C23-D24E-4E7E-9821-B4602209413D}"/>
    <cellStyle name="Comma 169 2 2" xfId="3505" xr:uid="{5BA1DA55-C568-4EF1-B71E-46E2A34E3180}"/>
    <cellStyle name="Comma 169 3" xfId="2475" xr:uid="{ECE35866-FA57-4C30-B12A-9310B2D88C17}"/>
    <cellStyle name="Comma 169 4" xfId="4601" xr:uid="{1E21516F-57FD-42F8-82C9-BCC35EE674AB}"/>
    <cellStyle name="Comma 17" xfId="209" xr:uid="{E3FF7813-7003-4BE9-BD3E-5DE8CA1A5106}"/>
    <cellStyle name="Comma 17 2" xfId="1295" xr:uid="{66D7C4A4-325C-4CE4-8E1E-D69923E40675}"/>
    <cellStyle name="Comma 17 2 2" xfId="3353" xr:uid="{0A1834AF-0DDE-4EF7-BD22-AD444128F8DE}"/>
    <cellStyle name="Comma 17 3" xfId="2323" xr:uid="{B854EA55-BBF8-4E25-9005-52C935484784}"/>
    <cellStyle name="Comma 17 4" xfId="4449" xr:uid="{C55DDF09-8147-4925-B837-524BBB0BC4D3}"/>
    <cellStyle name="Comma 170" xfId="410" xr:uid="{F976BF4C-7598-4835-BE0C-8BF6FDB196FC}"/>
    <cellStyle name="Comma 170 2" xfId="1448" xr:uid="{BDB111FC-B6BB-462A-B607-52528B575BF7}"/>
    <cellStyle name="Comma 170 2 2" xfId="3506" xr:uid="{528CC52D-797C-4E57-87BC-3C24FB5637DC}"/>
    <cellStyle name="Comma 170 3" xfId="2476" xr:uid="{8A9150D6-97DA-46E6-B21D-BBFFB616F2EF}"/>
    <cellStyle name="Comma 170 4" xfId="4602" xr:uid="{B971D1B6-07F4-4862-B011-1A64B0E374A3}"/>
    <cellStyle name="Comma 171" xfId="411" xr:uid="{95951440-B75C-4077-A009-37ED552AC853}"/>
    <cellStyle name="Comma 171 2" xfId="1449" xr:uid="{5078F5C5-249E-41D3-A23F-1C72AAB8260E}"/>
    <cellStyle name="Comma 171 2 2" xfId="3507" xr:uid="{7CF15402-C8D4-4B25-9F28-67DBC4FB1A0C}"/>
    <cellStyle name="Comma 171 3" xfId="2477" xr:uid="{11C14C3B-F9CC-44D8-BFA1-E0B81FC81A9C}"/>
    <cellStyle name="Comma 171 4" xfId="4603" xr:uid="{BA5479FA-5FAA-4CBD-9365-2CA397BB33E9}"/>
    <cellStyle name="Comma 172" xfId="412" xr:uid="{0F038FFF-E45E-436B-9F93-AAA8304BA5C6}"/>
    <cellStyle name="Comma 172 2" xfId="1450" xr:uid="{2C10EADA-E6B7-4220-A477-94CC881E627B}"/>
    <cellStyle name="Comma 172 2 2" xfId="3508" xr:uid="{2940AD4B-1831-42D8-9614-9874E1F5BB30}"/>
    <cellStyle name="Comma 172 3" xfId="2478" xr:uid="{CB06391A-9B59-4070-93C8-A0BAB6BE60B3}"/>
    <cellStyle name="Comma 172 4" xfId="4604" xr:uid="{581E630E-59C1-4C1F-8B82-2B89B2AC4324}"/>
    <cellStyle name="Comma 173" xfId="413" xr:uid="{4B73108A-7699-4B09-9FB6-57EEF8097FFD}"/>
    <cellStyle name="Comma 173 2" xfId="1451" xr:uid="{A7E011C8-0A05-4066-B645-71A3366CCAD0}"/>
    <cellStyle name="Comma 173 2 2" xfId="3509" xr:uid="{34FDF874-CAA5-45D6-8DAD-B0616DE67D21}"/>
    <cellStyle name="Comma 173 3" xfId="2479" xr:uid="{9366028F-EEB6-4264-85DF-EFBC834CC3D3}"/>
    <cellStyle name="Comma 173 4" xfId="4605" xr:uid="{9E02DA1A-C81F-411B-AE5B-3F679077674E}"/>
    <cellStyle name="Comma 174" xfId="414" xr:uid="{9DEE1AE3-2B34-4A14-A60F-DC312AFA5907}"/>
    <cellStyle name="Comma 174 2" xfId="1452" xr:uid="{A9D481A6-CECB-4340-AE63-5AA67F180424}"/>
    <cellStyle name="Comma 174 2 2" xfId="3510" xr:uid="{D30DA948-D130-4344-B7A2-69A9BDC09D19}"/>
    <cellStyle name="Comma 174 3" xfId="2480" xr:uid="{BB69AA3E-7B11-45AE-90E3-4F0B4E90E612}"/>
    <cellStyle name="Comma 174 4" xfId="4606" xr:uid="{541E998C-C5EE-483B-A62D-BA517EBF7C5D}"/>
    <cellStyle name="Comma 175" xfId="415" xr:uid="{EB707AFF-C99A-4869-B056-FEF7AB7987F2}"/>
    <cellStyle name="Comma 175 2" xfId="1453" xr:uid="{222BF792-5EB3-48E7-AB08-3598256AF106}"/>
    <cellStyle name="Comma 175 2 2" xfId="3511" xr:uid="{C8A689D2-BC0A-4193-87A0-4CFF496DE34E}"/>
    <cellStyle name="Comma 175 3" xfId="2481" xr:uid="{8B40AC14-3B5A-4163-B5BC-B65C233E9042}"/>
    <cellStyle name="Comma 175 4" xfId="4607" xr:uid="{3BD4FFEF-EA33-40FB-B529-1E6313743DC5}"/>
    <cellStyle name="Comma 176" xfId="416" xr:uid="{A2A5FF94-62B1-4382-A4A8-8A1A9419B437}"/>
    <cellStyle name="Comma 176 2" xfId="1454" xr:uid="{5BE811E8-5549-4BF3-AC35-8C233C7E23E4}"/>
    <cellStyle name="Comma 176 2 2" xfId="3512" xr:uid="{FB5A55BE-4C73-4C61-83C6-F992C77B0F70}"/>
    <cellStyle name="Comma 176 3" xfId="2482" xr:uid="{D272BD9A-60C3-424C-B167-F57F27151B90}"/>
    <cellStyle name="Comma 176 4" xfId="4608" xr:uid="{9C5882EC-29F6-4405-9332-65E83D2EA0B7}"/>
    <cellStyle name="Comma 177" xfId="417" xr:uid="{EFA81E2D-5603-472A-8437-720FF4D7CEEA}"/>
    <cellStyle name="Comma 177 2" xfId="1455" xr:uid="{8266E65D-DADC-412A-8907-FFF7C83C8808}"/>
    <cellStyle name="Comma 177 2 2" xfId="3513" xr:uid="{1FE0CF9F-16B9-4C0D-8950-28A0DB46A62F}"/>
    <cellStyle name="Comma 177 3" xfId="2483" xr:uid="{89B117C5-4AF8-4C32-8CCD-3EBE846847D6}"/>
    <cellStyle name="Comma 177 4" xfId="4609" xr:uid="{C2066BA9-2C69-4CC7-BF65-04C696E41EA3}"/>
    <cellStyle name="Comma 178" xfId="418" xr:uid="{74B14D12-3560-402F-BF58-AD5EB98CAB93}"/>
    <cellStyle name="Comma 178 2" xfId="1456" xr:uid="{AE837ABD-E0BC-4E30-AEE2-10D65A7B4FED}"/>
    <cellStyle name="Comma 178 2 2" xfId="3514" xr:uid="{3C1B4284-7841-42EC-9B4B-2F77FC1B4F68}"/>
    <cellStyle name="Comma 178 3" xfId="2484" xr:uid="{E2BA9FFB-550D-4D7A-B501-97AC1DB8DD23}"/>
    <cellStyle name="Comma 178 4" xfId="4610" xr:uid="{FC208EF0-6397-4F11-B5D8-71D016307A5A}"/>
    <cellStyle name="Comma 179" xfId="419" xr:uid="{8385A881-5469-4914-9A87-4F928406DB8E}"/>
    <cellStyle name="Comma 179 2" xfId="1457" xr:uid="{DE3650B4-DF14-4AA1-9E1E-5BDEF3E933E8}"/>
    <cellStyle name="Comma 179 2 2" xfId="3515" xr:uid="{290490AC-9C5D-4119-8D21-B973FF69CE4B}"/>
    <cellStyle name="Comma 179 3" xfId="2485" xr:uid="{D5B04826-7970-415F-B32E-1B4102EC9CB0}"/>
    <cellStyle name="Comma 179 4" xfId="4611" xr:uid="{FFB45626-8196-4D5B-AFD4-EDB0734AFCDD}"/>
    <cellStyle name="Comma 18" xfId="210" xr:uid="{81EDDB98-3374-450B-8D76-434C4FC5CF70}"/>
    <cellStyle name="Comma 18 2" xfId="1296" xr:uid="{1E6A4308-B0BD-46E5-AFB5-5233466BD99E}"/>
    <cellStyle name="Comma 18 2 2" xfId="3354" xr:uid="{66632A5F-BA96-4FB8-9252-C729926AD292}"/>
    <cellStyle name="Comma 18 3" xfId="2324" xr:uid="{6A9933D7-56E6-4290-9D35-63DFAF2773B3}"/>
    <cellStyle name="Comma 18 4" xfId="4450" xr:uid="{579BB79F-DAEA-4795-8245-02D1F4CBD044}"/>
    <cellStyle name="Comma 180" xfId="420" xr:uid="{11724BD0-49B2-492A-A364-41B66D2E7A8D}"/>
    <cellStyle name="Comma 180 2" xfId="1458" xr:uid="{57D8DC4A-2672-4286-A1CF-537B069EA596}"/>
    <cellStyle name="Comma 180 2 2" xfId="3516" xr:uid="{16B82EEF-7B99-4CA4-9B31-DA659D036286}"/>
    <cellStyle name="Comma 180 3" xfId="2486" xr:uid="{A35F250B-FE74-4A69-9C0B-338BEDAEE099}"/>
    <cellStyle name="Comma 180 4" xfId="4612" xr:uid="{8B2AA3AC-1EF0-438E-AB00-7FC80A0B023C}"/>
    <cellStyle name="Comma 181" xfId="421" xr:uid="{B56D70AE-4415-45CC-A873-56922C09A5A7}"/>
    <cellStyle name="Comma 181 2" xfId="1459" xr:uid="{E2783EA3-26C3-4BD9-9802-19B1E0FF6239}"/>
    <cellStyle name="Comma 181 2 2" xfId="3517" xr:uid="{6F671F5C-4415-42EF-B87C-2FC8D5847880}"/>
    <cellStyle name="Comma 181 3" xfId="2487" xr:uid="{336E4A7B-A061-4DBB-9989-44EF38EBC9F8}"/>
    <cellStyle name="Comma 181 4" xfId="4613" xr:uid="{F9455903-D626-4656-A116-B75289091E75}"/>
    <cellStyle name="Comma 182" xfId="422" xr:uid="{371248B9-E3D5-4A4D-9550-9C8B22FCB5BD}"/>
    <cellStyle name="Comma 182 2" xfId="1460" xr:uid="{0CF4036B-EAEB-4532-B7DD-6FBC0E9184C4}"/>
    <cellStyle name="Comma 182 2 2" xfId="3518" xr:uid="{47B5D031-5CF1-4F0A-99E8-5CD8F45F112A}"/>
    <cellStyle name="Comma 182 3" xfId="2488" xr:uid="{B4EF5407-B2E1-4151-BC5A-A271BBDB6C0B}"/>
    <cellStyle name="Comma 182 4" xfId="4614" xr:uid="{FB9AA4E8-DE34-46BE-AB45-C9C9ADF01F89}"/>
    <cellStyle name="Comma 183" xfId="423" xr:uid="{EEC33546-F4D4-47FF-896F-78127DC54C4F}"/>
    <cellStyle name="Comma 183 2" xfId="1461" xr:uid="{EC33FC84-FCD5-4E6A-83AF-9540EA10B81E}"/>
    <cellStyle name="Comma 183 2 2" xfId="3519" xr:uid="{557BE5D5-B13E-441A-84D2-1B1C13065EC0}"/>
    <cellStyle name="Comma 183 3" xfId="2489" xr:uid="{AD374C99-CBA0-4C3F-A918-92356387153E}"/>
    <cellStyle name="Comma 183 4" xfId="4615" xr:uid="{97029EA2-9829-4CA5-AF9F-49994E835FFA}"/>
    <cellStyle name="Comma 184" xfId="424" xr:uid="{D051CD07-92CE-47B2-B6D9-98F68062D7B6}"/>
    <cellStyle name="Comma 184 2" xfId="1462" xr:uid="{56E009D9-2F7E-4588-9B9E-393C3A533D25}"/>
    <cellStyle name="Comma 184 2 2" xfId="3520" xr:uid="{A0F309EE-26FB-42FA-8002-B20C32AF9E82}"/>
    <cellStyle name="Comma 184 3" xfId="2490" xr:uid="{4177D4F4-2A01-40A0-9956-0EE65A06837F}"/>
    <cellStyle name="Comma 184 4" xfId="4616" xr:uid="{895AAF70-AF1D-4035-B32B-B11E66265C82}"/>
    <cellStyle name="Comma 185" xfId="425" xr:uid="{40753A40-6C57-4AD4-A5E9-607D28466F79}"/>
    <cellStyle name="Comma 185 2" xfId="1463" xr:uid="{0306FCF1-CDBD-4AD9-AC78-29634C8C7C7A}"/>
    <cellStyle name="Comma 185 2 2" xfId="3521" xr:uid="{E366778C-310C-4502-8D14-3CAD398E3F86}"/>
    <cellStyle name="Comma 185 3" xfId="2491" xr:uid="{AA0DD689-75AA-4E5B-8613-D98A3CD1CCC7}"/>
    <cellStyle name="Comma 185 4" xfId="4617" xr:uid="{EC009C31-40A6-4776-BAD6-693ACC9F6B18}"/>
    <cellStyle name="Comma 186" xfId="426" xr:uid="{C7BCD7AD-CDD2-43C5-BB2D-3F356E57DA85}"/>
    <cellStyle name="Comma 186 2" xfId="1464" xr:uid="{1CE2D1BE-3791-4E2C-B8B7-EDA2B9BC9E13}"/>
    <cellStyle name="Comma 186 2 2" xfId="3522" xr:uid="{8D4B6745-B32C-4917-8974-75C728B0ED42}"/>
    <cellStyle name="Comma 186 3" xfId="2492" xr:uid="{DBB74DF8-D762-4468-A6E2-C8D205549629}"/>
    <cellStyle name="Comma 186 4" xfId="4618" xr:uid="{8D87266A-2304-42F5-A3D5-BC73A440E3DC}"/>
    <cellStyle name="Comma 187" xfId="427" xr:uid="{0798A3BD-E58C-42C8-BC46-F0D57369D0C5}"/>
    <cellStyle name="Comma 187 2" xfId="1465" xr:uid="{730A79CB-DDDF-4D3F-9F10-8C7ACDEA7A56}"/>
    <cellStyle name="Comma 187 2 2" xfId="3523" xr:uid="{435A154D-32A5-4644-A139-AB6A0FF1F6AB}"/>
    <cellStyle name="Comma 187 3" xfId="2493" xr:uid="{3218E3AE-EAED-4357-9094-50D0F881F38C}"/>
    <cellStyle name="Comma 187 4" xfId="4619" xr:uid="{96416DC3-5491-4F4D-9686-2D471600C826}"/>
    <cellStyle name="Comma 188" xfId="428" xr:uid="{E706EA9B-FF0B-4900-B823-959F2BA35BA1}"/>
    <cellStyle name="Comma 188 2" xfId="1466" xr:uid="{A5E3D42C-D780-44CC-B647-232A0A5297EF}"/>
    <cellStyle name="Comma 188 2 2" xfId="3524" xr:uid="{B3128F83-D6D0-489F-AA53-17A5FADA4D60}"/>
    <cellStyle name="Comma 188 3" xfId="2494" xr:uid="{9C47B1D1-7B77-4934-98B4-C1575FF5479C}"/>
    <cellStyle name="Comma 188 4" xfId="4620" xr:uid="{FBF2DF9B-E229-437C-AB9E-1FF3FECB7D6F}"/>
    <cellStyle name="Comma 189" xfId="429" xr:uid="{D268E2F0-3025-403D-93A6-D205026292AA}"/>
    <cellStyle name="Comma 189 2" xfId="1467" xr:uid="{2E526209-8E81-4858-9A07-7156FEE8A34E}"/>
    <cellStyle name="Comma 189 2 2" xfId="3525" xr:uid="{1295D6D1-E556-4184-AA31-2A07C8B82451}"/>
    <cellStyle name="Comma 189 3" xfId="2495" xr:uid="{42C8DD62-3A26-4767-A3A9-2FDEE2B5FFC8}"/>
    <cellStyle name="Comma 189 4" xfId="4621" xr:uid="{9B0507EC-FBBA-43B7-8D7D-B2C6C922850B}"/>
    <cellStyle name="Comma 19" xfId="195" xr:uid="{DA3A5941-C1ED-4026-A380-AC9BCEDEBFCB}"/>
    <cellStyle name="Comma 19 2" xfId="1283" xr:uid="{231B11CA-DA39-4FD2-9D00-2987BF1706B8}"/>
    <cellStyle name="Comma 19 2 2" xfId="3341" xr:uid="{6589568B-2B3E-44B7-8CBB-FF32499A821B}"/>
    <cellStyle name="Comma 19 3" xfId="2311" xr:uid="{040405BE-5084-4DA6-BD7D-B755CA895155}"/>
    <cellStyle name="Comma 19 4" xfId="4437" xr:uid="{3A2A4807-2569-43DE-BC68-DD26B82C2CA9}"/>
    <cellStyle name="Comma 190" xfId="430" xr:uid="{D58FA00C-299C-448B-9C21-AB00018D5A53}"/>
    <cellStyle name="Comma 190 2" xfId="1468" xr:uid="{22E7ED27-A985-47F8-9774-B1C85258EF99}"/>
    <cellStyle name="Comma 190 2 2" xfId="3526" xr:uid="{59A5F5B2-36D2-4CCF-90B3-A4F9CAB93DC3}"/>
    <cellStyle name="Comma 190 3" xfId="2496" xr:uid="{091EDC3E-636A-47D2-9C8B-7A20D5FA6E0D}"/>
    <cellStyle name="Comma 190 4" xfId="4622" xr:uid="{979F0257-402D-4419-8FB2-072235BAC9DD}"/>
    <cellStyle name="Comma 191" xfId="431" xr:uid="{239B4E08-ECEF-43F1-B107-E2CD55D897BC}"/>
    <cellStyle name="Comma 191 2" xfId="1469" xr:uid="{D3FC6FD1-5249-49D1-B35E-22C95DFA900D}"/>
    <cellStyle name="Comma 191 2 2" xfId="3527" xr:uid="{A0E4E52C-7FA2-45A4-BCC5-815936C3651C}"/>
    <cellStyle name="Comma 191 3" xfId="2497" xr:uid="{BF00ED4C-8589-46C9-A172-A487FB9C15A7}"/>
    <cellStyle name="Comma 191 4" xfId="4623" xr:uid="{0F455D8A-46B5-461A-B9DE-CA89FD2CD36B}"/>
    <cellStyle name="Comma 192" xfId="432" xr:uid="{5E1EEC11-B172-4C31-AE15-F1BF7B20D772}"/>
    <cellStyle name="Comma 192 2" xfId="1470" xr:uid="{93DCE233-1E74-4326-90CD-56747B29EA58}"/>
    <cellStyle name="Comma 192 2 2" xfId="3528" xr:uid="{351748F5-2FD7-4364-8228-DA106F582BFE}"/>
    <cellStyle name="Comma 192 3" xfId="2498" xr:uid="{F6BEC317-96AE-47D2-9067-09D0F0830E98}"/>
    <cellStyle name="Comma 192 4" xfId="4624" xr:uid="{F4D11563-A43E-4E88-BFD7-C6CE5A09E484}"/>
    <cellStyle name="Comma 193" xfId="433" xr:uid="{4507FB94-1179-434E-893E-F624EC25CD6F}"/>
    <cellStyle name="Comma 193 2" xfId="1471" xr:uid="{3A2E7900-6002-4C16-958B-D1A7A65E3609}"/>
    <cellStyle name="Comma 193 2 2" xfId="3529" xr:uid="{0AE3FC32-7FCA-4454-9193-927D595B8580}"/>
    <cellStyle name="Comma 193 3" xfId="2499" xr:uid="{B821F9C4-C4F0-4BF8-9D69-F7B0AECFCB35}"/>
    <cellStyle name="Comma 193 4" xfId="4625" xr:uid="{722CB254-FA30-4506-BD91-020501DE5094}"/>
    <cellStyle name="Comma 194" xfId="434" xr:uid="{BB8085E7-E2C9-4E77-A064-C0C498840E7F}"/>
    <cellStyle name="Comma 194 2" xfId="1472" xr:uid="{725A0AAD-38A0-4209-88CF-275101F60ACD}"/>
    <cellStyle name="Comma 194 2 2" xfId="3530" xr:uid="{7B1ABDDB-FB28-4033-85FC-FA3F539AC144}"/>
    <cellStyle name="Comma 194 3" xfId="2500" xr:uid="{9BB210BB-F252-4998-95B9-855CAB415A96}"/>
    <cellStyle name="Comma 194 4" xfId="4626" xr:uid="{8F702A3A-B6F9-423E-BBBF-704D6D8F17CE}"/>
    <cellStyle name="Comma 195" xfId="435" xr:uid="{83F6A0FF-39CB-40D2-923C-63FB58324AFA}"/>
    <cellStyle name="Comma 195 2" xfId="1473" xr:uid="{D6F83574-8C82-40B8-AA73-C03EE590AE96}"/>
    <cellStyle name="Comma 195 2 2" xfId="3531" xr:uid="{1290BD57-4FC3-4F63-8691-62265EE19A2D}"/>
    <cellStyle name="Comma 195 3" xfId="2501" xr:uid="{133A2D5E-F0D4-416D-BAE0-46E07D16A478}"/>
    <cellStyle name="Comma 195 4" xfId="4627" xr:uid="{BEC4865F-7469-4AE0-9F28-3D8ECD108ACD}"/>
    <cellStyle name="Comma 196" xfId="436" xr:uid="{40F0ACB6-13D2-4DC7-B69D-BD5E8FFFF6DA}"/>
    <cellStyle name="Comma 196 2" xfId="1474" xr:uid="{E59BBD0B-8242-4F91-AA45-DE45DD1E83A3}"/>
    <cellStyle name="Comma 196 2 2" xfId="3532" xr:uid="{3798935D-EAE2-4946-801A-89E911CE7E3F}"/>
    <cellStyle name="Comma 196 3" xfId="2502" xr:uid="{41EDAD26-0627-438C-80B8-518886DF108A}"/>
    <cellStyle name="Comma 196 4" xfId="4628" xr:uid="{1993FC3E-FB65-4983-A948-4D233DD06C23}"/>
    <cellStyle name="Comma 197" xfId="437" xr:uid="{0FA028ED-518C-4878-8B3C-AD74FCBBF157}"/>
    <cellStyle name="Comma 197 2" xfId="1475" xr:uid="{30A3B41E-2811-4907-AA20-F43ED5763C4B}"/>
    <cellStyle name="Comma 197 2 2" xfId="3533" xr:uid="{AE0E4F4C-A1C8-4EF8-AC30-3473311C884E}"/>
    <cellStyle name="Comma 197 3" xfId="2503" xr:uid="{AF2AFF93-6A69-437A-B9DF-61E72CBFE9FB}"/>
    <cellStyle name="Comma 197 4" xfId="4629" xr:uid="{B1FEDCDC-A479-4DEA-8475-2351A96CF4D2}"/>
    <cellStyle name="Comma 198" xfId="438" xr:uid="{218AA4D9-0F36-4FC0-B437-8F4311594B66}"/>
    <cellStyle name="Comma 198 2" xfId="1476" xr:uid="{2748DBD1-4920-4EB6-BC11-D428AD8E0A0D}"/>
    <cellStyle name="Comma 198 2 2" xfId="3534" xr:uid="{1748EE6D-326A-4ABD-BADE-B56D607A4F3D}"/>
    <cellStyle name="Comma 198 3" xfId="2504" xr:uid="{895F5124-044C-40C1-87CD-BE39AAAAB6AD}"/>
    <cellStyle name="Comma 198 4" xfId="4630" xr:uid="{3790E9E0-1962-4A33-B08B-BD25EE55E35E}"/>
    <cellStyle name="Comma 199" xfId="439" xr:uid="{618F26B1-EDEF-45C8-8CAD-AFEF2601AF37}"/>
    <cellStyle name="Comma 199 2" xfId="1477" xr:uid="{6AEC8C06-9531-4E21-A164-D16712A73824}"/>
    <cellStyle name="Comma 199 2 2" xfId="3535" xr:uid="{D929AF8B-1E44-4FCC-8EB9-72C5DBE0FCC3}"/>
    <cellStyle name="Comma 199 3" xfId="2505" xr:uid="{FD395FD6-25C0-4247-AEDB-799E40043443}"/>
    <cellStyle name="Comma 199 4" xfId="4631" xr:uid="{0684BFCC-775C-4B5A-A8F9-B5C3D944B4D0}"/>
    <cellStyle name="Comma 2" xfId="2" xr:uid="{510FB9FF-FC62-4AA0-B878-3ECF24345BDA}"/>
    <cellStyle name="Comma 2 2" xfId="3" xr:uid="{AE4D5939-DEA3-4D1D-8C16-39A3B9C0075A}"/>
    <cellStyle name="Comma 2 2 2" xfId="68" xr:uid="{60325F37-C8BA-4FB7-8AEA-C3AC9787B8AB}"/>
    <cellStyle name="Comma 2 2 2 2" xfId="1274" xr:uid="{B3085304-7EB5-4322-8E26-BDAE85CB0975}"/>
    <cellStyle name="Comma 2 2 2 2 2" xfId="3332" xr:uid="{0D66AA1B-596C-4A3D-ADCB-59ACEAE4766E}"/>
    <cellStyle name="Comma 2 2 2 3" xfId="2302" xr:uid="{62CB2D3C-7452-4440-B3EB-988E7CA5449B}"/>
    <cellStyle name="Comma 2 2 3" xfId="1272" xr:uid="{EBF0FBDB-96C1-4551-8A18-0A3B69F9076A}"/>
    <cellStyle name="Comma 2 2 3 2" xfId="3330" xr:uid="{6819694F-C917-45FA-ADEE-D79A34B7417C}"/>
    <cellStyle name="Comma 2 2 4" xfId="4428" xr:uid="{FC58734D-9DFF-4F25-BED8-C87BAB02817A}"/>
    <cellStyle name="Comma 2 3" xfId="69" xr:uid="{76BF0A9C-6723-4505-B165-93EEC94D6FFE}"/>
    <cellStyle name="Comma 2 3 2" xfId="1275" xr:uid="{53ABD945-B884-46AC-ABFE-7B2813FBA38E}"/>
    <cellStyle name="Comma 2 3 2 2" xfId="3333" xr:uid="{BCCA0CAC-5F2C-4ED6-AE96-212CC8C73CAF}"/>
    <cellStyle name="Comma 2 3 3" xfId="2303" xr:uid="{49120134-9BF1-418D-8F96-3DF05EE86A7F}"/>
    <cellStyle name="Comma 2 3 4" xfId="4429" xr:uid="{EF995341-F963-4597-A2BD-2B3DAA809E32}"/>
    <cellStyle name="Comma 2 4" xfId="1271" xr:uid="{E8663470-9EB7-4970-8629-FA68DA739EB6}"/>
    <cellStyle name="Comma 2 4 2" xfId="3329" xr:uid="{59DD76C9-B54C-4F72-8948-FA75965F2908}"/>
    <cellStyle name="Comma 2 5" xfId="2300" xr:uid="{FCA36F7F-441F-4210-AB24-FAAEEB9373D7}"/>
    <cellStyle name="Comma 2 6" xfId="4427" xr:uid="{AB2A339E-E2CB-4948-992D-392FCA696AFE}"/>
    <cellStyle name="Comma 20" xfId="211" xr:uid="{42A48B3B-093F-4629-9EB0-1BDCFF0CAD4B}"/>
    <cellStyle name="Comma 20 2" xfId="1297" xr:uid="{A65D0E3B-BDB8-41E3-97B9-AF62CADF3275}"/>
    <cellStyle name="Comma 20 2 2" xfId="3355" xr:uid="{8A40789D-7B49-442B-A8E4-671A9AF7EB13}"/>
    <cellStyle name="Comma 20 3" xfId="2325" xr:uid="{135F72FA-2760-4506-8190-6B49F0C35624}"/>
    <cellStyle name="Comma 20 4" xfId="4451" xr:uid="{02553C98-189E-40A5-8B2E-9A5AC3688401}"/>
    <cellStyle name="Comma 200" xfId="440" xr:uid="{372821C1-E972-4198-8E81-7954C6C89682}"/>
    <cellStyle name="Comma 200 2" xfId="1478" xr:uid="{9202F4D9-E525-429C-A5BE-412B50C16959}"/>
    <cellStyle name="Comma 200 2 2" xfId="3536" xr:uid="{981CAD13-0128-4D6B-89E7-7AC8287A557F}"/>
    <cellStyle name="Comma 200 3" xfId="2506" xr:uid="{CA7B40EB-9882-48E4-B76F-A386AC41DE9E}"/>
    <cellStyle name="Comma 200 4" xfId="4632" xr:uid="{C5A7A69D-2829-43FF-BAB8-0DC91BE4D79E}"/>
    <cellStyle name="Comma 201" xfId="441" xr:uid="{4E2FA905-933D-4B1C-9445-147C7ADA23D5}"/>
    <cellStyle name="Comma 201 2" xfId="1479" xr:uid="{B68309AB-AAB5-4F22-BE49-B03FC4249E86}"/>
    <cellStyle name="Comma 201 2 2" xfId="3537" xr:uid="{8AF35B09-1238-4919-9C22-887300A79E39}"/>
    <cellStyle name="Comma 201 3" xfId="2507" xr:uid="{DB0B5905-835A-4C9D-B1BB-384FE168820D}"/>
    <cellStyle name="Comma 201 4" xfId="4633" xr:uid="{D8323C13-2F07-46B7-B03A-E47CC744D5FD}"/>
    <cellStyle name="Comma 202" xfId="442" xr:uid="{FFCA9E9C-0DF9-4DBA-A9C0-24B2F0BC7900}"/>
    <cellStyle name="Comma 202 2" xfId="1480" xr:uid="{DD11F76D-B5E1-414E-9BD3-3DC482ADB1D1}"/>
    <cellStyle name="Comma 202 2 2" xfId="3538" xr:uid="{D6EF54FB-9F87-4953-8391-2BB05AA6680C}"/>
    <cellStyle name="Comma 202 3" xfId="2508" xr:uid="{EFE76EBB-31FA-42ED-B9A4-097A1989AE32}"/>
    <cellStyle name="Comma 202 4" xfId="4634" xr:uid="{7E0B16A3-BE45-40DF-AE24-501193847D01}"/>
    <cellStyle name="Comma 203" xfId="443" xr:uid="{64B283ED-9F77-4115-A26D-C0F9CA4B11BC}"/>
    <cellStyle name="Comma 203 2" xfId="1481" xr:uid="{04426601-2535-45A1-9285-D6AB45942476}"/>
    <cellStyle name="Comma 203 2 2" xfId="3539" xr:uid="{ADD634DE-F8F2-4648-8893-7A0BEC4F83A7}"/>
    <cellStyle name="Comma 203 3" xfId="2509" xr:uid="{EAE28C1D-F5CE-4B64-B3A9-B356933C304D}"/>
    <cellStyle name="Comma 203 4" xfId="4635" xr:uid="{06CD425E-05EB-4B75-A57D-FE47F0BBFC12}"/>
    <cellStyle name="Comma 204" xfId="444" xr:uid="{7C86A98C-3C36-41AB-994F-9A1AF6F12B63}"/>
    <cellStyle name="Comma 204 2" xfId="1482" xr:uid="{A2450FC2-87F8-48A3-8610-A3C967714F81}"/>
    <cellStyle name="Comma 204 2 2" xfId="3540" xr:uid="{7C2BF7DD-A5E1-4991-904F-C2AF6EF3744E}"/>
    <cellStyle name="Comma 204 3" xfId="2510" xr:uid="{8EB58067-8F9A-494E-9134-DF15C2BFBAAC}"/>
    <cellStyle name="Comma 204 4" xfId="4636" xr:uid="{418392C5-F500-41D0-A85C-9D3065253A61}"/>
    <cellStyle name="Comma 205" xfId="445" xr:uid="{351C1800-97F6-4115-A561-CE1E5A7C9059}"/>
    <cellStyle name="Comma 205 2" xfId="1483" xr:uid="{65BDAAB6-5BC3-4394-A2D7-80182ACB9911}"/>
    <cellStyle name="Comma 205 2 2" xfId="3541" xr:uid="{F4D0DD53-F740-44A4-904E-3F62376B7989}"/>
    <cellStyle name="Comma 205 3" xfId="2511" xr:uid="{BCBD7B0D-9CE1-45A4-B662-49189D96A3DE}"/>
    <cellStyle name="Comma 205 4" xfId="4637" xr:uid="{EEFF1E8A-A8BF-4209-AE93-500D01655BEE}"/>
    <cellStyle name="Comma 206" xfId="446" xr:uid="{58AAB610-0FEF-48FA-8255-C863B5B3B3F2}"/>
    <cellStyle name="Comma 206 2" xfId="1484" xr:uid="{3E14D4D2-92A0-4355-A59C-F16B41F13D97}"/>
    <cellStyle name="Comma 206 2 2" xfId="3542" xr:uid="{BBA9C8D4-82FF-43B1-AD06-A5FBD7496DC1}"/>
    <cellStyle name="Comma 206 3" xfId="2512" xr:uid="{7E007672-B15C-416C-9F6B-60B85B4CE77B}"/>
    <cellStyle name="Comma 206 4" xfId="4638" xr:uid="{06497A72-28F3-4A94-978F-D26CEF50B285}"/>
    <cellStyle name="Comma 207" xfId="447" xr:uid="{8152E7BE-C2AA-4C0A-BCFB-6D2D17E9870C}"/>
    <cellStyle name="Comma 207 2" xfId="1485" xr:uid="{45CB8AD4-CBFF-4C15-B8EA-AB36C0150E50}"/>
    <cellStyle name="Comma 207 2 2" xfId="3543" xr:uid="{6D740899-C14D-4DF6-AB5C-CE8BB4F2F1ED}"/>
    <cellStyle name="Comma 207 3" xfId="2513" xr:uid="{2F28D594-B369-41AB-AAB8-4556EEF76333}"/>
    <cellStyle name="Comma 207 4" xfId="4639" xr:uid="{79CD46F6-0C55-40F9-8079-BB88C6604446}"/>
    <cellStyle name="Comma 208" xfId="448" xr:uid="{CADA4AEB-1BB9-4701-90C9-8CBC2FBB7C2A}"/>
    <cellStyle name="Comma 208 2" xfId="1486" xr:uid="{CC19BC76-03D5-4EB5-B4ED-66060687C0DC}"/>
    <cellStyle name="Comma 208 2 2" xfId="3544" xr:uid="{BB387409-75FE-4F15-B2AD-4213743B4577}"/>
    <cellStyle name="Comma 208 3" xfId="2514" xr:uid="{1ADF4A4C-AAFD-483B-B560-D367893DE041}"/>
    <cellStyle name="Comma 208 4" xfId="4640" xr:uid="{BAF3DB82-3489-4832-B502-499F23EB43BE}"/>
    <cellStyle name="Comma 209" xfId="449" xr:uid="{FB7A9C63-A594-4A71-9319-F3B55AA622C2}"/>
    <cellStyle name="Comma 209 2" xfId="1487" xr:uid="{41702335-5160-4CBF-9161-8785E3E0EB95}"/>
    <cellStyle name="Comma 209 2 2" xfId="3545" xr:uid="{D5C0E60C-2553-4A35-BD02-E49F1DF4CE5D}"/>
    <cellStyle name="Comma 209 3" xfId="2515" xr:uid="{6DFD1E01-453E-4DD8-B7B0-1BD713481741}"/>
    <cellStyle name="Comma 209 4" xfId="4641" xr:uid="{68363258-3325-4435-9B18-C83D5CAE3D0A}"/>
    <cellStyle name="Comma 21" xfId="212" xr:uid="{B7B36C07-1D1D-4BDA-9E93-24A11D5AA60E}"/>
    <cellStyle name="Comma 21 2" xfId="1298" xr:uid="{0442622E-1835-4C17-A011-4D6E564C2522}"/>
    <cellStyle name="Comma 21 2 2" xfId="3356" xr:uid="{EF26215A-4251-4727-858B-7BA79EFC2A11}"/>
    <cellStyle name="Comma 21 3" xfId="2326" xr:uid="{8B33290F-E6A5-4353-9843-46757E7DACD7}"/>
    <cellStyle name="Comma 21 4" xfId="4452" xr:uid="{564E3CE6-0025-466C-946C-75B8042D6572}"/>
    <cellStyle name="Comma 210" xfId="450" xr:uid="{91EAFCCB-DADF-4967-9030-019A0BDE51A4}"/>
    <cellStyle name="Comma 210 2" xfId="1488" xr:uid="{3C84E5EA-2312-46D0-B8FF-8653D0A4F54E}"/>
    <cellStyle name="Comma 210 2 2" xfId="3546" xr:uid="{102BB6F7-C8FF-4EC3-A944-39161D4E5994}"/>
    <cellStyle name="Comma 210 3" xfId="2516" xr:uid="{30CC6DD1-C46E-4C75-8194-0303FA21A53E}"/>
    <cellStyle name="Comma 210 4" xfId="4642" xr:uid="{1C854060-DE00-4B7A-BE3A-D32380E44DD3}"/>
    <cellStyle name="Comma 211" xfId="451" xr:uid="{617F85D2-E7C9-4CFB-8A97-C9AF47E491A4}"/>
    <cellStyle name="Comma 211 2" xfId="1489" xr:uid="{2C7825B8-B081-4D35-B4F4-6CA129C97387}"/>
    <cellStyle name="Comma 211 2 2" xfId="3547" xr:uid="{B2B913C5-85B3-4139-AF93-11389298EBBC}"/>
    <cellStyle name="Comma 211 3" xfId="2517" xr:uid="{7BA4A36B-E07C-4751-9B70-4B6E8117DEB3}"/>
    <cellStyle name="Comma 211 4" xfId="4643" xr:uid="{5B9FDA48-320E-49AA-9B7A-B3F43440BB02}"/>
    <cellStyle name="Comma 212" xfId="452" xr:uid="{1EB8ADE0-E779-4DB5-B3CA-77AD7618235A}"/>
    <cellStyle name="Comma 212 2" xfId="1490" xr:uid="{00066190-475F-4440-9EF6-AF4843AACCAD}"/>
    <cellStyle name="Comma 212 2 2" xfId="3548" xr:uid="{7D35B0D2-5909-4474-91FA-DA8038EC2794}"/>
    <cellStyle name="Comma 212 3" xfId="2518" xr:uid="{764CB76C-8B7F-4B4E-99B0-7C61D04E0B64}"/>
    <cellStyle name="Comma 212 4" xfId="4644" xr:uid="{F0E6F105-4A2E-41AF-AF66-ED27885791A6}"/>
    <cellStyle name="Comma 213" xfId="453" xr:uid="{B7435BA3-7CA4-4E46-B0CF-7D3D2BF10A4F}"/>
    <cellStyle name="Comma 213 2" xfId="1491" xr:uid="{00771070-4689-4C39-8070-6EF007B764C4}"/>
    <cellStyle name="Comma 213 2 2" xfId="3549" xr:uid="{127FCC4D-1484-487E-A8F5-47C3B0CDB4F0}"/>
    <cellStyle name="Comma 213 3" xfId="2519" xr:uid="{67383725-8946-4FA5-B256-ABD77FF1A183}"/>
    <cellStyle name="Comma 213 4" xfId="4645" xr:uid="{945D3BE5-77E7-4B05-8453-C1B6376E4407}"/>
    <cellStyle name="Comma 214" xfId="454" xr:uid="{940018F7-E02B-428F-BBBB-C8B7C8C0E5EB}"/>
    <cellStyle name="Comma 214 2" xfId="1492" xr:uid="{CC0B8906-6419-4BA8-8FB9-3AEE9BD5F2D3}"/>
    <cellStyle name="Comma 214 2 2" xfId="3550" xr:uid="{6B83AFEE-31C5-499B-8589-EE438FE058DA}"/>
    <cellStyle name="Comma 214 3" xfId="2520" xr:uid="{7F53F612-1886-474F-8CDB-DEB3C903E2AA}"/>
    <cellStyle name="Comma 214 4" xfId="4646" xr:uid="{A946399C-C2FB-4939-97C8-58BC6F4633BC}"/>
    <cellStyle name="Comma 215" xfId="455" xr:uid="{7287D0FC-6B30-4419-9B5A-F1DD517D5F8F}"/>
    <cellStyle name="Comma 215 2" xfId="1493" xr:uid="{4328F766-D3F6-419C-BDDF-31E7E9082AC2}"/>
    <cellStyle name="Comma 215 2 2" xfId="3551" xr:uid="{83C189E1-7B4E-4122-B59F-884A65892B1F}"/>
    <cellStyle name="Comma 215 3" xfId="2521" xr:uid="{27855A98-2DBC-4702-90E5-D34F69483C5F}"/>
    <cellStyle name="Comma 215 4" xfId="4647" xr:uid="{31A89BC6-366C-4B55-AEB3-E524A3A6EA8D}"/>
    <cellStyle name="Comma 216" xfId="456" xr:uid="{3C645270-35D2-4FE2-9E86-B17DBAD976B6}"/>
    <cellStyle name="Comma 216 2" xfId="1494" xr:uid="{97E7EAEF-3A2F-4601-A5EA-D8EC1E4FDF98}"/>
    <cellStyle name="Comma 216 2 2" xfId="3552" xr:uid="{F1A2146D-EF90-4653-AB8B-E959A349DEA8}"/>
    <cellStyle name="Comma 216 3" xfId="2522" xr:uid="{E182B9F4-6C59-4255-896F-FCED5446C33D}"/>
    <cellStyle name="Comma 216 4" xfId="4648" xr:uid="{FF83C4BD-B8EB-4BD3-8A34-FC2A7B185101}"/>
    <cellStyle name="Comma 217" xfId="457" xr:uid="{9A9C53CB-F370-4120-BE40-8DDF3F3A2608}"/>
    <cellStyle name="Comma 217 2" xfId="1495" xr:uid="{9788EC3E-6382-4E9E-8549-562241E85FD5}"/>
    <cellStyle name="Comma 217 2 2" xfId="3553" xr:uid="{ED84D7B9-9B1D-442C-8CB9-C668D8B60CD8}"/>
    <cellStyle name="Comma 217 3" xfId="2523" xr:uid="{4E2DFBF3-172F-4009-8877-6C4B46E570AE}"/>
    <cellStyle name="Comma 217 4" xfId="4649" xr:uid="{EEEFFE9D-D20E-4B33-B8E9-8F42985DCC24}"/>
    <cellStyle name="Comma 218" xfId="458" xr:uid="{A9F0793C-0767-4561-869F-FBF54D8788E3}"/>
    <cellStyle name="Comma 218 2" xfId="1496" xr:uid="{36F46264-14CD-4C42-B705-99C4B98CBD08}"/>
    <cellStyle name="Comma 218 2 2" xfId="3554" xr:uid="{D03203E7-0E52-4629-BAA8-56B4885D74CF}"/>
    <cellStyle name="Comma 218 3" xfId="2524" xr:uid="{363898EC-2BF9-4281-9245-5B41B3FCE775}"/>
    <cellStyle name="Comma 218 4" xfId="4650" xr:uid="{86B4FBA5-6315-4B39-9D93-C34019DE1CA2}"/>
    <cellStyle name="Comma 219" xfId="459" xr:uid="{B5DE3158-23B0-40C4-8940-BB766419367D}"/>
    <cellStyle name="Comma 219 2" xfId="1497" xr:uid="{1B67CB5A-A9E3-485B-BBB4-06FD3EE2FE2A}"/>
    <cellStyle name="Comma 219 2 2" xfId="3555" xr:uid="{10D8F35B-6190-46E6-8747-DAB4FAD57320}"/>
    <cellStyle name="Comma 219 3" xfId="2525" xr:uid="{0EED7B06-30D1-4305-86A4-09E384B01D5D}"/>
    <cellStyle name="Comma 219 4" xfId="4651" xr:uid="{5A3BFDF8-2EBD-4E74-9E7E-7DF31EF8AD2E}"/>
    <cellStyle name="Comma 22" xfId="213" xr:uid="{88EE0191-8962-4734-B181-9CD5DDAB591A}"/>
    <cellStyle name="Comma 22 2" xfId="1299" xr:uid="{83AAF6BE-FFA0-4F84-9906-E8DD3926233C}"/>
    <cellStyle name="Comma 22 2 2" xfId="3357" xr:uid="{A8A375C1-4023-4DE2-9DE6-D46A20D430A9}"/>
    <cellStyle name="Comma 22 3" xfId="2327" xr:uid="{CA110876-6C97-4F2C-A572-79C964026270}"/>
    <cellStyle name="Comma 22 4" xfId="4453" xr:uid="{DD06D853-ADFC-4DF7-95C3-566712038166}"/>
    <cellStyle name="Comma 220" xfId="460" xr:uid="{B7FADD65-F33F-4C59-89A4-4D41C94ABAEE}"/>
    <cellStyle name="Comma 220 2" xfId="1498" xr:uid="{D8F1669E-E272-4C58-A100-C35EAC5CCF09}"/>
    <cellStyle name="Comma 220 2 2" xfId="3556" xr:uid="{88D23530-686F-4764-9F81-4C3C04462E74}"/>
    <cellStyle name="Comma 220 3" xfId="2526" xr:uid="{E239086B-0AE9-413D-96E7-A0F6DA678EEA}"/>
    <cellStyle name="Comma 220 4" xfId="4652" xr:uid="{FABE4EDB-0CF3-427A-96EF-048CCB444ED2}"/>
    <cellStyle name="Comma 221" xfId="461" xr:uid="{C1142A0A-4441-4FA5-9B79-0516692BCA47}"/>
    <cellStyle name="Comma 221 2" xfId="1499" xr:uid="{D80D5890-B9A3-45EB-AFC2-4F9F9C5AEABB}"/>
    <cellStyle name="Comma 221 2 2" xfId="3557" xr:uid="{8F21709E-A1A1-4519-A5AD-31F3D558EF59}"/>
    <cellStyle name="Comma 221 3" xfId="2527" xr:uid="{BC328D33-48F3-4C16-80B0-D08B762C1173}"/>
    <cellStyle name="Comma 221 4" xfId="4653" xr:uid="{EED7BD71-BBD7-472E-BCA2-68D4A7BE0C2C}"/>
    <cellStyle name="Comma 222" xfId="462" xr:uid="{0168BFC0-A824-4001-B8DB-80C1AC2A6F67}"/>
    <cellStyle name="Comma 222 2" xfId="1500" xr:uid="{EA3102AB-6A84-4097-A776-D5D4BA45BB9F}"/>
    <cellStyle name="Comma 222 2 2" xfId="3558" xr:uid="{D10252BA-803E-4D4C-B4D5-51EB654B9F04}"/>
    <cellStyle name="Comma 222 3" xfId="2528" xr:uid="{56043045-8332-4977-9B3C-DDD819B9A973}"/>
    <cellStyle name="Comma 222 4" xfId="4654" xr:uid="{13CD6256-C321-4935-9864-3FB7CEBD69B9}"/>
    <cellStyle name="Comma 223" xfId="463" xr:uid="{5E775EA0-60D1-46A6-984A-BBF1100E6D96}"/>
    <cellStyle name="Comma 223 2" xfId="1501" xr:uid="{0BF320CC-D6FE-4865-A146-F83E9CA6FB16}"/>
    <cellStyle name="Comma 223 2 2" xfId="3559" xr:uid="{45CE7907-1473-483C-A66E-FC6C133CFF9F}"/>
    <cellStyle name="Comma 223 3" xfId="2529" xr:uid="{CE3F1A03-7A38-43B1-B1C1-80E2656353CA}"/>
    <cellStyle name="Comma 223 4" xfId="4655" xr:uid="{48AF87CA-CB1C-4B2D-BB50-D8B8494083D4}"/>
    <cellStyle name="Comma 224" xfId="464" xr:uid="{0F77EC27-F33A-4147-A58E-E5BC99372D3D}"/>
    <cellStyle name="Comma 224 2" xfId="1502" xr:uid="{0283AF9D-2E86-4764-B5D5-6080FD184997}"/>
    <cellStyle name="Comma 224 2 2" xfId="3560" xr:uid="{948C4F30-8451-4B5A-B344-D91F8E5652C4}"/>
    <cellStyle name="Comma 224 3" xfId="2530" xr:uid="{61C629B3-709D-4808-B582-D6D795FB2DE9}"/>
    <cellStyle name="Comma 224 4" xfId="4656" xr:uid="{737490D1-EFC6-491B-BBEC-B36606BDD8B3}"/>
    <cellStyle name="Comma 225" xfId="465" xr:uid="{F286CFBC-C4C0-4786-BF57-E613A67F4392}"/>
    <cellStyle name="Comma 225 2" xfId="1503" xr:uid="{6B1BBEE2-0B1C-4586-B0CB-B0C2FFE247D8}"/>
    <cellStyle name="Comma 225 2 2" xfId="3561" xr:uid="{4B65BF11-FA71-4B1E-AF05-7331C426F16C}"/>
    <cellStyle name="Comma 225 3" xfId="2531" xr:uid="{4DDEFB2E-8789-49BA-8204-4155AC592D8E}"/>
    <cellStyle name="Comma 225 4" xfId="4657" xr:uid="{297DDAD7-2AA6-4F31-B0C6-BAA5AB0A2110}"/>
    <cellStyle name="Comma 226" xfId="466" xr:uid="{B8594EFE-22A6-4C48-BC9F-F022E8A4CF90}"/>
    <cellStyle name="Comma 226 2" xfId="1504" xr:uid="{D0CBBB47-0C34-4C8D-BFF5-34F262B7793B}"/>
    <cellStyle name="Comma 226 2 2" xfId="3562" xr:uid="{6C2DB793-D466-4981-A3B6-9F723DC6939B}"/>
    <cellStyle name="Comma 226 3" xfId="2532" xr:uid="{FCF5C4BE-9FA4-4B45-9CCF-8FD23B9548AB}"/>
    <cellStyle name="Comma 226 4" xfId="4658" xr:uid="{619A50B6-3438-4396-95A7-7747F466825F}"/>
    <cellStyle name="Comma 227" xfId="467" xr:uid="{D31CE7FC-3D9D-41D0-ADD9-4B976342AD40}"/>
    <cellStyle name="Comma 227 2" xfId="1505" xr:uid="{1A4A3498-4FFC-476B-920C-2FC68830F867}"/>
    <cellStyle name="Comma 227 2 2" xfId="3563" xr:uid="{48EA1654-0CAA-463B-A12E-B739A120F02F}"/>
    <cellStyle name="Comma 227 3" xfId="2533" xr:uid="{F6F776AC-2C80-49AF-A3CE-86F771140360}"/>
    <cellStyle name="Comma 227 4" xfId="4659" xr:uid="{49DBE360-7FC5-4C13-A2C4-D84E9EB0831A}"/>
    <cellStyle name="Comma 228" xfId="468" xr:uid="{CEDD4526-892E-4E51-8177-9A94B843D1CF}"/>
    <cellStyle name="Comma 228 2" xfId="1506" xr:uid="{BDB2A027-7730-4E2E-877F-D3C3509488F1}"/>
    <cellStyle name="Comma 228 2 2" xfId="3564" xr:uid="{475C01D3-244D-4FAF-8CBA-836FED81E6AC}"/>
    <cellStyle name="Comma 228 3" xfId="2534" xr:uid="{AFCC032B-1064-4D4F-BDE2-CEB1126D250A}"/>
    <cellStyle name="Comma 228 4" xfId="4660" xr:uid="{0CE9E42F-BBE2-4662-B5AF-C13DD59BA7B6}"/>
    <cellStyle name="Comma 229" xfId="469" xr:uid="{765DEB17-693E-4FC8-86F2-0F7D0D089D39}"/>
    <cellStyle name="Comma 229 2" xfId="1507" xr:uid="{3176FAA3-7EFF-4F68-B41F-6936A48AA273}"/>
    <cellStyle name="Comma 229 2 2" xfId="3565" xr:uid="{9CF54E80-A05B-46C1-9B8F-FB73ED873579}"/>
    <cellStyle name="Comma 229 3" xfId="2535" xr:uid="{23C10B60-2A7B-42B0-936A-AF36C7DE9685}"/>
    <cellStyle name="Comma 229 4" xfId="4661" xr:uid="{8CED921A-3BCD-4BF2-9AB2-B534C4D1F271}"/>
    <cellStyle name="Comma 23" xfId="214" xr:uid="{4BF7128E-AA12-4036-A640-1FB598C5BF12}"/>
    <cellStyle name="Comma 23 2" xfId="1300" xr:uid="{107F8457-59BC-4196-8AD1-A8088CF7BFA5}"/>
    <cellStyle name="Comma 23 2 2" xfId="3358" xr:uid="{6C4BAC88-8D9C-44F2-8BAC-3F1B75DE0235}"/>
    <cellStyle name="Comma 23 3" xfId="2328" xr:uid="{998407A5-8F76-4C2A-8FE8-AE788D950299}"/>
    <cellStyle name="Comma 23 4" xfId="4454" xr:uid="{E597094B-F315-4855-A075-292155CF1E73}"/>
    <cellStyle name="Comma 230" xfId="470" xr:uid="{98452640-2A46-4CF5-81D8-32F30294139E}"/>
    <cellStyle name="Comma 230 2" xfId="1508" xr:uid="{C99CB060-F6C2-4456-9548-9DE2F33557EC}"/>
    <cellStyle name="Comma 230 2 2" xfId="3566" xr:uid="{48A11789-8D69-4401-9C27-FDEB9575289B}"/>
    <cellStyle name="Comma 230 3" xfId="2536" xr:uid="{0C1FA420-083E-4BE5-80C8-7FD4FB83C878}"/>
    <cellStyle name="Comma 230 4" xfId="4662" xr:uid="{E0DBFD5E-B30E-41EC-B82E-132D4B4C0F74}"/>
    <cellStyle name="Comma 231" xfId="471" xr:uid="{A920A765-E754-4B5E-81AD-92590060E223}"/>
    <cellStyle name="Comma 231 2" xfId="1509" xr:uid="{327B56BD-323A-473F-9D08-B3DBCD32ABC3}"/>
    <cellStyle name="Comma 231 2 2" xfId="3567" xr:uid="{CCC5C52E-F6A6-40C3-814A-F329BA98DB1C}"/>
    <cellStyle name="Comma 231 3" xfId="2537" xr:uid="{F8DF79E2-2601-429E-B13E-609162EFBB9E}"/>
    <cellStyle name="Comma 231 4" xfId="4663" xr:uid="{FD0F6191-7375-4AE0-AF45-E43A7198ED2A}"/>
    <cellStyle name="Comma 232" xfId="472" xr:uid="{544B8291-FA52-41BE-8168-F14189A1EB69}"/>
    <cellStyle name="Comma 232 2" xfId="1510" xr:uid="{0B67BC9C-7044-433F-BBF1-478C18C75B4E}"/>
    <cellStyle name="Comma 232 2 2" xfId="3568" xr:uid="{5B2B9BB6-44A8-44D4-B301-5D5CB819B211}"/>
    <cellStyle name="Comma 232 3" xfId="2538" xr:uid="{E8CEE619-E6A5-45FC-A31F-B1B7DA7A1DC3}"/>
    <cellStyle name="Comma 232 4" xfId="4664" xr:uid="{9F776979-E01F-497D-81A8-2F245DEDE0A0}"/>
    <cellStyle name="Comma 233" xfId="473" xr:uid="{25749DF8-F369-4AF0-90D7-9452173AC158}"/>
    <cellStyle name="Comma 233 2" xfId="1511" xr:uid="{15033FB4-D946-459B-8740-5E6CE17875A8}"/>
    <cellStyle name="Comma 233 2 2" xfId="3569" xr:uid="{8E7194F4-5B4C-46A8-8E4F-D6555C58A354}"/>
    <cellStyle name="Comma 233 3" xfId="2539" xr:uid="{536CFE87-ED96-46CE-9B64-9F2104065CB1}"/>
    <cellStyle name="Comma 233 4" xfId="4665" xr:uid="{4902FDD0-7E44-4B63-89B9-02389FF44852}"/>
    <cellStyle name="Comma 234" xfId="474" xr:uid="{03EC7F72-7705-4895-B944-4EC7AE906B65}"/>
    <cellStyle name="Comma 234 2" xfId="1512" xr:uid="{5B114A56-86CF-4213-8B9B-E7E77EA2625E}"/>
    <cellStyle name="Comma 234 2 2" xfId="3570" xr:uid="{44A52D0E-8249-44E6-B76B-C1E0BED22ECD}"/>
    <cellStyle name="Comma 234 3" xfId="2540" xr:uid="{05BC428E-9B7A-4F23-9A9C-0C7CE19492F0}"/>
    <cellStyle name="Comma 234 4" xfId="4666" xr:uid="{C4F3EDE8-D7CD-4141-95B1-E3BA70F13119}"/>
    <cellStyle name="Comma 235" xfId="475" xr:uid="{40401623-7FC0-43B5-AA1F-D8FD6EF77DD7}"/>
    <cellStyle name="Comma 235 2" xfId="1513" xr:uid="{459280E9-4653-4F2C-9A83-91CD51B80519}"/>
    <cellStyle name="Comma 235 2 2" xfId="3571" xr:uid="{E390040B-D90F-4D1C-9E6A-C722D058DE87}"/>
    <cellStyle name="Comma 235 3" xfId="2541" xr:uid="{2CDED412-E67D-44B7-A0C3-43385779A13E}"/>
    <cellStyle name="Comma 235 4" xfId="4667" xr:uid="{9B7D1453-5F85-4093-8617-5759DB5C6FCA}"/>
    <cellStyle name="Comma 236" xfId="476" xr:uid="{364B6CF8-40C5-45C8-AFB7-FA255D8837DE}"/>
    <cellStyle name="Comma 236 2" xfId="1514" xr:uid="{B3926A3A-6FD5-4E03-9A9A-61AD5905C80A}"/>
    <cellStyle name="Comma 236 2 2" xfId="3572" xr:uid="{1BD3E0AE-76EC-420C-B64F-10363FEA2B9F}"/>
    <cellStyle name="Comma 236 3" xfId="2542" xr:uid="{04CDF74B-6234-4633-A5AA-FBAE9405A738}"/>
    <cellStyle name="Comma 236 4" xfId="4668" xr:uid="{4C8C896C-1D82-4906-A2A8-7E3BC974A3B8}"/>
    <cellStyle name="Comma 237" xfId="477" xr:uid="{AC37D035-AE2B-47AD-95F9-A14993864854}"/>
    <cellStyle name="Comma 237 2" xfId="1515" xr:uid="{9CF144EB-7A62-4DD4-B0F2-091468CC73CC}"/>
    <cellStyle name="Comma 237 2 2" xfId="3573" xr:uid="{C2CED122-DE6A-4343-9677-75811866F66B}"/>
    <cellStyle name="Comma 237 3" xfId="2543" xr:uid="{0065E7F6-2D3A-4452-81C8-D245D73CF641}"/>
    <cellStyle name="Comma 237 4" xfId="4669" xr:uid="{DBDAFCED-551F-4892-9B50-7EA62F9E209B}"/>
    <cellStyle name="Comma 238" xfId="478" xr:uid="{20CF4967-A5E2-45D9-AA16-C393F15651EF}"/>
    <cellStyle name="Comma 238 2" xfId="1516" xr:uid="{4FD8BB47-9DEB-44F1-AEF6-35EB8AE64924}"/>
    <cellStyle name="Comma 238 2 2" xfId="3574" xr:uid="{42A75A34-9022-4D7A-B9C3-D17C34F0E935}"/>
    <cellStyle name="Comma 238 3" xfId="2544" xr:uid="{F5884709-15AF-459A-BE8F-D50688C74390}"/>
    <cellStyle name="Comma 238 4" xfId="4670" xr:uid="{1BA8DF60-C912-423A-B05E-325557F98A2E}"/>
    <cellStyle name="Comma 239" xfId="479" xr:uid="{7C2B75CE-4E09-4352-8CC1-777DA7565D27}"/>
    <cellStyle name="Comma 239 2" xfId="1517" xr:uid="{75DB1412-B815-4440-AF94-B14E95EDF75B}"/>
    <cellStyle name="Comma 239 2 2" xfId="3575" xr:uid="{DBD1E476-4DF8-47E7-9ED6-98B9CA31170C}"/>
    <cellStyle name="Comma 239 3" xfId="2545" xr:uid="{F2401B4D-E434-4FE3-9970-587C7569BDE0}"/>
    <cellStyle name="Comma 239 4" xfId="4671" xr:uid="{F57F8D06-6EDE-44C0-BA93-A24047D53F1E}"/>
    <cellStyle name="Comma 24" xfId="215" xr:uid="{06E651B3-6B4D-44BF-862B-079A5F0DB4FE}"/>
    <cellStyle name="Comma 24 2" xfId="1301" xr:uid="{9173EDEA-7324-483D-8B5A-9C91AE92913E}"/>
    <cellStyle name="Comma 24 2 2" xfId="3359" xr:uid="{D273FC1B-7340-48A8-B1CF-D67811861A4A}"/>
    <cellStyle name="Comma 24 3" xfId="2329" xr:uid="{4498B18E-76B1-47AB-825B-F72DE4950CB9}"/>
    <cellStyle name="Comma 24 4" xfId="4455" xr:uid="{765F4673-D103-45D7-AB94-4CD35CD0D416}"/>
    <cellStyle name="Comma 240" xfId="480" xr:uid="{49F776DE-0701-4F38-A926-4DE93682AC4D}"/>
    <cellStyle name="Comma 240 2" xfId="1518" xr:uid="{1D6BEE60-AE65-4959-910E-D12B324F92A8}"/>
    <cellStyle name="Comma 240 2 2" xfId="3576" xr:uid="{87DD7C23-2AD8-4834-878D-90DE06D236F1}"/>
    <cellStyle name="Comma 240 3" xfId="2546" xr:uid="{A129A390-10BE-46C0-AA51-75CD7ADAE2A2}"/>
    <cellStyle name="Comma 240 4" xfId="4672" xr:uid="{082BE320-F5BD-4D15-837D-332061A01E63}"/>
    <cellStyle name="Comma 241" xfId="481" xr:uid="{4A766096-884F-4AA5-8995-9BEED1C5BAF1}"/>
    <cellStyle name="Comma 241 2" xfId="1519" xr:uid="{F6A8B6BC-BCE8-4E59-9061-358E773E4BC9}"/>
    <cellStyle name="Comma 241 2 2" xfId="3577" xr:uid="{2078A663-9411-48C6-BB39-BA47085D005C}"/>
    <cellStyle name="Comma 241 3" xfId="2547" xr:uid="{69E1B2BA-13D2-4B75-AA46-462ED5D469E5}"/>
    <cellStyle name="Comma 241 4" xfId="4673" xr:uid="{9AA63C4D-25AB-42F1-941B-5589D57D2CFF}"/>
    <cellStyle name="Comma 242" xfId="482" xr:uid="{5760D6F6-CC45-48CE-A79D-05D23E3D3CC2}"/>
    <cellStyle name="Comma 242 2" xfId="1520" xr:uid="{CA5C90F0-E81F-42D3-9C4C-164EC506D275}"/>
    <cellStyle name="Comma 242 2 2" xfId="3578" xr:uid="{53226929-B373-4C2F-A053-D289C693B864}"/>
    <cellStyle name="Comma 242 3" xfId="2548" xr:uid="{37D66AB3-381E-4727-824F-4C5F11E2894D}"/>
    <cellStyle name="Comma 242 4" xfId="4674" xr:uid="{A006B76D-78A1-49DB-9F36-C68518868B7F}"/>
    <cellStyle name="Comma 243" xfId="483" xr:uid="{DD72A767-377E-4070-BC01-CBBCA4BAB2E2}"/>
    <cellStyle name="Comma 243 2" xfId="1521" xr:uid="{527415A4-1461-4008-A72E-E2618557FEC7}"/>
    <cellStyle name="Comma 243 2 2" xfId="3579" xr:uid="{4B5A7C80-3AFC-44DA-97CF-693B148BF813}"/>
    <cellStyle name="Comma 243 3" xfId="2549" xr:uid="{8F124171-6FDF-4A96-B824-C6A398D76DC8}"/>
    <cellStyle name="Comma 243 4" xfId="4675" xr:uid="{B1A8CDC4-674D-4699-B576-1D9EB14A85F2}"/>
    <cellStyle name="Comma 244" xfId="484" xr:uid="{6480BFA2-A6A3-469A-97BA-9E0DEDF3652A}"/>
    <cellStyle name="Comma 244 2" xfId="1522" xr:uid="{4E89C888-8787-4711-9FCA-468168838265}"/>
    <cellStyle name="Comma 244 2 2" xfId="3580" xr:uid="{0A4B53C9-07BD-4A83-AB9F-5E2D13E77F76}"/>
    <cellStyle name="Comma 244 3" xfId="2550" xr:uid="{A192697F-EB5A-4305-A2BF-C40A874A5925}"/>
    <cellStyle name="Comma 244 4" xfId="4676" xr:uid="{D921469D-DEFF-4F5A-B827-C0F756D56E20}"/>
    <cellStyle name="Comma 245" xfId="485" xr:uid="{A98AAF3A-65E9-41A4-A7A6-AD511EA9F8B3}"/>
    <cellStyle name="Comma 245 2" xfId="1523" xr:uid="{F56A2AA2-3657-4BA6-87E9-E4F2E213C613}"/>
    <cellStyle name="Comma 245 2 2" xfId="3581" xr:uid="{34B497B8-55B6-4A6A-A9ED-0430D03455D0}"/>
    <cellStyle name="Comma 245 3" xfId="2551" xr:uid="{3A978234-387A-4011-865F-73250E75EB8A}"/>
    <cellStyle name="Comma 245 4" xfId="4677" xr:uid="{8FA8F9D6-85D0-4517-A0C9-7792A8A4B972}"/>
    <cellStyle name="Comma 246" xfId="486" xr:uid="{F60CD3A0-1B27-4BC2-B1DC-6685CE41284B}"/>
    <cellStyle name="Comma 246 2" xfId="1524" xr:uid="{9B18CEE6-9C4B-4DE8-A83C-DD99D796B24F}"/>
    <cellStyle name="Comma 246 2 2" xfId="3582" xr:uid="{61E258B5-1EF3-433E-96EB-2FA5ADD3B461}"/>
    <cellStyle name="Comma 246 3" xfId="2552" xr:uid="{852D3334-F534-4D17-9451-AEAF15943639}"/>
    <cellStyle name="Comma 246 4" xfId="4678" xr:uid="{136DAD11-3F56-4FF3-861D-EC05A2EF01EB}"/>
    <cellStyle name="Comma 247" xfId="487" xr:uid="{E9F6DBDC-12AC-499D-99BF-D5EC5F5CF27C}"/>
    <cellStyle name="Comma 247 2" xfId="1525" xr:uid="{9F2B6082-6EA6-47BE-AD53-D74774267589}"/>
    <cellStyle name="Comma 247 2 2" xfId="3583" xr:uid="{3163C63E-D84F-4F23-BE07-7D1F66303957}"/>
    <cellStyle name="Comma 247 3" xfId="2553" xr:uid="{27506AD1-AE9F-4DA6-A86F-8EC936EF3B13}"/>
    <cellStyle name="Comma 247 4" xfId="4679" xr:uid="{18501224-24B0-4D25-A8B3-0A395F4BAC07}"/>
    <cellStyle name="Comma 248" xfId="488" xr:uid="{71533F21-8CBA-4D14-92DC-2D3475093C04}"/>
    <cellStyle name="Comma 248 2" xfId="1526" xr:uid="{2F7BB127-658B-4826-B987-C3AC3DF2D11A}"/>
    <cellStyle name="Comma 248 2 2" xfId="3584" xr:uid="{44F8E4C8-8FAF-499A-AABD-1363508B40CB}"/>
    <cellStyle name="Comma 248 3" xfId="2554" xr:uid="{2C759DE2-16C6-463C-A5B0-9D9F3CB7BA1F}"/>
    <cellStyle name="Comma 248 4" xfId="4680" xr:uid="{09E6BC39-DC24-48FF-BD83-CB9BE90701F3}"/>
    <cellStyle name="Comma 249" xfId="489" xr:uid="{B1716F28-FDA5-4868-876C-7162F942F733}"/>
    <cellStyle name="Comma 249 2" xfId="1527" xr:uid="{A8E9B585-5F78-41E3-9537-AB47540C65BC}"/>
    <cellStyle name="Comma 249 2 2" xfId="3585" xr:uid="{B73CEFA6-D6EC-4C09-BAA4-076B512F0387}"/>
    <cellStyle name="Comma 249 3" xfId="2555" xr:uid="{BA66669D-BFFA-469B-B325-B263840D927D}"/>
    <cellStyle name="Comma 249 4" xfId="4681" xr:uid="{0DBF909E-F505-4A9C-8787-F9DD932632F6}"/>
    <cellStyle name="Comma 25" xfId="216" xr:uid="{FAC7D06A-24D4-4EF1-A883-C0D6F47B82D9}"/>
    <cellStyle name="Comma 25 2" xfId="1302" xr:uid="{241EBD86-5157-49BE-B630-A836743D83F4}"/>
    <cellStyle name="Comma 25 2 2" xfId="3360" xr:uid="{233EABAF-6C97-4F52-91EF-7B29B7275227}"/>
    <cellStyle name="Comma 25 3" xfId="2330" xr:uid="{30B8F65B-4ED2-45C0-AF91-3DF507C95308}"/>
    <cellStyle name="Comma 25 4" xfId="4456" xr:uid="{A952FBE6-0D28-4EE4-80BD-AC8CEB2574B0}"/>
    <cellStyle name="Comma 250" xfId="490" xr:uid="{B810B881-3A6B-49D2-A563-E2385785C37A}"/>
    <cellStyle name="Comma 250 2" xfId="1528" xr:uid="{348DD740-7E52-4A91-A2AC-835B8FFCF0F3}"/>
    <cellStyle name="Comma 250 2 2" xfId="3586" xr:uid="{08746B9B-B2B3-4600-A666-4A5B20E48D23}"/>
    <cellStyle name="Comma 250 3" xfId="2556" xr:uid="{74302624-C74F-444E-8B8F-A14D1F0A0507}"/>
    <cellStyle name="Comma 250 4" xfId="4682" xr:uid="{BB97121A-664E-4E92-9D65-14AE5AAA03ED}"/>
    <cellStyle name="Comma 251" xfId="491" xr:uid="{3515735A-B5C0-42E4-9495-B2E42CBF0C6E}"/>
    <cellStyle name="Comma 251 2" xfId="1529" xr:uid="{A1D5281F-6B92-440A-9106-F201EB6B9E50}"/>
    <cellStyle name="Comma 251 2 2" xfId="3587" xr:uid="{698B6668-12AF-4830-9F80-F3ECAED44A24}"/>
    <cellStyle name="Comma 251 3" xfId="2557" xr:uid="{243DE1FB-6703-45C4-BB11-7E176C23AF95}"/>
    <cellStyle name="Comma 251 4" xfId="4683" xr:uid="{E02BE753-E309-422A-ABE6-B6C0A33C21BB}"/>
    <cellStyle name="Comma 252" xfId="492" xr:uid="{A2972D59-8576-4F1B-874E-BABF3933CAAD}"/>
    <cellStyle name="Comma 252 2" xfId="1530" xr:uid="{E2907EE2-E049-4F4F-BAE9-07CEC407DD94}"/>
    <cellStyle name="Comma 252 2 2" xfId="3588" xr:uid="{CD55CBC4-DF6B-4BCE-BC81-C6507EB81D77}"/>
    <cellStyle name="Comma 252 3" xfId="2558" xr:uid="{DAEFF718-5FF9-4B42-AA90-F39D2B8EFDB9}"/>
    <cellStyle name="Comma 252 4" xfId="4684" xr:uid="{2DAC3F45-CC47-47BF-AFA3-F38C5AB1877B}"/>
    <cellStyle name="Comma 253" xfId="493" xr:uid="{48FFDF7B-D3F3-4075-9932-D7CB7168EA66}"/>
    <cellStyle name="Comma 253 2" xfId="1531" xr:uid="{5742ABFE-6D0B-4795-B864-60781F6BAE17}"/>
    <cellStyle name="Comma 253 2 2" xfId="3589" xr:uid="{7DF3814A-B7A3-4A92-A4A8-2CA88FFAF3E0}"/>
    <cellStyle name="Comma 253 3" xfId="2559" xr:uid="{D5A48F88-1F37-4D21-B3B4-9A19EECFAACA}"/>
    <cellStyle name="Comma 253 4" xfId="4685" xr:uid="{8D5A8EB6-BF47-4443-8C29-EAFBCDEC7679}"/>
    <cellStyle name="Comma 254" xfId="494" xr:uid="{2AF908C9-7AF7-400B-9A90-6FBCE050CBCE}"/>
    <cellStyle name="Comma 254 2" xfId="1532" xr:uid="{92177B47-8571-4A65-95C7-39558DE1A376}"/>
    <cellStyle name="Comma 254 2 2" xfId="3590" xr:uid="{EF138D66-EA2E-494E-8AD5-0D35171742AD}"/>
    <cellStyle name="Comma 254 3" xfId="2560" xr:uid="{DDA26BBF-81CC-4D60-95B6-B19E6498BC4A}"/>
    <cellStyle name="Comma 254 4" xfId="4686" xr:uid="{5D4EF5A9-74BE-49E6-99D3-4E13AAF4C2AF}"/>
    <cellStyle name="Comma 255" xfId="495" xr:uid="{30BC0B54-EBB1-4075-83E2-20934EC8ED74}"/>
    <cellStyle name="Comma 255 2" xfId="1533" xr:uid="{B4905414-BC36-40AB-893B-0118679D557C}"/>
    <cellStyle name="Comma 255 2 2" xfId="3591" xr:uid="{0146B3E2-0D3E-485B-BD02-D39A732E5042}"/>
    <cellStyle name="Comma 255 3" xfId="2561" xr:uid="{87EB8CEE-F3F1-46F7-9BE4-6D2D67222C9D}"/>
    <cellStyle name="Comma 255 4" xfId="4687" xr:uid="{03C824AA-1CAA-440D-88DC-4C11BC58B655}"/>
    <cellStyle name="Comma 256" xfId="496" xr:uid="{5EC6D0B3-80D9-4DA2-9451-50243DE764BE}"/>
    <cellStyle name="Comma 256 2" xfId="1534" xr:uid="{B979F062-34CD-4410-8028-B390D1F5F192}"/>
    <cellStyle name="Comma 256 2 2" xfId="3592" xr:uid="{CBE5BC40-E01F-407E-A4A4-B4F5C3E067D4}"/>
    <cellStyle name="Comma 256 3" xfId="2562" xr:uid="{929F2C73-2EEE-45CC-B7ED-E384C1D95F30}"/>
    <cellStyle name="Comma 256 4" xfId="4688" xr:uid="{637D6C76-7626-4BF3-8885-BB52B3B7F5EA}"/>
    <cellStyle name="Comma 257" xfId="497" xr:uid="{14B74DC6-B7B3-4746-8381-0B3FA2E2A37E}"/>
    <cellStyle name="Comma 257 2" xfId="1535" xr:uid="{CAA2A404-1093-497C-A881-8D5EA337EBDA}"/>
    <cellStyle name="Comma 257 2 2" xfId="3593" xr:uid="{B8D5A104-3C23-4450-AA6C-F2423F0F9CD7}"/>
    <cellStyle name="Comma 257 3" xfId="2563" xr:uid="{20009CAA-1AB3-4663-9A1B-F2EAE7E77610}"/>
    <cellStyle name="Comma 257 4" xfId="4689" xr:uid="{D04E38F7-0AF0-47D6-9F0F-D5D5941C486E}"/>
    <cellStyle name="Comma 258" xfId="498" xr:uid="{EB8D4EB5-6ED8-4DE9-9C52-631FCEE2A88D}"/>
    <cellStyle name="Comma 258 2" xfId="1536" xr:uid="{3BE1D31C-F209-4CC1-86AD-6A358B86FC79}"/>
    <cellStyle name="Comma 258 2 2" xfId="3594" xr:uid="{81FCE40B-4D43-474D-8A0B-165C981314EA}"/>
    <cellStyle name="Comma 258 3" xfId="2564" xr:uid="{0746C1F8-78B4-447C-A5BA-BD5DC6BFFBE4}"/>
    <cellStyle name="Comma 258 4" xfId="4690" xr:uid="{928123DE-451D-46C9-9C6D-EFF92877CF02}"/>
    <cellStyle name="Comma 259" xfId="499" xr:uid="{E5FC105C-BFF5-40C6-8439-808E230499DC}"/>
    <cellStyle name="Comma 259 2" xfId="1537" xr:uid="{43ECD7F7-8E14-4D09-B29A-C995B8F8618B}"/>
    <cellStyle name="Comma 259 2 2" xfId="3595" xr:uid="{906FC790-5D69-4068-B38B-10AF397FDA85}"/>
    <cellStyle name="Comma 259 3" xfId="2565" xr:uid="{A1D088C0-73C0-4015-A0D7-73E37219D88E}"/>
    <cellStyle name="Comma 259 4" xfId="4691" xr:uid="{F7CC4263-28DA-418E-A4FC-D1642BC05D78}"/>
    <cellStyle name="Comma 26" xfId="217" xr:uid="{7C99FC7F-7EB1-4330-9BF6-FCD4591AAD0E}"/>
    <cellStyle name="Comma 26 2" xfId="1303" xr:uid="{9C97688D-42A2-4198-BB3A-CCB6408FDAE8}"/>
    <cellStyle name="Comma 26 2 2" xfId="3361" xr:uid="{B80CC0A1-703B-44B9-B26E-57E2F1EEE429}"/>
    <cellStyle name="Comma 26 3" xfId="2331" xr:uid="{C1FDDEBA-EF95-47FA-AFF3-1791304D0FD9}"/>
    <cellStyle name="Comma 26 4" xfId="4457" xr:uid="{930A53BE-8AC2-45C5-85BB-CA3734505835}"/>
    <cellStyle name="Comma 260" xfId="500" xr:uid="{F3A908AF-9715-44FC-8E1C-C84644282866}"/>
    <cellStyle name="Comma 260 2" xfId="1538" xr:uid="{50318284-20D2-43DF-98BE-16AC729B4739}"/>
    <cellStyle name="Comma 260 2 2" xfId="3596" xr:uid="{F5590AFB-7EF5-47E2-AA19-4CF807B52D36}"/>
    <cellStyle name="Comma 260 3" xfId="2566" xr:uid="{9A3D8EED-9263-473D-8097-BCE3C846E260}"/>
    <cellStyle name="Comma 260 4" xfId="4692" xr:uid="{EC164868-D013-441C-92B9-64B896EBB615}"/>
    <cellStyle name="Comma 261" xfId="501" xr:uid="{87B99693-1C37-40FF-8C0E-2279C6FE8636}"/>
    <cellStyle name="Comma 261 2" xfId="1539" xr:uid="{FD86DAC8-5D00-4AB1-83DD-5E4CE77D4D62}"/>
    <cellStyle name="Comma 261 2 2" xfId="3597" xr:uid="{23391CEA-93AE-4960-AD60-50C2CF06BD31}"/>
    <cellStyle name="Comma 261 3" xfId="2567" xr:uid="{17758A6F-85E2-4FD6-BE8E-B21F1FB49BC7}"/>
    <cellStyle name="Comma 261 4" xfId="4693" xr:uid="{C267292B-E15B-462D-ABF7-05C22569A2EA}"/>
    <cellStyle name="Comma 262" xfId="502" xr:uid="{56BFB532-A39A-4733-8832-AAED3724346B}"/>
    <cellStyle name="Comma 262 2" xfId="1540" xr:uid="{5BE74C8D-D754-498C-B820-EF36FD512FE5}"/>
    <cellStyle name="Comma 262 2 2" xfId="3598" xr:uid="{D99DAA6D-B16E-4BF1-A827-1BC237CED875}"/>
    <cellStyle name="Comma 262 3" xfId="2568" xr:uid="{22F12099-FC15-4BAA-AC5D-5C78C907675A}"/>
    <cellStyle name="Comma 262 4" xfId="4694" xr:uid="{3E4564DE-C23B-48DF-86FD-D2E38BEB961E}"/>
    <cellStyle name="Comma 263" xfId="503" xr:uid="{64C9F8AE-4EB4-471E-B8E0-287FACE58DCB}"/>
    <cellStyle name="Comma 263 2" xfId="1541" xr:uid="{E83B1510-F53A-4E1C-A775-AB1D5588356C}"/>
    <cellStyle name="Comma 263 2 2" xfId="3599" xr:uid="{F2C3F827-8F73-455B-AA36-CF789437CDBC}"/>
    <cellStyle name="Comma 263 3" xfId="2569" xr:uid="{0EBA7F16-8D60-4FC9-A2DE-F913938FFB41}"/>
    <cellStyle name="Comma 263 4" xfId="4695" xr:uid="{704F26E1-4CF0-41BD-87B9-BBD4D6E5C137}"/>
    <cellStyle name="Comma 264" xfId="504" xr:uid="{DC61318F-2684-48A8-BBBC-179344BF851D}"/>
    <cellStyle name="Comma 264 2" xfId="1542" xr:uid="{8079F54E-A1B2-4083-A6CD-603F3167D4B2}"/>
    <cellStyle name="Comma 264 2 2" xfId="3600" xr:uid="{8212A64F-36E3-4A9B-830A-F5B75C3070ED}"/>
    <cellStyle name="Comma 264 3" xfId="2570" xr:uid="{90E56A71-D916-436A-83BB-1F7186DBEC5A}"/>
    <cellStyle name="Comma 264 4" xfId="4696" xr:uid="{184D31C0-0A9D-4DE3-B3FA-7771C78B9951}"/>
    <cellStyle name="Comma 265" xfId="505" xr:uid="{123337B9-76F3-45C8-91FB-7A830B0997F2}"/>
    <cellStyle name="Comma 265 2" xfId="1543" xr:uid="{815046E4-6591-4AEE-A73A-EE2400FF8AEE}"/>
    <cellStyle name="Comma 265 2 2" xfId="3601" xr:uid="{4E2AE70F-8F65-4304-B7A0-BE2808154EE6}"/>
    <cellStyle name="Comma 265 3" xfId="2571" xr:uid="{DE2F1746-2B8D-4783-9316-46F45CF85CAF}"/>
    <cellStyle name="Comma 265 4" xfId="4697" xr:uid="{79DF77B9-594D-497C-98E3-EDA4B8CE1F4A}"/>
    <cellStyle name="Comma 266" xfId="506" xr:uid="{E866178A-5F7D-4860-A3C5-1B931E2D692D}"/>
    <cellStyle name="Comma 266 2" xfId="1544" xr:uid="{89EFEA44-12BF-4B17-BFF1-3281D9409980}"/>
    <cellStyle name="Comma 266 2 2" xfId="3602" xr:uid="{969D4857-5584-432B-A908-D56EBCFF823B}"/>
    <cellStyle name="Comma 266 3" xfId="2572" xr:uid="{06F64AFD-7F0A-4390-B229-B4D29F08DA14}"/>
    <cellStyle name="Comma 266 4" xfId="4698" xr:uid="{D07EC1BA-6F58-4B24-91E4-271B20BF314F}"/>
    <cellStyle name="Comma 267" xfId="507" xr:uid="{F7E52176-9755-404F-B61C-20F5FF391562}"/>
    <cellStyle name="Comma 267 2" xfId="1545" xr:uid="{CAAE19C2-F193-43A3-948A-7F0CC24ED1A7}"/>
    <cellStyle name="Comma 267 2 2" xfId="3603" xr:uid="{931A0C4D-14A3-4CA4-B640-0DAA6DD4B331}"/>
    <cellStyle name="Comma 267 3" xfId="2573" xr:uid="{B4061AE4-E29F-410F-A6EF-1669A5269924}"/>
    <cellStyle name="Comma 267 4" xfId="4699" xr:uid="{C9AC7CC7-80EE-43BB-8F68-7A9963B7D019}"/>
    <cellStyle name="Comma 268" xfId="508" xr:uid="{114C6196-B22D-4C23-9F83-E448E0C54635}"/>
    <cellStyle name="Comma 268 2" xfId="1546" xr:uid="{7E89381F-5826-4E11-B81B-B543D08DC31E}"/>
    <cellStyle name="Comma 268 2 2" xfId="3604" xr:uid="{A32ACA28-F836-4C7E-ADE0-5CF54FCB51F3}"/>
    <cellStyle name="Comma 268 3" xfId="2574" xr:uid="{6BC943C3-6FB9-48C9-9E2A-AD44A62B9253}"/>
    <cellStyle name="Comma 268 4" xfId="4700" xr:uid="{910B05DB-57CB-4F9A-B7A9-7F9923D51904}"/>
    <cellStyle name="Comma 269" xfId="509" xr:uid="{82C76B49-219B-4CA9-8F55-297347A0BBB1}"/>
    <cellStyle name="Comma 269 2" xfId="1547" xr:uid="{5A0C9B3A-7CB2-41D0-831D-3304CFD27756}"/>
    <cellStyle name="Comma 269 2 2" xfId="3605" xr:uid="{10F97217-326A-4A66-B086-3321C466329C}"/>
    <cellStyle name="Comma 269 3" xfId="2575" xr:uid="{0E6003F4-677C-4F40-9D9A-F995059B2857}"/>
    <cellStyle name="Comma 269 4" xfId="4701" xr:uid="{E926A744-B7CF-4363-B6D8-C9227BF7A322}"/>
    <cellStyle name="Comma 27" xfId="218" xr:uid="{F96F905A-DBFD-4A56-A426-784EC43CE868}"/>
    <cellStyle name="Comma 27 2" xfId="1304" xr:uid="{1296475D-E53C-4196-8779-A51008B6D903}"/>
    <cellStyle name="Comma 27 2 2" xfId="3362" xr:uid="{2150224A-31B5-489E-B49B-45D7BCA9BC20}"/>
    <cellStyle name="Comma 27 3" xfId="2332" xr:uid="{A1D2D90D-29FA-43E0-BCB0-D095641DA2F9}"/>
    <cellStyle name="Comma 27 4" xfId="4458" xr:uid="{A326F800-64E6-48FF-84AD-59697385485E}"/>
    <cellStyle name="Comma 270" xfId="510" xr:uid="{C5806A6F-D755-4C87-B9BB-CEA0F57816C9}"/>
    <cellStyle name="Comma 270 2" xfId="1548" xr:uid="{F6EC29E6-B0AC-4C62-88AF-36EEB3E61A43}"/>
    <cellStyle name="Comma 270 2 2" xfId="3606" xr:uid="{86D10A9F-2EF8-4092-A35E-EBCA10636FFE}"/>
    <cellStyle name="Comma 270 3" xfId="2576" xr:uid="{E60D6BFD-CDD1-4751-9EE8-3AB9D0495036}"/>
    <cellStyle name="Comma 270 4" xfId="4702" xr:uid="{A2A22927-6051-4FD9-975E-6CE9D31658D4}"/>
    <cellStyle name="Comma 271" xfId="511" xr:uid="{42AB6B7D-8BAA-4DDA-8CF0-4D774C6F93F9}"/>
    <cellStyle name="Comma 271 2" xfId="1549" xr:uid="{9868B58D-A5C8-41CA-8CE6-DC4A88B1FF96}"/>
    <cellStyle name="Comma 271 2 2" xfId="3607" xr:uid="{551DB08F-D52E-45E5-B81E-FC1D25705D7D}"/>
    <cellStyle name="Comma 271 3" xfId="2577" xr:uid="{C33626CB-009A-466E-868C-264CC920CF7A}"/>
    <cellStyle name="Comma 271 4" xfId="4703" xr:uid="{324021ED-FB71-41E1-926E-02B655FFA83E}"/>
    <cellStyle name="Comma 272" xfId="512" xr:uid="{F388964D-85EF-40B3-86EF-7020A373B4E2}"/>
    <cellStyle name="Comma 272 2" xfId="1550" xr:uid="{ED902CC6-7856-4137-8874-FC4E325FE804}"/>
    <cellStyle name="Comma 272 2 2" xfId="3608" xr:uid="{46E59F5F-9770-49EE-83A5-E07B107DD9E1}"/>
    <cellStyle name="Comma 272 3" xfId="2578" xr:uid="{EBBE1CE8-C591-4183-8278-BEA2A46583A7}"/>
    <cellStyle name="Comma 272 4" xfId="4704" xr:uid="{37BB90AA-EF9F-4AF4-BFC5-E4CC4E17B8C1}"/>
    <cellStyle name="Comma 273" xfId="513" xr:uid="{CFAD44A5-76FA-4D02-B68A-66DDDE888002}"/>
    <cellStyle name="Comma 273 2" xfId="1551" xr:uid="{2B98578C-8908-44C3-B636-D4F96E4F3570}"/>
    <cellStyle name="Comma 273 2 2" xfId="3609" xr:uid="{3FA77118-46A4-4627-96BA-916852EF5A27}"/>
    <cellStyle name="Comma 273 3" xfId="2579" xr:uid="{B1AF4A93-42C2-4210-B426-3B782EAE4199}"/>
    <cellStyle name="Comma 273 4" xfId="4705" xr:uid="{B607C1AE-9E1B-4A1C-A39D-BE70E6A64799}"/>
    <cellStyle name="Comma 274" xfId="514" xr:uid="{CD3C7E0D-8626-4824-95C5-AE6C67F70CB9}"/>
    <cellStyle name="Comma 274 2" xfId="1552" xr:uid="{3243C0B4-387B-45BC-B3D8-3EFFCDD37CAF}"/>
    <cellStyle name="Comma 274 2 2" xfId="3610" xr:uid="{1BC4083C-EAD9-4768-B35E-8A3F9F56FC63}"/>
    <cellStyle name="Comma 274 3" xfId="2580" xr:uid="{7EBD6306-A79F-465F-86EF-8E67149EFF96}"/>
    <cellStyle name="Comma 274 4" xfId="4706" xr:uid="{82B4CA3D-A579-47FC-BE87-5D6EFA65BA29}"/>
    <cellStyle name="Comma 275" xfId="515" xr:uid="{59F68C92-1A7A-4E3A-9201-666832B4F2F4}"/>
    <cellStyle name="Comma 275 2" xfId="1553" xr:uid="{2C042548-BA3A-4CDA-8F5C-6DD30CC9E3BC}"/>
    <cellStyle name="Comma 275 2 2" xfId="3611" xr:uid="{F43B88B5-097F-47A3-8E57-BF5710E0F4A4}"/>
    <cellStyle name="Comma 275 3" xfId="2581" xr:uid="{1899B210-B079-4A80-BA7B-CF444CA8AEBA}"/>
    <cellStyle name="Comma 275 4" xfId="4707" xr:uid="{14F61B1E-5592-4BBF-AC86-B1F76A87B68A}"/>
    <cellStyle name="Comma 276" xfId="516" xr:uid="{7E12F28A-35C5-4AE9-88FF-462160B562C7}"/>
    <cellStyle name="Comma 276 2" xfId="1554" xr:uid="{570439B8-38C5-4FF7-BC27-F0F5B8E0DFA3}"/>
    <cellStyle name="Comma 276 2 2" xfId="3612" xr:uid="{ED4493D8-33D2-40CD-A782-D06C087C1C25}"/>
    <cellStyle name="Comma 276 3" xfId="2582" xr:uid="{FF7FF158-34EB-4532-92A9-8BA6A0F9BAB9}"/>
    <cellStyle name="Comma 276 4" xfId="4708" xr:uid="{E46C877E-62C4-4DE4-87FD-4A39EB564768}"/>
    <cellStyle name="Comma 277" xfId="517" xr:uid="{7B8750D0-DF96-4F08-B94D-D8A36780CBB6}"/>
    <cellStyle name="Comma 277 2" xfId="1555" xr:uid="{49D1734E-5527-4D80-AAAF-F1FFEF03DCD9}"/>
    <cellStyle name="Comma 277 2 2" xfId="3613" xr:uid="{3A92A81F-33ED-4A2A-8FCA-710C4375F373}"/>
    <cellStyle name="Comma 277 3" xfId="2583" xr:uid="{3BFF507B-3BB0-4A4B-BD94-DE2057915AD6}"/>
    <cellStyle name="Comma 277 4" xfId="4709" xr:uid="{A83ACC76-3848-4D40-8D76-5484F6243D7A}"/>
    <cellStyle name="Comma 278" xfId="518" xr:uid="{70772D88-35BD-49EA-9760-EF74629C7951}"/>
    <cellStyle name="Comma 278 2" xfId="1556" xr:uid="{5EFA6BC6-EF4B-4B28-A5C2-36B23D1892C1}"/>
    <cellStyle name="Comma 278 2 2" xfId="3614" xr:uid="{6E5B3247-36AE-479B-9214-764267E99D28}"/>
    <cellStyle name="Comma 278 3" xfId="2584" xr:uid="{A99D9F09-9838-4F50-AE13-2315228F3B3F}"/>
    <cellStyle name="Comma 278 4" xfId="4710" xr:uid="{17563AB4-41F6-4D64-AA3D-375740B35068}"/>
    <cellStyle name="Comma 279" xfId="519" xr:uid="{09A902EF-1321-42CC-B761-2CF94F8C24EB}"/>
    <cellStyle name="Comma 279 2" xfId="1557" xr:uid="{40FE7E5A-C8F3-44DB-82CE-6D8718C23097}"/>
    <cellStyle name="Comma 279 2 2" xfId="3615" xr:uid="{755E72E2-DB42-4012-82CD-2DC60A3509C5}"/>
    <cellStyle name="Comma 279 3" xfId="2585" xr:uid="{433B48CC-ED24-42F9-ADAF-7758F8EBB5ED}"/>
    <cellStyle name="Comma 279 4" xfId="4711" xr:uid="{3EB192A2-CAEB-4B44-9533-34424133EFBC}"/>
    <cellStyle name="Comma 28" xfId="219" xr:uid="{8FC4E6B6-4883-4120-8C2F-EF67E0890ED3}"/>
    <cellStyle name="Comma 28 2" xfId="1305" xr:uid="{F7FABDB2-699A-4616-9704-B05700EF52F5}"/>
    <cellStyle name="Comma 28 2 2" xfId="3363" xr:uid="{7FA9E153-344D-4890-B805-62B793AC1074}"/>
    <cellStyle name="Comma 28 3" xfId="2333" xr:uid="{0B8A41D3-358A-4D49-B161-62F7D17B76CB}"/>
    <cellStyle name="Comma 28 4" xfId="4459" xr:uid="{01492A6C-AF92-4FBF-864C-4B8EA4DED880}"/>
    <cellStyle name="Comma 280" xfId="520" xr:uid="{F8CEC265-2B2B-468D-9F61-64FB5F086212}"/>
    <cellStyle name="Comma 280 2" xfId="1558" xr:uid="{485251EA-6299-4B5B-984A-6D7AD9CBC7F2}"/>
    <cellStyle name="Comma 280 2 2" xfId="3616" xr:uid="{2E16BFB7-A437-40A8-9A04-839C84112775}"/>
    <cellStyle name="Comma 280 3" xfId="2586" xr:uid="{488D4016-7CE7-4DC9-8B0F-11FC624AC25D}"/>
    <cellStyle name="Comma 280 4" xfId="4712" xr:uid="{29381CB3-4EA9-4216-BEA4-BA4F1F521A32}"/>
    <cellStyle name="Comma 281" xfId="521" xr:uid="{25C9D183-531B-4CD2-8B06-A500202EE41B}"/>
    <cellStyle name="Comma 281 2" xfId="1559" xr:uid="{CAB05921-1C8E-4426-B109-B2FC14ADBF5D}"/>
    <cellStyle name="Comma 281 2 2" xfId="3617" xr:uid="{35C8FAC8-24F7-47C9-8A1B-34CC5C4BB7CC}"/>
    <cellStyle name="Comma 281 3" xfId="2587" xr:uid="{6A51B79B-8587-4172-A146-E8F97510E1A2}"/>
    <cellStyle name="Comma 281 4" xfId="4713" xr:uid="{F3405409-B3C7-4908-955D-A7B37C6A7C5A}"/>
    <cellStyle name="Comma 282" xfId="522" xr:uid="{78F95613-A053-44AE-930C-DDDF99829935}"/>
    <cellStyle name="Comma 282 2" xfId="1560" xr:uid="{0B0FDD2D-ECD6-48F5-98CF-BEE63F271585}"/>
    <cellStyle name="Comma 282 2 2" xfId="3618" xr:uid="{8093E27B-2077-407C-B706-ED5EE1AD2C98}"/>
    <cellStyle name="Comma 282 3" xfId="2588" xr:uid="{32CC2892-5665-4025-BDBC-F759ED698F99}"/>
    <cellStyle name="Comma 282 4" xfId="4714" xr:uid="{46A5FFBA-74CA-4D1A-8BE8-9E93E3BD3E37}"/>
    <cellStyle name="Comma 283" xfId="523" xr:uid="{1C598791-041B-457F-8A7E-344CAA2A4D2F}"/>
    <cellStyle name="Comma 283 2" xfId="1561" xr:uid="{E37B4641-9927-49FD-BF37-BF95FB46BDB9}"/>
    <cellStyle name="Comma 283 2 2" xfId="3619" xr:uid="{2FB251A1-F431-4A9D-8E4B-0C727B68DD39}"/>
    <cellStyle name="Comma 283 3" xfId="2589" xr:uid="{3916AB13-56F0-43D6-91D0-11C717D43236}"/>
    <cellStyle name="Comma 283 4" xfId="4715" xr:uid="{8F491DAD-DEED-4EDD-A962-AA310A67865B}"/>
    <cellStyle name="Comma 284" xfId="524" xr:uid="{AEDDE0A3-9F6A-4DE9-AC79-19B28F5B1989}"/>
    <cellStyle name="Comma 284 2" xfId="1562" xr:uid="{0A2E78C3-8BEA-47BA-87B0-FC54D0A61FA0}"/>
    <cellStyle name="Comma 284 2 2" xfId="3620" xr:uid="{96E4ABFA-4FF3-421F-90F4-9C5805119E76}"/>
    <cellStyle name="Comma 284 3" xfId="2590" xr:uid="{F89D60F3-B0B5-4A47-A2EF-13B9702A5790}"/>
    <cellStyle name="Comma 284 4" xfId="4716" xr:uid="{27867856-FCD0-4DED-B967-05E0414E5BBF}"/>
    <cellStyle name="Comma 285" xfId="525" xr:uid="{6BC5A163-E49A-46FC-A269-14C5373CE538}"/>
    <cellStyle name="Comma 285 2" xfId="1563" xr:uid="{658D9A97-E168-4297-87EC-EF3248C55750}"/>
    <cellStyle name="Comma 285 2 2" xfId="3621" xr:uid="{923CE39A-3C89-4281-9DA4-6CBDDD6766A9}"/>
    <cellStyle name="Comma 285 3" xfId="2591" xr:uid="{3E4004ED-41C4-4A44-B543-FBF7ECDB4946}"/>
    <cellStyle name="Comma 285 4" xfId="4717" xr:uid="{8D14129E-6721-4D8E-AC12-1CB74F094712}"/>
    <cellStyle name="Comma 286" xfId="526" xr:uid="{5CA8EBF8-2B13-40A4-81E2-2145A79B91FD}"/>
    <cellStyle name="Comma 286 2" xfId="1564" xr:uid="{76465CFA-092E-495F-97E0-1BF90E74AFBB}"/>
    <cellStyle name="Comma 286 2 2" xfId="3622" xr:uid="{A3946C9C-D159-48A2-8BED-83E3CE177DFE}"/>
    <cellStyle name="Comma 286 3" xfId="2592" xr:uid="{6065D419-98A8-4AEA-8A8E-51BB7A707BCC}"/>
    <cellStyle name="Comma 286 4" xfId="4718" xr:uid="{D9E61179-C222-49F6-AD5C-FEB8010B1A78}"/>
    <cellStyle name="Comma 287" xfId="527" xr:uid="{67F04A28-2BD5-459C-B64A-3F9D3F4BC940}"/>
    <cellStyle name="Comma 287 2" xfId="1565" xr:uid="{E523D818-F1E4-4478-A900-8398F7FE39C0}"/>
    <cellStyle name="Comma 287 2 2" xfId="3623" xr:uid="{633F9334-F861-4543-8656-64F75094B1F1}"/>
    <cellStyle name="Comma 287 3" xfId="2593" xr:uid="{00227867-C7A9-4DB8-991A-EB62B75072E1}"/>
    <cellStyle name="Comma 287 4" xfId="4719" xr:uid="{9C6AE282-EE98-4ABC-8C02-BA48E640A83A}"/>
    <cellStyle name="Comma 288" xfId="528" xr:uid="{4CD260A2-E0D4-4CCA-92BA-02008EA506FD}"/>
    <cellStyle name="Comma 288 2" xfId="1566" xr:uid="{59ABCA6F-3AB7-4323-A58E-7A638D7FFDF2}"/>
    <cellStyle name="Comma 288 2 2" xfId="3624" xr:uid="{BE0DE7B3-D9DF-442F-BC87-801281D86CEA}"/>
    <cellStyle name="Comma 288 3" xfId="2594" xr:uid="{1DA7E453-BABE-43FF-A9BD-FA6E0BF5BED7}"/>
    <cellStyle name="Comma 288 4" xfId="4720" xr:uid="{5444C410-9260-4687-980C-01DDB7A2114E}"/>
    <cellStyle name="Comma 289" xfId="529" xr:uid="{566AD59D-67EB-4429-B1CD-7654DC31C414}"/>
    <cellStyle name="Comma 289 2" xfId="1567" xr:uid="{FE25765C-5DB9-4BD8-A71D-CCE283ADC57F}"/>
    <cellStyle name="Comma 289 2 2" xfId="3625" xr:uid="{D2EE1662-3E44-4219-A66A-2DA89071D76D}"/>
    <cellStyle name="Comma 289 3" xfId="2595" xr:uid="{3C72AFD3-87A5-44B6-88CB-93BCEB52B07A}"/>
    <cellStyle name="Comma 289 4" xfId="4721" xr:uid="{E654BE1A-1FFB-45BD-B7BD-EF32850D7A5B}"/>
    <cellStyle name="Comma 29" xfId="220" xr:uid="{6C11BF91-DBC8-4105-AD01-C515080A20C5}"/>
    <cellStyle name="Comma 29 2" xfId="1306" xr:uid="{B336D3C7-3DAD-405F-8183-6F3703C57F2D}"/>
    <cellStyle name="Comma 29 2 2" xfId="3364" xr:uid="{CBF87C08-5583-4723-85A9-DB24C2389AE8}"/>
    <cellStyle name="Comma 29 3" xfId="2334" xr:uid="{2C0A9DFF-A7EA-4FF8-8751-1C295601C598}"/>
    <cellStyle name="Comma 29 4" xfId="4460" xr:uid="{7BF738C1-300C-4B3F-9F7E-2FC62B33CFA1}"/>
    <cellStyle name="Comma 290" xfId="530" xr:uid="{443DBEF3-0B50-4FD9-9E19-1BD6C072AFB1}"/>
    <cellStyle name="Comma 290 2" xfId="1568" xr:uid="{1DEFAE1D-A0F0-47C9-82EF-DBB3F7EBB090}"/>
    <cellStyle name="Comma 290 2 2" xfId="3626" xr:uid="{0EB8FB1B-4120-4658-A867-388F6461083A}"/>
    <cellStyle name="Comma 290 3" xfId="2596" xr:uid="{436A20D0-4A76-46BE-91AC-DFEA88DC0DC3}"/>
    <cellStyle name="Comma 290 4" xfId="4722" xr:uid="{E45DED1C-90D1-4A55-97E0-03248DB96B46}"/>
    <cellStyle name="Comma 291" xfId="531" xr:uid="{2784211C-DE15-4A4C-AA7E-D8320B3BB3EB}"/>
    <cellStyle name="Comma 291 2" xfId="1569" xr:uid="{4B1520D8-B1DD-4B83-958F-900F630C7C22}"/>
    <cellStyle name="Comma 291 2 2" xfId="3627" xr:uid="{4931411B-5A1D-4F49-A618-049423FD0081}"/>
    <cellStyle name="Comma 291 3" xfId="2597" xr:uid="{288832E0-A2C6-4BEC-B106-A492015061B3}"/>
    <cellStyle name="Comma 291 4" xfId="4723" xr:uid="{DF665563-0FB5-400C-9222-43B8D4EC48FE}"/>
    <cellStyle name="Comma 292" xfId="532" xr:uid="{4843B861-8D30-4BE5-BDA4-37E4E356277C}"/>
    <cellStyle name="Comma 292 2" xfId="1570" xr:uid="{426B21FF-4490-4044-8E13-218876D5D2C3}"/>
    <cellStyle name="Comma 292 2 2" xfId="3628" xr:uid="{6536CE5C-4553-4D2C-9B5A-815EE53DE48A}"/>
    <cellStyle name="Comma 292 3" xfId="2598" xr:uid="{912A6EE1-80BE-4090-9561-07DC8CAD966E}"/>
    <cellStyle name="Comma 292 4" xfId="4724" xr:uid="{0528209C-A2E9-418D-B649-F472428853E8}"/>
    <cellStyle name="Comma 293" xfId="533" xr:uid="{E553E160-C12E-443C-A1AF-2356362A8E0F}"/>
    <cellStyle name="Comma 293 2" xfId="1571" xr:uid="{CCDB7664-499E-4C7F-A4DB-9720AFEDC432}"/>
    <cellStyle name="Comma 293 2 2" xfId="3629" xr:uid="{F28E80A5-450B-4E0A-BE08-5C0031F93B19}"/>
    <cellStyle name="Comma 293 3" xfId="2599" xr:uid="{025FF40B-14FD-4BB1-8D78-3B84E61CA5A2}"/>
    <cellStyle name="Comma 293 4" xfId="4725" xr:uid="{A5DBED01-0CB8-45B4-B1B9-4CA6DA16A0AD}"/>
    <cellStyle name="Comma 294" xfId="534" xr:uid="{DBBE0D2A-DFE2-4B95-961E-8FE5932F9D8D}"/>
    <cellStyle name="Comma 294 2" xfId="1572" xr:uid="{DCCF8299-F676-4AF5-9F37-0D53F6B30803}"/>
    <cellStyle name="Comma 294 2 2" xfId="3630" xr:uid="{D90BF484-9FD3-433F-AAEF-FB8132B276ED}"/>
    <cellStyle name="Comma 294 3" xfId="2600" xr:uid="{40BC9F1C-C03F-4CD5-A3C1-F8E00AF3ABC6}"/>
    <cellStyle name="Comma 294 4" xfId="4726" xr:uid="{6A6DFA39-D755-4594-AE8C-1907D114AC9C}"/>
    <cellStyle name="Comma 295" xfId="535" xr:uid="{CC310A86-DF5E-4CE1-905B-E63B68309E4D}"/>
    <cellStyle name="Comma 295 2" xfId="1573" xr:uid="{7C57B3AE-AAB4-416E-9AE4-ECC58C23AE84}"/>
    <cellStyle name="Comma 295 2 2" xfId="3631" xr:uid="{89BB2699-288E-48A1-B9C8-21538EE62A4B}"/>
    <cellStyle name="Comma 295 3" xfId="2601" xr:uid="{ECDFBD1F-41FD-42ED-A742-686F86FA9C1C}"/>
    <cellStyle name="Comma 295 4" xfId="4727" xr:uid="{847AD7BD-5C31-42D2-8C8D-5304F6566D33}"/>
    <cellStyle name="Comma 296" xfId="536" xr:uid="{79BEFBC8-4BE9-4359-9AC4-9DE0B48A8580}"/>
    <cellStyle name="Comma 296 2" xfId="1574" xr:uid="{54FCFF14-4303-4541-B7F5-22C16B81C6FC}"/>
    <cellStyle name="Comma 296 2 2" xfId="3632" xr:uid="{CEDFC768-4BA2-4154-B19B-D792590878B6}"/>
    <cellStyle name="Comma 296 3" xfId="2602" xr:uid="{1AAB30A0-6D46-42C3-A38F-A8D43165BC07}"/>
    <cellStyle name="Comma 296 4" xfId="4728" xr:uid="{29E5FB65-EA1C-4780-BF8F-2F53EFC14B69}"/>
    <cellStyle name="Comma 297" xfId="537" xr:uid="{8860C7A3-BC10-4F4D-815B-4F837D657958}"/>
    <cellStyle name="Comma 297 2" xfId="1575" xr:uid="{D3AB8D06-77C0-4313-B05C-4CC89D3A3B81}"/>
    <cellStyle name="Comma 297 2 2" xfId="3633" xr:uid="{E43C17F8-866C-49EF-B1DB-BBCFEA95A5A2}"/>
    <cellStyle name="Comma 297 3" xfId="2603" xr:uid="{496ECD53-C1C9-4DFE-924B-0745BD0F20C5}"/>
    <cellStyle name="Comma 297 4" xfId="4729" xr:uid="{80EBAAE2-8E52-434C-94B1-B36AED2593A1}"/>
    <cellStyle name="Comma 298" xfId="538" xr:uid="{9E890DFA-396F-4561-9447-9A974A799660}"/>
    <cellStyle name="Comma 298 2" xfId="1576" xr:uid="{37570124-68F0-46D2-AED7-BAAA4E46E201}"/>
    <cellStyle name="Comma 298 2 2" xfId="3634" xr:uid="{226A9949-8A80-4F23-85B0-5A4AB8E3D4C8}"/>
    <cellStyle name="Comma 298 3" xfId="2604" xr:uid="{43BD4114-8A3F-4936-87A3-2BA879F3AF0E}"/>
    <cellStyle name="Comma 298 4" xfId="4730" xr:uid="{25E4D8EA-6C17-494F-BB19-2B0AF548EC2D}"/>
    <cellStyle name="Comma 299" xfId="539" xr:uid="{E68E4A7C-B6DD-4C10-8D76-8921F5A643F2}"/>
    <cellStyle name="Comma 299 2" xfId="1577" xr:uid="{40E25484-1453-44C1-9A14-CAE987A0D55D}"/>
    <cellStyle name="Comma 299 2 2" xfId="3635" xr:uid="{52F9DAAC-E513-4BE8-BFAF-A3AD31C577DD}"/>
    <cellStyle name="Comma 299 3" xfId="2605" xr:uid="{1B9AD13C-11B7-4769-877D-D9F86A23F254}"/>
    <cellStyle name="Comma 299 4" xfId="4731" xr:uid="{06FB09F3-7F63-458C-B10D-DA1CA26FFF46}"/>
    <cellStyle name="Comma 3" xfId="70" xr:uid="{C3346164-E80B-4974-AEAD-60E90A414BA9}"/>
    <cellStyle name="Comma 3 2" xfId="71" xr:uid="{60C773DB-D108-4037-86D0-2BF7AFCBDF58}"/>
    <cellStyle name="Comma 3 2 2" xfId="1277" xr:uid="{3BFDF842-8166-4200-A1D5-8662EDB8ECC3}"/>
    <cellStyle name="Comma 3 2 2 2" xfId="3335" xr:uid="{C22735D1-3F57-4D8C-AF3B-BEC13056B447}"/>
    <cellStyle name="Comma 3 2 3" xfId="2305" xr:uid="{6608C437-FB7F-429E-802A-E9698A5961B1}"/>
    <cellStyle name="Comma 3 2 4" xfId="4431" xr:uid="{A1D8042B-676C-4428-8EED-96B213818C37}"/>
    <cellStyle name="Comma 3 3" xfId="72" xr:uid="{3B590112-92E0-4C6F-B73B-9875FCFACA5D}"/>
    <cellStyle name="Comma 3 3 2" xfId="1278" xr:uid="{00A39CF8-6306-4DF6-9464-D4E51C931EC4}"/>
    <cellStyle name="Comma 3 3 2 2" xfId="3336" xr:uid="{7C51197C-8BF8-47A0-985E-BF08ABB95CF2}"/>
    <cellStyle name="Comma 3 3 3" xfId="2306" xr:uid="{713E449F-42BA-4069-854D-131C916221E5}"/>
    <cellStyle name="Comma 3 3 4" xfId="4432" xr:uid="{A4A53D20-A265-4775-BE5B-0C828BEDC16B}"/>
    <cellStyle name="Comma 3 4" xfId="1276" xr:uid="{368C6E56-9C8C-495F-8B62-050178419C76}"/>
    <cellStyle name="Comma 3 4 2" xfId="3334" xr:uid="{4B32DA60-A5CB-4D03-B7AF-D00F1CA336B3}"/>
    <cellStyle name="Comma 3 5" xfId="2304" xr:uid="{A3BEF739-2EE8-4273-A95F-69F15DD73397}"/>
    <cellStyle name="Comma 3 6" xfId="4430" xr:uid="{F74F05F1-F93E-45BC-95A2-D3791BCF808A}"/>
    <cellStyle name="Comma 30" xfId="221" xr:uid="{70A0824E-14D2-4627-B9BA-AF37C8522B23}"/>
    <cellStyle name="Comma 30 2" xfId="1307" xr:uid="{0F0150F5-FAD3-4A93-AA17-30DEEB5F925B}"/>
    <cellStyle name="Comma 30 2 2" xfId="3365" xr:uid="{E2CD1A95-5649-4C10-8511-64E728548A10}"/>
    <cellStyle name="Comma 30 3" xfId="2335" xr:uid="{13357266-94E1-4632-A69B-D9D622D13B76}"/>
    <cellStyle name="Comma 30 4" xfId="4461" xr:uid="{A7CE06AB-289B-4888-A0DB-06065CD4D385}"/>
    <cellStyle name="Comma 300" xfId="540" xr:uid="{D2D8237D-D739-4B15-A3ED-3C48C3B3CC99}"/>
    <cellStyle name="Comma 300 2" xfId="1578" xr:uid="{C3283358-C221-46E4-8A96-ECFE0DB27907}"/>
    <cellStyle name="Comma 300 2 2" xfId="3636" xr:uid="{87123FE0-33E3-42A3-980C-F4D1A2A5D029}"/>
    <cellStyle name="Comma 300 3" xfId="2606" xr:uid="{AC3EC441-7479-4D97-AD03-40070B2E7305}"/>
    <cellStyle name="Comma 300 4" xfId="4732" xr:uid="{C2D884A5-257E-4934-B7F9-ED92655011E0}"/>
    <cellStyle name="Comma 301" xfId="541" xr:uid="{4237F323-9242-4A1B-B4EC-FE5910D42FF6}"/>
    <cellStyle name="Comma 301 2" xfId="1579" xr:uid="{40A18163-592C-49EE-A349-03ABBF2E2312}"/>
    <cellStyle name="Comma 301 2 2" xfId="3637" xr:uid="{1582EB86-7B90-4107-BC85-E845CACE29AC}"/>
    <cellStyle name="Comma 301 3" xfId="2607" xr:uid="{52266DA3-6147-413F-A354-D4D189FFFB13}"/>
    <cellStyle name="Comma 301 4" xfId="4733" xr:uid="{3D505D24-3E95-426E-B9B9-D3883B54E3E2}"/>
    <cellStyle name="Comma 302" xfId="542" xr:uid="{826EA227-2592-499D-A893-3ABBC6E0F088}"/>
    <cellStyle name="Comma 302 2" xfId="1580" xr:uid="{0D5BF896-C148-4EC3-BE0F-C85FC8B8198D}"/>
    <cellStyle name="Comma 302 2 2" xfId="3638" xr:uid="{779C05B8-CA97-4D8D-BB22-B5E94A391D33}"/>
    <cellStyle name="Comma 302 3" xfId="2608" xr:uid="{6174D5DA-F384-4233-BB93-690BCFE3955B}"/>
    <cellStyle name="Comma 302 4" xfId="4734" xr:uid="{DF81A0EE-4E40-40AC-88DA-678372E006F7}"/>
    <cellStyle name="Comma 303" xfId="543" xr:uid="{53A59BE6-E3BD-49E5-9DF1-66394A66FE44}"/>
    <cellStyle name="Comma 303 2" xfId="1581" xr:uid="{46301706-F786-4EF3-834D-61DB5C8572D5}"/>
    <cellStyle name="Comma 303 2 2" xfId="3639" xr:uid="{8FE9BEFE-4432-40F0-8DFD-B9EFB4DC6F71}"/>
    <cellStyle name="Comma 303 3" xfId="2609" xr:uid="{FBC8BC48-C7BA-4FE0-A0E8-59AFFB4188D4}"/>
    <cellStyle name="Comma 303 4" xfId="4735" xr:uid="{FB755F72-120F-48B6-B4D0-209D9880CA8D}"/>
    <cellStyle name="Comma 304" xfId="544" xr:uid="{05212DB0-B296-48B5-ACFA-48EA587374EB}"/>
    <cellStyle name="Comma 304 2" xfId="1582" xr:uid="{50B853A7-87C3-4015-8D39-EF9A934FB3D9}"/>
    <cellStyle name="Comma 304 2 2" xfId="3640" xr:uid="{4DE9DA55-D1ED-4C9A-817D-ABB07B356D50}"/>
    <cellStyle name="Comma 304 3" xfId="2610" xr:uid="{E544F4C1-2E2C-41C2-B5C0-EBA006F8D6CD}"/>
    <cellStyle name="Comma 304 4" xfId="4736" xr:uid="{186A36A0-7CAB-4775-9110-0ABE40FCEC9C}"/>
    <cellStyle name="Comma 305" xfId="545" xr:uid="{CFFD4BCC-BFAD-4BDD-A3DF-91E14ACE09FD}"/>
    <cellStyle name="Comma 305 2" xfId="1583" xr:uid="{5A432F73-73C1-43CF-A807-94D6B7273C39}"/>
    <cellStyle name="Comma 305 2 2" xfId="3641" xr:uid="{27AA9E6B-3015-4D4F-800F-C7117F36826F}"/>
    <cellStyle name="Comma 305 3" xfId="2611" xr:uid="{7398F58E-14A8-42A5-96CA-CD63E21F99DB}"/>
    <cellStyle name="Comma 305 4" xfId="4737" xr:uid="{B920FAB5-C6D5-4CF6-8287-5C5BBF124A27}"/>
    <cellStyle name="Comma 306" xfId="546" xr:uid="{85DD762A-A770-4B66-8E15-4AA6BB2F4D4E}"/>
    <cellStyle name="Comma 306 2" xfId="1584" xr:uid="{C4F23D52-3E15-4C6E-A510-7EF4FB72F698}"/>
    <cellStyle name="Comma 306 2 2" xfId="3642" xr:uid="{EA33EEEF-46EF-4A3B-9647-4B8D65B8AACC}"/>
    <cellStyle name="Comma 306 3" xfId="2612" xr:uid="{DB7F938F-F10F-4475-A816-D88318B6FF51}"/>
    <cellStyle name="Comma 306 4" xfId="4738" xr:uid="{157D8807-5F06-4F1A-BDC8-4340812655CA}"/>
    <cellStyle name="Comma 307" xfId="547" xr:uid="{639C972F-1290-4F1C-9738-1AD61133EEAC}"/>
    <cellStyle name="Comma 307 2" xfId="1585" xr:uid="{6D2F0A40-E147-4F5F-8BF3-6D018341AFE9}"/>
    <cellStyle name="Comma 307 2 2" xfId="3643" xr:uid="{7A755F66-D631-4277-B991-D499B9CFD7FE}"/>
    <cellStyle name="Comma 307 3" xfId="2613" xr:uid="{CF59B702-85C5-44BB-9AC0-571E0E79D855}"/>
    <cellStyle name="Comma 307 4" xfId="4739" xr:uid="{8C1D1246-CAE8-490E-86CF-C2F1AF3F82AA}"/>
    <cellStyle name="Comma 308" xfId="548" xr:uid="{6F4D1D1A-AC45-46DF-9281-69CE5B43F45C}"/>
    <cellStyle name="Comma 308 2" xfId="1586" xr:uid="{F0CCB5B0-E99D-4773-889A-9AAB07DA1B75}"/>
    <cellStyle name="Comma 308 2 2" xfId="3644" xr:uid="{67EF8345-070B-4859-B567-8D4064A1866D}"/>
    <cellStyle name="Comma 308 3" xfId="2614" xr:uid="{7D404B98-72F1-44CE-89FB-1480CCB11024}"/>
    <cellStyle name="Comma 308 4" xfId="4740" xr:uid="{91CEDA1D-2FAA-40F8-914F-9586AD378287}"/>
    <cellStyle name="Comma 309" xfId="549" xr:uid="{5115EF3F-C997-47C0-8C24-D1A1042DF4B7}"/>
    <cellStyle name="Comma 309 2" xfId="1587" xr:uid="{137B24CA-967A-4B86-974B-9713C172CADB}"/>
    <cellStyle name="Comma 309 2 2" xfId="3645" xr:uid="{C2E37A4A-BCB3-427E-B018-90297D91DF15}"/>
    <cellStyle name="Comma 309 3" xfId="2615" xr:uid="{BE45173C-CE4B-4847-94D3-B64AC61C92D0}"/>
    <cellStyle name="Comma 309 4" xfId="4741" xr:uid="{ECB76FDE-85DE-46D8-8BC5-7146A0C63C7A}"/>
    <cellStyle name="Comma 31" xfId="222" xr:uid="{9782B841-98D0-45D7-819E-9AD857BF4D13}"/>
    <cellStyle name="Comma 31 2" xfId="1308" xr:uid="{3003237E-091D-49F8-8419-D578538AF9C8}"/>
    <cellStyle name="Comma 31 2 2" xfId="3366" xr:uid="{2AE6DD64-CF87-4CC6-A20E-DC28AD6B74A7}"/>
    <cellStyle name="Comma 31 3" xfId="2336" xr:uid="{231DDBDA-095E-46C8-9167-3E1A6A056A1F}"/>
    <cellStyle name="Comma 31 4" xfId="4462" xr:uid="{167CEE08-69F8-4176-99C5-C8BEC53F47CF}"/>
    <cellStyle name="Comma 310" xfId="550" xr:uid="{F61D9593-D40A-42AD-82E3-299F93C3A64D}"/>
    <cellStyle name="Comma 310 2" xfId="1588" xr:uid="{8DE7FA9D-3449-49FE-AEB2-BC8B4813CC60}"/>
    <cellStyle name="Comma 310 2 2" xfId="3646" xr:uid="{3DD8CB5B-730E-4E97-A83C-EDE4477FDAB9}"/>
    <cellStyle name="Comma 310 3" xfId="2616" xr:uid="{804EE8CF-B746-4662-B768-A22C07605336}"/>
    <cellStyle name="Comma 310 4" xfId="4742" xr:uid="{59A351F7-AB77-44DC-9DB5-4CBC7C3D297A}"/>
    <cellStyle name="Comma 311" xfId="551" xr:uid="{25383505-DA98-462C-8E2F-BF6E139C15D9}"/>
    <cellStyle name="Comma 311 2" xfId="1589" xr:uid="{312887C5-E00B-4583-942C-5BF426703CF7}"/>
    <cellStyle name="Comma 311 2 2" xfId="3647" xr:uid="{A389DD75-4ED4-4A0D-BC5D-9C811A47CE10}"/>
    <cellStyle name="Comma 311 3" xfId="2617" xr:uid="{6E789538-3DA3-4C4A-8B97-383102C85A51}"/>
    <cellStyle name="Comma 311 4" xfId="4743" xr:uid="{2460D602-8606-4E8F-9A6D-9F7E74B73A93}"/>
    <cellStyle name="Comma 312" xfId="552" xr:uid="{78B68AE6-201F-4B06-A103-92BD00EF2072}"/>
    <cellStyle name="Comma 312 2" xfId="1590" xr:uid="{A8D32B8A-85B2-43D3-B24F-D12C8547B8B8}"/>
    <cellStyle name="Comma 312 2 2" xfId="3648" xr:uid="{E79B2924-7C66-4DF8-B54A-4E2E40AC33DE}"/>
    <cellStyle name="Comma 312 3" xfId="2618" xr:uid="{EC4EB2B6-EA0C-4228-8FF6-C9986A954F29}"/>
    <cellStyle name="Comma 312 4" xfId="4744" xr:uid="{1AE049F4-E507-49EF-80A1-A5847CA15482}"/>
    <cellStyle name="Comma 313" xfId="553" xr:uid="{52D3A887-1E79-4F05-A222-58456A65E0DF}"/>
    <cellStyle name="Comma 313 2" xfId="1591" xr:uid="{B98A8D5C-6E23-41CE-81E9-7042EE77DF95}"/>
    <cellStyle name="Comma 313 2 2" xfId="3649" xr:uid="{EB7D9DA9-DD3E-4764-8E9E-CAFF3FFD8D77}"/>
    <cellStyle name="Comma 313 3" xfId="2619" xr:uid="{5DE1EB73-848E-4958-BEA6-7CC634E4F50D}"/>
    <cellStyle name="Comma 313 4" xfId="4745" xr:uid="{2D02BEFD-9CBE-47B3-9B7D-1B2D73B21A09}"/>
    <cellStyle name="Comma 314" xfId="554" xr:uid="{B077BC57-5CF2-400D-A6E4-DDC177175FBE}"/>
    <cellStyle name="Comma 314 2" xfId="1592" xr:uid="{523238F3-A300-4D6D-953C-934999CB7261}"/>
    <cellStyle name="Comma 314 2 2" xfId="3650" xr:uid="{D5D1F217-F897-4855-A079-1476D7A018D7}"/>
    <cellStyle name="Comma 314 3" xfId="2620" xr:uid="{93C3D9F8-9E9D-4E9C-B532-C4356D78F9A7}"/>
    <cellStyle name="Comma 314 4" xfId="4746" xr:uid="{02B21954-9E2A-4DF2-9CF6-47E724257FED}"/>
    <cellStyle name="Comma 315" xfId="555" xr:uid="{16EF5A4C-7D31-4ABA-B211-35518AF8BE52}"/>
    <cellStyle name="Comma 315 2" xfId="1593" xr:uid="{EDCA2E40-78FA-4781-A87A-8E8C9BAA172F}"/>
    <cellStyle name="Comma 315 2 2" xfId="3651" xr:uid="{0B264213-7A5C-4200-AD87-E1A3F8368591}"/>
    <cellStyle name="Comma 315 3" xfId="2621" xr:uid="{DA9360DD-C773-4D59-A80F-27559ABF221E}"/>
    <cellStyle name="Comma 315 4" xfId="4747" xr:uid="{A3CAAD4B-E4C9-4ECE-9064-8D2BD2A10416}"/>
    <cellStyle name="Comma 316" xfId="556" xr:uid="{F482F7E1-8D20-4054-B84D-B30B30BF7896}"/>
    <cellStyle name="Comma 316 2" xfId="1594" xr:uid="{C5D1C770-BB2F-4EB1-A4FE-8C40376B117B}"/>
    <cellStyle name="Comma 316 2 2" xfId="3652" xr:uid="{180721CA-1003-44FC-B7B7-16FE820322E4}"/>
    <cellStyle name="Comma 316 3" xfId="2622" xr:uid="{85C3CFD8-A74F-4A11-A6F4-61337B54C1F7}"/>
    <cellStyle name="Comma 316 4" xfId="4748" xr:uid="{0463A7E8-8D16-412E-B4B4-84039E9F88C0}"/>
    <cellStyle name="Comma 317" xfId="557" xr:uid="{086E8DED-7A5F-443B-8CD5-BC541485A773}"/>
    <cellStyle name="Comma 317 2" xfId="1595" xr:uid="{A1D5FACE-A978-4364-AAD4-73C3B274D9B2}"/>
    <cellStyle name="Comma 317 2 2" xfId="3653" xr:uid="{BEFA1A69-7AA0-4308-9DC5-0BE7F8052569}"/>
    <cellStyle name="Comma 317 3" xfId="2623" xr:uid="{7F50CBFA-D37A-44EF-8107-937E508A0F75}"/>
    <cellStyle name="Comma 317 4" xfId="4749" xr:uid="{2860170E-215A-44BA-B9E4-D2029D68944B}"/>
    <cellStyle name="Comma 318" xfId="558" xr:uid="{55C18016-5354-47D8-BB00-C618D945DABD}"/>
    <cellStyle name="Comma 318 2" xfId="1596" xr:uid="{6B78DAF8-D8C0-4920-A6A1-D6D2464F6376}"/>
    <cellStyle name="Comma 318 2 2" xfId="3654" xr:uid="{FF83218B-991E-45EA-AF83-5036ACD18981}"/>
    <cellStyle name="Comma 318 3" xfId="2624" xr:uid="{A17054DF-26AF-484B-AC70-905B6BE218B6}"/>
    <cellStyle name="Comma 318 4" xfId="4750" xr:uid="{15607165-43B1-433F-89DA-27B8A9303DB7}"/>
    <cellStyle name="Comma 319" xfId="559" xr:uid="{0F114F61-AF85-4052-BEB2-97311F761328}"/>
    <cellStyle name="Comma 319 2" xfId="1597" xr:uid="{7BEF3BC0-A66C-4652-8EA6-6A70F038246F}"/>
    <cellStyle name="Comma 319 2 2" xfId="3655" xr:uid="{02D35982-7869-48EC-8C67-1D31F8C2A133}"/>
    <cellStyle name="Comma 319 3" xfId="2625" xr:uid="{39E21517-6BCF-4A31-B9CB-7381B5452B30}"/>
    <cellStyle name="Comma 319 4" xfId="4751" xr:uid="{8E108592-A59C-4D80-938C-88B47AB26AAC}"/>
    <cellStyle name="Comma 32" xfId="223" xr:uid="{4FFFFA4C-4C65-4EF8-BEB6-0925E267950A}"/>
    <cellStyle name="Comma 32 2" xfId="1309" xr:uid="{E7FEA8DD-8887-49B5-9F38-8DD22E601B33}"/>
    <cellStyle name="Comma 32 2 2" xfId="3367" xr:uid="{8BDE07B8-DD3A-4297-B3E7-4F3AB6E95665}"/>
    <cellStyle name="Comma 32 3" xfId="2337" xr:uid="{7E1E2F28-0BF7-4BEA-BEAA-B4CC1D4FE6B0}"/>
    <cellStyle name="Comma 32 4" xfId="4463" xr:uid="{3CCD9160-C3CA-455D-94BE-AE79237D1843}"/>
    <cellStyle name="Comma 320" xfId="560" xr:uid="{CD78ED47-F7C7-4465-BFD4-4432688EEC59}"/>
    <cellStyle name="Comma 320 2" xfId="1598" xr:uid="{412D1552-4B17-4C86-9E38-3CA03E27D11A}"/>
    <cellStyle name="Comma 320 2 2" xfId="3656" xr:uid="{334F574B-5843-4B87-A0F3-751C640DD826}"/>
    <cellStyle name="Comma 320 3" xfId="2626" xr:uid="{8E6A6E66-BB43-4C40-B212-FB9EA3CF589D}"/>
    <cellStyle name="Comma 320 4" xfId="4752" xr:uid="{55CA16FB-6A58-483F-A666-106E9706DFF5}"/>
    <cellStyle name="Comma 321" xfId="561" xr:uid="{514712BE-256D-4A4D-90BF-63EB609CBB18}"/>
    <cellStyle name="Comma 321 2" xfId="1599" xr:uid="{A48AF304-DD30-4123-8687-E76E540619FC}"/>
    <cellStyle name="Comma 321 2 2" xfId="3657" xr:uid="{E62D8628-B684-4F3E-9BF9-D6E8E882D79B}"/>
    <cellStyle name="Comma 321 3" xfId="2627" xr:uid="{C279A73F-3317-4E51-9760-68A0F0AE5E1E}"/>
    <cellStyle name="Comma 321 4" xfId="4753" xr:uid="{7BD49924-39C5-4FF5-8C27-E1A2805820BA}"/>
    <cellStyle name="Comma 322" xfId="562" xr:uid="{EF28A08E-7777-4864-8E3C-345FED4ABCE5}"/>
    <cellStyle name="Comma 322 2" xfId="1600" xr:uid="{D94AEF2B-103B-453B-B625-82B1BFA19A67}"/>
    <cellStyle name="Comma 322 2 2" xfId="3658" xr:uid="{6C808768-4217-43C2-AC56-75B46D7542B4}"/>
    <cellStyle name="Comma 322 3" xfId="2628" xr:uid="{EF3075B3-2551-4C10-A0AD-F2895FC556EF}"/>
    <cellStyle name="Comma 322 4" xfId="4754" xr:uid="{26773D58-0F86-4D46-BF95-7C35E18B8340}"/>
    <cellStyle name="Comma 323" xfId="563" xr:uid="{D2A290FB-DA23-4590-B1AD-391F6D66C65E}"/>
    <cellStyle name="Comma 323 2" xfId="1601" xr:uid="{9B424DC7-7ADB-41AA-B298-377CD698757C}"/>
    <cellStyle name="Comma 323 2 2" xfId="3659" xr:uid="{93D71CCC-1A1D-4EAD-BBD0-2F99BCC8BA13}"/>
    <cellStyle name="Comma 323 3" xfId="2629" xr:uid="{08EFF4B1-BB5D-4F66-BE02-0235809DE46D}"/>
    <cellStyle name="Comma 323 4" xfId="4755" xr:uid="{D983CCD1-9FA8-4644-A7D3-7C707D3ABE29}"/>
    <cellStyle name="Comma 324" xfId="564" xr:uid="{22016A18-D3DF-4ECD-B006-F62953FBB606}"/>
    <cellStyle name="Comma 324 2" xfId="1602" xr:uid="{0F71E046-2702-4B57-9C30-3E22FD44E76F}"/>
    <cellStyle name="Comma 324 2 2" xfId="3660" xr:uid="{8ADE33D7-5BBF-46D4-868C-26EC39E78E52}"/>
    <cellStyle name="Comma 324 3" xfId="2630" xr:uid="{EBE6248E-1FB6-479B-8CEB-00299340815F}"/>
    <cellStyle name="Comma 324 4" xfId="4756" xr:uid="{08EDB386-907F-4216-810A-EC34C9A48E63}"/>
    <cellStyle name="Comma 325" xfId="565" xr:uid="{ED4C76E5-CB14-4AEB-BCA4-8B43A389BC23}"/>
    <cellStyle name="Comma 325 2" xfId="1603" xr:uid="{FED76BA7-9567-4792-B874-85CA83DCC7E0}"/>
    <cellStyle name="Comma 325 2 2" xfId="3661" xr:uid="{14E02AE0-4419-43E5-981E-A15F6C833704}"/>
    <cellStyle name="Comma 325 3" xfId="2631" xr:uid="{9750F8A1-763F-40B7-A2E3-9170F053C3E5}"/>
    <cellStyle name="Comma 325 4" xfId="4757" xr:uid="{097B0998-4D76-403D-97CC-752ACFEBC0B4}"/>
    <cellStyle name="Comma 326" xfId="566" xr:uid="{9D33874B-A837-4829-83C7-D89CCEB917A8}"/>
    <cellStyle name="Comma 326 2" xfId="1604" xr:uid="{747406AA-7F2A-4018-B55F-C089A693DBA7}"/>
    <cellStyle name="Comma 326 2 2" xfId="3662" xr:uid="{667723C2-260D-48C1-8456-514C901EE3E2}"/>
    <cellStyle name="Comma 326 3" xfId="2632" xr:uid="{5AED2503-DF08-482F-8EFC-0376A036A042}"/>
    <cellStyle name="Comma 326 4" xfId="4758" xr:uid="{1B4DCB74-15BA-41BF-B6B4-C063C66D97C2}"/>
    <cellStyle name="Comma 327" xfId="567" xr:uid="{EBFF5CFC-5C8F-4453-BC0D-8865B755C2D1}"/>
    <cellStyle name="Comma 327 2" xfId="1605" xr:uid="{8319F1CE-996E-42D7-A185-017C24813B6F}"/>
    <cellStyle name="Comma 327 2 2" xfId="3663" xr:uid="{9D8A671B-F1CC-46E2-981B-11FDFEE4DB2B}"/>
    <cellStyle name="Comma 327 3" xfId="2633" xr:uid="{E7CF6643-2AC7-43AD-9362-3A376196694A}"/>
    <cellStyle name="Comma 327 4" xfId="4759" xr:uid="{381B4136-C362-4CDD-9B26-952C7649515F}"/>
    <cellStyle name="Comma 328" xfId="568" xr:uid="{7FA3AE04-F052-46AD-A397-DB62D28763A8}"/>
    <cellStyle name="Comma 328 2" xfId="1606" xr:uid="{D2D85560-23C7-476B-ACE9-2C424EB6D81F}"/>
    <cellStyle name="Comma 328 2 2" xfId="3664" xr:uid="{3B13B431-6762-4094-BA0F-07745CD990B0}"/>
    <cellStyle name="Comma 328 3" xfId="2634" xr:uid="{E9203C27-CCBB-466C-B5A7-B6DB1D316A1C}"/>
    <cellStyle name="Comma 328 4" xfId="4760" xr:uid="{197E3233-64EF-4FE0-9B17-4DF3AF44E307}"/>
    <cellStyle name="Comma 329" xfId="569" xr:uid="{32354D58-16A1-4B80-B9BB-8EF2483C521C}"/>
    <cellStyle name="Comma 329 2" xfId="1607" xr:uid="{2411463D-0547-48FD-83F4-CF2E371D9F9F}"/>
    <cellStyle name="Comma 329 2 2" xfId="3665" xr:uid="{51C276F8-3922-454B-AF85-F0D1AFE4482D}"/>
    <cellStyle name="Comma 329 3" xfId="2635" xr:uid="{065455C2-11AC-41E5-AA56-DF6990E34512}"/>
    <cellStyle name="Comma 329 4" xfId="4761" xr:uid="{9DFDF376-4B0C-45C7-8203-AD5BF196607D}"/>
    <cellStyle name="Comma 33" xfId="233" xr:uid="{8C1FE6CD-45DE-4CEF-A8CC-17871FF8EB17}"/>
    <cellStyle name="Comma 33 2" xfId="1311" xr:uid="{F3F0869E-AF0C-4E1D-9D3A-04FEBC4D5F72}"/>
    <cellStyle name="Comma 33 2 2" xfId="3369" xr:uid="{4F7D5D06-0D31-43B3-ACF0-B1BF10070FC4}"/>
    <cellStyle name="Comma 33 3" xfId="2339" xr:uid="{1810487B-40F7-4805-8934-8314246FB0F9}"/>
    <cellStyle name="Comma 33 4" xfId="4465" xr:uid="{8723284A-F670-4864-B34F-06574731B8AE}"/>
    <cellStyle name="Comma 330" xfId="570" xr:uid="{0F0DA1A2-902A-4619-BF3C-352AA85A23D7}"/>
    <cellStyle name="Comma 330 2" xfId="1608" xr:uid="{C4E9A0A1-BC06-4B20-B2CF-3AEA12184AD8}"/>
    <cellStyle name="Comma 330 2 2" xfId="3666" xr:uid="{A555FBD7-18C8-44CF-81E3-BEC11165D2DF}"/>
    <cellStyle name="Comma 330 3" xfId="2636" xr:uid="{CBBA65AF-880A-4885-A036-620269546E0C}"/>
    <cellStyle name="Comma 330 4" xfId="4762" xr:uid="{439AE337-281A-48D9-B0A1-16468A5F28DD}"/>
    <cellStyle name="Comma 331" xfId="571" xr:uid="{AF1F6D92-0733-40E5-A106-A2758009E426}"/>
    <cellStyle name="Comma 331 2" xfId="1609" xr:uid="{0EF1C6D4-2A65-431D-B610-8E5611EFF96B}"/>
    <cellStyle name="Comma 331 2 2" xfId="3667" xr:uid="{F31FCFD4-2E15-40A7-BF64-85DC33004716}"/>
    <cellStyle name="Comma 331 3" xfId="2637" xr:uid="{24850F51-F70A-49FF-BB38-960F078F69E4}"/>
    <cellStyle name="Comma 331 4" xfId="4763" xr:uid="{82C8A114-D4FA-43AB-A2C2-162CA356EF7F}"/>
    <cellStyle name="Comma 332" xfId="572" xr:uid="{821E378C-883F-4F83-BF86-03D2A318C064}"/>
    <cellStyle name="Comma 332 2" xfId="1610" xr:uid="{E2A1D9CD-8858-405F-8F7D-4A85E40D4518}"/>
    <cellStyle name="Comma 332 2 2" xfId="3668" xr:uid="{37261DBC-A39D-49A1-AFEF-9380FD51540A}"/>
    <cellStyle name="Comma 332 3" xfId="2638" xr:uid="{8837F253-548F-412C-9088-10C673A91EB6}"/>
    <cellStyle name="Comma 332 4" xfId="4764" xr:uid="{AFD73E03-7EE3-4099-9D4B-0B17E38E3B35}"/>
    <cellStyle name="Comma 333" xfId="573" xr:uid="{5B4B0538-FAAD-47C8-BEB2-EAC0AA91348E}"/>
    <cellStyle name="Comma 333 2" xfId="1611" xr:uid="{9816AAC8-C167-43E2-8EF1-F0FED1902260}"/>
    <cellStyle name="Comma 333 2 2" xfId="3669" xr:uid="{2DD68D68-C5B1-4D01-B2BA-1B18534D343C}"/>
    <cellStyle name="Comma 333 3" xfId="2639" xr:uid="{300C9BF8-E388-4DFE-8B6E-F0F60DAB9AF7}"/>
    <cellStyle name="Comma 333 4" xfId="4765" xr:uid="{3639EE44-E683-48AC-9C8A-9005A91AC0A0}"/>
    <cellStyle name="Comma 334" xfId="574" xr:uid="{ADD12452-1B64-45BF-8A50-C6F15CB1BFCF}"/>
    <cellStyle name="Comma 334 2" xfId="1612" xr:uid="{976136D4-E508-4020-BB5C-63DA16DC3F60}"/>
    <cellStyle name="Comma 334 2 2" xfId="3670" xr:uid="{E17580B5-24A0-4123-8041-0245828377C0}"/>
    <cellStyle name="Comma 334 3" xfId="2640" xr:uid="{A8DC8FDB-750E-47FD-985E-114CD9F7DE1F}"/>
    <cellStyle name="Comma 334 4" xfId="4766" xr:uid="{1B4556B2-52B4-42E4-A1E5-ED86CD3CCBDE}"/>
    <cellStyle name="Comma 335" xfId="575" xr:uid="{F344C8F1-56D2-4BBF-BDC2-72A844059490}"/>
    <cellStyle name="Comma 335 2" xfId="1613" xr:uid="{B1B42C9F-225F-45D3-9328-7717C59D0170}"/>
    <cellStyle name="Comma 335 2 2" xfId="3671" xr:uid="{A1EF3CBB-E5DB-412F-AF31-96EC9A35BA2F}"/>
    <cellStyle name="Comma 335 3" xfId="2641" xr:uid="{202BBE51-CFC8-48F4-9074-1EB27597475F}"/>
    <cellStyle name="Comma 335 4" xfId="4767" xr:uid="{17874DEA-345A-498D-8131-F992F9A04252}"/>
    <cellStyle name="Comma 336" xfId="576" xr:uid="{1C1E3ED2-53D7-4B0C-AC9A-161280D33CEF}"/>
    <cellStyle name="Comma 336 2" xfId="1614" xr:uid="{AED7F18E-D7AE-47C8-8EF5-93DCCDAFA51F}"/>
    <cellStyle name="Comma 336 2 2" xfId="3672" xr:uid="{3B476A16-63FC-407B-AA11-A6396464FC75}"/>
    <cellStyle name="Comma 336 3" xfId="2642" xr:uid="{42B9DBBB-59F8-499F-BD4A-8DDA667BFD99}"/>
    <cellStyle name="Comma 336 4" xfId="4768" xr:uid="{83207136-517B-404A-A350-6A900D4FFAE4}"/>
    <cellStyle name="Comma 337" xfId="577" xr:uid="{0932BF49-C473-4F9C-B4DB-20F7F3FB6D8B}"/>
    <cellStyle name="Comma 337 2" xfId="1615" xr:uid="{FC1CC808-2644-485A-9FF5-3A79A00D60BF}"/>
    <cellStyle name="Comma 337 2 2" xfId="3673" xr:uid="{90D6DE3F-F90C-460F-8524-5D202CA5A929}"/>
    <cellStyle name="Comma 337 3" xfId="2643" xr:uid="{D4A22070-7F82-46D3-8002-4CBAEF56FC37}"/>
    <cellStyle name="Comma 337 4" xfId="4769" xr:uid="{37AB06D4-B5ED-455A-9222-872C3761D51E}"/>
    <cellStyle name="Comma 338" xfId="578" xr:uid="{FA284FAC-BCE7-4B72-A8B1-132756E9BCA2}"/>
    <cellStyle name="Comma 338 2" xfId="1616" xr:uid="{7B6AA675-8514-4975-B820-782415089525}"/>
    <cellStyle name="Comma 338 2 2" xfId="3674" xr:uid="{6E53D4D9-741D-4C6C-9334-7DCFB6B18164}"/>
    <cellStyle name="Comma 338 3" xfId="2644" xr:uid="{F5BD1458-7D02-44EA-AE79-2779FE442C1D}"/>
    <cellStyle name="Comma 338 4" xfId="4770" xr:uid="{88FA7D8C-4850-4A5D-903E-024E491A9B48}"/>
    <cellStyle name="Comma 339" xfId="579" xr:uid="{7C9A3AB3-975C-4FDC-BA2A-F362FA5432F3}"/>
    <cellStyle name="Comma 339 2" xfId="1617" xr:uid="{DEFBB510-44B9-48B2-BC86-354733EE5742}"/>
    <cellStyle name="Comma 339 2 2" xfId="3675" xr:uid="{B4EF6717-391E-4E65-8459-7D47AF240006}"/>
    <cellStyle name="Comma 339 3" xfId="2645" xr:uid="{92FC0868-AA6D-4662-9A9F-591F548414DC}"/>
    <cellStyle name="Comma 339 4" xfId="4771" xr:uid="{49F97ED3-679E-4CDF-9932-A8480A9C5D9C}"/>
    <cellStyle name="Comma 34" xfId="234" xr:uid="{E0DB05AD-5229-4566-8580-0B95D0BBCF36}"/>
    <cellStyle name="Comma 34 2" xfId="1312" xr:uid="{EFA56AC9-9A7A-48E6-AECC-CAF08487A2C3}"/>
    <cellStyle name="Comma 34 2 2" xfId="3370" xr:uid="{95480CD6-392B-4B0E-93E0-39DF976F4180}"/>
    <cellStyle name="Comma 34 3" xfId="2340" xr:uid="{DB4CC308-1165-4B51-A88D-1D8F2D96ACA6}"/>
    <cellStyle name="Comma 34 4" xfId="4466" xr:uid="{41B2B57F-1422-405B-B942-9EF64246A86C}"/>
    <cellStyle name="Comma 340" xfId="580" xr:uid="{F0ABCCC2-C24E-4260-8CF2-147F6BDAFD45}"/>
    <cellStyle name="Comma 340 2" xfId="1618" xr:uid="{35F8C6CE-DC7A-44A4-9AA3-89C23ED6435C}"/>
    <cellStyle name="Comma 340 2 2" xfId="3676" xr:uid="{4E314603-D53F-4ECD-AA84-43BB27AE7AA3}"/>
    <cellStyle name="Comma 340 3" xfId="2646" xr:uid="{BD823753-3FD2-4ADB-BCC5-993FC5CA7A19}"/>
    <cellStyle name="Comma 340 4" xfId="4772" xr:uid="{9806BC25-0AC7-45CC-9138-97D07B4ACC59}"/>
    <cellStyle name="Comma 341" xfId="581" xr:uid="{C7A506B6-9084-4A82-989F-F1C4428C2748}"/>
    <cellStyle name="Comma 341 2" xfId="1619" xr:uid="{C793CBC8-F8B9-423E-A588-912745379E7C}"/>
    <cellStyle name="Comma 341 2 2" xfId="3677" xr:uid="{FA27FCCD-2900-456A-9617-62CF914A6613}"/>
    <cellStyle name="Comma 341 3" xfId="2647" xr:uid="{55BB4B67-D8D2-4032-8724-494B51C67AE3}"/>
    <cellStyle name="Comma 341 4" xfId="4773" xr:uid="{5B96DD96-57DA-4A6E-A9D8-163B4300F7CD}"/>
    <cellStyle name="Comma 342" xfId="582" xr:uid="{1F8E0A1D-72C9-4FE5-B8CC-87EFBA602CCF}"/>
    <cellStyle name="Comma 342 2" xfId="1620" xr:uid="{8D68652C-5022-4638-9BBA-4523F185E35C}"/>
    <cellStyle name="Comma 342 2 2" xfId="3678" xr:uid="{12A072C5-DF2F-4C56-AD0A-EA60ABC0146C}"/>
    <cellStyle name="Comma 342 3" xfId="2648" xr:uid="{0ED998C2-4179-4467-B982-676538560ADF}"/>
    <cellStyle name="Comma 342 4" xfId="4774" xr:uid="{2B736391-C8DD-4848-A4A5-B156869E48D0}"/>
    <cellStyle name="Comma 343" xfId="583" xr:uid="{6392A27F-192B-4037-96B1-9D7513214D2A}"/>
    <cellStyle name="Comma 343 2" xfId="1621" xr:uid="{2B0152BF-2810-467A-B8F2-9472A53C7E6F}"/>
    <cellStyle name="Comma 343 2 2" xfId="3679" xr:uid="{1A559334-8F20-4A45-B105-BAFE50C21CE0}"/>
    <cellStyle name="Comma 343 3" xfId="2649" xr:uid="{2E74A09B-F7A2-4334-8083-8A383BE8D708}"/>
    <cellStyle name="Comma 343 4" xfId="4775" xr:uid="{AE0E2CA1-D970-4467-B42A-6F25837EBA2D}"/>
    <cellStyle name="Comma 344" xfId="584" xr:uid="{3AC64059-1002-41A4-B5C4-AD5B5F5C57D7}"/>
    <cellStyle name="Comma 344 2" xfId="1622" xr:uid="{2D7F3411-BB74-4767-96E2-B218156F1F04}"/>
    <cellStyle name="Comma 344 2 2" xfId="3680" xr:uid="{DCA91AAA-A6B6-482A-AB27-4ECC7E6AB2AB}"/>
    <cellStyle name="Comma 344 3" xfId="2650" xr:uid="{0C7F2D50-C18F-4D02-8892-2C1EB269FEA2}"/>
    <cellStyle name="Comma 344 4" xfId="4776" xr:uid="{28C878BF-45ED-4154-9644-1774BA67FB85}"/>
    <cellStyle name="Comma 345" xfId="585" xr:uid="{FF955B08-9848-44A4-B7F6-B80000C1237F}"/>
    <cellStyle name="Comma 345 2" xfId="1623" xr:uid="{30B5E721-0F11-4086-87AE-9165F309EF93}"/>
    <cellStyle name="Comma 345 2 2" xfId="3681" xr:uid="{52138225-3484-4EE6-BCF3-23C52B9D21AB}"/>
    <cellStyle name="Comma 345 3" xfId="2651" xr:uid="{BC92C1B7-41A5-4899-9F11-040D547A08EE}"/>
    <cellStyle name="Comma 345 4" xfId="4777" xr:uid="{BB65664C-B11A-4C2F-A8F5-2140AB62E2A0}"/>
    <cellStyle name="Comma 346" xfId="586" xr:uid="{2663EFE5-96A1-41A8-B3D3-59FADD27A909}"/>
    <cellStyle name="Comma 346 2" xfId="1624" xr:uid="{30B66FAE-0DDE-42A3-AB6A-8A86C0A52A05}"/>
    <cellStyle name="Comma 346 2 2" xfId="3682" xr:uid="{16CA1522-B837-44F8-A00A-F20847BF7DDA}"/>
    <cellStyle name="Comma 346 3" xfId="2652" xr:uid="{B821705B-8884-4783-B698-E968956323FB}"/>
    <cellStyle name="Comma 346 4" xfId="4778" xr:uid="{DFCB98F9-70ED-425C-BD60-5C4A5662F16C}"/>
    <cellStyle name="Comma 347" xfId="587" xr:uid="{E01D912F-E257-4470-83CE-F8671A4A35EA}"/>
    <cellStyle name="Comma 347 2" xfId="1625" xr:uid="{FBB30D49-A27F-45FD-BBFF-553725B33AEC}"/>
    <cellStyle name="Comma 347 2 2" xfId="3683" xr:uid="{ED3CA8A7-D466-47DB-95FD-01B3267AE7D5}"/>
    <cellStyle name="Comma 347 3" xfId="2653" xr:uid="{20C38B6C-5B03-4AB9-91BE-EC15D14BE905}"/>
    <cellStyle name="Comma 347 4" xfId="4779" xr:uid="{702D3FEC-5B2D-4D32-972F-305B582AD54E}"/>
    <cellStyle name="Comma 348" xfId="588" xr:uid="{7AE8428E-8E39-4314-BD48-38226688F3E2}"/>
    <cellStyle name="Comma 348 2" xfId="1626" xr:uid="{CE344307-7EC7-41A6-9931-F4AD0191EA3F}"/>
    <cellStyle name="Comma 348 2 2" xfId="3684" xr:uid="{AEC3194E-AA4D-40EF-A6A9-B160580F77AA}"/>
    <cellStyle name="Comma 348 3" xfId="2654" xr:uid="{867A6D7A-59A6-4BD5-BCA5-10C0280BA925}"/>
    <cellStyle name="Comma 348 4" xfId="4780" xr:uid="{E67E7190-9768-4DAB-A475-991248F47BBF}"/>
    <cellStyle name="Comma 349" xfId="589" xr:uid="{570533B8-CAF5-4D10-BFF3-AEEF93FB40D8}"/>
    <cellStyle name="Comma 349 2" xfId="1627" xr:uid="{DA889172-B457-462B-82F0-1671C612F63A}"/>
    <cellStyle name="Comma 349 2 2" xfId="3685" xr:uid="{4153B22B-08FE-4062-9C99-BF3087647EB1}"/>
    <cellStyle name="Comma 349 3" xfId="2655" xr:uid="{7544ECCC-4A78-49A6-A73C-F205E695A51B}"/>
    <cellStyle name="Comma 349 4" xfId="4781" xr:uid="{A3E0ADD3-C7FD-4E7A-B70B-0285804123EF}"/>
    <cellStyle name="Comma 35" xfId="235" xr:uid="{BCE78FD2-E521-4970-81F9-74E7B0CB4502}"/>
    <cellStyle name="Comma 35 2" xfId="1313" xr:uid="{3138FA98-611E-4AAC-9455-5F914EC1D242}"/>
    <cellStyle name="Comma 35 2 2" xfId="3371" xr:uid="{69FB90ED-1D57-4756-A156-C7AA59274C42}"/>
    <cellStyle name="Comma 35 3" xfId="2341" xr:uid="{717300EC-9CDF-4586-9BD5-486A2ACA3F65}"/>
    <cellStyle name="Comma 35 4" xfId="4467" xr:uid="{19ACC474-AEFC-47AC-A4D1-E21DA0C16783}"/>
    <cellStyle name="Comma 350" xfId="590" xr:uid="{81B0B509-C593-4031-A857-E25A7427BAD1}"/>
    <cellStyle name="Comma 350 2" xfId="1628" xr:uid="{F4CFB8A7-340B-4C28-92CB-887EECF77EA1}"/>
    <cellStyle name="Comma 350 2 2" xfId="3686" xr:uid="{72DB3540-1905-4E73-8DD9-88D98D8CBE0E}"/>
    <cellStyle name="Comma 350 3" xfId="2656" xr:uid="{AB14CB7B-21BE-4FFD-A251-750B7894A65B}"/>
    <cellStyle name="Comma 350 4" xfId="4782" xr:uid="{A94E4E04-2815-4326-A92E-4D1CD7AFA501}"/>
    <cellStyle name="Comma 351" xfId="591" xr:uid="{93F9F3ED-D214-4495-9B5D-D139D0EA0E0A}"/>
    <cellStyle name="Comma 351 2" xfId="1629" xr:uid="{F18004C2-61B4-4461-BF7E-F2402197A4FD}"/>
    <cellStyle name="Comma 351 2 2" xfId="3687" xr:uid="{26ABF482-9C43-42AD-8BFA-EB5CDB701B06}"/>
    <cellStyle name="Comma 351 3" xfId="2657" xr:uid="{D58C7C37-9DDF-41F2-BFF1-AD253FD0EDBF}"/>
    <cellStyle name="Comma 351 4" xfId="4783" xr:uid="{D6402734-B012-44C9-843E-439B23FD32B7}"/>
    <cellStyle name="Comma 352" xfId="592" xr:uid="{BA112287-8A96-4B3D-953A-BE13A540BCC0}"/>
    <cellStyle name="Comma 352 2" xfId="1630" xr:uid="{21D62F27-7A09-4FBF-BD13-018FFD2DCA67}"/>
    <cellStyle name="Comma 352 2 2" xfId="3688" xr:uid="{C316E6E1-8B29-4E93-9FCD-E4264C421C08}"/>
    <cellStyle name="Comma 352 3" xfId="2658" xr:uid="{7E6AE409-6348-4E98-82B9-D5D77C858A3D}"/>
    <cellStyle name="Comma 352 4" xfId="4784" xr:uid="{167433F8-054C-4D42-A876-3CD1776AB62F}"/>
    <cellStyle name="Comma 353" xfId="593" xr:uid="{8F957E61-0173-45B6-845A-756D5F9F1D66}"/>
    <cellStyle name="Comma 353 2" xfId="1631" xr:uid="{59D87E39-1D38-4A5D-848E-4A0545622B99}"/>
    <cellStyle name="Comma 353 2 2" xfId="3689" xr:uid="{6C2AE15A-97EC-4ABF-A8CE-53BBD3DE466C}"/>
    <cellStyle name="Comma 353 3" xfId="2659" xr:uid="{7A783AAD-F346-49C2-9AF5-75457530D208}"/>
    <cellStyle name="Comma 353 4" xfId="4785" xr:uid="{528FBEBF-A780-4533-A680-2E7296BE93E3}"/>
    <cellStyle name="Comma 354" xfId="594" xr:uid="{8EE18285-579E-47DF-A1FC-E0AAFF54E473}"/>
    <cellStyle name="Comma 354 2" xfId="1632" xr:uid="{738827DF-E711-46BA-B9ED-E8449AC7F646}"/>
    <cellStyle name="Comma 354 2 2" xfId="3690" xr:uid="{4C0C68D8-0C1C-4242-9B8D-24C2D23E593A}"/>
    <cellStyle name="Comma 354 3" xfId="2660" xr:uid="{F7415CD3-138C-42B8-A3B6-67F48C1D9E03}"/>
    <cellStyle name="Comma 354 4" xfId="4786" xr:uid="{1D34E2B6-EA76-42D0-A58E-AF1CC55FBD68}"/>
    <cellStyle name="Comma 355" xfId="595" xr:uid="{3448C2DF-7298-4C9D-A2E5-0FD223AB4BEE}"/>
    <cellStyle name="Comma 355 2" xfId="1633" xr:uid="{1229EC64-BBE1-433F-B4CD-43B76AC79D30}"/>
    <cellStyle name="Comma 355 2 2" xfId="3691" xr:uid="{4C38D02C-5625-4B19-9B56-77DAF4B5257F}"/>
    <cellStyle name="Comma 355 3" xfId="2661" xr:uid="{41FD35C7-C008-4F0D-A4FC-39623515ED97}"/>
    <cellStyle name="Comma 355 4" xfId="4787" xr:uid="{DD2F7D50-69F0-4488-A190-E30720A7AEE7}"/>
    <cellStyle name="Comma 356" xfId="596" xr:uid="{4AB0397A-D244-430A-BBE0-7C845BB1E5A3}"/>
    <cellStyle name="Comma 356 2" xfId="1634" xr:uid="{9B8D3F4C-F76F-4025-9B0D-D0FBE2172D05}"/>
    <cellStyle name="Comma 356 2 2" xfId="3692" xr:uid="{5340462E-0010-4CF1-B304-8F9623228945}"/>
    <cellStyle name="Comma 356 3" xfId="2662" xr:uid="{222C72EC-8881-49AA-B7ED-433ABC8A2577}"/>
    <cellStyle name="Comma 356 4" xfId="4788" xr:uid="{3AE5E713-2B94-4B0E-84E4-A22193E68665}"/>
    <cellStyle name="Comma 357" xfId="597" xr:uid="{1F2635DE-B8E3-4814-B9B0-71A5F13E7651}"/>
    <cellStyle name="Comma 357 2" xfId="1635" xr:uid="{6A968939-35DC-4DF2-B4A6-B6F5ACB3DF1C}"/>
    <cellStyle name="Comma 357 2 2" xfId="3693" xr:uid="{AA0A5287-A9B8-4200-8B84-F015A3539D36}"/>
    <cellStyle name="Comma 357 3" xfId="2663" xr:uid="{89A6B10B-24F2-47B1-9AEB-B28C9F39A590}"/>
    <cellStyle name="Comma 357 4" xfId="4789" xr:uid="{B9A40EB3-B8A6-4A90-9A52-DA2157763BFE}"/>
    <cellStyle name="Comma 358" xfId="598" xr:uid="{B29B4219-03CF-447D-B6C1-D35A5024AC62}"/>
    <cellStyle name="Comma 358 2" xfId="1636" xr:uid="{AFDA426C-F935-46A9-81DF-F2CDECDCA905}"/>
    <cellStyle name="Comma 358 2 2" xfId="3694" xr:uid="{E30B9D70-7E8C-4EDF-AD2E-60FBF605E3DC}"/>
    <cellStyle name="Comma 358 3" xfId="2664" xr:uid="{9EA0CF51-02D1-4C4E-9372-C5454D105F9B}"/>
    <cellStyle name="Comma 358 4" xfId="4790" xr:uid="{4DF95B46-B55D-47AF-8509-B3D2842F79F0}"/>
    <cellStyle name="Comma 359" xfId="599" xr:uid="{74428077-E014-43FC-946C-797082501E81}"/>
    <cellStyle name="Comma 359 2" xfId="1637" xr:uid="{89A3F44B-C03B-402A-9628-DD6DEA10093A}"/>
    <cellStyle name="Comma 359 2 2" xfId="3695" xr:uid="{AB46972F-CA95-4293-9163-B09D5B052A16}"/>
    <cellStyle name="Comma 359 3" xfId="2665" xr:uid="{46FDEEA7-456C-45E1-A0C6-17A93D00B447}"/>
    <cellStyle name="Comma 359 4" xfId="4791" xr:uid="{FDC215D6-196F-48FA-9260-668ADD7F06F2}"/>
    <cellStyle name="Comma 36" xfId="236" xr:uid="{8E96EB02-1761-467A-9449-2CA0B4DAC88F}"/>
    <cellStyle name="Comma 36 2" xfId="1314" xr:uid="{A2AA1609-1684-453D-B503-DFA83D40D5C0}"/>
    <cellStyle name="Comma 36 2 2" xfId="3372" xr:uid="{2417D4BE-EEDC-4B28-B4F6-B28D16F3FB20}"/>
    <cellStyle name="Comma 36 3" xfId="2342" xr:uid="{386F56D1-FAD9-4E7E-A0EB-0750CDD82B56}"/>
    <cellStyle name="Comma 36 4" xfId="4468" xr:uid="{0FA2C9F6-D223-4060-842C-5DEA1D1FB6DC}"/>
    <cellStyle name="Comma 360" xfId="600" xr:uid="{B571B61D-5A18-46D3-AE4C-03C0D9CF0E54}"/>
    <cellStyle name="Comma 360 2" xfId="1638" xr:uid="{80BD75B0-CE1C-4D6F-8884-AC185757E083}"/>
    <cellStyle name="Comma 360 2 2" xfId="3696" xr:uid="{25E125E2-37DF-4BEF-A9A7-8B0BFA9BCFA0}"/>
    <cellStyle name="Comma 360 3" xfId="2666" xr:uid="{FB47C58C-A120-4F31-9CF3-C1794F515568}"/>
    <cellStyle name="Comma 360 4" xfId="4792" xr:uid="{905830D6-8983-476E-87B2-BB2DD371A431}"/>
    <cellStyle name="Comma 361" xfId="601" xr:uid="{6D56EAD2-230D-4C90-BD04-B4E414A44328}"/>
    <cellStyle name="Comma 361 2" xfId="1639" xr:uid="{7A884CF3-BE22-49A6-8398-F80313871D23}"/>
    <cellStyle name="Comma 361 2 2" xfId="3697" xr:uid="{C431796C-2B25-4674-93E8-FEA94F8EEA7D}"/>
    <cellStyle name="Comma 361 3" xfId="2667" xr:uid="{B85FAF2B-E631-47EC-92EF-BCDE1D3D3BB1}"/>
    <cellStyle name="Comma 361 4" xfId="4793" xr:uid="{5EF3347D-7B72-46B2-8EFE-A7EF3CFE48A9}"/>
    <cellStyle name="Comma 362" xfId="602" xr:uid="{4E872CB8-A7AD-48B0-82C9-64394CBDCB3A}"/>
    <cellStyle name="Comma 362 2" xfId="1640" xr:uid="{90269AFD-72DA-4670-969D-C82D2A394F10}"/>
    <cellStyle name="Comma 362 2 2" xfId="3698" xr:uid="{7DE5FC42-3C14-420A-ABCE-79A874F1C519}"/>
    <cellStyle name="Comma 362 3" xfId="2668" xr:uid="{05930442-D2F1-4D65-AD72-BDC1336E1D2F}"/>
    <cellStyle name="Comma 362 4" xfId="4794" xr:uid="{9D359C95-8E18-4520-99CB-CFE21D022765}"/>
    <cellStyle name="Comma 363" xfId="603" xr:uid="{B543CB1F-5A1D-41C1-9709-F7B2DF0C8CCD}"/>
    <cellStyle name="Comma 363 2" xfId="1641" xr:uid="{A15F0D28-9060-4F7B-AB73-6836A74B9D3B}"/>
    <cellStyle name="Comma 363 2 2" xfId="3699" xr:uid="{E92BA702-D2FA-4F71-B775-947E53EA3DD6}"/>
    <cellStyle name="Comma 363 3" xfId="2669" xr:uid="{DF135435-C5EC-443E-8EFA-B4A6EA29BCBA}"/>
    <cellStyle name="Comma 363 4" xfId="4795" xr:uid="{07F7CF20-1611-468B-8878-0E665157069D}"/>
    <cellStyle name="Comma 364" xfId="604" xr:uid="{1D19C137-6DEC-41A3-B7DA-EFF8A76F867F}"/>
    <cellStyle name="Comma 364 2" xfId="1642" xr:uid="{6A0209C9-07B6-494B-B65A-1BC36367369F}"/>
    <cellStyle name="Comma 364 2 2" xfId="3700" xr:uid="{50598A85-AC34-4F30-8777-46933F0172FC}"/>
    <cellStyle name="Comma 364 3" xfId="2670" xr:uid="{FFF77209-734B-4A35-894D-C85DFD143BD8}"/>
    <cellStyle name="Comma 364 4" xfId="4796" xr:uid="{B447BCD2-6F1A-4847-A8A9-B73868D45795}"/>
    <cellStyle name="Comma 365" xfId="605" xr:uid="{8928ACD6-F1E6-4518-8F77-36168E27269A}"/>
    <cellStyle name="Comma 365 2" xfId="1643" xr:uid="{57EDD86F-6BD8-49C5-9A62-4002E3930A94}"/>
    <cellStyle name="Comma 365 2 2" xfId="3701" xr:uid="{578306FC-0458-4537-B025-488F2301BD7B}"/>
    <cellStyle name="Comma 365 3" xfId="2671" xr:uid="{7FCA8F52-A825-48BA-813E-776F8961DFCD}"/>
    <cellStyle name="Comma 365 4" xfId="4797" xr:uid="{242F5CA8-856F-4FB9-B4E1-FADDDEF1C3E9}"/>
    <cellStyle name="Comma 366" xfId="606" xr:uid="{BC783109-61F3-4CA0-A508-A180F0F9570C}"/>
    <cellStyle name="Comma 366 2" xfId="1644" xr:uid="{28826CC9-2FBF-411F-B086-47EDE8928FC0}"/>
    <cellStyle name="Comma 366 2 2" xfId="3702" xr:uid="{238757EC-BBA1-451E-839E-BCC219D06B34}"/>
    <cellStyle name="Comma 366 3" xfId="2672" xr:uid="{AE242DF3-1EAE-42C0-8C3B-9BBD86830473}"/>
    <cellStyle name="Comma 366 4" xfId="4798" xr:uid="{FEFE68F9-D4B7-4C17-8F63-0C6C119AEF55}"/>
    <cellStyle name="Comma 367" xfId="607" xr:uid="{EE660C77-20EC-415D-AA6D-001F5B7C1141}"/>
    <cellStyle name="Comma 367 2" xfId="1645" xr:uid="{D044C51B-EC08-4DB0-852E-785E3461D2CF}"/>
    <cellStyle name="Comma 367 2 2" xfId="3703" xr:uid="{AFDC7C6E-1192-4DDB-B938-E05F51C101D3}"/>
    <cellStyle name="Comma 367 3" xfId="2673" xr:uid="{ABACFB26-6E16-4FBF-A228-18FFD0ED7E31}"/>
    <cellStyle name="Comma 367 4" xfId="4799" xr:uid="{95CFF020-1674-4213-A3E1-C1ADB2F5FFEF}"/>
    <cellStyle name="Comma 368" xfId="608" xr:uid="{A3493006-07A5-48FE-BAA1-18420FE47F83}"/>
    <cellStyle name="Comma 368 2" xfId="1646" xr:uid="{36B2E030-52E6-4366-96A7-0783AB050F30}"/>
    <cellStyle name="Comma 368 2 2" xfId="3704" xr:uid="{6A510579-FD2D-43E6-8882-E2FCF492CC62}"/>
    <cellStyle name="Comma 368 3" xfId="2674" xr:uid="{F4C12A37-9EEE-4AD0-B2D7-F28CBE86C148}"/>
    <cellStyle name="Comma 368 4" xfId="4800" xr:uid="{8BEBFE41-B5CC-458C-9FA3-D38D8E106B5E}"/>
    <cellStyle name="Comma 369" xfId="609" xr:uid="{C1B04262-BF67-4548-AFF2-251AB08D3F86}"/>
    <cellStyle name="Comma 369 2" xfId="1647" xr:uid="{34BEAFEB-2860-4B99-8468-01636F690C7D}"/>
    <cellStyle name="Comma 369 2 2" xfId="3705" xr:uid="{93CE444E-2726-4EF0-83AA-C2DB47D34D36}"/>
    <cellStyle name="Comma 369 3" xfId="2675" xr:uid="{AFEB1B93-BCB6-4BCF-A0E3-3915B2DA12B9}"/>
    <cellStyle name="Comma 369 4" xfId="4801" xr:uid="{B0F5CF71-48D4-463D-9C4D-395AA6CE9961}"/>
    <cellStyle name="Comma 37" xfId="237" xr:uid="{132723E7-7AAD-4008-B65D-11AC94CE2053}"/>
    <cellStyle name="Comma 37 2" xfId="1315" xr:uid="{25F94922-EF69-464F-820E-CCC0694306BD}"/>
    <cellStyle name="Comma 37 2 2" xfId="3373" xr:uid="{8EB8EEF9-9A19-4F9D-BA4A-236D7B8AFE4A}"/>
    <cellStyle name="Comma 37 3" xfId="2343" xr:uid="{927513A7-775D-4392-8293-505822F400FF}"/>
    <cellStyle name="Comma 37 4" xfId="4469" xr:uid="{3063954C-DB06-49E3-88E3-F893F702BA80}"/>
    <cellStyle name="Comma 370" xfId="610" xr:uid="{5552D5FF-1EDC-4A31-A0C4-6DE46C489069}"/>
    <cellStyle name="Comma 370 2" xfId="1648" xr:uid="{92943512-4082-4A7A-8E57-85D7449E63BA}"/>
    <cellStyle name="Comma 370 2 2" xfId="3706" xr:uid="{843A6136-C3B2-4632-B517-5738F3464B94}"/>
    <cellStyle name="Comma 370 3" xfId="2676" xr:uid="{3DE6AD8D-446C-45AB-B719-2220D74E2388}"/>
    <cellStyle name="Comma 370 4" xfId="4802" xr:uid="{6FA6BF01-705A-4D13-9054-1FA774836F00}"/>
    <cellStyle name="Comma 371" xfId="611" xr:uid="{B4CBD81C-6743-4312-8B2A-0FE9106B6574}"/>
    <cellStyle name="Comma 371 2" xfId="1649" xr:uid="{4E5386AB-E09F-4BB9-A454-35328F1630EB}"/>
    <cellStyle name="Comma 371 2 2" xfId="3707" xr:uid="{B52456FB-5EAB-461E-90A3-E599B7930642}"/>
    <cellStyle name="Comma 371 3" xfId="2677" xr:uid="{1A61EF9B-F374-42D4-8ADE-13678BE43477}"/>
    <cellStyle name="Comma 371 4" xfId="4803" xr:uid="{92AF3483-7BA5-4D02-A40F-E0FC55F74B65}"/>
    <cellStyle name="Comma 372" xfId="612" xr:uid="{678447B6-502B-4D4D-BB62-87C7CEE63219}"/>
    <cellStyle name="Comma 372 2" xfId="1650" xr:uid="{F06AE1A3-58E8-4831-A2B4-1D86F4379B08}"/>
    <cellStyle name="Comma 372 2 2" xfId="3708" xr:uid="{D57185BC-2D13-410A-BD66-19195FD13741}"/>
    <cellStyle name="Comma 372 3" xfId="2678" xr:uid="{965AF5AD-9B23-4951-A202-AB4FF1FDF2AC}"/>
    <cellStyle name="Comma 372 4" xfId="4804" xr:uid="{DB54F0AA-9EB4-4788-9DDC-80FFD05B3EC0}"/>
    <cellStyle name="Comma 373" xfId="613" xr:uid="{5E41202D-E206-41F9-A7A4-C0B0D655F45F}"/>
    <cellStyle name="Comma 373 2" xfId="1651" xr:uid="{3DB82277-F4FC-48B0-9AD7-2B1A7838C3A2}"/>
    <cellStyle name="Comma 373 2 2" xfId="3709" xr:uid="{A4DB7334-2020-4503-A6B6-491F888E18F5}"/>
    <cellStyle name="Comma 373 3" xfId="2679" xr:uid="{0A70ACAC-83C4-4A2A-BC90-77E8A0C6E2F0}"/>
    <cellStyle name="Comma 373 4" xfId="4805" xr:uid="{7423EA3B-C1BF-436B-93C1-AAEF934954ED}"/>
    <cellStyle name="Comma 374" xfId="614" xr:uid="{0F8DF34A-B0AB-4EDD-84A6-C7BAA53DB092}"/>
    <cellStyle name="Comma 374 2" xfId="1652" xr:uid="{98A5453E-3449-40BC-870B-67437D0CBD52}"/>
    <cellStyle name="Comma 374 2 2" xfId="3710" xr:uid="{0DBEFBF8-2D72-43C6-AA3D-6094DF4ED0CB}"/>
    <cellStyle name="Comma 374 3" xfId="2680" xr:uid="{7D6C2A97-ED2B-4171-B84E-3267D763DDFF}"/>
    <cellStyle name="Comma 374 4" xfId="4806" xr:uid="{1EA7D533-EDD2-4E30-B530-04A1878FFC63}"/>
    <cellStyle name="Comma 375" xfId="615" xr:uid="{9B878249-A69E-4383-8D09-D045C7CACBFF}"/>
    <cellStyle name="Comma 375 2" xfId="1653" xr:uid="{E44EEB16-C4DE-4B42-81C0-20FF2C2D553F}"/>
    <cellStyle name="Comma 375 2 2" xfId="3711" xr:uid="{D18B72D5-3109-48C2-9D45-12C5C89C18AB}"/>
    <cellStyle name="Comma 375 3" xfId="2681" xr:uid="{8471C37E-1385-4789-A573-EEE574F102E1}"/>
    <cellStyle name="Comma 375 4" xfId="4807" xr:uid="{393773CE-5679-4290-B7D1-B8DA871FEE86}"/>
    <cellStyle name="Comma 376" xfId="616" xr:uid="{83F021EB-95CC-4010-8461-33B6144C95C0}"/>
    <cellStyle name="Comma 376 2" xfId="1654" xr:uid="{F1912E56-EF2E-4EB0-A66E-C55EB1F68A27}"/>
    <cellStyle name="Comma 376 2 2" xfId="3712" xr:uid="{E81E7143-CB49-4457-996A-6076809FB5AC}"/>
    <cellStyle name="Comma 376 3" xfId="2682" xr:uid="{088243B5-6B51-40C2-8516-42A974D9B535}"/>
    <cellStyle name="Comma 376 4" xfId="4808" xr:uid="{C24F5E3A-5908-4EE9-8B38-7CC29360F345}"/>
    <cellStyle name="Comma 377" xfId="617" xr:uid="{D33BE625-E0B3-4C73-9FE3-187C6CBD5BCD}"/>
    <cellStyle name="Comma 377 2" xfId="1655" xr:uid="{887227CC-DC38-4428-970B-2410F5C3D784}"/>
    <cellStyle name="Comma 377 2 2" xfId="3713" xr:uid="{2936C88F-55DC-4183-83C4-B147AE605481}"/>
    <cellStyle name="Comma 377 3" xfId="2683" xr:uid="{3F2952A0-A027-402E-BF37-38C622CEE679}"/>
    <cellStyle name="Comma 377 4" xfId="4809" xr:uid="{B0CD5D61-7A13-451C-95D8-2FDAC108BD65}"/>
    <cellStyle name="Comma 378" xfId="618" xr:uid="{0EA4797F-5162-4239-BB1D-E6FEB01E44EB}"/>
    <cellStyle name="Comma 378 2" xfId="1656" xr:uid="{6C105F7A-2061-4D0E-B2C0-EAA240F54E1D}"/>
    <cellStyle name="Comma 378 2 2" xfId="3714" xr:uid="{2AE34673-3D6F-4A99-AC1E-B0585E20DD69}"/>
    <cellStyle name="Comma 378 3" xfId="2684" xr:uid="{FC995D27-842F-48F4-87A0-67BE5F59B62D}"/>
    <cellStyle name="Comma 378 4" xfId="4810" xr:uid="{2B615B38-92C7-42E6-BAD4-956C478DDC0A}"/>
    <cellStyle name="Comma 379" xfId="619" xr:uid="{749540D7-B926-4A44-B267-5B058737CB2E}"/>
    <cellStyle name="Comma 379 2" xfId="1657" xr:uid="{13DCE211-0644-4013-92D0-FAC75D740D08}"/>
    <cellStyle name="Comma 379 2 2" xfId="3715" xr:uid="{A07986DC-993F-47B0-AF0C-B9B3E8F93B50}"/>
    <cellStyle name="Comma 379 3" xfId="2685" xr:uid="{7EA5F7D5-94E7-45C2-917D-6A13BFD8E8B0}"/>
    <cellStyle name="Comma 379 4" xfId="4811" xr:uid="{4F1DE037-F63A-4169-8B94-DE0565D5514E}"/>
    <cellStyle name="Comma 38" xfId="238" xr:uid="{1688CF34-8822-49FB-8DA5-779AE265D534}"/>
    <cellStyle name="Comma 38 2" xfId="1316" xr:uid="{48E6510B-A050-477A-B54C-B3B18B32C4D4}"/>
    <cellStyle name="Comma 38 2 2" xfId="3374" xr:uid="{05906C36-2707-49FD-AF56-570644EE4B30}"/>
    <cellStyle name="Comma 38 3" xfId="2344" xr:uid="{5FE2975E-D943-4108-AE1B-B29DB2714041}"/>
    <cellStyle name="Comma 38 4" xfId="4470" xr:uid="{32ED07A6-92BF-4292-AA5F-ADA0CDD1C591}"/>
    <cellStyle name="Comma 380" xfId="620" xr:uid="{9473D33D-AAAD-46C5-822B-6031E5EE2375}"/>
    <cellStyle name="Comma 380 2" xfId="1658" xr:uid="{35359C9D-274C-4587-8A81-BC96F0E9FF95}"/>
    <cellStyle name="Comma 380 2 2" xfId="3716" xr:uid="{425D5081-7B03-4CCA-99DF-110406F54C21}"/>
    <cellStyle name="Comma 380 3" xfId="2686" xr:uid="{E14E1D74-E8DB-4FD6-8849-811CC4808105}"/>
    <cellStyle name="Comma 380 4" xfId="4812" xr:uid="{671592A5-4676-4CF1-B900-15FA28FDC752}"/>
    <cellStyle name="Comma 381" xfId="621" xr:uid="{05EF2F96-5AEE-4EF0-B53A-6378BE5EBDE2}"/>
    <cellStyle name="Comma 381 2" xfId="1659" xr:uid="{9D20B778-90A2-4BA5-A4A9-019F7DC359F2}"/>
    <cellStyle name="Comma 381 2 2" xfId="3717" xr:uid="{CD3971B0-2472-48FC-A05B-4BC6A77B6152}"/>
    <cellStyle name="Comma 381 3" xfId="2687" xr:uid="{3BB864CF-B8E8-455D-9C8C-30B664370FF0}"/>
    <cellStyle name="Comma 381 4" xfId="4813" xr:uid="{ED663941-F1D5-4BF3-BDB2-1D3DD078610F}"/>
    <cellStyle name="Comma 382" xfId="622" xr:uid="{9E418871-5427-40D8-ADE7-AF9A60A3A9CB}"/>
    <cellStyle name="Comma 382 2" xfId="1660" xr:uid="{C21F5E75-EEE2-4FC4-9CE4-FF4B82B65284}"/>
    <cellStyle name="Comma 382 2 2" xfId="3718" xr:uid="{88600FD0-E19C-41BB-B06B-459175F695C6}"/>
    <cellStyle name="Comma 382 3" xfId="2688" xr:uid="{959E2441-5D9B-44F2-BACF-A7EAF2266832}"/>
    <cellStyle name="Comma 382 4" xfId="4814" xr:uid="{83943059-63D9-482C-BE0F-7B444FCEBC30}"/>
    <cellStyle name="Comma 383" xfId="623" xr:uid="{23F5CFF9-B0D9-427A-A62C-EFB7FA96615E}"/>
    <cellStyle name="Comma 383 2" xfId="1661" xr:uid="{D39D2156-8474-4AFA-9C14-57495EA7DE19}"/>
    <cellStyle name="Comma 383 2 2" xfId="3719" xr:uid="{306EBE80-94A0-4E8C-8255-C8D6A82D1AC1}"/>
    <cellStyle name="Comma 383 3" xfId="2689" xr:uid="{F48A3770-F25E-497B-BFE7-2D6F20EB8B43}"/>
    <cellStyle name="Comma 383 4" xfId="4815" xr:uid="{9D409BE9-76C1-4477-ACBC-C897256986EC}"/>
    <cellStyle name="Comma 384" xfId="624" xr:uid="{A3B2D4BD-994F-4209-9CE7-A140C8C49E59}"/>
    <cellStyle name="Comma 384 2" xfId="1662" xr:uid="{DCBBF238-6A59-481F-AEBC-BDE15F511E32}"/>
    <cellStyle name="Comma 384 2 2" xfId="3720" xr:uid="{F287AD08-131F-4723-842E-CCF0A1EF25AB}"/>
    <cellStyle name="Comma 384 3" xfId="2690" xr:uid="{10C06E2B-09D2-4C92-8CCE-DF49A0CE87FD}"/>
    <cellStyle name="Comma 384 4" xfId="4816" xr:uid="{44F0410A-DE6B-4AC0-8A1D-9A9DA50E9A47}"/>
    <cellStyle name="Comma 385" xfId="625" xr:uid="{2EC8FC5E-5185-41D5-BC75-9F2340987B87}"/>
    <cellStyle name="Comma 385 2" xfId="1663" xr:uid="{1F7C0766-4EB1-4C47-9A08-EACD072D28D8}"/>
    <cellStyle name="Comma 385 2 2" xfId="3721" xr:uid="{A3FECF51-859A-406B-9BD0-63CA06A13705}"/>
    <cellStyle name="Comma 385 3" xfId="2691" xr:uid="{678EAB5E-E045-48A5-90A2-D80AEB386AE4}"/>
    <cellStyle name="Comma 385 4" xfId="4817" xr:uid="{11486CD4-0965-4A6B-8BD8-447C468E1919}"/>
    <cellStyle name="Comma 386" xfId="626" xr:uid="{7FB9B3EA-EC94-4AC3-972A-FFD2389D2AF8}"/>
    <cellStyle name="Comma 386 2" xfId="1664" xr:uid="{F2E0FDBA-1E87-40F1-A628-1CEE2D1B7E81}"/>
    <cellStyle name="Comma 386 2 2" xfId="3722" xr:uid="{714486C9-60F8-4BB7-AAD5-3FC1E4C20B69}"/>
    <cellStyle name="Comma 386 3" xfId="2692" xr:uid="{773CC24D-248C-40A9-AB8B-8F7BE149C40D}"/>
    <cellStyle name="Comma 386 4" xfId="4818" xr:uid="{C32A3D1B-9E41-442F-BCD5-F2853A849FCB}"/>
    <cellStyle name="Comma 387" xfId="627" xr:uid="{C7C19A83-6474-4D9C-A471-B73601ECDD53}"/>
    <cellStyle name="Comma 387 2" xfId="1665" xr:uid="{D8A784AE-9378-407F-B70E-AE03B7755C60}"/>
    <cellStyle name="Comma 387 2 2" xfId="3723" xr:uid="{9289AC26-65E7-45C3-8603-134D23EDF856}"/>
    <cellStyle name="Comma 387 3" xfId="2693" xr:uid="{2621DD5C-8218-4943-AF16-B25799B2E7F3}"/>
    <cellStyle name="Comma 387 4" xfId="4819" xr:uid="{1E2A35DE-D3B4-40F2-95E9-2C58CCED2CFD}"/>
    <cellStyle name="Comma 388" xfId="628" xr:uid="{751FA1E4-B918-48CF-8027-F3A704F06B29}"/>
    <cellStyle name="Comma 388 2" xfId="1666" xr:uid="{90CEDB1A-EB8E-4600-9CD6-732180CED58F}"/>
    <cellStyle name="Comma 388 2 2" xfId="3724" xr:uid="{0D3AA672-DC8C-4D94-A4B0-5866BB64F43F}"/>
    <cellStyle name="Comma 388 3" xfId="2694" xr:uid="{F3102EC6-3F1D-4B1A-AEF7-8730D95B0384}"/>
    <cellStyle name="Comma 388 4" xfId="4820" xr:uid="{386B251B-2B61-44C5-839B-5C9A3B73EA21}"/>
    <cellStyle name="Comma 389" xfId="629" xr:uid="{18C2A866-6EBE-47DC-8D0C-F8CFBB7F6D08}"/>
    <cellStyle name="Comma 389 2" xfId="1667" xr:uid="{95144F5F-43B1-4DBF-B261-3AD8D6044EAF}"/>
    <cellStyle name="Comma 389 2 2" xfId="3725" xr:uid="{04ADBB7A-E61D-4339-940D-D783F8209F9F}"/>
    <cellStyle name="Comma 389 3" xfId="2695" xr:uid="{42B83D69-ECFF-4617-859C-F8090ADB6433}"/>
    <cellStyle name="Comma 389 4" xfId="4821" xr:uid="{29264845-14FF-42A6-91BE-C5C64F42E6D4}"/>
    <cellStyle name="Comma 39" xfId="239" xr:uid="{A8AC870E-A1FD-4D3D-AF33-A7F40675A7E0}"/>
    <cellStyle name="Comma 39 2" xfId="1317" xr:uid="{2E7A2738-3798-410D-9394-A090ADD51909}"/>
    <cellStyle name="Comma 39 2 2" xfId="3375" xr:uid="{C2BFA0DD-93FE-40F4-AEB5-E275DEF68C53}"/>
    <cellStyle name="Comma 39 3" xfId="2345" xr:uid="{062E643A-FBD3-4496-B472-E4C02A20FDBE}"/>
    <cellStyle name="Comma 39 4" xfId="4471" xr:uid="{C94BA7A2-4AB5-4FA1-9F6A-1150391B2227}"/>
    <cellStyle name="Comma 390" xfId="630" xr:uid="{6182CB37-1D24-4652-9144-6F5FABDEE766}"/>
    <cellStyle name="Comma 390 2" xfId="1668" xr:uid="{7CA48197-86E5-43DF-B83C-9A14141A08FB}"/>
    <cellStyle name="Comma 390 2 2" xfId="3726" xr:uid="{F9C23AC8-C469-4394-866D-AC186A94CB0C}"/>
    <cellStyle name="Comma 390 3" xfId="2696" xr:uid="{33AFF1D3-909F-4058-8B5A-16DB333238AD}"/>
    <cellStyle name="Comma 390 4" xfId="4822" xr:uid="{0B3615A9-2A23-46A3-9EF0-46534294C14E}"/>
    <cellStyle name="Comma 391" xfId="631" xr:uid="{F61B6860-1D14-4882-B634-98427357F599}"/>
    <cellStyle name="Comma 391 2" xfId="1669" xr:uid="{32E6A0EF-6C2D-41D2-8A8A-647D135C5A9F}"/>
    <cellStyle name="Comma 391 2 2" xfId="3727" xr:uid="{A122F737-3428-4B39-B831-7D5CDD4585F7}"/>
    <cellStyle name="Comma 391 3" xfId="2697" xr:uid="{D98025C8-7FD1-4D81-A46A-40EF850CCE98}"/>
    <cellStyle name="Comma 391 4" xfId="4823" xr:uid="{6871C888-5ABC-4F6E-A2E0-6AF8E887F996}"/>
    <cellStyle name="Comma 392" xfId="632" xr:uid="{4195CF46-DA6B-43D1-940E-D65BC1C0AC2A}"/>
    <cellStyle name="Comma 392 2" xfId="1670" xr:uid="{873938F3-F351-4002-9FF0-9A6B8D8F09ED}"/>
    <cellStyle name="Comma 392 2 2" xfId="3728" xr:uid="{D0B91602-0462-417B-A4A8-93193C2C0B30}"/>
    <cellStyle name="Comma 392 3" xfId="2698" xr:uid="{2C8F2CCD-2B3F-43E1-BC0C-88E1B7A7DA25}"/>
    <cellStyle name="Comma 392 4" xfId="4824" xr:uid="{1A69A77B-89A4-4B0D-A16C-A3CC983F4DA7}"/>
    <cellStyle name="Comma 393" xfId="633" xr:uid="{B48063E3-CDA1-4161-80E5-7B3734A90213}"/>
    <cellStyle name="Comma 393 2" xfId="1671" xr:uid="{A6BFDF22-CB81-4621-AD6D-DB5491E20040}"/>
    <cellStyle name="Comma 393 2 2" xfId="3729" xr:uid="{8578859C-68D7-4A46-8536-D32F8F17E02C}"/>
    <cellStyle name="Comma 393 3" xfId="2699" xr:uid="{3E5FEA5E-16F2-42AA-8CFF-2DE8AE386D24}"/>
    <cellStyle name="Comma 393 4" xfId="4825" xr:uid="{1D6A4986-7742-41A8-AAF6-C2CD42132286}"/>
    <cellStyle name="Comma 394" xfId="634" xr:uid="{AC722A7F-552D-4DCB-92FF-A103737A217C}"/>
    <cellStyle name="Comma 394 2" xfId="1672" xr:uid="{8B8D113B-1B6F-4F2B-9E5A-122CB28B3E5F}"/>
    <cellStyle name="Comma 394 2 2" xfId="3730" xr:uid="{D6B127A4-45B5-4340-91E3-CDF9203466E3}"/>
    <cellStyle name="Comma 394 3" xfId="2700" xr:uid="{0838CE47-DA18-4451-A049-09472BCA7AFC}"/>
    <cellStyle name="Comma 394 4" xfId="4826" xr:uid="{11F06E55-9253-4654-979A-8725C866D399}"/>
    <cellStyle name="Comma 395" xfId="635" xr:uid="{E601FF34-9381-47FB-BE9F-66A7234BCFB6}"/>
    <cellStyle name="Comma 395 2" xfId="1673" xr:uid="{4521078D-EE24-4601-AA62-5F4B1E8E5EF8}"/>
    <cellStyle name="Comma 395 2 2" xfId="3731" xr:uid="{C183ED6E-85DB-4FBB-AC45-ECD82C851966}"/>
    <cellStyle name="Comma 395 3" xfId="2701" xr:uid="{FC08EAAE-FE1A-46F1-8C24-4475F7339C8C}"/>
    <cellStyle name="Comma 395 4" xfId="4827" xr:uid="{2B79402F-1E4D-4527-97F4-544796FF45BC}"/>
    <cellStyle name="Comma 396" xfId="636" xr:uid="{9DCC0496-094B-4238-9E04-2FD2FBF0B14F}"/>
    <cellStyle name="Comma 396 2" xfId="1674" xr:uid="{D9DDCE08-D769-4989-A170-CAA6D5813B01}"/>
    <cellStyle name="Comma 396 2 2" xfId="3732" xr:uid="{1E75FAD1-5D04-41B7-B563-C6C1F0577D0C}"/>
    <cellStyle name="Comma 396 3" xfId="2702" xr:uid="{14A71C76-7CE5-455F-A8A5-D36D1B562F49}"/>
    <cellStyle name="Comma 396 4" xfId="4828" xr:uid="{8F9151FF-224E-4C8A-898E-B0C694ACDDFF}"/>
    <cellStyle name="Comma 397" xfId="637" xr:uid="{67A5422D-4F10-4D63-BF51-EC9099C325A8}"/>
    <cellStyle name="Comma 397 2" xfId="1675" xr:uid="{4CD49035-818F-44D4-8AEC-D8D774F287C2}"/>
    <cellStyle name="Comma 397 2 2" xfId="3733" xr:uid="{2C1E0D21-24C6-4DE9-B9A4-CB00D89FF0F8}"/>
    <cellStyle name="Comma 397 3" xfId="2703" xr:uid="{AE69C23F-BA12-4EB5-997F-3C55E5457D4C}"/>
    <cellStyle name="Comma 397 4" xfId="4829" xr:uid="{37A7AD45-3386-457E-B9D2-A9448DB6E9E1}"/>
    <cellStyle name="Comma 398" xfId="638" xr:uid="{7B17D851-CD6A-494B-8FE9-81E833D3FAB8}"/>
    <cellStyle name="Comma 398 2" xfId="1676" xr:uid="{2679D250-810D-4D61-8949-10C8A6AFC1A0}"/>
    <cellStyle name="Comma 398 2 2" xfId="3734" xr:uid="{4CAE437C-4EB9-41E6-A35D-23B573AB3793}"/>
    <cellStyle name="Comma 398 3" xfId="2704" xr:uid="{EBF8DAEE-D064-45E3-AF23-F2A426A83BD6}"/>
    <cellStyle name="Comma 398 4" xfId="4830" xr:uid="{801FB0C4-19A6-4FE5-9D49-5B083569CD32}"/>
    <cellStyle name="Comma 399" xfId="639" xr:uid="{0AF64778-98BE-46DD-8A3D-0AB40F592B3D}"/>
    <cellStyle name="Comma 399 2" xfId="1677" xr:uid="{2543B63B-FC6A-4D25-8739-7CAAEBFDDB84}"/>
    <cellStyle name="Comma 399 2 2" xfId="3735" xr:uid="{EBADDB7D-CE84-41B6-9084-DF6A63B86996}"/>
    <cellStyle name="Comma 399 3" xfId="2705" xr:uid="{2D48ADE3-DFB1-4CB3-9991-EE995504121A}"/>
    <cellStyle name="Comma 399 4" xfId="4831" xr:uid="{AC3710DA-ACAB-4D7E-BE80-A436B08A21D5}"/>
    <cellStyle name="Comma 4" xfId="73" xr:uid="{B1EAF407-094A-4B5F-B240-2B5F3B9A8208}"/>
    <cellStyle name="Comma 4 2" xfId="74" xr:uid="{0BD1E936-928E-4A0D-8610-0C8332E30A6D}"/>
    <cellStyle name="Comma 4 2 2" xfId="1280" xr:uid="{0FBF2E9C-ABE5-4737-A02D-9607330B047B}"/>
    <cellStyle name="Comma 4 2 2 2" xfId="3338" xr:uid="{3ADE8B49-E00E-4644-9C55-32B0B4137237}"/>
    <cellStyle name="Comma 4 2 3" xfId="2308" xr:uid="{4300A57A-9FB4-4922-91A7-3A498F3F92FC}"/>
    <cellStyle name="Comma 4 2 4" xfId="4434" xr:uid="{351AEE52-835B-4BD0-9788-46AA6920BECE}"/>
    <cellStyle name="Comma 4 3" xfId="1279" xr:uid="{CBA83BAA-19D5-43D5-9223-5071080C7B00}"/>
    <cellStyle name="Comma 4 3 2" xfId="3337" xr:uid="{70B90584-2002-4C1C-B823-26267CA9EF1A}"/>
    <cellStyle name="Comma 4 4" xfId="2307" xr:uid="{A5F3BE57-7C6D-477F-8DCE-AB5480EB3DEB}"/>
    <cellStyle name="Comma 4 5" xfId="4433" xr:uid="{58D3B546-94B0-4D0C-BA0A-01715240250E}"/>
    <cellStyle name="Comma 40" xfId="240" xr:uid="{5D040D27-4D90-41AB-93E7-96A96C8C3585}"/>
    <cellStyle name="Comma 40 2" xfId="1318" xr:uid="{2A143359-4AEA-494D-AF03-3AD666BA5FD0}"/>
    <cellStyle name="Comma 40 2 2" xfId="3376" xr:uid="{D6009892-6AE2-423E-A59E-ACC87154F3AC}"/>
    <cellStyle name="Comma 40 3" xfId="2346" xr:uid="{9033F154-0799-4C87-B812-4F2FC3266EB7}"/>
    <cellStyle name="Comma 40 4" xfId="4472" xr:uid="{89F4EB85-04A3-4266-82B9-39CB22D08D1C}"/>
    <cellStyle name="Comma 400" xfId="640" xr:uid="{2355B916-85CC-4B41-9B3E-976DC42966C6}"/>
    <cellStyle name="Comma 400 2" xfId="1678" xr:uid="{6AC22C0D-A3D3-48A3-879F-7F25504D0108}"/>
    <cellStyle name="Comma 400 2 2" xfId="3736" xr:uid="{1DE18AE9-AFF1-4A71-ADE0-7971C35B5D81}"/>
    <cellStyle name="Comma 400 3" xfId="2706" xr:uid="{5F41C4F1-BBE8-4A9B-93CD-4D9DAC083568}"/>
    <cellStyle name="Comma 400 4" xfId="4832" xr:uid="{5DEDD15F-FCDB-4B17-9AF2-D3A43F4F4A38}"/>
    <cellStyle name="Comma 401" xfId="641" xr:uid="{CF61FBE5-9770-46BC-A80D-244D0661A457}"/>
    <cellStyle name="Comma 401 2" xfId="1679" xr:uid="{DADAB27E-565D-489D-8821-1B66B9628220}"/>
    <cellStyle name="Comma 401 2 2" xfId="3737" xr:uid="{718C1F06-B97E-4136-9552-4D920D7D7C4D}"/>
    <cellStyle name="Comma 401 3" xfId="2707" xr:uid="{819325B7-5E0A-454B-8381-30A7F4F3A60C}"/>
    <cellStyle name="Comma 401 4" xfId="4833" xr:uid="{57785EC4-D9C9-45C3-AC18-51F2920FE4A6}"/>
    <cellStyle name="Comma 402" xfId="642" xr:uid="{17EB851A-C13D-41D6-9AE2-9E3AD6D516C5}"/>
    <cellStyle name="Comma 402 2" xfId="1680" xr:uid="{4B9150CC-F0AB-4EDD-94A3-5D7A507C8628}"/>
    <cellStyle name="Comma 402 2 2" xfId="3738" xr:uid="{90BFC8D9-F8B6-42E9-8338-CFAECFB11086}"/>
    <cellStyle name="Comma 402 3" xfId="2708" xr:uid="{051A2204-6B60-43F6-BEA2-94BCE492B4DD}"/>
    <cellStyle name="Comma 402 4" xfId="4834" xr:uid="{FB511F9B-5EE3-4D2E-BFAC-70F57DF6CBFD}"/>
    <cellStyle name="Comma 403" xfId="643" xr:uid="{33650035-56BA-47BB-A636-3FAEDD0A4C4C}"/>
    <cellStyle name="Comma 403 2" xfId="1681" xr:uid="{606D1010-79F5-4ECB-B0B8-F70AAC854580}"/>
    <cellStyle name="Comma 403 2 2" xfId="3739" xr:uid="{CEC1C52D-7C56-4C9A-B1A1-6FA3D0649471}"/>
    <cellStyle name="Comma 403 3" xfId="2709" xr:uid="{AE36826C-748E-41F8-BF77-3AA4223E4255}"/>
    <cellStyle name="Comma 403 4" xfId="4835" xr:uid="{072E64AA-1308-42C8-B46A-5CD8E0688ADD}"/>
    <cellStyle name="Comma 404" xfId="644" xr:uid="{248F4A9C-8F8C-4E7C-8174-0FD016477FD6}"/>
    <cellStyle name="Comma 404 2" xfId="1682" xr:uid="{03CC0C67-B656-44D2-ADF6-DE79F2574FF6}"/>
    <cellStyle name="Comma 404 2 2" xfId="3740" xr:uid="{05692D63-41E5-42DE-977C-7C138659CA99}"/>
    <cellStyle name="Comma 404 3" xfId="2710" xr:uid="{73479C8A-08A6-499E-BCFF-F2C140B4A3DB}"/>
    <cellStyle name="Comma 404 4" xfId="4836" xr:uid="{3FB4C1BC-8137-4A46-B271-27001A588F9B}"/>
    <cellStyle name="Comma 405" xfId="645" xr:uid="{9A6533F4-AE2F-4C74-BA46-AA4779848CCA}"/>
    <cellStyle name="Comma 405 2" xfId="1683" xr:uid="{54DDC65E-3FE7-493E-805C-B07966E71B26}"/>
    <cellStyle name="Comma 405 2 2" xfId="3741" xr:uid="{B93CBA8E-4AEE-4DD3-B9D7-2DB1E974669B}"/>
    <cellStyle name="Comma 405 3" xfId="2711" xr:uid="{715CBC8E-CB76-47C8-A72B-7C355ECBA9D5}"/>
    <cellStyle name="Comma 405 4" xfId="4837" xr:uid="{8E83757B-E034-44AA-A427-0D9816332FBD}"/>
    <cellStyle name="Comma 406" xfId="646" xr:uid="{C62801E3-3CE0-468D-8D5E-E2DD9663BB48}"/>
    <cellStyle name="Comma 406 2" xfId="1684" xr:uid="{58EDFFB0-EF86-468D-9A00-E769450779E7}"/>
    <cellStyle name="Comma 406 2 2" xfId="3742" xr:uid="{9ADE5C33-7486-4F15-93E5-DBDDFBB9F16F}"/>
    <cellStyle name="Comma 406 3" xfId="2712" xr:uid="{D151796B-86A2-4451-9EE4-4E88E6FE7728}"/>
    <cellStyle name="Comma 406 4" xfId="4838" xr:uid="{B83A243E-994A-4C1B-AB7D-ED8838A4DC2F}"/>
    <cellStyle name="Comma 407" xfId="647" xr:uid="{EA7657CC-C183-438E-8321-5CFA3E6BB932}"/>
    <cellStyle name="Comma 407 2" xfId="1685" xr:uid="{FF40105D-6113-47BE-AEC4-67EBFF746B73}"/>
    <cellStyle name="Comma 407 2 2" xfId="3743" xr:uid="{236BC019-20D1-4894-8B40-691BA6068A7E}"/>
    <cellStyle name="Comma 407 3" xfId="2713" xr:uid="{994BB5D0-F963-49D8-B70E-49FC9F5334A7}"/>
    <cellStyle name="Comma 407 4" xfId="4839" xr:uid="{3B2B73AE-4A44-4443-8F2B-DB27D02457FD}"/>
    <cellStyle name="Comma 408" xfId="648" xr:uid="{9CF50487-CCF3-4F08-B4E6-326E18BAB50F}"/>
    <cellStyle name="Comma 408 2" xfId="1686" xr:uid="{4709B764-54B5-41C3-B53A-C650B8916430}"/>
    <cellStyle name="Comma 408 2 2" xfId="3744" xr:uid="{EA117A66-0DB1-4640-935A-7FD93EFC2528}"/>
    <cellStyle name="Comma 408 3" xfId="2714" xr:uid="{349F763B-15AE-4C90-A1A9-01CE77866B5C}"/>
    <cellStyle name="Comma 408 4" xfId="4840" xr:uid="{926FE6AE-D98E-4CA2-8921-DC9802C0F117}"/>
    <cellStyle name="Comma 409" xfId="649" xr:uid="{A1CFA8B2-F171-4563-BC0A-024EFC828B0E}"/>
    <cellStyle name="Comma 409 2" xfId="1687" xr:uid="{1A540CF6-C9D9-45D1-B843-BF939BC86586}"/>
    <cellStyle name="Comma 409 2 2" xfId="3745" xr:uid="{24E2DC79-9340-4057-99A9-4E78EB85DD2A}"/>
    <cellStyle name="Comma 409 3" xfId="2715" xr:uid="{95022E11-FFA7-49B4-825F-16F2E445132A}"/>
    <cellStyle name="Comma 409 4" xfId="4841" xr:uid="{F2968893-31A6-476B-BF08-922F0083B2FB}"/>
    <cellStyle name="Comma 41" xfId="241" xr:uid="{FED399A9-EB53-466B-9A62-304478035CA6}"/>
    <cellStyle name="Comma 41 2" xfId="1319" xr:uid="{7F18A9C1-21C3-4B57-AD86-A04884FAA470}"/>
    <cellStyle name="Comma 41 2 2" xfId="3377" xr:uid="{5BB315F7-29C2-4B9D-BE89-9E54878440B2}"/>
    <cellStyle name="Comma 41 3" xfId="2347" xr:uid="{9A948138-2E7B-4567-9DCE-C1F980047D83}"/>
    <cellStyle name="Comma 41 4" xfId="4473" xr:uid="{E36A2EB4-5C2C-43BD-959F-E1B48056B067}"/>
    <cellStyle name="Comma 410" xfId="650" xr:uid="{A51A7940-15C7-47DD-B1E4-72FA460D65E1}"/>
    <cellStyle name="Comma 410 2" xfId="1688" xr:uid="{5FF8C278-2945-4D50-B17C-967A0C36412C}"/>
    <cellStyle name="Comma 410 2 2" xfId="3746" xr:uid="{EC6DACD7-81F1-4965-89FA-D110574DE632}"/>
    <cellStyle name="Comma 410 3" xfId="2716" xr:uid="{F5DCF610-6889-4CE2-AAE0-30DC83B9CBFE}"/>
    <cellStyle name="Comma 410 4" xfId="4842" xr:uid="{6A2022A6-C9A2-4866-8A58-88021CA52927}"/>
    <cellStyle name="Comma 411" xfId="651" xr:uid="{2534783A-5550-4A7F-9358-D9FC544F906A}"/>
    <cellStyle name="Comma 411 2" xfId="1689" xr:uid="{99BB0C58-3DE2-4874-A324-B1A27054477D}"/>
    <cellStyle name="Comma 411 2 2" xfId="3747" xr:uid="{5616F80D-BCCF-4697-A382-83329B4F88DF}"/>
    <cellStyle name="Comma 411 3" xfId="2717" xr:uid="{EBBAA727-8E5B-4B43-9567-716EB648471A}"/>
    <cellStyle name="Comma 411 4" xfId="4843" xr:uid="{E45429AA-5907-4BB5-BA04-56BE33262B35}"/>
    <cellStyle name="Comma 412" xfId="652" xr:uid="{DC08B7BE-8EC8-4229-929C-834793829BD5}"/>
    <cellStyle name="Comma 412 2" xfId="1690" xr:uid="{A18CD0E9-57DE-4D97-990F-173A42973D42}"/>
    <cellStyle name="Comma 412 2 2" xfId="3748" xr:uid="{4F298718-5C0F-42AE-BFB3-DF9EF60D93B3}"/>
    <cellStyle name="Comma 412 3" xfId="2718" xr:uid="{E24D0ADB-C97B-4A58-B6A0-0FCCC5C6EAF2}"/>
    <cellStyle name="Comma 412 4" xfId="4844" xr:uid="{127B5680-D4E4-48B3-BB8E-8CC7A8C49891}"/>
    <cellStyle name="Comma 413" xfId="653" xr:uid="{F697CD41-BCB0-44DE-BE22-59878BD9A07E}"/>
    <cellStyle name="Comma 413 2" xfId="1691" xr:uid="{CE265339-933D-4A68-AF92-F2DD23EECA7B}"/>
    <cellStyle name="Comma 413 2 2" xfId="3749" xr:uid="{39799CA7-5187-4444-809D-FFCEE7D57E9D}"/>
    <cellStyle name="Comma 413 3" xfId="2719" xr:uid="{692081E8-4BDE-4F4F-B277-8CE86588428E}"/>
    <cellStyle name="Comma 413 4" xfId="4845" xr:uid="{8AF9537C-9A95-48AC-B806-0C4FE33B451D}"/>
    <cellStyle name="Comma 414" xfId="654" xr:uid="{7A65C150-FD6B-4CAF-94AD-3D2F8955B3A5}"/>
    <cellStyle name="Comma 414 2" xfId="1692" xr:uid="{6FCDC480-C8E1-4EFB-8E91-765B44A51A7A}"/>
    <cellStyle name="Comma 414 2 2" xfId="3750" xr:uid="{EC2E5335-9E04-4879-9BF4-C2D668F9DC9F}"/>
    <cellStyle name="Comma 414 3" xfId="2720" xr:uid="{E1416E69-9DE8-4171-BB64-296FB83BA311}"/>
    <cellStyle name="Comma 414 4" xfId="4846" xr:uid="{1A705301-A084-4D8D-8C6E-8823D684F261}"/>
    <cellStyle name="Comma 415" xfId="655" xr:uid="{E0AB52F1-F59E-4D19-BC50-A4D465D55DA5}"/>
    <cellStyle name="Comma 415 2" xfId="1693" xr:uid="{B95F5C52-B999-4EF3-9B6F-1334E65EE883}"/>
    <cellStyle name="Comma 415 2 2" xfId="3751" xr:uid="{126B4F32-235E-4F60-9C3D-17B981517387}"/>
    <cellStyle name="Comma 415 3" xfId="2721" xr:uid="{FDC9EC84-73C0-4E58-B01F-D449EAC6B2F5}"/>
    <cellStyle name="Comma 415 4" xfId="4847" xr:uid="{5EB835BE-C78E-4A81-B900-E5345BE4A4B4}"/>
    <cellStyle name="Comma 416" xfId="656" xr:uid="{71F8BF46-E771-45E7-AFCB-2A1ABDB735FC}"/>
    <cellStyle name="Comma 416 2" xfId="1694" xr:uid="{96D00DDE-E50A-4ACF-BA89-293C03360ECD}"/>
    <cellStyle name="Comma 416 2 2" xfId="3752" xr:uid="{8A82737E-A14C-4E75-AC03-A03A4CB9928D}"/>
    <cellStyle name="Comma 416 3" xfId="2722" xr:uid="{A06A2072-BBB2-4B4A-8B4F-CBC0A1B84A14}"/>
    <cellStyle name="Comma 416 4" xfId="4848" xr:uid="{C7839B42-052A-4D85-8946-08ACE120D553}"/>
    <cellStyle name="Comma 417" xfId="657" xr:uid="{092AF4F5-D17B-4486-8B4F-C88F3AE4BF2E}"/>
    <cellStyle name="Comma 417 2" xfId="1695" xr:uid="{8DF7EA75-D6C1-42A3-B0EC-2B652100F5AC}"/>
    <cellStyle name="Comma 417 2 2" xfId="3753" xr:uid="{FF8EC57B-1419-44D3-B54D-789132FD76BA}"/>
    <cellStyle name="Comma 417 3" xfId="2723" xr:uid="{99FCD031-5E1E-4C83-9324-2528914D86D6}"/>
    <cellStyle name="Comma 417 4" xfId="4849" xr:uid="{1DBCF2D2-0188-4BF9-9DDD-4115D99B6442}"/>
    <cellStyle name="Comma 418" xfId="658" xr:uid="{499C52AE-BFBE-4B3A-98E4-30E56A5F760C}"/>
    <cellStyle name="Comma 418 2" xfId="1696" xr:uid="{C4CB213B-D047-4F49-8478-2F2D2ED96B19}"/>
    <cellStyle name="Comma 418 2 2" xfId="3754" xr:uid="{66B84397-723E-4EE3-A150-A71671E021A7}"/>
    <cellStyle name="Comma 418 3" xfId="2724" xr:uid="{C46CFCD3-1D17-41E0-921D-3CEB702E8CA3}"/>
    <cellStyle name="Comma 418 4" xfId="4850" xr:uid="{BC0A27ED-0991-405C-8EAF-A438D2F6934D}"/>
    <cellStyle name="Comma 419" xfId="659" xr:uid="{9E84B596-4EDD-4C4E-9CB6-598964F29BD7}"/>
    <cellStyle name="Comma 419 2" xfId="1697" xr:uid="{145787D8-498A-405D-B310-D1C018435F74}"/>
    <cellStyle name="Comma 419 2 2" xfId="3755" xr:uid="{B6DE008B-166A-42E4-98C7-3C64A0399B08}"/>
    <cellStyle name="Comma 419 3" xfId="2725" xr:uid="{12FD6FD5-68A7-49E2-B36F-03DE365ED839}"/>
    <cellStyle name="Comma 419 4" xfId="4851" xr:uid="{40F06906-8F76-4AE1-8CA6-33F1F1B02192}"/>
    <cellStyle name="Comma 42" xfId="242" xr:uid="{3AA90BB3-1393-411B-926D-C2CBA5B684C8}"/>
    <cellStyle name="Comma 42 2" xfId="1320" xr:uid="{BC350961-A2C2-483A-B01D-543FE9D3082D}"/>
    <cellStyle name="Comma 42 2 2" xfId="3378" xr:uid="{69046864-0A25-4A05-9919-27BFB71BC232}"/>
    <cellStyle name="Comma 42 3" xfId="2348" xr:uid="{788C2009-ED4B-44C3-A8CC-A7824DB80EC1}"/>
    <cellStyle name="Comma 42 4" xfId="4474" xr:uid="{A661FF34-C2C6-499E-95BD-C5E0D2A1A587}"/>
    <cellStyle name="Comma 420" xfId="660" xr:uid="{6FDAB963-2FC1-47C0-8DFB-A11D1E9BBDC0}"/>
    <cellStyle name="Comma 420 2" xfId="1698" xr:uid="{A0F494A6-FA6D-421B-8D41-BCD854E62CE1}"/>
    <cellStyle name="Comma 420 2 2" xfId="3756" xr:uid="{4F7E77DC-3260-41C1-BC0A-57230F8B57FD}"/>
    <cellStyle name="Comma 420 3" xfId="2726" xr:uid="{CCE0E5A8-9E0C-4644-9672-E7B7CC9DDCD7}"/>
    <cellStyle name="Comma 420 4" xfId="4852" xr:uid="{6059C563-9FC7-43E4-ADA6-DC7AE2875775}"/>
    <cellStyle name="Comma 421" xfId="661" xr:uid="{C9826A21-0432-4F83-A89F-6576381A182B}"/>
    <cellStyle name="Comma 421 2" xfId="1699" xr:uid="{87052CF7-18D8-4180-9E83-53AFE372ECEC}"/>
    <cellStyle name="Comma 421 2 2" xfId="3757" xr:uid="{22079BF4-D2D6-49E3-AC66-7A3DB9964273}"/>
    <cellStyle name="Comma 421 3" xfId="2727" xr:uid="{208716DC-02C8-43B9-BAAA-06AAE46261D6}"/>
    <cellStyle name="Comma 421 4" xfId="4853" xr:uid="{DF7C5774-418D-4F03-AB5D-F2C62B6EB3A4}"/>
    <cellStyle name="Comma 422" xfId="662" xr:uid="{895828D4-0950-4A37-AC4C-ED39B38998CC}"/>
    <cellStyle name="Comma 422 2" xfId="1700" xr:uid="{F560E9F0-4038-47B0-89B7-7A476F2A3191}"/>
    <cellStyle name="Comma 422 2 2" xfId="3758" xr:uid="{5D272847-D3C3-4CE3-99C5-83FC1345B9BA}"/>
    <cellStyle name="Comma 422 3" xfId="2728" xr:uid="{13916D84-A1C2-4075-B6C3-A3FF3FC0EDBE}"/>
    <cellStyle name="Comma 422 4" xfId="4854" xr:uid="{A0108942-0546-4506-9E6C-77347EB49076}"/>
    <cellStyle name="Comma 423" xfId="663" xr:uid="{0CEBFF80-40F6-4027-B677-7E6595855406}"/>
    <cellStyle name="Comma 423 2" xfId="1701" xr:uid="{8321E566-8318-4B1F-A853-012DAA65EF49}"/>
    <cellStyle name="Comma 423 2 2" xfId="3759" xr:uid="{1E36711A-49A7-4591-B164-1B64469F9A49}"/>
    <cellStyle name="Comma 423 3" xfId="2729" xr:uid="{177D3D96-6D09-486A-8C86-B84659D262FF}"/>
    <cellStyle name="Comma 423 4" xfId="4855" xr:uid="{E24B2885-B79D-40FA-AE8C-4742A88347DA}"/>
    <cellStyle name="Comma 424" xfId="664" xr:uid="{1048CBA2-D17E-426D-897D-D9310620D149}"/>
    <cellStyle name="Comma 424 2" xfId="1702" xr:uid="{0A906DD9-FE68-4BA6-A2ED-8B59A0C7EB56}"/>
    <cellStyle name="Comma 424 2 2" xfId="3760" xr:uid="{A6065073-38E1-46E3-8E6A-A757FD9CC2F6}"/>
    <cellStyle name="Comma 424 3" xfId="2730" xr:uid="{0B95E37C-EDC2-4FC3-A2BE-4F29F65132AC}"/>
    <cellStyle name="Comma 424 4" xfId="4856" xr:uid="{29B8F57D-6AFC-40B7-BD15-1DD9BA9FE92D}"/>
    <cellStyle name="Comma 425" xfId="665" xr:uid="{CCC6DD45-984C-4C41-8738-F2D132220A26}"/>
    <cellStyle name="Comma 425 2" xfId="1703" xr:uid="{666E3694-C5AC-418E-825E-8B2E1425B6C6}"/>
    <cellStyle name="Comma 425 2 2" xfId="3761" xr:uid="{D25BF44D-A1E6-4C9D-9363-D75273F72345}"/>
    <cellStyle name="Comma 425 3" xfId="2731" xr:uid="{1B28A62F-6087-4F06-91BA-CA9AA68A2624}"/>
    <cellStyle name="Comma 425 4" xfId="4857" xr:uid="{14EC4785-E8B9-4987-8D9E-69E93FD65297}"/>
    <cellStyle name="Comma 426" xfId="666" xr:uid="{A6131511-8AA3-4F69-A17D-2E8E65CAE400}"/>
    <cellStyle name="Comma 426 2" xfId="1704" xr:uid="{CE1E8239-0C84-4522-83D4-24CF22C0EF3C}"/>
    <cellStyle name="Comma 426 2 2" xfId="3762" xr:uid="{093FF5FA-4158-4616-83F4-CA59643780E6}"/>
    <cellStyle name="Comma 426 3" xfId="2732" xr:uid="{A02758A9-5DDD-4433-83B9-B1A300A800CB}"/>
    <cellStyle name="Comma 426 4" xfId="4858" xr:uid="{9C99AC70-269A-441B-9B9F-7867E788173A}"/>
    <cellStyle name="Comma 427" xfId="667" xr:uid="{D1F0BDC0-3A28-42C6-9571-C9AA203B5379}"/>
    <cellStyle name="Comma 427 2" xfId="1705" xr:uid="{D02CE973-BCD9-45D9-84E1-03C8677C8BA4}"/>
    <cellStyle name="Comma 427 2 2" xfId="3763" xr:uid="{554E78B7-D09F-428B-A00A-0EC7B6B79792}"/>
    <cellStyle name="Comma 427 3" xfId="2733" xr:uid="{8231CA87-D02C-43D7-B854-BF728C936742}"/>
    <cellStyle name="Comma 427 4" xfId="4859" xr:uid="{03E64EDA-4D11-411A-844E-FF0340037F73}"/>
    <cellStyle name="Comma 428" xfId="668" xr:uid="{ABEB60C6-C014-44E2-BEA0-80B0B272BFD5}"/>
    <cellStyle name="Comma 428 2" xfId="1706" xr:uid="{BD887B6A-BF04-4A7F-8473-84C84A5E2144}"/>
    <cellStyle name="Comma 428 2 2" xfId="3764" xr:uid="{F65F4578-5B2B-497F-A2A7-DFB830D9718F}"/>
    <cellStyle name="Comma 428 3" xfId="2734" xr:uid="{9CD09F36-D142-401C-8122-895CEBA21D24}"/>
    <cellStyle name="Comma 428 4" xfId="4860" xr:uid="{0FD5809B-703E-42CC-BE9B-EF41AE4487A7}"/>
    <cellStyle name="Comma 429" xfId="669" xr:uid="{830513C7-6EF6-41AD-8507-6F7B4CDBF3EB}"/>
    <cellStyle name="Comma 429 2" xfId="1707" xr:uid="{703C60A7-3BAB-4501-8AC0-7C87CC158DA8}"/>
    <cellStyle name="Comma 429 2 2" xfId="3765" xr:uid="{DA99C589-BFA1-4D3E-816E-BFAB9BCBEA23}"/>
    <cellStyle name="Comma 429 3" xfId="2735" xr:uid="{8EBD3A2A-E9B6-41DE-9E88-63B9478E0902}"/>
    <cellStyle name="Comma 429 4" xfId="4861" xr:uid="{0F5EECBE-F516-4E98-AF23-91B474CC55D4}"/>
    <cellStyle name="Comma 43" xfId="243" xr:uid="{6ED96D76-9F93-4793-AEF6-B788E39BB0AF}"/>
    <cellStyle name="Comma 43 2" xfId="1321" xr:uid="{B5FD877F-C682-4EF9-A89F-61E830F355D0}"/>
    <cellStyle name="Comma 43 2 2" xfId="3379" xr:uid="{794FEED4-7035-4C01-8311-C598508E7EF4}"/>
    <cellStyle name="Comma 43 3" xfId="2349" xr:uid="{20A8CE51-38E5-478E-9B74-30F9A9B29919}"/>
    <cellStyle name="Comma 43 4" xfId="4475" xr:uid="{825F8AF8-8014-48B5-98B3-26BB324C6757}"/>
    <cellStyle name="Comma 430" xfId="670" xr:uid="{34A14F28-42CA-4CA7-85B9-57628CA6EED8}"/>
    <cellStyle name="Comma 430 2" xfId="1708" xr:uid="{4BDE15EB-A80E-4551-A777-B62C88312943}"/>
    <cellStyle name="Comma 430 2 2" xfId="3766" xr:uid="{963776CB-473F-47AB-ABB9-47691F665405}"/>
    <cellStyle name="Comma 430 3" xfId="2736" xr:uid="{014C7296-F9F9-409A-A220-76428A9CBC99}"/>
    <cellStyle name="Comma 430 4" xfId="4862" xr:uid="{4148887A-7C53-40EF-95BA-A4E466598CCC}"/>
    <cellStyle name="Comma 431" xfId="671" xr:uid="{6EDC65E7-B1C7-4DD2-8AB3-087B577A7711}"/>
    <cellStyle name="Comma 431 2" xfId="1709" xr:uid="{D2CA72E8-6718-47BC-9D3D-B40520D1E13A}"/>
    <cellStyle name="Comma 431 2 2" xfId="3767" xr:uid="{1AFBF85A-F7EB-4CD9-AD1B-AFC743E4E8DB}"/>
    <cellStyle name="Comma 431 3" xfId="2737" xr:uid="{59FC5B41-405A-439A-9CA7-62DA6E75D9C1}"/>
    <cellStyle name="Comma 431 4" xfId="4863" xr:uid="{2ECC24B3-0355-42E3-9957-CE9397845B79}"/>
    <cellStyle name="Comma 432" xfId="672" xr:uid="{AF28C2D9-1B53-41EC-B8AD-8AA3774AB96E}"/>
    <cellStyle name="Comma 432 2" xfId="1710" xr:uid="{1F2384D0-0A86-43D1-8151-250462EA6EC9}"/>
    <cellStyle name="Comma 432 2 2" xfId="3768" xr:uid="{7DFBF47B-1479-4DBE-8DCD-F9234BE78B0E}"/>
    <cellStyle name="Comma 432 3" xfId="2738" xr:uid="{1CD34E90-5D79-47F7-8BDD-57EEF395368E}"/>
    <cellStyle name="Comma 432 4" xfId="4864" xr:uid="{FCA4AEB7-C07E-4C3F-BB3F-16193BF6AEFF}"/>
    <cellStyle name="Comma 433" xfId="673" xr:uid="{71AAA983-5E2C-4DE4-A59A-C79AAB17D530}"/>
    <cellStyle name="Comma 433 2" xfId="1711" xr:uid="{4A49F689-D7EC-4E9A-B769-3D974B3D8A51}"/>
    <cellStyle name="Comma 433 2 2" xfId="3769" xr:uid="{1B7F2356-B864-454B-8CEB-AB9A3C68A2BD}"/>
    <cellStyle name="Comma 433 3" xfId="2739" xr:uid="{AEEEF673-08BE-498F-B027-3290927BC19E}"/>
    <cellStyle name="Comma 433 4" xfId="4865" xr:uid="{C7598BB6-8294-4773-9663-25C0F3CBDE4A}"/>
    <cellStyle name="Comma 434" xfId="674" xr:uid="{14372953-6C93-4872-A5EC-A01339705704}"/>
    <cellStyle name="Comma 434 2" xfId="1712" xr:uid="{A4D9D95D-B65C-4394-A1E8-0E1055F5010B}"/>
    <cellStyle name="Comma 434 2 2" xfId="3770" xr:uid="{4F8AB504-D650-4319-A3F7-BFDF9635038D}"/>
    <cellStyle name="Comma 434 3" xfId="2740" xr:uid="{75561B41-E324-4B68-992A-F8425A3CA59D}"/>
    <cellStyle name="Comma 434 4" xfId="4866" xr:uid="{7CD45660-DBB9-4FC7-856A-296B569BF41B}"/>
    <cellStyle name="Comma 435" xfId="675" xr:uid="{66099E2B-C668-42C4-A1C8-A427FA1930BE}"/>
    <cellStyle name="Comma 435 2" xfId="1713" xr:uid="{F61D338C-31FC-4E2A-B9CF-4A2084E5ADEC}"/>
    <cellStyle name="Comma 435 2 2" xfId="3771" xr:uid="{5A3CF42E-D938-4DAB-9A75-42217FC25E65}"/>
    <cellStyle name="Comma 435 3" xfId="2741" xr:uid="{22E04853-AAB4-4EE9-B8BE-770361914AB3}"/>
    <cellStyle name="Comma 435 4" xfId="4867" xr:uid="{EE08F667-3A1D-49FE-8AD0-83833900983C}"/>
    <cellStyle name="Comma 436" xfId="676" xr:uid="{29F6F5CC-7623-4ACE-B1EF-015DB375DC79}"/>
    <cellStyle name="Comma 436 2" xfId="1714" xr:uid="{B50E24D7-403D-4A1D-AFA3-FC7C11C04620}"/>
    <cellStyle name="Comma 436 2 2" xfId="3772" xr:uid="{DA189FC4-3909-4A39-9DE6-F509A4382491}"/>
    <cellStyle name="Comma 436 3" xfId="2742" xr:uid="{0E116E90-7546-4281-AD18-47DF50268161}"/>
    <cellStyle name="Comma 436 4" xfId="4868" xr:uid="{07DF4E79-EA7F-4E2E-8F86-315BD8FD415F}"/>
    <cellStyle name="Comma 437" xfId="677" xr:uid="{96FC980B-0A80-4312-9CA0-2FB4E448E0A5}"/>
    <cellStyle name="Comma 437 2" xfId="1715" xr:uid="{05ABB42E-B45A-4325-8384-71A05FF557B0}"/>
    <cellStyle name="Comma 437 2 2" xfId="3773" xr:uid="{202C40E9-A372-435D-AC45-FAD0242ADE16}"/>
    <cellStyle name="Comma 437 3" xfId="2743" xr:uid="{311A5BDA-5216-428B-8610-A553A0FFA575}"/>
    <cellStyle name="Comma 437 4" xfId="4869" xr:uid="{3A2631D5-5D76-4C78-9CFA-45777634BC4B}"/>
    <cellStyle name="Comma 438" xfId="678" xr:uid="{7D1B65FB-5C25-4C1A-B0B6-0C558C1512E6}"/>
    <cellStyle name="Comma 438 2" xfId="1716" xr:uid="{69FAC105-FAFB-4EBE-83C8-CFC9F85B1F86}"/>
    <cellStyle name="Comma 438 2 2" xfId="3774" xr:uid="{BFE21B2B-CC9D-47B0-9201-6361C0BF7ED6}"/>
    <cellStyle name="Comma 438 3" xfId="2744" xr:uid="{2C8522CF-C3F8-4C8A-9011-8FE92FE9ECDF}"/>
    <cellStyle name="Comma 438 4" xfId="4870" xr:uid="{6F2FB522-7B71-49C5-91D7-B3D108FA8A97}"/>
    <cellStyle name="Comma 439" xfId="679" xr:uid="{0F20D034-58A9-46E5-A61A-832E5353749C}"/>
    <cellStyle name="Comma 439 2" xfId="1717" xr:uid="{85D00CE2-C7D2-4072-A50B-21C1C0F15D55}"/>
    <cellStyle name="Comma 439 2 2" xfId="3775" xr:uid="{24057669-2332-4D77-858A-D0A5E91A0E29}"/>
    <cellStyle name="Comma 439 3" xfId="2745" xr:uid="{587E9839-4DE5-420C-9441-9DAF68F67501}"/>
    <cellStyle name="Comma 439 4" xfId="4871" xr:uid="{2C258833-25C6-41FE-A567-F19609C37BD3}"/>
    <cellStyle name="Comma 44" xfId="244" xr:uid="{EF182962-4AAC-44E4-8D35-26E592CC6073}"/>
    <cellStyle name="Comma 44 2" xfId="1322" xr:uid="{1116DAB1-865B-4CA5-A920-2AE258B143F7}"/>
    <cellStyle name="Comma 44 2 2" xfId="3380" xr:uid="{FA3AB767-3379-44BB-B46C-D8F042C5F7F9}"/>
    <cellStyle name="Comma 44 3" xfId="2350" xr:uid="{2771F357-4F08-4554-AF76-F524C69660BE}"/>
    <cellStyle name="Comma 44 4" xfId="4476" xr:uid="{F920926D-2432-40CA-80C8-201C2ECC4FA4}"/>
    <cellStyle name="Comma 440" xfId="680" xr:uid="{0E7FC8A2-7556-4E69-8733-3002640B92D8}"/>
    <cellStyle name="Comma 440 2" xfId="1718" xr:uid="{8B02E80F-A7D6-4845-A980-BCE67356184D}"/>
    <cellStyle name="Comma 440 2 2" xfId="3776" xr:uid="{2C145C8F-0AEB-499F-9214-D21E50EF3993}"/>
    <cellStyle name="Comma 440 3" xfId="2746" xr:uid="{E43B55D7-1196-4ADD-B1EC-0C4F784F9C16}"/>
    <cellStyle name="Comma 440 4" xfId="4872" xr:uid="{5CDECDE7-17D9-4314-B3AB-0F8B15800574}"/>
    <cellStyle name="Comma 441" xfId="681" xr:uid="{15BC2F4D-8304-4D2B-99A6-CFD10F5EC193}"/>
    <cellStyle name="Comma 441 2" xfId="1719" xr:uid="{BA4EFE4E-7B6D-4884-AB2C-9706CDB0A005}"/>
    <cellStyle name="Comma 441 2 2" xfId="3777" xr:uid="{FD1C3529-8E3B-4779-9173-35DF90E1B95B}"/>
    <cellStyle name="Comma 441 3" xfId="2747" xr:uid="{02AD324B-E5B8-4B5B-8733-9F363BA87244}"/>
    <cellStyle name="Comma 441 4" xfId="4873" xr:uid="{5A22DF40-D337-4F8C-A7FA-73070F914113}"/>
    <cellStyle name="Comma 442" xfId="682" xr:uid="{B4BE88C6-DE7A-4991-9B51-7246506F4351}"/>
    <cellStyle name="Comma 442 2" xfId="1720" xr:uid="{9146CA51-BE34-4465-856E-34BBF8526AF0}"/>
    <cellStyle name="Comma 442 2 2" xfId="3778" xr:uid="{B03488D2-8548-4666-9AD7-44CFCCD61AB7}"/>
    <cellStyle name="Comma 442 3" xfId="2748" xr:uid="{7E3DB75A-ACF6-4519-A59D-49DECCDC100A}"/>
    <cellStyle name="Comma 442 4" xfId="4874" xr:uid="{158E53A6-A2A9-4C10-9A89-F5A4D1B8E085}"/>
    <cellStyle name="Comma 443" xfId="683" xr:uid="{06F34DB5-C7BE-4ECF-9631-690CC97ABA79}"/>
    <cellStyle name="Comma 443 2" xfId="1721" xr:uid="{DB636032-02BE-4F3B-8CD5-6001484FCB11}"/>
    <cellStyle name="Comma 443 2 2" xfId="3779" xr:uid="{EE09F3F8-88E2-4B12-A49B-A3E43BFAF73F}"/>
    <cellStyle name="Comma 443 3" xfId="2749" xr:uid="{A4958CC4-A4A7-44D7-8CF1-55918F68A72A}"/>
    <cellStyle name="Comma 443 4" xfId="4875" xr:uid="{BC2751C8-84ED-4009-A810-08CB6DC46E49}"/>
    <cellStyle name="Comma 444" xfId="684" xr:uid="{6A5BB133-AF60-44E0-B54D-B311E6CBCDAE}"/>
    <cellStyle name="Comma 444 2" xfId="1722" xr:uid="{C3AF2D1C-021F-4A55-97F6-7DF12A2C903C}"/>
    <cellStyle name="Comma 444 2 2" xfId="3780" xr:uid="{31C8222E-A844-469A-9FC0-3521C0B2ED5F}"/>
    <cellStyle name="Comma 444 3" xfId="2750" xr:uid="{289B201A-291F-4CB3-887C-1DDC53F166ED}"/>
    <cellStyle name="Comma 444 4" xfId="4876" xr:uid="{B22E8933-8CE9-476D-AB2E-F0931D0171AB}"/>
    <cellStyle name="Comma 445" xfId="685" xr:uid="{F4170202-FCAA-40B3-9179-7A8048388A00}"/>
    <cellStyle name="Comma 445 2" xfId="1723" xr:uid="{A27A41AB-339D-4B45-9CC6-EB56D1003BE4}"/>
    <cellStyle name="Comma 445 2 2" xfId="3781" xr:uid="{3BAF3240-9BD6-452C-BE5A-94B56A648A76}"/>
    <cellStyle name="Comma 445 3" xfId="2751" xr:uid="{A0D30CA7-CA55-47E4-8057-57D87CFF4EDF}"/>
    <cellStyle name="Comma 445 4" xfId="4877" xr:uid="{E7320505-F3D5-4278-997F-05EE4226B764}"/>
    <cellStyle name="Comma 446" xfId="686" xr:uid="{C783BEE1-18F1-464A-9E97-B038DCE44EEF}"/>
    <cellStyle name="Comma 446 2" xfId="1724" xr:uid="{1C45ACE8-A74D-4DDA-B218-E955C7C81C30}"/>
    <cellStyle name="Comma 446 2 2" xfId="3782" xr:uid="{A0CA424C-FB65-474A-B144-C6AB49C9ED72}"/>
    <cellStyle name="Comma 446 3" xfId="2752" xr:uid="{9D10358B-2F63-49BA-8BAB-0F17BDCA2472}"/>
    <cellStyle name="Comma 446 4" xfId="4878" xr:uid="{69FAE03A-0263-4C4D-9C63-A073791CCA15}"/>
    <cellStyle name="Comma 447" xfId="687" xr:uid="{E9A33C43-CCFE-4196-8C28-C85604557FD4}"/>
    <cellStyle name="Comma 447 2" xfId="1725" xr:uid="{7F3F5A0E-20CA-4ED8-9A84-6C74DB47E2CE}"/>
    <cellStyle name="Comma 447 2 2" xfId="3783" xr:uid="{8201DB1C-72C2-48F0-AE7C-8E74E16988B5}"/>
    <cellStyle name="Comma 447 3" xfId="2753" xr:uid="{B33DD138-3D3C-4237-8830-E67037EAFD5C}"/>
    <cellStyle name="Comma 447 4" xfId="4879" xr:uid="{09E1401F-2CF0-4978-AB15-DDDB324F791A}"/>
    <cellStyle name="Comma 448" xfId="688" xr:uid="{E4388233-48EC-4097-93E1-CFF1E4A40F9C}"/>
    <cellStyle name="Comma 448 2" xfId="1726" xr:uid="{92283D0B-608B-4A4A-874F-2D248D7F6668}"/>
    <cellStyle name="Comma 448 2 2" xfId="3784" xr:uid="{87CABCAA-77E6-477F-ABEF-10C01026D288}"/>
    <cellStyle name="Comma 448 3" xfId="2754" xr:uid="{4AC60A81-F08C-4F8B-AED1-FA5C753CCE83}"/>
    <cellStyle name="Comma 448 4" xfId="4880" xr:uid="{816AC87B-13EF-4F97-9374-A25738EB5967}"/>
    <cellStyle name="Comma 449" xfId="689" xr:uid="{8C99AEA2-AB21-452F-BA31-D5E4009B859A}"/>
    <cellStyle name="Comma 449 2" xfId="1727" xr:uid="{631F02B3-3A2C-4AB0-9AB3-5B89FE173861}"/>
    <cellStyle name="Comma 449 2 2" xfId="3785" xr:uid="{77DD1F23-7DE5-46D8-ABE4-E5C46D48AA87}"/>
    <cellStyle name="Comma 449 3" xfId="2755" xr:uid="{9435B60E-DCA8-4009-BBA2-3E311DED0EEA}"/>
    <cellStyle name="Comma 449 4" xfId="4881" xr:uid="{EAEE59B3-6DB0-4F56-A14C-8F03F121D6B9}"/>
    <cellStyle name="Comma 45" xfId="245" xr:uid="{1DCF83E2-6542-48ED-A27F-3A709186CE8A}"/>
    <cellStyle name="Comma 45 2" xfId="1323" xr:uid="{49D3FD90-B6BA-4C38-A204-2467B07EAC81}"/>
    <cellStyle name="Comma 45 2 2" xfId="3381" xr:uid="{A2CFC0F6-0AE5-4AED-BE8D-122F10339D37}"/>
    <cellStyle name="Comma 45 3" xfId="2351" xr:uid="{BF13FAC6-E65C-40D5-84E1-CD939504B452}"/>
    <cellStyle name="Comma 45 4" xfId="4477" xr:uid="{6F8F7D29-7D21-46C9-B610-EF5FB3F9CB4F}"/>
    <cellStyle name="Comma 450" xfId="690" xr:uid="{0CA5EEC1-84A7-47C5-80E1-4D2F80CC8F2F}"/>
    <cellStyle name="Comma 450 2" xfId="1728" xr:uid="{1C2548C9-35B1-43B9-8A7A-E4FEABA4FE9B}"/>
    <cellStyle name="Comma 450 2 2" xfId="3786" xr:uid="{1CFE91A8-1DAE-43DE-A085-AEC46A607436}"/>
    <cellStyle name="Comma 450 3" xfId="2756" xr:uid="{A12E672A-2537-4029-A0BE-E1A9AEDDA5EE}"/>
    <cellStyle name="Comma 450 4" xfId="4882" xr:uid="{A5CB7551-45FB-474E-ACE8-C0418274FB66}"/>
    <cellStyle name="Comma 451" xfId="691" xr:uid="{B64FC462-5F00-4ADA-8988-DB5284F6CE99}"/>
    <cellStyle name="Comma 451 2" xfId="1729" xr:uid="{5EE87D94-695F-4D10-B2FC-6535D41B829C}"/>
    <cellStyle name="Comma 451 2 2" xfId="3787" xr:uid="{6FF92401-82C0-4332-B089-4B2DC0AAE994}"/>
    <cellStyle name="Comma 451 3" xfId="2757" xr:uid="{BB763298-86F9-41C7-8454-2EA4D15FAED4}"/>
    <cellStyle name="Comma 451 4" xfId="4883" xr:uid="{12F2FDDE-6508-4B33-AA4E-6D246EC72665}"/>
    <cellStyle name="Comma 452" xfId="692" xr:uid="{8DCA9339-1A6D-45FD-88A6-E3EEBB48B6B6}"/>
    <cellStyle name="Comma 452 2" xfId="1730" xr:uid="{837A3E24-F1B1-47A7-8F58-1894F343506A}"/>
    <cellStyle name="Comma 452 2 2" xfId="3788" xr:uid="{17E539CE-209E-4702-88FC-F1DD21876BA9}"/>
    <cellStyle name="Comma 452 3" xfId="2758" xr:uid="{320D414B-7D08-429F-9B5D-4E0C37359D26}"/>
    <cellStyle name="Comma 452 4" xfId="4884" xr:uid="{06613347-4983-41D9-B24B-22D1A8B85589}"/>
    <cellStyle name="Comma 453" xfId="693" xr:uid="{1FAC5E79-CC39-45CA-87B7-6604EFB819CF}"/>
    <cellStyle name="Comma 453 2" xfId="1731" xr:uid="{71E7F260-D0E7-4612-8F54-E111CAA7CA2D}"/>
    <cellStyle name="Comma 453 2 2" xfId="3789" xr:uid="{A1563A85-DD2C-4664-85B4-814F25A684DB}"/>
    <cellStyle name="Comma 453 3" xfId="2759" xr:uid="{FE2D75D0-8A87-4E68-9CB5-10AA10E0532F}"/>
    <cellStyle name="Comma 453 4" xfId="4885" xr:uid="{9AF9C270-318E-4BF8-8FC8-BD91D2B04D42}"/>
    <cellStyle name="Comma 454" xfId="694" xr:uid="{D80345AA-A9CA-4BC1-A641-D71F6943FBAD}"/>
    <cellStyle name="Comma 454 2" xfId="1732" xr:uid="{4A252477-04B0-4B35-A484-5C0C69A7C8D1}"/>
    <cellStyle name="Comma 454 2 2" xfId="3790" xr:uid="{2E67D660-FD52-4B8A-9E84-B3FECEA4BE75}"/>
    <cellStyle name="Comma 454 3" xfId="2760" xr:uid="{290BDCB3-5EC5-4FBF-A292-CDE3EED4FB04}"/>
    <cellStyle name="Comma 454 4" xfId="4886" xr:uid="{E9AC520D-7660-46FC-927C-0BFA9B332480}"/>
    <cellStyle name="Comma 455" xfId="695" xr:uid="{EE6F83CD-8B84-40F2-9DF9-0EF1680BA097}"/>
    <cellStyle name="Comma 455 2" xfId="1733" xr:uid="{43778280-9C3E-4B1A-AC09-A704258C38AC}"/>
    <cellStyle name="Comma 455 2 2" xfId="3791" xr:uid="{500B2646-20F1-4454-8F55-2BF95930E8C9}"/>
    <cellStyle name="Comma 455 3" xfId="2761" xr:uid="{61D742E7-3A82-49B7-8EA3-E0C1C3A34573}"/>
    <cellStyle name="Comma 455 4" xfId="4887" xr:uid="{4A2E1285-44D0-45FD-B3B6-E421FC735D4F}"/>
    <cellStyle name="Comma 456" xfId="696" xr:uid="{077E7F96-A4DD-4148-951D-43DA3EBD49AC}"/>
    <cellStyle name="Comma 456 2" xfId="1734" xr:uid="{A48CAD8E-B832-4ADA-B184-458AD6DAE9F0}"/>
    <cellStyle name="Comma 456 2 2" xfId="3792" xr:uid="{1E877F23-5E22-4D96-A229-C78943E1AA90}"/>
    <cellStyle name="Comma 456 3" xfId="2762" xr:uid="{BCE0EC88-ACDC-4AE0-8B61-FC72475FB958}"/>
    <cellStyle name="Comma 456 4" xfId="4888" xr:uid="{408B726B-C9B3-42CA-BA7B-A55538A821A4}"/>
    <cellStyle name="Comma 457" xfId="697" xr:uid="{F046B432-CE6D-436E-B9D7-92217FB62ABC}"/>
    <cellStyle name="Comma 457 2" xfId="1735" xr:uid="{029B9E41-0EB4-4AE0-8BE6-E866F87DF44F}"/>
    <cellStyle name="Comma 457 2 2" xfId="3793" xr:uid="{2C9FFA33-9241-4E56-B777-73B07B55C503}"/>
    <cellStyle name="Comma 457 3" xfId="2763" xr:uid="{925696C2-AC56-4D3A-8F3A-57F5CA7634FB}"/>
    <cellStyle name="Comma 457 4" xfId="4889" xr:uid="{10D7CF99-4B2F-4F5D-B38A-A99718ECE49C}"/>
    <cellStyle name="Comma 458" xfId="698" xr:uid="{0A3975D3-91D9-4127-BA8D-5968A7A49017}"/>
    <cellStyle name="Comma 458 2" xfId="1736" xr:uid="{B34CEF9F-FD7B-410D-B81D-E086DFFDE0A5}"/>
    <cellStyle name="Comma 458 2 2" xfId="3794" xr:uid="{F999D447-A2E9-413D-BF09-5B617AE362EC}"/>
    <cellStyle name="Comma 458 3" xfId="2764" xr:uid="{67EC6E9E-A5AA-4C89-B824-1CF8CF1BBEDC}"/>
    <cellStyle name="Comma 458 4" xfId="4890" xr:uid="{9CF892CB-112B-4C4E-9923-CF6D150B782B}"/>
    <cellStyle name="Comma 459" xfId="699" xr:uid="{A1AEBFFE-E4DB-4450-B47A-64131E0AB43C}"/>
    <cellStyle name="Comma 459 2" xfId="1737" xr:uid="{E1A13EEB-6EEE-4D74-B6B5-209610090EFC}"/>
    <cellStyle name="Comma 459 2 2" xfId="3795" xr:uid="{3F65E5A7-AB40-4AD3-A0DF-FDD052440E0F}"/>
    <cellStyle name="Comma 459 3" xfId="2765" xr:uid="{D19243F2-261B-481D-B39D-77DE12FC4969}"/>
    <cellStyle name="Comma 459 4" xfId="4891" xr:uid="{31EA6D3A-B4E8-4D9E-AC39-CCAC3931F614}"/>
    <cellStyle name="Comma 46" xfId="246" xr:uid="{5CF23571-ED63-4AD2-8628-3DAB79978111}"/>
    <cellStyle name="Comma 46 2" xfId="1324" xr:uid="{DE34FFB8-9C9D-404E-B2B5-89248CD39F31}"/>
    <cellStyle name="Comma 46 2 2" xfId="3382" xr:uid="{EF07D500-D7BD-411C-B0CD-A881F9219159}"/>
    <cellStyle name="Comma 46 3" xfId="2352" xr:uid="{FD7DB33D-51D8-4D9B-A224-DE8BF7180761}"/>
    <cellStyle name="Comma 46 4" xfId="4478" xr:uid="{5BC89529-7E82-41E6-96BF-77B6F40B58F9}"/>
    <cellStyle name="Comma 460" xfId="700" xr:uid="{E0A63372-020A-4F8B-8214-F96FED86AF34}"/>
    <cellStyle name="Comma 460 2" xfId="1738" xr:uid="{802785CB-EB63-4E56-B931-3F00BC9CAC2E}"/>
    <cellStyle name="Comma 460 2 2" xfId="3796" xr:uid="{4DBBA11A-54BB-4923-9014-9611DD025F8F}"/>
    <cellStyle name="Comma 460 3" xfId="2766" xr:uid="{3BAFB7F3-5233-4DC6-9DAD-594801B7C488}"/>
    <cellStyle name="Comma 460 4" xfId="4892" xr:uid="{CC0D3A06-2F91-49FD-8FEE-4F692D58A659}"/>
    <cellStyle name="Comma 461" xfId="701" xr:uid="{7DEA925C-9EAB-443A-9636-FDE5BCE4F7E6}"/>
    <cellStyle name="Comma 461 2" xfId="1739" xr:uid="{D53505EB-F2E1-4B90-BA39-8E424A907C29}"/>
    <cellStyle name="Comma 461 2 2" xfId="3797" xr:uid="{423C65D7-2FAB-4CE8-81BB-F48B1B94626D}"/>
    <cellStyle name="Comma 461 3" xfId="2767" xr:uid="{93C0CC17-8774-48E7-B342-87D0C7DB89EB}"/>
    <cellStyle name="Comma 461 4" xfId="4893" xr:uid="{60B622ED-3E86-478D-AB6B-9295443D4477}"/>
    <cellStyle name="Comma 462" xfId="702" xr:uid="{FCD5744E-7F73-4657-9068-0630FD302808}"/>
    <cellStyle name="Comma 462 2" xfId="1740" xr:uid="{419DA772-C2A9-4281-B0E1-DB904582A862}"/>
    <cellStyle name="Comma 462 2 2" xfId="3798" xr:uid="{04C00963-21C2-4D69-BF42-61C50200A076}"/>
    <cellStyle name="Comma 462 3" xfId="2768" xr:uid="{97286EC8-356F-4F60-B27B-68E527E5BE8D}"/>
    <cellStyle name="Comma 462 4" xfId="4894" xr:uid="{F0035297-4E18-4FAC-B994-78B3715726F1}"/>
    <cellStyle name="Comma 463" xfId="703" xr:uid="{E18C2E9E-76EB-4E6A-94C1-AC88C0A80F90}"/>
    <cellStyle name="Comma 463 2" xfId="1741" xr:uid="{838A0C21-E774-4A67-800F-B5F7182A0EF6}"/>
    <cellStyle name="Comma 463 2 2" xfId="3799" xr:uid="{54F90AD8-190B-413F-94AD-1A9A9CD53657}"/>
    <cellStyle name="Comma 463 3" xfId="2769" xr:uid="{F9C10ACC-4692-4B08-B59A-14E7437255DF}"/>
    <cellStyle name="Comma 463 4" xfId="4895" xr:uid="{9ADB5AFE-748B-4674-A916-336D64FBCB00}"/>
    <cellStyle name="Comma 464" xfId="704" xr:uid="{BDD2B47C-4BDE-406C-ABD1-5A822B99777A}"/>
    <cellStyle name="Comma 464 2" xfId="1742" xr:uid="{57DFAE2A-62F6-4BF5-A370-1BD4B5EBC44F}"/>
    <cellStyle name="Comma 464 2 2" xfId="3800" xr:uid="{74EDC601-C9D7-4BD2-ADCC-8AF4D1268466}"/>
    <cellStyle name="Comma 464 3" xfId="2770" xr:uid="{50E274D6-D2ED-4037-B27B-C0A8056C1231}"/>
    <cellStyle name="Comma 464 4" xfId="4896" xr:uid="{E823BF58-192F-4FC9-BA4B-9DCF36AAC11B}"/>
    <cellStyle name="Comma 465" xfId="705" xr:uid="{2241BB27-563E-4AF2-9C04-AEB2C024C00B}"/>
    <cellStyle name="Comma 465 2" xfId="1743" xr:uid="{009042D5-2E8C-4F16-ABD3-933AE4CBEF2E}"/>
    <cellStyle name="Comma 465 2 2" xfId="3801" xr:uid="{594A7817-67E5-420D-A4E0-A06CD0D79CE4}"/>
    <cellStyle name="Comma 465 3" xfId="2771" xr:uid="{F3BB50DD-095A-4355-A620-C4654A6B150F}"/>
    <cellStyle name="Comma 465 4" xfId="4897" xr:uid="{5EFA538C-BA57-4ED8-ABAC-353A90D86706}"/>
    <cellStyle name="Comma 466" xfId="706" xr:uid="{98CB6A8D-72C6-4E62-9114-9C12E5C05D79}"/>
    <cellStyle name="Comma 466 2" xfId="1744" xr:uid="{27C0585B-A128-44B5-A2A4-7AA31165D945}"/>
    <cellStyle name="Comma 466 2 2" xfId="3802" xr:uid="{538F5AF8-4C6A-4B00-B6B3-4AD55FD645E2}"/>
    <cellStyle name="Comma 466 3" xfId="2772" xr:uid="{686EAC76-4547-4F33-91B1-2790AE9A9531}"/>
    <cellStyle name="Comma 466 4" xfId="4898" xr:uid="{29C5934C-D8A5-4944-BD3A-D5016BA59A0A}"/>
    <cellStyle name="Comma 467" xfId="707" xr:uid="{71CD3523-BC04-4C81-97D1-002ACCB0A1C1}"/>
    <cellStyle name="Comma 467 2" xfId="1745" xr:uid="{626E1F16-6F85-418A-B6DD-5BB8E0A3A951}"/>
    <cellStyle name="Comma 467 2 2" xfId="3803" xr:uid="{69B2F710-2CFB-4AE9-8525-7159DE8DE233}"/>
    <cellStyle name="Comma 467 3" xfId="2773" xr:uid="{14D512EA-48CA-4BD7-B783-BF4FC0BABC5E}"/>
    <cellStyle name="Comma 467 4" xfId="4899" xr:uid="{3E14E167-50B4-4353-AC9B-61CF1557BA20}"/>
    <cellStyle name="Comma 468" xfId="708" xr:uid="{F93601FC-A281-4A73-AB0E-C93F67F778AC}"/>
    <cellStyle name="Comma 468 2" xfId="1746" xr:uid="{6FB26AB6-7E5A-45C3-903D-E7A28576E2F9}"/>
    <cellStyle name="Comma 468 2 2" xfId="3804" xr:uid="{88C84D1A-5BFC-4815-8A00-7CA4ECAB64B9}"/>
    <cellStyle name="Comma 468 3" xfId="2774" xr:uid="{B5CAE71D-9C3B-43F2-B80E-2FB91C411584}"/>
    <cellStyle name="Comma 468 4" xfId="4900" xr:uid="{6B5CF332-B587-4154-BE0C-43664D737A43}"/>
    <cellStyle name="Comma 469" xfId="709" xr:uid="{53ED6CCB-6FBB-4934-8502-930736B4600D}"/>
    <cellStyle name="Comma 469 2" xfId="1747" xr:uid="{68D4FD0A-A4E3-44A9-93DA-F8E47EA6745A}"/>
    <cellStyle name="Comma 469 2 2" xfId="3805" xr:uid="{91115453-C89F-403F-9AA0-10BE5FAD8194}"/>
    <cellStyle name="Comma 469 3" xfId="2775" xr:uid="{B9EBAA48-540E-4697-88C9-2F8D47C063E7}"/>
    <cellStyle name="Comma 469 4" xfId="4901" xr:uid="{6EFD5CE8-45BD-4132-9727-FB81DF11D432}"/>
    <cellStyle name="Comma 47" xfId="247" xr:uid="{B188F78C-0DA6-4D63-9577-B1FAB9D79F39}"/>
    <cellStyle name="Comma 47 2" xfId="1325" xr:uid="{73E27A7F-9328-4DA0-8B1A-F0CB87B0A747}"/>
    <cellStyle name="Comma 47 2 2" xfId="3383" xr:uid="{88D4A0E6-A426-4301-BCCD-BF6788364C14}"/>
    <cellStyle name="Comma 47 3" xfId="2353" xr:uid="{0CFA1EED-936A-4335-94E1-A748E60BB1E3}"/>
    <cellStyle name="Comma 47 4" xfId="4479" xr:uid="{C66C2B04-8C07-4639-84F7-633F624C066C}"/>
    <cellStyle name="Comma 470" xfId="710" xr:uid="{ACA19C4A-8749-47B2-B32D-5ED20542A335}"/>
    <cellStyle name="Comma 470 2" xfId="1748" xr:uid="{AB344754-C84B-4641-BAD1-9787EEE739EC}"/>
    <cellStyle name="Comma 470 2 2" xfId="3806" xr:uid="{B3D1A234-7EAC-47D2-9A1E-477AFF13F25B}"/>
    <cellStyle name="Comma 470 3" xfId="2776" xr:uid="{FFE2DE70-1FB2-479E-9164-18A9B959229E}"/>
    <cellStyle name="Comma 470 4" xfId="4902" xr:uid="{B534A7E3-7254-46D6-8248-F20BACE5F0DF}"/>
    <cellStyle name="Comma 471" xfId="711" xr:uid="{16470A60-A991-49A2-B036-89BDE5040FDF}"/>
    <cellStyle name="Comma 471 2" xfId="1749" xr:uid="{19C90402-7B7F-45A8-90CF-52F7CA8236D3}"/>
    <cellStyle name="Comma 471 2 2" xfId="3807" xr:uid="{62B2FA17-3367-4183-8808-5C12DEC94BDE}"/>
    <cellStyle name="Comma 471 3" xfId="2777" xr:uid="{104566BC-FFD8-4F54-8CEC-FA8017B9DEBB}"/>
    <cellStyle name="Comma 471 4" xfId="4903" xr:uid="{C7109537-1DC7-4771-AB68-3F4C123FDBFA}"/>
    <cellStyle name="Comma 472" xfId="712" xr:uid="{6E784FF1-4137-452B-9F41-EC328923FE2E}"/>
    <cellStyle name="Comma 472 2" xfId="1750" xr:uid="{9D338D46-A686-4626-B569-7E77B80F83EE}"/>
    <cellStyle name="Comma 472 2 2" xfId="3808" xr:uid="{64031A05-D511-42BD-8924-2F44071B2997}"/>
    <cellStyle name="Comma 472 3" xfId="2778" xr:uid="{20E48395-D5AB-4E24-BCDA-4C95628621EF}"/>
    <cellStyle name="Comma 472 4" xfId="4904" xr:uid="{45CFDF8F-5C21-4E5D-A5F9-1C637DD0F297}"/>
    <cellStyle name="Comma 473" xfId="713" xr:uid="{066B6842-9B05-4BC3-A856-68ACA0EA86D9}"/>
    <cellStyle name="Comma 473 2" xfId="1751" xr:uid="{FCB9A159-825C-4553-A1BB-13B09E00701B}"/>
    <cellStyle name="Comma 473 2 2" xfId="3809" xr:uid="{94E06B21-1543-42B6-85A8-85187A3064C4}"/>
    <cellStyle name="Comma 473 3" xfId="2779" xr:uid="{48B24CAF-85CD-46ED-9B99-7D20EED69037}"/>
    <cellStyle name="Comma 473 4" xfId="4905" xr:uid="{263F0663-FBD3-46D3-B147-47186F20C08E}"/>
    <cellStyle name="Comma 474" xfId="714" xr:uid="{8CCA7546-7802-4DF8-AB01-E2D478B322E9}"/>
    <cellStyle name="Comma 474 2" xfId="1752" xr:uid="{CCB1694B-B57F-403E-9360-4E555D40F02C}"/>
    <cellStyle name="Comma 474 2 2" xfId="3810" xr:uid="{BA107752-5002-459F-86FF-94456857210D}"/>
    <cellStyle name="Comma 474 3" xfId="2780" xr:uid="{901FE9C1-9062-43B1-90EB-1E8131DC7E2A}"/>
    <cellStyle name="Comma 474 4" xfId="4906" xr:uid="{437A55B3-6891-429E-BAD3-E677853C2BA3}"/>
    <cellStyle name="Comma 475" xfId="715" xr:uid="{7F82BC8F-5BB0-4757-91A0-314E339B7946}"/>
    <cellStyle name="Comma 475 2" xfId="1753" xr:uid="{DB382C43-89E6-4C64-B28C-EACE4E53CFE8}"/>
    <cellStyle name="Comma 475 2 2" xfId="3811" xr:uid="{BF83A7D6-0475-4B6B-A01E-0365DFB7700D}"/>
    <cellStyle name="Comma 475 3" xfId="2781" xr:uid="{7037A583-893F-4421-AB0F-70756A03FEF4}"/>
    <cellStyle name="Comma 475 4" xfId="4907" xr:uid="{2B74D6D4-E5D7-4929-AEA3-E987D6C93F1C}"/>
    <cellStyle name="Comma 476" xfId="716" xr:uid="{E30A397C-2971-4216-9A4F-6E781A20F56B}"/>
    <cellStyle name="Comma 476 2" xfId="1754" xr:uid="{8E95B92E-537B-4CA1-AC61-0F65E98BC613}"/>
    <cellStyle name="Comma 476 2 2" xfId="3812" xr:uid="{6ABC471D-A4F9-4D63-BFDA-EB6003205944}"/>
    <cellStyle name="Comma 476 3" xfId="2782" xr:uid="{CB5A9706-E991-4E77-98DA-88FE381070E3}"/>
    <cellStyle name="Comma 476 4" xfId="4908" xr:uid="{40A07CF7-7434-4F94-8B1B-D0737EFDFA02}"/>
    <cellStyle name="Comma 477" xfId="717" xr:uid="{330CF5D0-EC0B-4BD3-98F0-EE552436A721}"/>
    <cellStyle name="Comma 477 2" xfId="1755" xr:uid="{6C64614E-644B-47AB-B448-BA8D5C87FF6F}"/>
    <cellStyle name="Comma 477 2 2" xfId="3813" xr:uid="{35BBAD21-289B-4F28-BA31-75E371D5F040}"/>
    <cellStyle name="Comma 477 3" xfId="2783" xr:uid="{578AD9C2-32E3-4A1F-8F8F-C84ADF7B2A95}"/>
    <cellStyle name="Comma 477 4" xfId="4909" xr:uid="{F0DB0016-45F5-40A8-9F58-F6A118DCB5B6}"/>
    <cellStyle name="Comma 478" xfId="718" xr:uid="{F81CB4FD-869B-4B01-9EAC-7C3EDCA05E0F}"/>
    <cellStyle name="Comma 478 2" xfId="1756" xr:uid="{94DE3003-F14D-4E7C-AB0A-FB0668E949B4}"/>
    <cellStyle name="Comma 478 2 2" xfId="3814" xr:uid="{A821D2D0-CB5C-480F-834A-758DB507D159}"/>
    <cellStyle name="Comma 478 3" xfId="2784" xr:uid="{10137478-F2F2-49F7-9E25-6B88DAC3B9D9}"/>
    <cellStyle name="Comma 478 4" xfId="4910" xr:uid="{E0100B70-AADC-44C3-B7E6-F5315BE2E8D9}"/>
    <cellStyle name="Comma 479" xfId="719" xr:uid="{A8B83756-BB0B-4370-9F56-30968FD03F95}"/>
    <cellStyle name="Comma 479 2" xfId="1757" xr:uid="{7B65B056-7E54-4934-B976-7CE4B21F8168}"/>
    <cellStyle name="Comma 479 2 2" xfId="3815" xr:uid="{AC405FFF-9252-474E-B545-544C0505CFE1}"/>
    <cellStyle name="Comma 479 3" xfId="2785" xr:uid="{E104E4AB-F638-4FE9-9916-9D697E05420B}"/>
    <cellStyle name="Comma 479 4" xfId="4911" xr:uid="{8190CE7F-4BFF-4DAB-A075-591BB64EC2A9}"/>
    <cellStyle name="Comma 48" xfId="248" xr:uid="{9FE51A52-7452-4BD8-9FF3-EF2247DDFEFC}"/>
    <cellStyle name="Comma 48 2" xfId="1326" xr:uid="{2DD3CCC2-B368-487E-9238-E5BEFC0A778B}"/>
    <cellStyle name="Comma 48 2 2" xfId="3384" xr:uid="{8DFD67C2-1993-41B0-A6C0-08FCEDF65E07}"/>
    <cellStyle name="Comma 48 3" xfId="2354" xr:uid="{B6E38A75-DB2F-4A5C-A80F-CDC35FDE0D2C}"/>
    <cellStyle name="Comma 48 4" xfId="4480" xr:uid="{B6B4A2B3-7343-4B86-8C8F-77056176605F}"/>
    <cellStyle name="Comma 480" xfId="720" xr:uid="{AA7B1344-3005-4C6F-94A0-64707FFE8C7E}"/>
    <cellStyle name="Comma 480 2" xfId="1758" xr:uid="{10A6A886-6EFC-4F4A-90E9-96A34BBBDB62}"/>
    <cellStyle name="Comma 480 2 2" xfId="3816" xr:uid="{A8AFAA4D-1AEB-4E41-9CAB-428B467E786E}"/>
    <cellStyle name="Comma 480 3" xfId="2786" xr:uid="{51FCBD1E-ACBD-44D8-B1C2-9869C7745F33}"/>
    <cellStyle name="Comma 480 4" xfId="4912" xr:uid="{0948DCE2-77A9-4483-A622-0BA127A6748C}"/>
    <cellStyle name="Comma 481" xfId="721" xr:uid="{137858AD-877A-4472-8F77-479A542C81C9}"/>
    <cellStyle name="Comma 481 2" xfId="1759" xr:uid="{9AC09DC0-8114-4ABD-8A30-1A32406DFBB7}"/>
    <cellStyle name="Comma 481 2 2" xfId="3817" xr:uid="{2E680BF3-7A49-467A-BA4B-FC93CFB30990}"/>
    <cellStyle name="Comma 481 3" xfId="2787" xr:uid="{7D0328E3-0B90-4191-8997-E4CAEF8AC048}"/>
    <cellStyle name="Comma 481 4" xfId="4913" xr:uid="{523A5FC9-FF9F-4360-9F32-F0CD669AECFF}"/>
    <cellStyle name="Comma 482" xfId="722" xr:uid="{A734491B-0FED-4B0C-B72F-E1B220526066}"/>
    <cellStyle name="Comma 482 2" xfId="1760" xr:uid="{4EA8D925-FDBD-4D1B-ACAA-F98A16ED5A83}"/>
    <cellStyle name="Comma 482 2 2" xfId="3818" xr:uid="{48842C0D-BB13-4B73-9159-C4550E7AA38A}"/>
    <cellStyle name="Comma 482 3" xfId="2788" xr:uid="{83D46FFA-D191-4F4D-AF13-64A403255276}"/>
    <cellStyle name="Comma 482 4" xfId="4914" xr:uid="{00413711-FB94-48AF-8D2B-F7CED6041980}"/>
    <cellStyle name="Comma 483" xfId="723" xr:uid="{B1841D22-8475-44EA-889A-FB3A8E243113}"/>
    <cellStyle name="Comma 483 2" xfId="1761" xr:uid="{40FFD842-1850-48AA-9B37-A6C857ED7D5F}"/>
    <cellStyle name="Comma 483 2 2" xfId="3819" xr:uid="{47C96D74-33E0-4FFD-B391-F64C4D1D7BD2}"/>
    <cellStyle name="Comma 483 3" xfId="2789" xr:uid="{71C182E3-48D4-4673-9AD9-76C482D9A341}"/>
    <cellStyle name="Comma 483 4" xfId="4915" xr:uid="{DFDE3CE3-6C71-4DF0-A7CE-B4750F330954}"/>
    <cellStyle name="Comma 484" xfId="724" xr:uid="{DDEDBA5C-D8E2-4C00-A2AE-8279ED9E421C}"/>
    <cellStyle name="Comma 484 2" xfId="1762" xr:uid="{3DAC7A78-BA82-4D40-B974-87A8D6C8C852}"/>
    <cellStyle name="Comma 484 2 2" xfId="3820" xr:uid="{DD3D9CFB-36E0-44C1-94C7-1B4BD6A94BFD}"/>
    <cellStyle name="Comma 484 3" xfId="2790" xr:uid="{B928988E-A587-4053-B32D-3EA5A7CD674B}"/>
    <cellStyle name="Comma 484 4" xfId="4916" xr:uid="{D2FC28CF-8201-4F10-A3AB-356C6A83C67F}"/>
    <cellStyle name="Comma 485" xfId="725" xr:uid="{011F4347-3AA5-4A5D-8608-17397C63E344}"/>
    <cellStyle name="Comma 485 2" xfId="1763" xr:uid="{64A76AC3-6731-42EA-B9AA-559696E0C4DC}"/>
    <cellStyle name="Comma 485 2 2" xfId="3821" xr:uid="{D3BFCDF9-E8AA-48C6-8A49-179411067D32}"/>
    <cellStyle name="Comma 485 3" xfId="2791" xr:uid="{112DE888-BFCC-4EE8-AA88-1ACD427B78A6}"/>
    <cellStyle name="Comma 485 4" xfId="4917" xr:uid="{56412F83-053C-49E3-83F6-34C3C12D6917}"/>
    <cellStyle name="Comma 486" xfId="726" xr:uid="{D9E1760C-55D8-4F15-9F0A-20CD669D2343}"/>
    <cellStyle name="Comma 486 2" xfId="1764" xr:uid="{E3B8571F-A280-4B69-A806-EAC658A4D93F}"/>
    <cellStyle name="Comma 486 2 2" xfId="3822" xr:uid="{7D222995-D5FA-49A5-BF61-0F0FA1A4F077}"/>
    <cellStyle name="Comma 486 3" xfId="2792" xr:uid="{06BCD601-B096-4140-87E4-C62D0D6D293E}"/>
    <cellStyle name="Comma 486 4" xfId="4918" xr:uid="{9762B220-4907-480C-BACF-A599BDA65007}"/>
    <cellStyle name="Comma 487" xfId="727" xr:uid="{FB7FCF81-BB28-46A3-9A1E-F4DED6FE220A}"/>
    <cellStyle name="Comma 487 2" xfId="1765" xr:uid="{A0895F88-5916-4F5B-A837-3B00BE545B4D}"/>
    <cellStyle name="Comma 487 2 2" xfId="3823" xr:uid="{267CF45B-E73C-4946-AB59-753A81FCAE8F}"/>
    <cellStyle name="Comma 487 3" xfId="2793" xr:uid="{496FC4AC-0785-49EF-826D-3E0B128BB93C}"/>
    <cellStyle name="Comma 487 4" xfId="4919" xr:uid="{4ECD40C1-EEB8-4808-B036-B4C87B8A19DC}"/>
    <cellStyle name="Comma 488" xfId="728" xr:uid="{DC2E3503-DBB5-40EF-861C-98024431220B}"/>
    <cellStyle name="Comma 488 2" xfId="1766" xr:uid="{F130D598-D1D0-42BE-A34F-C7F8CF5D21D8}"/>
    <cellStyle name="Comma 488 2 2" xfId="3824" xr:uid="{8C7882B5-3CDC-41DA-9FAD-DB4598222FD0}"/>
    <cellStyle name="Comma 488 3" xfId="2794" xr:uid="{4B39AEF5-2844-4B32-828D-EC17F3BABCCA}"/>
    <cellStyle name="Comma 488 4" xfId="4920" xr:uid="{36FE423D-C941-4A14-83DA-34745AB3FE75}"/>
    <cellStyle name="Comma 489" xfId="729" xr:uid="{709412D3-E3DD-4BD6-8378-8BD2030EE441}"/>
    <cellStyle name="Comma 489 2" xfId="1767" xr:uid="{6D0937B0-3697-45F7-BEEF-BE76F1BE5B7B}"/>
    <cellStyle name="Comma 489 2 2" xfId="3825" xr:uid="{58E8D0DB-B40B-4175-B9F7-0D56175B89B7}"/>
    <cellStyle name="Comma 489 3" xfId="2795" xr:uid="{75D503F5-CD5F-4DC7-B52A-D32D5305380F}"/>
    <cellStyle name="Comma 489 4" xfId="4921" xr:uid="{6305B41B-9DC4-448A-811E-FB396E9160AC}"/>
    <cellStyle name="Comma 49" xfId="249" xr:uid="{B5A4F873-AC2A-45BA-AC8C-F5BC460A944B}"/>
    <cellStyle name="Comma 49 2" xfId="1327" xr:uid="{C6BC603F-31F1-48F4-8966-7C8713788662}"/>
    <cellStyle name="Comma 49 2 2" xfId="3385" xr:uid="{2924086A-1707-4B3F-918C-7CE759193A05}"/>
    <cellStyle name="Comma 49 3" xfId="2355" xr:uid="{227DDF45-894B-4EB2-9A32-8D178B69E398}"/>
    <cellStyle name="Comma 49 4" xfId="4481" xr:uid="{27C63192-E30B-489A-BF11-DDB2FE99AA4F}"/>
    <cellStyle name="Comma 490" xfId="730" xr:uid="{B35E7DBC-091C-48ED-983C-BCB22F9743C6}"/>
    <cellStyle name="Comma 490 2" xfId="1768" xr:uid="{3719E061-485D-4A3E-BB0B-44429C0DA505}"/>
    <cellStyle name="Comma 490 2 2" xfId="3826" xr:uid="{D080DC87-9A91-4FAD-A08A-B9B19125FE06}"/>
    <cellStyle name="Comma 490 3" xfId="2796" xr:uid="{A225A3E0-987B-42B6-88FB-B9C25EDDB65C}"/>
    <cellStyle name="Comma 490 4" xfId="4922" xr:uid="{4337FA18-D913-409F-A5C4-905110AA63B9}"/>
    <cellStyle name="Comma 491" xfId="731" xr:uid="{DEF84272-30B2-4002-8D98-3D23CF2077C8}"/>
    <cellStyle name="Comma 491 2" xfId="1769" xr:uid="{BD30071C-28B7-4D4C-A629-B2BFACCDB80C}"/>
    <cellStyle name="Comma 491 2 2" xfId="3827" xr:uid="{6758448F-1D4F-4200-9C59-7738EC35A73C}"/>
    <cellStyle name="Comma 491 3" xfId="2797" xr:uid="{CDF8C776-790F-4979-9009-19085ADE69CD}"/>
    <cellStyle name="Comma 491 4" xfId="4923" xr:uid="{CAFEEAA7-8D7A-49D6-A818-C5C3E665D922}"/>
    <cellStyle name="Comma 492" xfId="732" xr:uid="{47408C5D-EDF2-4B69-805B-0F60BB86167F}"/>
    <cellStyle name="Comma 492 2" xfId="1770" xr:uid="{91D66066-F232-490E-933C-1F29A666E62F}"/>
    <cellStyle name="Comma 492 2 2" xfId="3828" xr:uid="{E37748C8-D581-4A72-B516-C587FEABAD85}"/>
    <cellStyle name="Comma 492 3" xfId="2798" xr:uid="{ECD8CDD9-7766-4F47-8D77-8EAB28131845}"/>
    <cellStyle name="Comma 492 4" xfId="4924" xr:uid="{B0965256-C407-48A8-A6EF-9A4C5606A293}"/>
    <cellStyle name="Comma 493" xfId="733" xr:uid="{D965A2D1-774A-4D5B-908E-804BC352EFC6}"/>
    <cellStyle name="Comma 493 2" xfId="1771" xr:uid="{A23C6B7C-ED57-4114-9091-C4E0B982F868}"/>
    <cellStyle name="Comma 493 2 2" xfId="3829" xr:uid="{D94C0579-7490-4CAD-90AE-1B0886CABC59}"/>
    <cellStyle name="Comma 493 3" xfId="2799" xr:uid="{19D87F4F-5289-4952-B3BB-41539F6FF6F7}"/>
    <cellStyle name="Comma 493 4" xfId="4925" xr:uid="{B0DCA790-C08C-4112-A0BA-D12351841894}"/>
    <cellStyle name="Comma 494" xfId="734" xr:uid="{DBBA8CEF-067C-46D5-9DF7-EE7D49E02F7E}"/>
    <cellStyle name="Comma 494 2" xfId="1772" xr:uid="{0258F462-7AA4-4543-BF4C-2310F4FCB773}"/>
    <cellStyle name="Comma 494 2 2" xfId="3830" xr:uid="{E8E25E13-C467-481C-A229-09A287F8F176}"/>
    <cellStyle name="Comma 494 3" xfId="2800" xr:uid="{7CF06F3A-9CFA-4FD1-BCB8-989A8208441E}"/>
    <cellStyle name="Comma 494 4" xfId="4926" xr:uid="{AAA6FE48-3F7D-4232-9C97-45B97477B95C}"/>
    <cellStyle name="Comma 495" xfId="735" xr:uid="{2559CE74-1D20-4925-A5B3-A84BBF7070D0}"/>
    <cellStyle name="Comma 495 2" xfId="1773" xr:uid="{E4A75036-0074-4DED-988A-2E8ED4BA64CB}"/>
    <cellStyle name="Comma 495 2 2" xfId="3831" xr:uid="{42BE56E5-7C2B-4F0A-8220-3BB09D68D58F}"/>
    <cellStyle name="Comma 495 3" xfId="2801" xr:uid="{AB290F38-E6BA-43BC-8EAD-B76ACF4A4314}"/>
    <cellStyle name="Comma 495 4" xfId="4927" xr:uid="{145B9F48-3C51-4CD2-A4A7-A2E566D8C76E}"/>
    <cellStyle name="Comma 496" xfId="736" xr:uid="{C749E4FC-28DD-4FF2-A0AF-F3EA6944CCC8}"/>
    <cellStyle name="Comma 496 2" xfId="1774" xr:uid="{9EEA190B-6667-46B7-B5E2-08401C21557D}"/>
    <cellStyle name="Comma 496 2 2" xfId="3832" xr:uid="{9CA81B16-76E7-4479-BFB7-F937E2657548}"/>
    <cellStyle name="Comma 496 3" xfId="2802" xr:uid="{CF067056-FF91-4EA3-8C09-B358B921A098}"/>
    <cellStyle name="Comma 496 4" xfId="4928" xr:uid="{9FA51A44-BCA2-4C9E-9E14-E851246FEE8C}"/>
    <cellStyle name="Comma 497" xfId="737" xr:uid="{2A279F8B-181E-4140-AA70-66C5C993A5BC}"/>
    <cellStyle name="Comma 497 2" xfId="1775" xr:uid="{8D72D728-2C3F-44D3-B123-BFBA3E09F46E}"/>
    <cellStyle name="Comma 497 2 2" xfId="3833" xr:uid="{0686FB50-2253-43C9-B049-9D29E66CF26F}"/>
    <cellStyle name="Comma 497 3" xfId="2803" xr:uid="{603AEB8A-E24B-45DC-955F-F3430CAB7570}"/>
    <cellStyle name="Comma 497 4" xfId="4929" xr:uid="{639B8558-1ED1-44D6-A432-F9CF04938E92}"/>
    <cellStyle name="Comma 498" xfId="738" xr:uid="{AE7D3FD1-28D7-41ED-A723-3E6E66A6D168}"/>
    <cellStyle name="Comma 498 2" xfId="1776" xr:uid="{AFC34375-CBA8-4B9D-B650-058ABEFFA282}"/>
    <cellStyle name="Comma 498 2 2" xfId="3834" xr:uid="{20ABF881-493E-4109-98EC-C00D1EE80078}"/>
    <cellStyle name="Comma 498 3" xfId="2804" xr:uid="{D4D19EB7-8C67-4ED0-9923-2CEB63ED0923}"/>
    <cellStyle name="Comma 498 4" xfId="4930" xr:uid="{F6197492-0B4C-4115-9D6F-F801327DA65D}"/>
    <cellStyle name="Comma 499" xfId="739" xr:uid="{CAB434FA-0524-4C09-96AB-288398672EE2}"/>
    <cellStyle name="Comma 499 2" xfId="1777" xr:uid="{3C5D359B-8883-4ED5-8161-7CAE8EBE3FB2}"/>
    <cellStyle name="Comma 499 2 2" xfId="3835" xr:uid="{71DE312F-F011-4BAC-A65B-9EA6971FB29B}"/>
    <cellStyle name="Comma 499 3" xfId="2805" xr:uid="{1FBE9BE2-7622-44D7-B4FC-4AABE2CB7688}"/>
    <cellStyle name="Comma 499 4" xfId="4931" xr:uid="{296D776D-660B-44E1-A871-8BB038939757}"/>
    <cellStyle name="Comma 5" xfId="75" xr:uid="{E8A7C981-0E1B-4846-AC2F-C680BF2C17BF}"/>
    <cellStyle name="Comma 5 2" xfId="231" xr:uid="{AFCB23E2-E4CD-413A-A3D2-CFC88FBAF8CA}"/>
    <cellStyle name="Comma 5 2 2" xfId="1310" xr:uid="{0EAB68A0-572F-4FB9-9735-1767736C75E9}"/>
    <cellStyle name="Comma 5 2 2 2" xfId="3368" xr:uid="{2B813D2C-6AFB-4985-BA1B-7ADDBEC979F9}"/>
    <cellStyle name="Comma 5 2 3" xfId="2338" xr:uid="{23631C17-62AC-485F-ABD8-B333E521FA26}"/>
    <cellStyle name="Comma 5 2 4" xfId="4464" xr:uid="{C573470F-E187-48FB-9CE6-0504BAAD77EE}"/>
    <cellStyle name="Comma 5 3" xfId="1281" xr:uid="{FA48357D-14F3-46D5-AE81-CC995FF0E03F}"/>
    <cellStyle name="Comma 5 3 2" xfId="3339" xr:uid="{75D9D60A-0084-4FA8-B6D8-20E81570D98C}"/>
    <cellStyle name="Comma 5 4" xfId="2309" xr:uid="{4DD8A212-2032-49F0-BD95-ACEF34A13B04}"/>
    <cellStyle name="Comma 5 5" xfId="4435" xr:uid="{58F8F96E-2024-4BCC-82C0-D1F7349A2E38}"/>
    <cellStyle name="Comma 50" xfId="250" xr:uid="{08D2B08E-0286-4713-B80B-79796CAD2627}"/>
    <cellStyle name="Comma 50 2" xfId="1328" xr:uid="{9D1CB6B4-D888-4B86-899D-F9E63A7B9E0F}"/>
    <cellStyle name="Comma 50 2 2" xfId="3386" xr:uid="{CA28B38E-145F-4520-95A9-AE01FC38EBBE}"/>
    <cellStyle name="Comma 50 3" xfId="2356" xr:uid="{02B66910-D673-415B-BC3C-85111E627CE2}"/>
    <cellStyle name="Comma 50 4" xfId="4482" xr:uid="{F363FF63-6308-41FD-999F-2C9559F4E883}"/>
    <cellStyle name="Comma 500" xfId="740" xr:uid="{048D429F-D721-4DBD-ABD7-96479A6CC18C}"/>
    <cellStyle name="Comma 500 2" xfId="1778" xr:uid="{7833DFFF-9251-4946-AE9A-3BC0298DFF2A}"/>
    <cellStyle name="Comma 500 2 2" xfId="3836" xr:uid="{3F0FC1A4-6F75-4358-A505-7222824522D4}"/>
    <cellStyle name="Comma 500 3" xfId="2806" xr:uid="{E82779AB-2E8B-4BEE-8668-18762741D3F9}"/>
    <cellStyle name="Comma 500 4" xfId="4932" xr:uid="{51E6B61B-ACAC-4EA2-A36C-5989EA7626AB}"/>
    <cellStyle name="Comma 501" xfId="741" xr:uid="{A29A9BA6-971C-4FB0-95D5-0AAD23678CF7}"/>
    <cellStyle name="Comma 501 2" xfId="1779" xr:uid="{E90F2062-E956-48E1-AD55-DAD6438A63E3}"/>
    <cellStyle name="Comma 501 2 2" xfId="3837" xr:uid="{F89C0519-C611-4532-ACF1-B251BC807E5D}"/>
    <cellStyle name="Comma 501 3" xfId="2807" xr:uid="{911D91D1-D188-4991-BE6B-8B3A73B937D6}"/>
    <cellStyle name="Comma 501 4" xfId="4933" xr:uid="{F34CAA7B-87A0-4E4A-8DE6-09EE84C669FB}"/>
    <cellStyle name="Comma 502" xfId="742" xr:uid="{CB4B77DA-087D-4D54-B5C5-8C614C4DF740}"/>
    <cellStyle name="Comma 502 2" xfId="1780" xr:uid="{0741B2F6-2421-4B6F-A9B0-74CAD4FC170B}"/>
    <cellStyle name="Comma 502 2 2" xfId="3838" xr:uid="{5B9ED689-E43A-4892-9CE0-CC64D02FA824}"/>
    <cellStyle name="Comma 502 3" xfId="2808" xr:uid="{2BCD3281-9489-41D0-AD4D-60855ABDA928}"/>
    <cellStyle name="Comma 502 4" xfId="4934" xr:uid="{93BDB9C0-3C68-432B-8928-D468F8986C41}"/>
    <cellStyle name="Comma 503" xfId="743" xr:uid="{6E8EFA97-EEBB-462B-9D32-E10F68555B35}"/>
    <cellStyle name="Comma 503 2" xfId="1781" xr:uid="{F43AC1B1-BC34-464D-BBB1-931F57254058}"/>
    <cellStyle name="Comma 503 2 2" xfId="3839" xr:uid="{B07D3794-23D1-4B9D-A454-97A196FA66EA}"/>
    <cellStyle name="Comma 503 3" xfId="2809" xr:uid="{05075C12-767E-4847-9B82-2DCFF5E5DAA7}"/>
    <cellStyle name="Comma 503 4" xfId="4935" xr:uid="{B39F04A1-6879-43F3-B547-392E3E6FC2D9}"/>
    <cellStyle name="Comma 504" xfId="744" xr:uid="{849B7109-A716-4AC9-BC55-8F7B73F53AC7}"/>
    <cellStyle name="Comma 504 2" xfId="1782" xr:uid="{8723052B-7C66-42D9-8266-293DAC441C04}"/>
    <cellStyle name="Comma 504 2 2" xfId="3840" xr:uid="{38FFD318-B902-4F24-AA98-E075EF364531}"/>
    <cellStyle name="Comma 504 3" xfId="2810" xr:uid="{6BF3D6E3-0BE8-4FEA-9D9B-6178BD1F4541}"/>
    <cellStyle name="Comma 504 4" xfId="4936" xr:uid="{46DBFDF4-D2B1-4543-BAA4-B2595306365D}"/>
    <cellStyle name="Comma 505" xfId="745" xr:uid="{E7AC1353-8A42-4185-A652-BB53C39A2BED}"/>
    <cellStyle name="Comma 505 2" xfId="1783" xr:uid="{B7731863-4A76-42D7-9282-4BD487B4A11C}"/>
    <cellStyle name="Comma 505 2 2" xfId="3841" xr:uid="{BC3EEAAA-8092-4413-8E1B-6C884061BA2A}"/>
    <cellStyle name="Comma 505 3" xfId="2811" xr:uid="{AB55FD6A-7A0B-4FDE-8D31-65A7D35B8DFD}"/>
    <cellStyle name="Comma 505 4" xfId="4937" xr:uid="{DCC0898B-115A-4F22-B78F-26FC39A84007}"/>
    <cellStyle name="Comma 506" xfId="746" xr:uid="{CDAB07DD-5F4D-427A-BD9B-F3F41434257E}"/>
    <cellStyle name="Comma 506 2" xfId="1784" xr:uid="{E822277B-4406-44BF-A926-BAC324BE15C1}"/>
    <cellStyle name="Comma 506 2 2" xfId="3842" xr:uid="{207FEAF0-3070-48B1-AEBA-E30F0C2C1333}"/>
    <cellStyle name="Comma 506 3" xfId="2812" xr:uid="{24A88616-74EF-4726-9A2C-63891BFEA73B}"/>
    <cellStyle name="Comma 506 4" xfId="4938" xr:uid="{9A36966B-DC40-4EC3-8583-50B3A982AD12}"/>
    <cellStyle name="Comma 507" xfId="747" xr:uid="{878440E3-7B51-48DE-B457-340ED654A82B}"/>
    <cellStyle name="Comma 507 2" xfId="1785" xr:uid="{275A1315-160D-48A1-AF4E-DD330DA52FF1}"/>
    <cellStyle name="Comma 507 2 2" xfId="3843" xr:uid="{4B538C47-A8CC-4570-8C69-DFDA21756550}"/>
    <cellStyle name="Comma 507 3" xfId="2813" xr:uid="{041F3D27-9F88-413F-B301-F0EA153E2812}"/>
    <cellStyle name="Comma 507 4" xfId="4939" xr:uid="{6ECCC78A-61C1-45AC-B3A1-01061C69E39E}"/>
    <cellStyle name="Comma 508" xfId="748" xr:uid="{9F8E1811-4812-4F17-B29F-7CACFD5B9D24}"/>
    <cellStyle name="Comma 508 2" xfId="1786" xr:uid="{41244B5D-E084-420A-8792-7C81732AE93F}"/>
    <cellStyle name="Comma 508 2 2" xfId="3844" xr:uid="{D2520740-35B2-4074-99C2-60ABBA38CF90}"/>
    <cellStyle name="Comma 508 3" xfId="2814" xr:uid="{4B81AD07-8A41-42BF-BDA8-16EFD59376B2}"/>
    <cellStyle name="Comma 508 4" xfId="4940" xr:uid="{A770585A-129F-449A-B577-D50B1AA99636}"/>
    <cellStyle name="Comma 509" xfId="749" xr:uid="{0C5C6D17-9DA8-4AF2-BC57-A20683E8E62E}"/>
    <cellStyle name="Comma 509 2" xfId="1787" xr:uid="{7DF0A3BF-762B-48A1-B87B-E5AE8A96C4DB}"/>
    <cellStyle name="Comma 509 2 2" xfId="3845" xr:uid="{E54056E7-7987-466C-B138-ECC41996BC15}"/>
    <cellStyle name="Comma 509 3" xfId="2815" xr:uid="{145EE7E2-D98A-4B00-A3BB-8639AF552999}"/>
    <cellStyle name="Comma 509 4" xfId="4941" xr:uid="{26C02DF0-47E4-4C4E-AA55-7548015401F0}"/>
    <cellStyle name="Comma 51" xfId="251" xr:uid="{5DDDA969-86CB-459B-ADFB-F8A400988B33}"/>
    <cellStyle name="Comma 51 2" xfId="1329" xr:uid="{0204CF53-3A27-4854-A190-DE0EB4D5A9B5}"/>
    <cellStyle name="Comma 51 2 2" xfId="3387" xr:uid="{5E4CBF04-18E5-4211-8A81-BBBE51E4F3C7}"/>
    <cellStyle name="Comma 51 3" xfId="2357" xr:uid="{D704B7EB-AC55-4C4B-AC52-CA62DEF4F16C}"/>
    <cellStyle name="Comma 51 4" xfId="4483" xr:uid="{8E003F91-714F-44F6-B46F-8B60EA431A90}"/>
    <cellStyle name="Comma 510" xfId="750" xr:uid="{035D99AD-3277-4552-BBC4-93B62A27DDA3}"/>
    <cellStyle name="Comma 510 2" xfId="1788" xr:uid="{CA5D8655-7A91-41D2-BCF8-69339E51D9E3}"/>
    <cellStyle name="Comma 510 2 2" xfId="3846" xr:uid="{CA666D2F-ADF0-4DC8-85BB-4FB67E337743}"/>
    <cellStyle name="Comma 510 3" xfId="2816" xr:uid="{B24D404A-5050-4F6A-AB88-0746850F655E}"/>
    <cellStyle name="Comma 510 4" xfId="4942" xr:uid="{7049384C-85FA-460F-921A-C2569CE2865B}"/>
    <cellStyle name="Comma 511" xfId="751" xr:uid="{CCA491C1-2CF4-432F-B322-6F19867A1711}"/>
    <cellStyle name="Comma 511 2" xfId="1789" xr:uid="{BDA8BE1E-70BA-4E1A-879A-E4DF790C25A1}"/>
    <cellStyle name="Comma 511 2 2" xfId="3847" xr:uid="{039B3E56-3CCE-40F5-8E2C-E97F86CD0AF4}"/>
    <cellStyle name="Comma 511 3" xfId="2817" xr:uid="{4A025FE0-6711-42CE-B49A-AD692918BA5D}"/>
    <cellStyle name="Comma 511 4" xfId="4943" xr:uid="{6882E044-7F21-46FB-8C48-AF57C054A5B5}"/>
    <cellStyle name="Comma 512" xfId="752" xr:uid="{96EE69AC-D248-41B5-837E-2AE9129759FD}"/>
    <cellStyle name="Comma 512 2" xfId="1790" xr:uid="{98147C59-718E-4618-8F10-D914B35E1792}"/>
    <cellStyle name="Comma 512 2 2" xfId="3848" xr:uid="{56470574-5636-4C02-99D9-1FC1FDB550B1}"/>
    <cellStyle name="Comma 512 3" xfId="2818" xr:uid="{D000B86C-AF91-465B-B628-293EEB96A901}"/>
    <cellStyle name="Comma 512 4" xfId="4944" xr:uid="{2AC6B688-FA82-404F-BD9F-C0B987F899E5}"/>
    <cellStyle name="Comma 513" xfId="753" xr:uid="{F87332C0-34B9-4C84-9A60-0877CBAF0A58}"/>
    <cellStyle name="Comma 513 2" xfId="1791" xr:uid="{FD2F2E72-DBD6-4D96-8729-774097EEA913}"/>
    <cellStyle name="Comma 513 2 2" xfId="3849" xr:uid="{ED49922F-FF76-4768-96D2-E5AD3B23E5D2}"/>
    <cellStyle name="Comma 513 3" xfId="2819" xr:uid="{4BEB53FD-C473-491F-BEE6-1311DEA9D934}"/>
    <cellStyle name="Comma 513 4" xfId="4945" xr:uid="{C3B9795D-F116-481A-9CA1-8CCE782CA4AD}"/>
    <cellStyle name="Comma 514" xfId="754" xr:uid="{1C4EFDE5-CC62-4B90-9B14-B95C328FE157}"/>
    <cellStyle name="Comma 514 2" xfId="1792" xr:uid="{976950AC-2FD0-4319-8FE0-CEBEA979A622}"/>
    <cellStyle name="Comma 514 2 2" xfId="3850" xr:uid="{46C75B2D-C3DF-4BCA-B8EC-31B9FBEEEC36}"/>
    <cellStyle name="Comma 514 3" xfId="2820" xr:uid="{B1EDD8ED-D8A9-484E-9546-3383B5E5C1B6}"/>
    <cellStyle name="Comma 514 4" xfId="4946" xr:uid="{C47E258E-AD4E-4E87-93EE-3EC0429E465C}"/>
    <cellStyle name="Comma 515" xfId="755" xr:uid="{32B11B71-0EF5-49D6-94C5-4E23D1039278}"/>
    <cellStyle name="Comma 515 2" xfId="1793" xr:uid="{E7849F8F-8546-478C-A478-8F1F97D9FE73}"/>
    <cellStyle name="Comma 515 2 2" xfId="3851" xr:uid="{74C72F95-88A4-43AA-88B2-3DA662DCEAC5}"/>
    <cellStyle name="Comma 515 3" xfId="2821" xr:uid="{DE213A00-C9FD-42FB-AF2A-9953752BD62B}"/>
    <cellStyle name="Comma 515 4" xfId="4947" xr:uid="{6D7D8CE5-BD76-4B2F-ADDD-0A89CC4D4412}"/>
    <cellStyle name="Comma 516" xfId="756" xr:uid="{1FEFDC76-7273-4FA7-9271-A8D074778595}"/>
    <cellStyle name="Comma 516 2" xfId="1794" xr:uid="{91037A2B-ED5A-4929-9E66-D55161EA91CF}"/>
    <cellStyle name="Comma 516 2 2" xfId="3852" xr:uid="{BAADFE6B-FD61-4CD4-9BFE-AF0E0136E58A}"/>
    <cellStyle name="Comma 516 3" xfId="2822" xr:uid="{C0DA297F-8B62-44AE-88CE-4E3128FBEAC6}"/>
    <cellStyle name="Comma 516 4" xfId="4948" xr:uid="{02A572E6-9474-42A6-8629-05BBCF64B711}"/>
    <cellStyle name="Comma 517" xfId="757" xr:uid="{6AA0F073-7668-4905-9879-9085AB0A25F9}"/>
    <cellStyle name="Comma 517 2" xfId="1795" xr:uid="{76AB8964-844D-436E-B46F-47FE83B6980C}"/>
    <cellStyle name="Comma 517 2 2" xfId="3853" xr:uid="{73E27EBD-1863-4B9A-B388-E5BFC246AA35}"/>
    <cellStyle name="Comma 517 3" xfId="2823" xr:uid="{211EAD09-7CBC-4AD2-BEF3-20BF5C2E4F2F}"/>
    <cellStyle name="Comma 517 4" xfId="4949" xr:uid="{7E422CA4-8D43-4876-AF09-2E4B1D1AEB5D}"/>
    <cellStyle name="Comma 518" xfId="758" xr:uid="{89D74325-176F-483D-8796-770B7705329F}"/>
    <cellStyle name="Comma 518 2" xfId="1796" xr:uid="{A77F90E7-34BD-40C8-A821-92EC679F7016}"/>
    <cellStyle name="Comma 518 2 2" xfId="3854" xr:uid="{ED4181E7-AD26-479C-8613-9DA79B5325F9}"/>
    <cellStyle name="Comma 518 3" xfId="2824" xr:uid="{AF4BBBAC-E702-4CF3-8141-B8C18659F4B8}"/>
    <cellStyle name="Comma 518 4" xfId="4950" xr:uid="{56FFBFCD-D851-427D-A1A6-9FE8D1A3CF41}"/>
    <cellStyle name="Comma 519" xfId="759" xr:uid="{C172A9FF-0FDB-46E2-8C8E-6AE8B7BEF351}"/>
    <cellStyle name="Comma 519 2" xfId="1797" xr:uid="{3FFF86FB-7C8B-4E89-B8FC-E8C5CDB500F1}"/>
    <cellStyle name="Comma 519 2 2" xfId="3855" xr:uid="{80A09E9B-EA1F-45B2-99D8-32E3767E62DA}"/>
    <cellStyle name="Comma 519 3" xfId="2825" xr:uid="{C85445AA-DF43-435A-B02F-C6B7E0270BA6}"/>
    <cellStyle name="Comma 519 4" xfId="4951" xr:uid="{0F65E51E-C7CB-4D1C-B203-E60D86BAA4A7}"/>
    <cellStyle name="Comma 52" xfId="252" xr:uid="{938BCF59-7D58-427A-B771-F712A5D0297F}"/>
    <cellStyle name="Comma 52 2" xfId="1330" xr:uid="{CA14B0C6-73F8-48C4-91AC-1DE4005A7D40}"/>
    <cellStyle name="Comma 52 2 2" xfId="3388" xr:uid="{C47F7E4F-D411-4782-894F-46F2488FA0FB}"/>
    <cellStyle name="Comma 52 3" xfId="2358" xr:uid="{1B680C67-A1CA-4596-816F-DAE9DD1C9AD6}"/>
    <cellStyle name="Comma 52 4" xfId="4484" xr:uid="{47A3FE1E-ACCD-4D1C-972A-E86CCA37D3D0}"/>
    <cellStyle name="Comma 520" xfId="760" xr:uid="{78D8D2C5-8398-4B8A-9AC1-080F5880B993}"/>
    <cellStyle name="Comma 520 2" xfId="1798" xr:uid="{BFFE7CED-7C40-4BB0-BDFA-75C29F6CBF02}"/>
    <cellStyle name="Comma 520 2 2" xfId="3856" xr:uid="{384B09FD-72A0-476A-9D70-B66D92F1421D}"/>
    <cellStyle name="Comma 520 3" xfId="2826" xr:uid="{573BBF51-85F7-4030-847A-616ACA0ECF1B}"/>
    <cellStyle name="Comma 520 4" xfId="4952" xr:uid="{B2CE5A07-F69D-4CA1-86E4-4AAC706586C5}"/>
    <cellStyle name="Comma 521" xfId="761" xr:uid="{A21EC3A8-F77B-4AF1-9D62-78C4985A748A}"/>
    <cellStyle name="Comma 521 2" xfId="1799" xr:uid="{B8560118-2C22-4A34-8873-94EAC2E9478F}"/>
    <cellStyle name="Comma 521 2 2" xfId="3857" xr:uid="{A2565C41-BC9F-4D64-B56C-A155EB57B475}"/>
    <cellStyle name="Comma 521 3" xfId="2827" xr:uid="{B0894FA6-72B1-4E50-8C35-5E4EB16D0B23}"/>
    <cellStyle name="Comma 521 4" xfId="4953" xr:uid="{16B9121C-87EE-47C4-B951-4591176E0E61}"/>
    <cellStyle name="Comma 522" xfId="762" xr:uid="{E9BFCE2F-9CD6-4FE0-ABC3-B86210D4CA01}"/>
    <cellStyle name="Comma 522 2" xfId="1800" xr:uid="{21E204D4-7399-4E49-80AE-7186FEB136A0}"/>
    <cellStyle name="Comma 522 2 2" xfId="3858" xr:uid="{B2A73608-98E1-4524-89A7-CDE94805AFDB}"/>
    <cellStyle name="Comma 522 3" xfId="2828" xr:uid="{DDC02D7F-07FB-49DA-A98A-98572820B9F4}"/>
    <cellStyle name="Comma 522 4" xfId="4954" xr:uid="{652DE2E1-4D2F-4C0E-829E-29816E9FADBF}"/>
    <cellStyle name="Comma 523" xfId="763" xr:uid="{26B04B63-ED10-47D4-B3C6-F70C41DACD34}"/>
    <cellStyle name="Comma 523 2" xfId="1801" xr:uid="{3C736712-41D2-4F02-8AC8-42130AFF9B6A}"/>
    <cellStyle name="Comma 523 2 2" xfId="3859" xr:uid="{73E53D05-C5FD-4D09-9962-08DC0E88B975}"/>
    <cellStyle name="Comma 523 3" xfId="2829" xr:uid="{8886CD32-4ACF-4956-8271-E69087005BA7}"/>
    <cellStyle name="Comma 523 4" xfId="4955" xr:uid="{A0E986E0-FC28-4F61-9A78-76D04AB1968B}"/>
    <cellStyle name="Comma 524" xfId="764" xr:uid="{A590DDF7-85FB-4D85-8DEB-04E9AE9A50BA}"/>
    <cellStyle name="Comma 524 2" xfId="1802" xr:uid="{77C54B97-8BDF-448B-9528-55A41A5BE573}"/>
    <cellStyle name="Comma 524 2 2" xfId="3860" xr:uid="{2D5F1292-778A-46DC-836C-EE1521CF7029}"/>
    <cellStyle name="Comma 524 3" xfId="2830" xr:uid="{CE30C4FF-8424-4E02-8957-D4ACB10A2F1B}"/>
    <cellStyle name="Comma 524 4" xfId="4956" xr:uid="{AF1C947A-DD01-40D1-BAE8-360672A964CB}"/>
    <cellStyle name="Comma 525" xfId="765" xr:uid="{94773558-7C4A-48D0-BA0F-8E59E1C12F08}"/>
    <cellStyle name="Comma 525 2" xfId="1803" xr:uid="{C86F6A37-FD62-43B0-BEEA-8DC9FCB495E2}"/>
    <cellStyle name="Comma 525 2 2" xfId="3861" xr:uid="{B550029D-F63C-4970-8DE3-1347069791F0}"/>
    <cellStyle name="Comma 525 3" xfId="2831" xr:uid="{6EC6EAD4-6E33-49D6-9D4E-E1C2E41F24D7}"/>
    <cellStyle name="Comma 525 4" xfId="4957" xr:uid="{B8EB5C44-192E-4DB7-B66B-146A2E66E914}"/>
    <cellStyle name="Comma 526" xfId="766" xr:uid="{ABFFD028-7AD3-472C-8590-CBD3E39FF2D7}"/>
    <cellStyle name="Comma 526 2" xfId="1804" xr:uid="{67AA0028-5041-4658-8AB4-3CE918F055CE}"/>
    <cellStyle name="Comma 526 2 2" xfId="3862" xr:uid="{9894E6B4-FA6B-4172-BABF-34390717300A}"/>
    <cellStyle name="Comma 526 3" xfId="2832" xr:uid="{0012C121-06CB-4F2D-9BF9-148E60AD1986}"/>
    <cellStyle name="Comma 526 4" xfId="4958" xr:uid="{9E4ED74B-B5BD-4D28-8091-99574A3D38F8}"/>
    <cellStyle name="Comma 527" xfId="767" xr:uid="{634871AA-F320-4444-A3D6-32014C2DDFE9}"/>
    <cellStyle name="Comma 527 2" xfId="1805" xr:uid="{66F2651F-71C1-43F6-8BDF-B7B318BD99B2}"/>
    <cellStyle name="Comma 527 2 2" xfId="3863" xr:uid="{B59754FF-0110-48E9-93CF-3DD586DA4D96}"/>
    <cellStyle name="Comma 527 3" xfId="2833" xr:uid="{2A95BA0E-5530-4BA0-8F5F-887188A87BC4}"/>
    <cellStyle name="Comma 527 4" xfId="4959" xr:uid="{E55C1F21-42DD-44CE-A924-02A092675A89}"/>
    <cellStyle name="Comma 528" xfId="768" xr:uid="{14BBB30F-C48C-42B3-8D50-363620022C95}"/>
    <cellStyle name="Comma 528 2" xfId="1806" xr:uid="{5AFE7A86-232B-490A-A755-A8541482FA0F}"/>
    <cellStyle name="Comma 528 2 2" xfId="3864" xr:uid="{1DFBDD78-8494-49A0-AAF6-BED6448EEE64}"/>
    <cellStyle name="Comma 528 3" xfId="2834" xr:uid="{7FCCE808-F7AB-4F23-8AF5-0B4EAF7802E5}"/>
    <cellStyle name="Comma 528 4" xfId="4960" xr:uid="{D2025DD2-7F22-4562-AA8A-91BEB43CD092}"/>
    <cellStyle name="Comma 529" xfId="769" xr:uid="{073C5EDD-E8AA-47EA-A338-942F07856BF2}"/>
    <cellStyle name="Comma 529 2" xfId="1807" xr:uid="{FD36DFDB-665B-4F02-89F9-79C647C42D07}"/>
    <cellStyle name="Comma 529 2 2" xfId="3865" xr:uid="{9918654E-0221-4AC0-87F6-02643CC2F2F6}"/>
    <cellStyle name="Comma 529 3" xfId="2835" xr:uid="{BE2E91E4-7CA8-42C4-A619-89F18B402457}"/>
    <cellStyle name="Comma 529 4" xfId="4961" xr:uid="{3D94C246-B5B1-4157-B8BE-462EF86FBB53}"/>
    <cellStyle name="Comma 53" xfId="253" xr:uid="{BFD67465-7281-4544-87A1-1FA7C4FD3217}"/>
    <cellStyle name="Comma 53 2" xfId="1331" xr:uid="{7A5D034A-F2C4-4DC6-816F-1EB91487E5BB}"/>
    <cellStyle name="Comma 53 2 2" xfId="3389" xr:uid="{E4C00A3B-84BB-4168-A299-DE4E989B364B}"/>
    <cellStyle name="Comma 53 3" xfId="2359" xr:uid="{0141D5F3-782F-4D2A-8D72-0412FFF87124}"/>
    <cellStyle name="Comma 53 4" xfId="4485" xr:uid="{C552E4F0-0D3D-4E1F-BB00-AAC698ED5B78}"/>
    <cellStyle name="Comma 530" xfId="770" xr:uid="{5FEE3394-0BD9-45F0-8503-512AE9287817}"/>
    <cellStyle name="Comma 530 2" xfId="1808" xr:uid="{13072A17-6F85-4AA2-9BE8-87A056FB8822}"/>
    <cellStyle name="Comma 530 2 2" xfId="3866" xr:uid="{D4BBD995-7329-4F71-A9A3-C4DE4D08C2B4}"/>
    <cellStyle name="Comma 530 3" xfId="2836" xr:uid="{DADA7C6F-AD25-496E-997E-EFB550313580}"/>
    <cellStyle name="Comma 530 4" xfId="4962" xr:uid="{E7783997-2674-43B0-906B-04270CB07D7D}"/>
    <cellStyle name="Comma 531" xfId="771" xr:uid="{FB52DC29-E7BF-488B-BD61-636A179BEFB8}"/>
    <cellStyle name="Comma 531 2" xfId="1809" xr:uid="{0B6DB976-C539-4CA5-B995-6C2F80C10A4F}"/>
    <cellStyle name="Comma 531 2 2" xfId="3867" xr:uid="{E8576030-5FEE-48C1-A28A-AA5AD3DA8807}"/>
    <cellStyle name="Comma 531 3" xfId="2837" xr:uid="{D8087B78-36A2-4099-A697-2765634D517A}"/>
    <cellStyle name="Comma 531 4" xfId="4963" xr:uid="{71035252-10D4-4305-A3F8-889E3DF02F8F}"/>
    <cellStyle name="Comma 532" xfId="772" xr:uid="{A76DDA00-7345-4DC5-A832-0A9F8D56FA57}"/>
    <cellStyle name="Comma 532 2" xfId="1810" xr:uid="{34510D4B-C116-4184-9C74-1F68452083BD}"/>
    <cellStyle name="Comma 532 2 2" xfId="3868" xr:uid="{99553414-7242-442D-A7BC-35379F4FB67D}"/>
    <cellStyle name="Comma 532 3" xfId="2838" xr:uid="{D56CD063-EBB9-486F-AC07-0283AE9E898E}"/>
    <cellStyle name="Comma 532 4" xfId="4964" xr:uid="{C1A2EF16-65E2-49D7-881B-CD1F4130F73E}"/>
    <cellStyle name="Comma 533" xfId="773" xr:uid="{697693E9-885D-4F55-AD76-DFB7D252C366}"/>
    <cellStyle name="Comma 533 2" xfId="1811" xr:uid="{8B7914C6-9916-4F78-A9F5-2C0CA3F0C346}"/>
    <cellStyle name="Comma 533 2 2" xfId="3869" xr:uid="{288FF1FF-44E7-4BC3-9637-C79A0B5287F0}"/>
    <cellStyle name="Comma 533 3" xfId="2839" xr:uid="{4ACB732B-6C8D-43A6-B30C-AC940D204584}"/>
    <cellStyle name="Comma 533 4" xfId="4965" xr:uid="{E17969E2-C30C-496C-AE8D-DA49CACE7966}"/>
    <cellStyle name="Comma 534" xfId="774" xr:uid="{DE3503FD-F0C4-4ECC-AA69-6D38D192D3D5}"/>
    <cellStyle name="Comma 534 2" xfId="1812" xr:uid="{DE2EBF0C-1C52-4BDD-96F4-1AEE4A2DE24E}"/>
    <cellStyle name="Comma 534 2 2" xfId="3870" xr:uid="{5D1EEFC3-0F6D-4538-ADAA-E8A06DB0827E}"/>
    <cellStyle name="Comma 534 3" xfId="2840" xr:uid="{470379AF-2F2F-4DD3-AA08-C19370BDBF49}"/>
    <cellStyle name="Comma 534 4" xfId="4966" xr:uid="{10D56235-396F-4688-8D42-244FE313F973}"/>
    <cellStyle name="Comma 535" xfId="775" xr:uid="{78407D34-6F1F-4C0D-B70A-5F27ACB91C6E}"/>
    <cellStyle name="Comma 535 2" xfId="1813" xr:uid="{4B046AC9-4C22-434B-A856-058EDE4A48C6}"/>
    <cellStyle name="Comma 535 2 2" xfId="3871" xr:uid="{9547C5AF-6CFD-4E2D-A4F7-1F949DB028A4}"/>
    <cellStyle name="Comma 535 3" xfId="2841" xr:uid="{686FA14F-0D3B-4A2E-ADE8-7782FA653919}"/>
    <cellStyle name="Comma 535 4" xfId="4967" xr:uid="{A93AACC7-59E0-4F91-8C67-F9461ED80118}"/>
    <cellStyle name="Comma 536" xfId="776" xr:uid="{31DAD934-B02B-4162-B8FF-222C933A3D43}"/>
    <cellStyle name="Comma 536 2" xfId="1814" xr:uid="{CA4C1D75-9FB0-4E57-AE81-61F03162BA55}"/>
    <cellStyle name="Comma 536 2 2" xfId="3872" xr:uid="{FEC2D308-05B5-4702-B154-B043C4FBE9BA}"/>
    <cellStyle name="Comma 536 3" xfId="2842" xr:uid="{5B73B649-B25D-4543-82E0-B24620DE4E8E}"/>
    <cellStyle name="Comma 536 4" xfId="4968" xr:uid="{E4C482A4-F7FD-4C21-8F5D-D757584A9F0D}"/>
    <cellStyle name="Comma 537" xfId="777" xr:uid="{E92C7D35-8AA1-48EB-8ED6-A35746955DD6}"/>
    <cellStyle name="Comma 537 2" xfId="1815" xr:uid="{FBDEF8D3-3FBC-45EE-A88C-70F42B944615}"/>
    <cellStyle name="Comma 537 2 2" xfId="3873" xr:uid="{B7D6AFF2-5E42-425A-84EF-DE6EB28F6FE7}"/>
    <cellStyle name="Comma 537 3" xfId="2843" xr:uid="{81C28C16-399F-4224-B692-0826602A3C7E}"/>
    <cellStyle name="Comma 537 4" xfId="4969" xr:uid="{37AD8B05-E63F-4E50-8414-0F4884A54560}"/>
    <cellStyle name="Comma 538" xfId="778" xr:uid="{B11D011D-980A-41E3-8A6C-3D34AA6F051F}"/>
    <cellStyle name="Comma 538 2" xfId="1816" xr:uid="{C2E0EA1C-C8F9-49D3-A2CA-36E56424D33E}"/>
    <cellStyle name="Comma 538 2 2" xfId="3874" xr:uid="{B87A3C60-BE00-457A-B73D-DE4218889884}"/>
    <cellStyle name="Comma 538 3" xfId="2844" xr:uid="{00131EBD-628C-473F-AF0F-04D6876DA7FF}"/>
    <cellStyle name="Comma 538 4" xfId="4970" xr:uid="{6970DF5F-31C5-4C13-B482-E15FB2B40721}"/>
    <cellStyle name="Comma 539" xfId="779" xr:uid="{61316178-4607-4423-8E48-7C7899919BB8}"/>
    <cellStyle name="Comma 539 2" xfId="1817" xr:uid="{1CC2CB7C-4E3E-4A39-9675-BDC321C75CD4}"/>
    <cellStyle name="Comma 539 2 2" xfId="3875" xr:uid="{B44F16EC-033F-407F-A0B5-84A1E2B2D88B}"/>
    <cellStyle name="Comma 539 3" xfId="2845" xr:uid="{6248DE25-128D-4AEA-B743-EAC398CEDBC4}"/>
    <cellStyle name="Comma 539 4" xfId="4971" xr:uid="{278FB552-E53C-46CA-B6BE-166BF2F1FE21}"/>
    <cellStyle name="Comma 54" xfId="254" xr:uid="{8A55ED37-E972-4987-BB6E-20A4DD3BB13A}"/>
    <cellStyle name="Comma 54 2" xfId="1332" xr:uid="{E4F65EB9-DC80-40C8-931E-7A25FFD79295}"/>
    <cellStyle name="Comma 54 2 2" xfId="3390" xr:uid="{CA903C43-B97F-4761-BCCA-6FA6921186AF}"/>
    <cellStyle name="Comma 54 3" xfId="2360" xr:uid="{FB42142A-2D65-4807-85B4-FCBD9550714F}"/>
    <cellStyle name="Comma 54 4" xfId="4486" xr:uid="{06492472-9270-4B84-B778-E1137F6DA15A}"/>
    <cellStyle name="Comma 540" xfId="780" xr:uid="{A144F807-1270-40A7-8E41-008629069D7A}"/>
    <cellStyle name="Comma 540 2" xfId="1818" xr:uid="{633FA7AA-1D5A-4CCD-AF75-F63F212CA4FF}"/>
    <cellStyle name="Comma 540 2 2" xfId="3876" xr:uid="{27C01E31-CEE6-4B3E-BCFA-636E48B4094E}"/>
    <cellStyle name="Comma 540 3" xfId="2846" xr:uid="{622F04A0-83C0-47F9-8F4D-720BA26179E3}"/>
    <cellStyle name="Comma 540 4" xfId="4972" xr:uid="{7C9505A3-F412-4EB5-8422-366C65FD1DE2}"/>
    <cellStyle name="Comma 541" xfId="781" xr:uid="{84BF507F-F304-46E5-A343-A1E3EDC35E3A}"/>
    <cellStyle name="Comma 541 2" xfId="1819" xr:uid="{E2D13F14-3888-4883-8258-DDFA9CBC2BD9}"/>
    <cellStyle name="Comma 541 2 2" xfId="3877" xr:uid="{F32B8FC5-54D6-420D-A22F-36A384727D76}"/>
    <cellStyle name="Comma 541 3" xfId="2847" xr:uid="{FC57D20E-E361-4DEF-82C0-23450F2BBD7B}"/>
    <cellStyle name="Comma 541 4" xfId="4973" xr:uid="{85B4CCC7-B34E-4FD6-901A-81D3A14E49B2}"/>
    <cellStyle name="Comma 542" xfId="782" xr:uid="{6702E2F4-6C02-40CD-BB4B-FE56B05FC00C}"/>
    <cellStyle name="Comma 542 2" xfId="1820" xr:uid="{218ADD3E-0F86-4762-B783-C23324109117}"/>
    <cellStyle name="Comma 542 2 2" xfId="3878" xr:uid="{CC943558-675B-4E9C-AFD0-8372D30227B7}"/>
    <cellStyle name="Comma 542 3" xfId="2848" xr:uid="{CE395349-FA31-47D1-A3AF-5320B93D4B85}"/>
    <cellStyle name="Comma 542 4" xfId="4974" xr:uid="{0FBD428E-BBAB-4B07-837E-338764BAD860}"/>
    <cellStyle name="Comma 543" xfId="783" xr:uid="{EC770E69-D36C-4CA5-A1A9-D5EEAA4421AC}"/>
    <cellStyle name="Comma 543 2" xfId="1821" xr:uid="{8E352A44-F6C8-4E51-9508-A6B16C62357A}"/>
    <cellStyle name="Comma 543 2 2" xfId="3879" xr:uid="{84BDBC6A-1B45-4E4B-9F29-640F754F44DF}"/>
    <cellStyle name="Comma 543 3" xfId="2849" xr:uid="{8DDFFD40-2EFC-4084-B0EB-6D7238512B01}"/>
    <cellStyle name="Comma 543 4" xfId="4975" xr:uid="{E94848DF-A0B0-42D8-B584-354137A9BBBA}"/>
    <cellStyle name="Comma 544" xfId="784" xr:uid="{D65DCB0B-633B-4208-940B-24009D4DA7B8}"/>
    <cellStyle name="Comma 544 2" xfId="1822" xr:uid="{953026DE-EFC7-452D-9427-E48811547D06}"/>
    <cellStyle name="Comma 544 2 2" xfId="3880" xr:uid="{103CAD40-225D-4B47-89B8-16DBE3C98F8A}"/>
    <cellStyle name="Comma 544 3" xfId="2850" xr:uid="{12E882C2-B62F-4923-BD77-5C8EA69EB2F7}"/>
    <cellStyle name="Comma 544 4" xfId="4976" xr:uid="{A09D58C1-FE6A-4A9A-9813-4240EF9EDE45}"/>
    <cellStyle name="Comma 545" xfId="785" xr:uid="{F5EC1569-0FF3-4823-B367-F40ED3C9964D}"/>
    <cellStyle name="Comma 545 2" xfId="1823" xr:uid="{1A8E3E1C-3D23-46A2-A6D9-15F07DB5A8A8}"/>
    <cellStyle name="Comma 545 2 2" xfId="3881" xr:uid="{86BEC232-A0B9-4C11-A061-ACF354A5A2D1}"/>
    <cellStyle name="Comma 545 3" xfId="2851" xr:uid="{0A1B698C-68FF-456B-A567-94850C5B2130}"/>
    <cellStyle name="Comma 545 4" xfId="4977" xr:uid="{AF17CADB-D7FD-4CBB-A0CB-1BF24E2452C1}"/>
    <cellStyle name="Comma 546" xfId="786" xr:uid="{B140CD0A-3E98-46B9-803B-DE0EB255800C}"/>
    <cellStyle name="Comma 546 2" xfId="1824" xr:uid="{39D45855-AC47-4C4D-A07A-BCD29A7F0871}"/>
    <cellStyle name="Comma 546 2 2" xfId="3882" xr:uid="{2C3D8628-E02E-4FCA-A883-0AD526C89288}"/>
    <cellStyle name="Comma 546 3" xfId="2852" xr:uid="{C22293DE-CCE9-43D1-A2B2-7DFE29CD5A7B}"/>
    <cellStyle name="Comma 546 4" xfId="4978" xr:uid="{11560D2D-BF31-4F1B-BBAC-7D57668BCAE8}"/>
    <cellStyle name="Comma 547" xfId="787" xr:uid="{C6256860-DADC-4E1D-87FD-8E7B22135826}"/>
    <cellStyle name="Comma 547 2" xfId="1825" xr:uid="{F7F3468F-A07A-49E3-8931-C4C927B8462C}"/>
    <cellStyle name="Comma 547 2 2" xfId="3883" xr:uid="{37BA3DED-B54C-4D59-9E4D-1FB207DE6DC1}"/>
    <cellStyle name="Comma 547 3" xfId="2853" xr:uid="{49EBB586-9A7D-4473-ABA1-4DFE27566E41}"/>
    <cellStyle name="Comma 547 4" xfId="4979" xr:uid="{1628FB6B-3EBD-4D7B-8786-88A2B340A89B}"/>
    <cellStyle name="Comma 548" xfId="788" xr:uid="{D6AC7CAC-347A-4E77-8847-558B8F342D3A}"/>
    <cellStyle name="Comma 548 2" xfId="1826" xr:uid="{F76149DB-1B11-4239-B8DC-705E58547F04}"/>
    <cellStyle name="Comma 548 2 2" xfId="3884" xr:uid="{DD62811E-7B9E-4CAE-945E-F53C371915B4}"/>
    <cellStyle name="Comma 548 3" xfId="2854" xr:uid="{E5C68A5F-8303-4C09-A7AB-1B2710DA885E}"/>
    <cellStyle name="Comma 548 4" xfId="4980" xr:uid="{0104A22A-BD75-49C0-B871-5EA97C183AF6}"/>
    <cellStyle name="Comma 549" xfId="789" xr:uid="{53D1515E-B774-459A-A06A-D342E50B405D}"/>
    <cellStyle name="Comma 549 2" xfId="1827" xr:uid="{0397546E-E8F0-4487-A9F2-C6B8A5A465BA}"/>
    <cellStyle name="Comma 549 2 2" xfId="3885" xr:uid="{D3254366-D4A9-4636-9B95-ACA237FCDDEA}"/>
    <cellStyle name="Comma 549 3" xfId="2855" xr:uid="{810CDAAC-24A1-4F75-A5A6-005AC3285981}"/>
    <cellStyle name="Comma 549 4" xfId="4981" xr:uid="{50FAA7D3-35B8-4B6E-8402-B4EE0B67CD9A}"/>
    <cellStyle name="Comma 55" xfId="255" xr:uid="{D767BAB2-6BBD-4140-8F9A-F3D5476AF0CC}"/>
    <cellStyle name="Comma 55 2" xfId="1333" xr:uid="{E02969B4-41A3-484D-AD96-FEFE6547DC58}"/>
    <cellStyle name="Comma 55 2 2" xfId="3391" xr:uid="{2E809876-A7D0-43B5-A5AE-08C66715B707}"/>
    <cellStyle name="Comma 55 3" xfId="2361" xr:uid="{FCC0446F-3D01-443A-AE18-BEBF2A0BAE9F}"/>
    <cellStyle name="Comma 55 4" xfId="4487" xr:uid="{4B085A25-C59E-4B29-9D25-6CADEE6BFA35}"/>
    <cellStyle name="Comma 550" xfId="790" xr:uid="{5A6C0356-0110-4C22-99B6-1BCFB9D213C8}"/>
    <cellStyle name="Comma 550 2" xfId="1828" xr:uid="{56AA2F59-876A-400E-A3EF-5F0D732E7879}"/>
    <cellStyle name="Comma 550 2 2" xfId="3886" xr:uid="{F3880389-CBB6-4A36-BBD9-92A3202E164E}"/>
    <cellStyle name="Comma 550 3" xfId="2856" xr:uid="{7D8851BD-6820-4281-AE38-12915196AD16}"/>
    <cellStyle name="Comma 550 4" xfId="4982" xr:uid="{FB44108A-8601-4A2E-8A92-EC1EE8B5EBCE}"/>
    <cellStyle name="Comma 551" xfId="791" xr:uid="{DA3CE34B-48B9-4339-8FE7-407D81EECF05}"/>
    <cellStyle name="Comma 551 2" xfId="1829" xr:uid="{6986C131-08D3-431B-B63C-353622F2CD1E}"/>
    <cellStyle name="Comma 551 2 2" xfId="3887" xr:uid="{E77184D2-7E14-411D-82DF-889DEE17F69B}"/>
    <cellStyle name="Comma 551 3" xfId="2857" xr:uid="{62B8E84F-A4E2-4F6A-ADCA-DA16EE116477}"/>
    <cellStyle name="Comma 551 4" xfId="4983" xr:uid="{B17D4D16-4602-4FD5-9DC7-7DCEBB57C40A}"/>
    <cellStyle name="Comma 552" xfId="792" xr:uid="{2240168F-3A6E-4524-98AB-D7AFABE5081D}"/>
    <cellStyle name="Comma 552 2" xfId="1830" xr:uid="{519EB339-FF5B-4A7D-899D-ECA157BBD510}"/>
    <cellStyle name="Comma 552 2 2" xfId="3888" xr:uid="{12EA0929-451D-4731-8181-6DB2BBF128F2}"/>
    <cellStyle name="Comma 552 3" xfId="2858" xr:uid="{F81DBA54-C0C6-4E12-8FFD-AE156170AD4F}"/>
    <cellStyle name="Comma 552 4" xfId="4984" xr:uid="{4EDF580E-8D90-428E-B82E-6ECC7631181B}"/>
    <cellStyle name="Comma 553" xfId="793" xr:uid="{4C331D59-3C8D-486C-B8AF-D1ACC3D02D81}"/>
    <cellStyle name="Comma 553 2" xfId="1831" xr:uid="{F1B9F3E0-0306-4DC4-8F1A-435ED08C2698}"/>
    <cellStyle name="Comma 553 2 2" xfId="3889" xr:uid="{49A2E0E6-9B28-4AB7-8426-B71FD45BED9A}"/>
    <cellStyle name="Comma 553 3" xfId="2859" xr:uid="{306D20F7-4222-4A29-AFC3-C65939FF2AAB}"/>
    <cellStyle name="Comma 553 4" xfId="4985" xr:uid="{C4C42F01-ECB0-40EC-BF7A-73CDACC5DD13}"/>
    <cellStyle name="Comma 554" xfId="794" xr:uid="{99A005C7-DF53-4BDC-8470-D1A0B1B23FE5}"/>
    <cellStyle name="Comma 554 2" xfId="1832" xr:uid="{3A850A07-88AB-444B-ABD6-B56AE31E6AC6}"/>
    <cellStyle name="Comma 554 2 2" xfId="3890" xr:uid="{4E53EDC6-4D22-4429-BA07-5E39CA8A0BB6}"/>
    <cellStyle name="Comma 554 3" xfId="2860" xr:uid="{E5EBECF6-E85A-4A95-B97B-F12032CFDC05}"/>
    <cellStyle name="Comma 554 4" xfId="4986" xr:uid="{AA77F3AA-E15E-4E0F-BAE3-AD7FE2FE9559}"/>
    <cellStyle name="Comma 555" xfId="795" xr:uid="{64B8C12B-B2CB-4C28-9CEC-776CB39EB544}"/>
    <cellStyle name="Comma 555 2" xfId="1833" xr:uid="{137CE877-6B6C-4290-B2B3-C81A55C7C681}"/>
    <cellStyle name="Comma 555 2 2" xfId="3891" xr:uid="{3C4C14A1-F2FF-4084-B57F-F809CC526390}"/>
    <cellStyle name="Comma 555 3" xfId="2861" xr:uid="{C907ADB3-C0A3-4CA3-BEA1-C3E471EE352F}"/>
    <cellStyle name="Comma 555 4" xfId="4987" xr:uid="{C76D7D41-9AEE-4934-8418-717711D29C66}"/>
    <cellStyle name="Comma 556" xfId="796" xr:uid="{028BDC8D-65DA-4A63-A491-8821EB18C3CF}"/>
    <cellStyle name="Comma 556 2" xfId="1834" xr:uid="{1988C8FB-6ECD-4718-BFD6-889D3C6ED20A}"/>
    <cellStyle name="Comma 556 2 2" xfId="3892" xr:uid="{B80ED1D7-3AF4-4674-BC32-457B38F88532}"/>
    <cellStyle name="Comma 556 3" xfId="2862" xr:uid="{DC2938F8-E1C2-49F8-938F-4EEFEFDBCD2B}"/>
    <cellStyle name="Comma 556 4" xfId="4988" xr:uid="{27212F0D-1ABE-46E0-B2CA-D8313FF5435F}"/>
    <cellStyle name="Comma 557" xfId="797" xr:uid="{731B11EF-1F5B-4C0F-8D1E-3EF02F85A280}"/>
    <cellStyle name="Comma 557 2" xfId="1835" xr:uid="{F8811129-FE80-4CE8-ABFE-F56ABCE631B2}"/>
    <cellStyle name="Comma 557 2 2" xfId="3893" xr:uid="{9928CF16-DDA2-4BEF-B5C9-546F0AEB1096}"/>
    <cellStyle name="Comma 557 3" xfId="2863" xr:uid="{0599290B-8A8E-4077-81EC-E3D50AF505D6}"/>
    <cellStyle name="Comma 557 4" xfId="4989" xr:uid="{77EA52F6-A6FD-497E-90B9-F1A581C183AE}"/>
    <cellStyle name="Comma 558" xfId="798" xr:uid="{8D094889-AF6B-456A-B9B8-7F8600EC5F49}"/>
    <cellStyle name="Comma 558 2" xfId="1836" xr:uid="{954B1FD5-DA03-47E1-99C7-6D1EE02B843C}"/>
    <cellStyle name="Comma 558 2 2" xfId="3894" xr:uid="{ACA6F686-0CFA-400A-8800-157C67F29FE4}"/>
    <cellStyle name="Comma 558 3" xfId="2864" xr:uid="{423B73A1-199E-4C80-BFC1-EE87CDE5ABEF}"/>
    <cellStyle name="Comma 558 4" xfId="4990" xr:uid="{5E915165-1BAB-44FB-A53D-D1584918449F}"/>
    <cellStyle name="Comma 559" xfId="799" xr:uid="{05DF5617-4249-466C-B4FD-A43C11154A81}"/>
    <cellStyle name="Comma 559 2" xfId="1837" xr:uid="{7A7F0A30-FF35-470A-AD41-6542E19114D8}"/>
    <cellStyle name="Comma 559 2 2" xfId="3895" xr:uid="{99C7E55A-E49C-4561-9578-7458C5CBE66C}"/>
    <cellStyle name="Comma 559 3" xfId="2865" xr:uid="{200D2284-B99A-4061-AC45-C9E10A88B9A0}"/>
    <cellStyle name="Comma 559 4" xfId="4991" xr:uid="{5E41651D-5B23-498D-9FA8-A5A7252FC6B7}"/>
    <cellStyle name="Comma 56" xfId="256" xr:uid="{599B89A7-FEB3-4B9E-AC43-65838B359248}"/>
    <cellStyle name="Comma 56 2" xfId="1334" xr:uid="{EE6A81A3-6C11-42BE-8864-9BD61199C8DD}"/>
    <cellStyle name="Comma 56 2 2" xfId="3392" xr:uid="{98BE2643-BB6E-40A8-860E-97C0D37822B7}"/>
    <cellStyle name="Comma 56 3" xfId="2362" xr:uid="{CC9E2702-1AD1-40B3-856B-B54D658DAA6C}"/>
    <cellStyle name="Comma 56 4" xfId="4488" xr:uid="{2C0FDAA4-3FD0-4623-9EAF-66163FD4F000}"/>
    <cellStyle name="Comma 560" xfId="800" xr:uid="{ACA3281F-9D25-4FEE-B225-F6DFCBF1F65A}"/>
    <cellStyle name="Comma 560 2" xfId="1838" xr:uid="{B2B49967-1472-4CBE-A287-7DB351D44919}"/>
    <cellStyle name="Comma 560 2 2" xfId="3896" xr:uid="{59021832-912B-4790-ADC7-A9D88B4C1862}"/>
    <cellStyle name="Comma 560 3" xfId="2866" xr:uid="{B5AB56FE-DC3B-4BFD-B891-4865C12C1D1D}"/>
    <cellStyle name="Comma 560 4" xfId="4992" xr:uid="{05B9E7AF-60FB-429E-80C8-529CCFDB5403}"/>
    <cellStyle name="Comma 561" xfId="801" xr:uid="{5D13083C-637A-4F9E-AF17-942B1E5FBA93}"/>
    <cellStyle name="Comma 561 2" xfId="1839" xr:uid="{AF8B57B6-E9EA-4568-B3EC-18685C7C7CE9}"/>
    <cellStyle name="Comma 561 2 2" xfId="3897" xr:uid="{DDDE90C9-DB89-4EE2-ADB1-B95945950B88}"/>
    <cellStyle name="Comma 561 3" xfId="2867" xr:uid="{55C88BC2-D4F3-4480-8E40-0A22871EAE65}"/>
    <cellStyle name="Comma 561 4" xfId="4993" xr:uid="{FFED2BCE-2AB0-403F-8ECC-B327BD57E391}"/>
    <cellStyle name="Comma 562" xfId="802" xr:uid="{2DB08F97-A46D-4D40-8833-E8623782D044}"/>
    <cellStyle name="Comma 562 2" xfId="1840" xr:uid="{0AECE497-C1AC-4526-8900-D5F48CE58873}"/>
    <cellStyle name="Comma 562 2 2" xfId="3898" xr:uid="{551D592B-4E97-426B-A06D-FB43C1664ACA}"/>
    <cellStyle name="Comma 562 3" xfId="2868" xr:uid="{A8AE4C7E-67C0-4F89-8A0B-ADA1DD01AEB7}"/>
    <cellStyle name="Comma 562 4" xfId="4994" xr:uid="{64741B06-5FB1-4183-ABE0-7EAB82EA98B3}"/>
    <cellStyle name="Comma 563" xfId="803" xr:uid="{F41E7616-DF78-4AE0-8E3F-861FBACB3E3D}"/>
    <cellStyle name="Comma 563 2" xfId="1841" xr:uid="{35E29C53-BF6E-4E6C-9ED2-6352520F4832}"/>
    <cellStyle name="Comma 563 2 2" xfId="3899" xr:uid="{8B49C0FA-5B36-4EED-8572-2909AE810D7E}"/>
    <cellStyle name="Comma 563 3" xfId="2869" xr:uid="{C3EB1786-6545-448A-8F44-D44F76E67787}"/>
    <cellStyle name="Comma 563 4" xfId="4995" xr:uid="{5191D6FD-B446-409E-A257-86906B1D42C6}"/>
    <cellStyle name="Comma 564" xfId="804" xr:uid="{1DB85D85-261C-44BB-A04E-8B716724C38F}"/>
    <cellStyle name="Comma 564 2" xfId="1842" xr:uid="{756FD660-A744-4E2A-8E90-894EBB0CF5CC}"/>
    <cellStyle name="Comma 564 2 2" xfId="3900" xr:uid="{7C90B212-0644-4DD2-8D81-0D1E32C7883A}"/>
    <cellStyle name="Comma 564 3" xfId="2870" xr:uid="{23A3C47F-8441-42B3-8DC1-FC5567DBD158}"/>
    <cellStyle name="Comma 564 4" xfId="4996" xr:uid="{897842A7-F0A0-451A-A965-F39BD71B3DFB}"/>
    <cellStyle name="Comma 565" xfId="805" xr:uid="{7E67063B-F141-43B2-AEC6-0019D07AA715}"/>
    <cellStyle name="Comma 565 2" xfId="1843" xr:uid="{F95577A5-87F5-4B0D-A9CD-780624261176}"/>
    <cellStyle name="Comma 565 2 2" xfId="3901" xr:uid="{02C41A6C-2365-4D22-AC0F-989251C34E69}"/>
    <cellStyle name="Comma 565 3" xfId="2871" xr:uid="{BEB9D90A-1B53-4589-BC5B-4AC7C77781B9}"/>
    <cellStyle name="Comma 565 4" xfId="4997" xr:uid="{0DF128B9-0248-4D92-9C1D-CEA7A90F88B9}"/>
    <cellStyle name="Comma 566" xfId="806" xr:uid="{A30B849E-5268-4508-A291-5D129554C043}"/>
    <cellStyle name="Comma 566 2" xfId="1844" xr:uid="{D7569117-D445-4AE7-9458-0915C78E0D6B}"/>
    <cellStyle name="Comma 566 2 2" xfId="3902" xr:uid="{71F93D1B-05AD-464B-A3D8-EB2962A43BA6}"/>
    <cellStyle name="Comma 566 3" xfId="2872" xr:uid="{E3F78989-B153-4BCF-824D-0A679841096D}"/>
    <cellStyle name="Comma 566 4" xfId="4998" xr:uid="{445B5615-24A3-4584-963C-1ACF14E6884F}"/>
    <cellStyle name="Comma 567" xfId="807" xr:uid="{606447AA-D2F7-433D-98D3-A49C5DC23DD5}"/>
    <cellStyle name="Comma 567 2" xfId="1845" xr:uid="{E7283232-01D6-40EE-BB4A-2A9B80FA10BD}"/>
    <cellStyle name="Comma 567 2 2" xfId="3903" xr:uid="{1A13F67F-DFB0-4023-BECD-E3900000C915}"/>
    <cellStyle name="Comma 567 3" xfId="2873" xr:uid="{E8B55D10-9510-4BC4-98B6-B97EC36EE3F5}"/>
    <cellStyle name="Comma 567 4" xfId="4999" xr:uid="{31F57721-C555-474D-9F58-84E4D193818F}"/>
    <cellStyle name="Comma 568" xfId="808" xr:uid="{46F3E94D-EF4D-4E8D-9A4F-41171EB3082D}"/>
    <cellStyle name="Comma 568 2" xfId="1846" xr:uid="{5F163246-9398-42C7-9F2B-73803B8A42A2}"/>
    <cellStyle name="Comma 568 2 2" xfId="3904" xr:uid="{946EC1AC-7D9A-4D40-AAE2-8691DEE70A58}"/>
    <cellStyle name="Comma 568 3" xfId="2874" xr:uid="{F198EED9-56F2-448E-8169-1E49EE922D4D}"/>
    <cellStyle name="Comma 568 4" xfId="5000" xr:uid="{1002B2C0-0882-4D1B-8E4F-B9D8210334D4}"/>
    <cellStyle name="Comma 569" xfId="809" xr:uid="{C7512539-BB7F-4537-A7FE-29052AB09572}"/>
    <cellStyle name="Comma 569 2" xfId="1847" xr:uid="{3D87CB16-FF96-426E-AA6A-6CB9F065A704}"/>
    <cellStyle name="Comma 569 2 2" xfId="3905" xr:uid="{768DD51C-DDD6-4E35-AC3C-6FB7096EF3F0}"/>
    <cellStyle name="Comma 569 3" xfId="2875" xr:uid="{6834936D-A911-471F-8278-3D4193BFD216}"/>
    <cellStyle name="Comma 569 4" xfId="5001" xr:uid="{61202EE1-CB57-4818-BCA0-D03420FFEEF0}"/>
    <cellStyle name="Comma 57" xfId="257" xr:uid="{14C8D997-5937-4BE0-83BE-2F03D69DDBB4}"/>
    <cellStyle name="Comma 57 2" xfId="1335" xr:uid="{05AD2997-759C-4954-94CA-37DFAB9B8DFC}"/>
    <cellStyle name="Comma 57 2 2" xfId="3393" xr:uid="{612AD078-69E1-411F-8160-D2EFE6AFB3AB}"/>
    <cellStyle name="Comma 57 3" xfId="2363" xr:uid="{FB42A844-B111-4E0A-A8FC-D659025330B1}"/>
    <cellStyle name="Comma 57 4" xfId="4489" xr:uid="{7C2376D0-FE83-4EC4-AC2F-EC699603C248}"/>
    <cellStyle name="Comma 570" xfId="810" xr:uid="{D4EFA335-5E8A-4A6D-81CC-76414F2EE42C}"/>
    <cellStyle name="Comma 570 2" xfId="1848" xr:uid="{D99D69BB-7CFA-472C-87E5-51787F10C775}"/>
    <cellStyle name="Comma 570 2 2" xfId="3906" xr:uid="{21867342-9971-4CDC-9FDC-90CF381E44BE}"/>
    <cellStyle name="Comma 570 3" xfId="2876" xr:uid="{7BB87A3C-82DC-4DA9-95E8-97127AE0DF0B}"/>
    <cellStyle name="Comma 570 4" xfId="5002" xr:uid="{3292E57E-DB23-4AC3-8441-8FF57F5D6509}"/>
    <cellStyle name="Comma 571" xfId="811" xr:uid="{6F50F3F0-2F57-4671-8574-33439225288A}"/>
    <cellStyle name="Comma 571 2" xfId="1849" xr:uid="{924758F5-62F1-4DD6-9AF2-932EE3CE7742}"/>
    <cellStyle name="Comma 571 2 2" xfId="3907" xr:uid="{F50B0449-DB10-416D-93C8-541165AFB7D9}"/>
    <cellStyle name="Comma 571 3" xfId="2877" xr:uid="{887708DA-BAFD-43BF-9C54-0C1379BDF6A8}"/>
    <cellStyle name="Comma 571 4" xfId="5003" xr:uid="{DE29BE8F-0EA2-4D68-990C-73F2C95369B8}"/>
    <cellStyle name="Comma 572" xfId="812" xr:uid="{ECAD6E33-2944-4D3F-810C-FB186DC7DEC1}"/>
    <cellStyle name="Comma 572 2" xfId="1850" xr:uid="{1239D592-94B6-410B-B55B-1530C4DF4F1F}"/>
    <cellStyle name="Comma 572 2 2" xfId="3908" xr:uid="{721D68EC-D60F-4D93-851D-6D67DB7E3D23}"/>
    <cellStyle name="Comma 572 3" xfId="2878" xr:uid="{65642748-764F-461D-8416-A38222CB72AA}"/>
    <cellStyle name="Comma 572 4" xfId="5004" xr:uid="{BA5EAF37-AC5F-4245-AAF2-B7F86ADB4939}"/>
    <cellStyle name="Comma 573" xfId="813" xr:uid="{86C8CD0F-5C80-46A6-B0BC-91582395E946}"/>
    <cellStyle name="Comma 573 2" xfId="1851" xr:uid="{1C29D76F-3DA0-4586-9A4A-0BDD726589B2}"/>
    <cellStyle name="Comma 573 2 2" xfId="3909" xr:uid="{D28AEE86-7A0B-4468-B05D-ED9A8FB782FE}"/>
    <cellStyle name="Comma 573 3" xfId="2879" xr:uid="{0289D39D-A852-46C7-BECD-D622B5DA6DA6}"/>
    <cellStyle name="Comma 573 4" xfId="5005" xr:uid="{19812A30-6A88-456E-9550-651C38FFFBB3}"/>
    <cellStyle name="Comma 574" xfId="814" xr:uid="{CBFB4F89-9B4A-4CA5-92EE-AF27BA162484}"/>
    <cellStyle name="Comma 574 2" xfId="1852" xr:uid="{96612003-D0B7-4CFC-BA90-5EA5EACCBAE4}"/>
    <cellStyle name="Comma 574 2 2" xfId="3910" xr:uid="{E4A24762-1532-4E43-973C-6A59062AE891}"/>
    <cellStyle name="Comma 574 3" xfId="2880" xr:uid="{A6A32F64-78EB-44F8-BF6C-52F312ABC16F}"/>
    <cellStyle name="Comma 574 4" xfId="5006" xr:uid="{9CA86BF8-AD94-499C-8335-C1AAC1B51C65}"/>
    <cellStyle name="Comma 575" xfId="815" xr:uid="{8112CFF1-A80A-4A9C-83D1-6F5F8E507598}"/>
    <cellStyle name="Comma 575 2" xfId="1853" xr:uid="{523B8A68-1B09-433B-8F37-0795BAD79AEF}"/>
    <cellStyle name="Comma 575 2 2" xfId="3911" xr:uid="{CB1D2903-6363-4D04-A79C-C6806FE05807}"/>
    <cellStyle name="Comma 575 3" xfId="2881" xr:uid="{79EE2003-4173-44F3-81C9-B8C33BD5944F}"/>
    <cellStyle name="Comma 575 4" xfId="5007" xr:uid="{EBDCAF60-B31C-423B-979A-7D0C829AFB5A}"/>
    <cellStyle name="Comma 576" xfId="816" xr:uid="{0A9241B4-4556-44AA-9D14-80C66CBCA7A3}"/>
    <cellStyle name="Comma 576 2" xfId="1854" xr:uid="{2D5125B3-4E4C-4583-BC27-571795E15430}"/>
    <cellStyle name="Comma 576 2 2" xfId="3912" xr:uid="{27A4A745-CD23-4064-BEAC-9E5C15956430}"/>
    <cellStyle name="Comma 576 3" xfId="2882" xr:uid="{A514A408-7F85-4048-A64F-028A06F86516}"/>
    <cellStyle name="Comma 576 4" xfId="5008" xr:uid="{605F5C9C-F9EE-43EA-AE9B-A4303EEE47DE}"/>
    <cellStyle name="Comma 577" xfId="817" xr:uid="{B7F0B046-CEA7-4C28-815C-6C4D9A16B01A}"/>
    <cellStyle name="Comma 577 2" xfId="1855" xr:uid="{0410C8B7-98A1-4A03-A0CE-A62DFCE58C6E}"/>
    <cellStyle name="Comma 577 2 2" xfId="3913" xr:uid="{587D74FA-AE7C-4946-A1D6-7701F9E747B1}"/>
    <cellStyle name="Comma 577 3" xfId="2883" xr:uid="{59CD2BD6-3D5A-4337-AE8D-49EF69639FC9}"/>
    <cellStyle name="Comma 577 4" xfId="5009" xr:uid="{61F08090-B3E4-4B99-BD2D-88B987097EC6}"/>
    <cellStyle name="Comma 578" xfId="818" xr:uid="{D2386018-2B93-47D1-956A-60A59EFF947B}"/>
    <cellStyle name="Comma 578 2" xfId="1856" xr:uid="{D6D01355-A53D-4F31-AC70-0ED7B34802DF}"/>
    <cellStyle name="Comma 578 2 2" xfId="3914" xr:uid="{2EE9B108-2F36-4254-8EA3-AE6840C18F15}"/>
    <cellStyle name="Comma 578 3" xfId="2884" xr:uid="{C809E434-CCC9-49F1-A987-5ECC4B790EF5}"/>
    <cellStyle name="Comma 578 4" xfId="5010" xr:uid="{FA4715F1-4612-4AB0-B3C4-2AA2CFF3E6EA}"/>
    <cellStyle name="Comma 579" xfId="819" xr:uid="{58BC31A7-A7B8-4AA8-BF2E-D0D3A4D09B22}"/>
    <cellStyle name="Comma 579 2" xfId="1857" xr:uid="{8B140E20-3017-4AB9-81C0-09A1CFE17257}"/>
    <cellStyle name="Comma 579 2 2" xfId="3915" xr:uid="{8259B37B-82A7-4F0A-91D0-21BCEFF146D3}"/>
    <cellStyle name="Comma 579 3" xfId="2885" xr:uid="{89290705-FA85-4596-B427-167A4F9363D5}"/>
    <cellStyle name="Comma 579 4" xfId="5011" xr:uid="{EA59AC03-227B-4153-9A72-5AE3E1ECA21D}"/>
    <cellStyle name="Comma 58" xfId="259" xr:uid="{E7EE5760-0B79-4E61-B509-AEB6278DB012}"/>
    <cellStyle name="Comma 58 2" xfId="1336" xr:uid="{82D9A088-5141-425A-8135-69768E185F82}"/>
    <cellStyle name="Comma 58 2 2" xfId="3394" xr:uid="{85225671-58F3-48CA-925F-DC8B4A622262}"/>
    <cellStyle name="Comma 58 3" xfId="2364" xr:uid="{B0A932DC-4A88-44F3-89A9-8F92466F9E32}"/>
    <cellStyle name="Comma 58 4" xfId="4490" xr:uid="{EA735B4D-F019-4732-ADBB-F2FAB6164FF9}"/>
    <cellStyle name="Comma 580" xfId="820" xr:uid="{B99F33AD-6577-41CE-B1BA-3A79B60D7C11}"/>
    <cellStyle name="Comma 580 2" xfId="1858" xr:uid="{F4C32703-F484-4AFB-BB54-67D272841146}"/>
    <cellStyle name="Comma 580 2 2" xfId="3916" xr:uid="{AF56585A-1582-4E4A-BD34-FB2FECFABBC0}"/>
    <cellStyle name="Comma 580 3" xfId="2886" xr:uid="{32AB09EB-5D6D-49B4-9F06-3F1214F7FF45}"/>
    <cellStyle name="Comma 580 4" xfId="5012" xr:uid="{6E4B5E2B-CF55-4AA3-98B5-63C767832109}"/>
    <cellStyle name="Comma 581" xfId="821" xr:uid="{4B04A35A-9300-41FD-84CF-5D56E05A24F4}"/>
    <cellStyle name="Comma 581 2" xfId="1859" xr:uid="{F6123EF8-56BB-4C28-B7AC-A3D3EE9578BD}"/>
    <cellStyle name="Comma 581 2 2" xfId="3917" xr:uid="{14610047-D519-4057-A9AA-286704819B61}"/>
    <cellStyle name="Comma 581 3" xfId="2887" xr:uid="{747C3CFE-5D5F-4C46-AA9E-A08595B53D21}"/>
    <cellStyle name="Comma 581 4" xfId="5013" xr:uid="{3EA49237-E788-45EC-8765-F71458F27E7A}"/>
    <cellStyle name="Comma 582" xfId="822" xr:uid="{4DF3EA69-1A19-4F29-9471-84875059B97A}"/>
    <cellStyle name="Comma 582 2" xfId="1860" xr:uid="{C9C1BF98-3EAA-459C-880C-D90DFB7EF9DF}"/>
    <cellStyle name="Comma 582 2 2" xfId="3918" xr:uid="{F72A6D38-5E99-4E12-9510-452BF666A79E}"/>
    <cellStyle name="Comma 582 3" xfId="2888" xr:uid="{DC38C472-4D9C-412C-9B08-2B3F1AFF8FCC}"/>
    <cellStyle name="Comma 582 4" xfId="5014" xr:uid="{3B3F26B1-C516-4B76-8178-A79002D9F282}"/>
    <cellStyle name="Comma 583" xfId="823" xr:uid="{8A4E80CC-10F4-4299-A032-4208214716FE}"/>
    <cellStyle name="Comma 583 2" xfId="1861" xr:uid="{DEA32157-1D5D-45DA-AF10-5B968CCD6386}"/>
    <cellStyle name="Comma 583 2 2" xfId="3919" xr:uid="{657960E3-C5C2-4552-95C9-9E25D6EB6150}"/>
    <cellStyle name="Comma 583 3" xfId="2889" xr:uid="{320400A7-9303-4C24-B3EE-F57E6ABE2D01}"/>
    <cellStyle name="Comma 583 4" xfId="5015" xr:uid="{2A4691D6-500D-4708-A494-56F6DB01D9FF}"/>
    <cellStyle name="Comma 584" xfId="824" xr:uid="{692A0831-DDF5-47D3-B1AA-001124C819CA}"/>
    <cellStyle name="Comma 584 2" xfId="1862" xr:uid="{A0207FAF-B4A1-45BB-A61F-15DF53AF975A}"/>
    <cellStyle name="Comma 584 2 2" xfId="3920" xr:uid="{32F9C22D-E002-4E7D-9395-BD97B7ADAD77}"/>
    <cellStyle name="Comma 584 3" xfId="2890" xr:uid="{4C020042-EC85-4B48-8612-06A2FEBFDAF6}"/>
    <cellStyle name="Comma 584 4" xfId="5016" xr:uid="{363AF000-3AD3-4249-BF9E-CF86EBE06F92}"/>
    <cellStyle name="Comma 585" xfId="825" xr:uid="{B2FE4506-DD1F-4B83-928D-DA53318E80B3}"/>
    <cellStyle name="Comma 585 2" xfId="1863" xr:uid="{B9770308-8DFD-45B8-9E40-D210BC822A46}"/>
    <cellStyle name="Comma 585 2 2" xfId="3921" xr:uid="{53AAC32D-FCE0-49F4-BD14-527AD2B8B8AC}"/>
    <cellStyle name="Comma 585 3" xfId="2891" xr:uid="{5C6FB300-629A-4AA0-83E2-A383DEC9A190}"/>
    <cellStyle name="Comma 585 4" xfId="5017" xr:uid="{FA09DD7D-12FD-40AB-A2B6-7377FF8B9678}"/>
    <cellStyle name="Comma 586" xfId="826" xr:uid="{3F2D2184-E1E0-43D4-B60B-021A236CDFB7}"/>
    <cellStyle name="Comma 586 2" xfId="1864" xr:uid="{EB1A899B-52B2-4773-853E-21362E925875}"/>
    <cellStyle name="Comma 586 2 2" xfId="3922" xr:uid="{13EB7E1A-6D13-4BEA-A8AC-B5903B2C469F}"/>
    <cellStyle name="Comma 586 3" xfId="2892" xr:uid="{AA64BC96-7D9B-4BBD-8F3D-D642DA5D15A9}"/>
    <cellStyle name="Comma 586 4" xfId="5018" xr:uid="{768DF4D8-E077-4880-B2CF-6AE15DFFD74F}"/>
    <cellStyle name="Comma 587" xfId="827" xr:uid="{06F6F45E-5CB7-42DD-ABB8-EAFDF5DCD779}"/>
    <cellStyle name="Comma 587 2" xfId="1865" xr:uid="{C1D79F22-DD97-43C5-95B9-81F134B9E499}"/>
    <cellStyle name="Comma 587 2 2" xfId="3923" xr:uid="{D7DEF1F9-D87C-4833-9331-64371153CA24}"/>
    <cellStyle name="Comma 587 3" xfId="2893" xr:uid="{1DF279D9-8285-4476-BFA1-E96A76B6F179}"/>
    <cellStyle name="Comma 587 4" xfId="5019" xr:uid="{260DABB0-B4CE-47E2-AD4A-8CCA081708BD}"/>
    <cellStyle name="Comma 588" xfId="828" xr:uid="{156581FD-2271-45F4-89CA-9260E142CC92}"/>
    <cellStyle name="Comma 588 2" xfId="1866" xr:uid="{6EAA2CD7-A704-4C8A-9B29-445DD7D1552E}"/>
    <cellStyle name="Comma 588 2 2" xfId="3924" xr:uid="{FAB4B83D-A8CA-4527-B2E5-4A7418094030}"/>
    <cellStyle name="Comma 588 3" xfId="2894" xr:uid="{82724AFC-2792-48AE-996F-704A72377396}"/>
    <cellStyle name="Comma 588 4" xfId="5020" xr:uid="{A7AB743C-ACDF-422D-B6F1-058355C97EED}"/>
    <cellStyle name="Comma 589" xfId="829" xr:uid="{1216AAAB-59E4-4B38-A462-2CB75ABDD8BE}"/>
    <cellStyle name="Comma 589 2" xfId="1867" xr:uid="{D3DFD91F-AA6C-4685-A96F-0A2E872118E6}"/>
    <cellStyle name="Comma 589 2 2" xfId="3925" xr:uid="{714400A6-FE2E-49BF-B0EA-BAFC8EFCFC74}"/>
    <cellStyle name="Comma 589 3" xfId="2895" xr:uid="{11CDB2F8-24EF-4DF3-9467-B56DCADA38C8}"/>
    <cellStyle name="Comma 589 4" xfId="5021" xr:uid="{78BC5BC2-7850-40C1-8C5D-E44AD65E67B0}"/>
    <cellStyle name="Comma 59" xfId="260" xr:uid="{A7814672-0973-41B8-BAA3-39DA6330E6B4}"/>
    <cellStyle name="Comma 59 2" xfId="1337" xr:uid="{5DFB251B-E297-4521-9BA7-BD24427945BD}"/>
    <cellStyle name="Comma 59 2 2" xfId="3395" xr:uid="{3DD22F79-7E85-422A-92FD-F29C807CAE07}"/>
    <cellStyle name="Comma 59 3" xfId="2365" xr:uid="{AC88CC7A-B2D8-4082-B297-887A50A3C77E}"/>
    <cellStyle name="Comma 59 4" xfId="4491" xr:uid="{E4B9845E-AF67-4312-994C-EDA42042E895}"/>
    <cellStyle name="Comma 590" xfId="830" xr:uid="{5F93F5B8-356C-4781-9809-953FA6E9DB23}"/>
    <cellStyle name="Comma 590 2" xfId="1868" xr:uid="{542CAF52-AF07-49FB-9E95-F634472FF87D}"/>
    <cellStyle name="Comma 590 2 2" xfId="3926" xr:uid="{7322E2DC-435B-4F59-9F1C-4DAD6E0A80B3}"/>
    <cellStyle name="Comma 590 3" xfId="2896" xr:uid="{23E95379-72BD-491C-8024-78764F7EC795}"/>
    <cellStyle name="Comma 590 4" xfId="5022" xr:uid="{D7AADD72-C013-4130-8275-A720CB7050B8}"/>
    <cellStyle name="Comma 591" xfId="831" xr:uid="{2B29AAEB-6CA3-41AC-8192-600ABEEE99B5}"/>
    <cellStyle name="Comma 591 2" xfId="1869" xr:uid="{EE6E741B-E707-42A7-AC8A-9F302AF9E07B}"/>
    <cellStyle name="Comma 591 2 2" xfId="3927" xr:uid="{605E8AFC-8520-4F31-920F-34137F6E065E}"/>
    <cellStyle name="Comma 591 3" xfId="2897" xr:uid="{494E71F9-9DB2-40F3-B940-E7355DF62B50}"/>
    <cellStyle name="Comma 591 4" xfId="5023" xr:uid="{DD0DB046-5255-4425-9976-4D0E3462EB53}"/>
    <cellStyle name="Comma 592" xfId="832" xr:uid="{72373B19-5781-4F72-ACD3-381853F5984F}"/>
    <cellStyle name="Comma 592 2" xfId="1870" xr:uid="{97D1D50E-902E-4929-9762-E50F5DC83FBF}"/>
    <cellStyle name="Comma 592 2 2" xfId="3928" xr:uid="{FE00816F-04F8-43DD-B16D-B24002C170DC}"/>
    <cellStyle name="Comma 592 3" xfId="2898" xr:uid="{356C39CB-8330-4F1D-8586-0730D30A1CBE}"/>
    <cellStyle name="Comma 592 4" xfId="5024" xr:uid="{3AD041E4-C359-445A-95B3-ECE25D9D2DEF}"/>
    <cellStyle name="Comma 593" xfId="833" xr:uid="{8EA3B3D4-7AA5-4671-B6DF-997505EADAFA}"/>
    <cellStyle name="Comma 593 2" xfId="1871" xr:uid="{5367988B-9431-4869-89C3-C57CF27CAA3D}"/>
    <cellStyle name="Comma 593 2 2" xfId="3929" xr:uid="{4DF44DAA-76CA-4D4B-BA5B-71073D40D232}"/>
    <cellStyle name="Comma 593 3" xfId="2899" xr:uid="{BC7C575E-FEDB-4D16-9318-97099475C6E6}"/>
    <cellStyle name="Comma 593 4" xfId="5025" xr:uid="{2AA947EB-6B42-4266-980F-13B1F2C13E3E}"/>
    <cellStyle name="Comma 594" xfId="834" xr:uid="{A9F730E0-5C64-4E97-8639-85A10461AF00}"/>
    <cellStyle name="Comma 594 2" xfId="1872" xr:uid="{849DB5F2-8B9B-4789-A231-9F4B08EA5E12}"/>
    <cellStyle name="Comma 594 2 2" xfId="3930" xr:uid="{93083D3F-5B0F-4F70-843E-7D44373B9844}"/>
    <cellStyle name="Comma 594 3" xfId="2900" xr:uid="{91B91CD6-C4CA-47E7-B927-48B11FA8BA7C}"/>
    <cellStyle name="Comma 594 4" xfId="5026" xr:uid="{4D9CC01A-45BA-418E-975F-F3A0E2EA3D4A}"/>
    <cellStyle name="Comma 595" xfId="835" xr:uid="{AA942C3E-BAA9-42A2-94F2-CDCB88755681}"/>
    <cellStyle name="Comma 595 2" xfId="1873" xr:uid="{4628D169-E159-4981-9D01-A914618B5634}"/>
    <cellStyle name="Comma 595 2 2" xfId="3931" xr:uid="{B4049BC0-96D3-448E-86C7-422F320EB6BC}"/>
    <cellStyle name="Comma 595 3" xfId="2901" xr:uid="{317026BB-4617-48D3-A32E-DB8FD30F9B62}"/>
    <cellStyle name="Comma 595 4" xfId="5027" xr:uid="{D8AE6A67-26E8-44B9-9E8C-9BA01F2B6792}"/>
    <cellStyle name="Comma 596" xfId="836" xr:uid="{79FD4C2C-F0B8-47EE-8046-95B31F86C78D}"/>
    <cellStyle name="Comma 596 2" xfId="1874" xr:uid="{067AA190-A85C-4EE4-A199-77F84B6465D8}"/>
    <cellStyle name="Comma 596 2 2" xfId="3932" xr:uid="{46BDE9BB-7DE3-4477-9D9E-03642E8DB8E3}"/>
    <cellStyle name="Comma 596 3" xfId="2902" xr:uid="{00206922-4107-4F68-879B-34981FD1C6DC}"/>
    <cellStyle name="Comma 596 4" xfId="5028" xr:uid="{2195BE42-0ADD-4671-8C09-03EB135E19FE}"/>
    <cellStyle name="Comma 597" xfId="837" xr:uid="{623438D4-E9D6-4851-899E-3F7C7C99540C}"/>
    <cellStyle name="Comma 597 2" xfId="1875" xr:uid="{3E8696FA-4504-44B6-BCDF-3F4BB3722F31}"/>
    <cellStyle name="Comma 597 2 2" xfId="3933" xr:uid="{E6F8C7D2-0BCF-436C-9D14-13EEEDE7ECB1}"/>
    <cellStyle name="Comma 597 3" xfId="2903" xr:uid="{90A688F5-35CF-46A8-9814-A7964E909046}"/>
    <cellStyle name="Comma 597 4" xfId="5029" xr:uid="{740537AD-CC14-4626-A0A2-008577BD6156}"/>
    <cellStyle name="Comma 598" xfId="838" xr:uid="{EE6CF515-F719-4500-AC28-6561807329C1}"/>
    <cellStyle name="Comma 598 2" xfId="1876" xr:uid="{00A8D645-E747-4DC5-8568-BDE2E7454944}"/>
    <cellStyle name="Comma 598 2 2" xfId="3934" xr:uid="{5D9F3D38-5A05-49A2-B19E-BB42C5943E8F}"/>
    <cellStyle name="Comma 598 3" xfId="2904" xr:uid="{2C7DB900-D4EA-406D-AC5D-B0DB089F669F}"/>
    <cellStyle name="Comma 598 4" xfId="5030" xr:uid="{3614F939-6B53-46E0-8383-EAFC01F72F1B}"/>
    <cellStyle name="Comma 599" xfId="839" xr:uid="{42C29FD0-7C39-4831-A93E-5F86D311E604}"/>
    <cellStyle name="Comma 599 2" xfId="1877" xr:uid="{930C7991-536D-491F-B340-6E1C19AB943C}"/>
    <cellStyle name="Comma 599 2 2" xfId="3935" xr:uid="{3B6C79A3-C779-4474-B27D-F0CDBDFDF189}"/>
    <cellStyle name="Comma 599 3" xfId="2905" xr:uid="{85A6DAFD-7854-48B4-9D24-1F3A94E755CA}"/>
    <cellStyle name="Comma 599 4" xfId="5031" xr:uid="{133F8A47-8689-42E1-A9EE-49603FC76077}"/>
    <cellStyle name="Comma 6" xfId="198" xr:uid="{332186DF-4459-4909-BCC0-9838EC9BDD03}"/>
    <cellStyle name="Comma 6 2" xfId="1284" xr:uid="{C63834D8-AD16-4A7C-B09B-E2B070A944F5}"/>
    <cellStyle name="Comma 6 2 2" xfId="3342" xr:uid="{D6B3784F-A4C0-4C00-9B84-99731D08B6E3}"/>
    <cellStyle name="Comma 6 3" xfId="2312" xr:uid="{BA6B1806-D17D-441A-B8DF-9E349B803CBA}"/>
    <cellStyle name="Comma 6 4" xfId="4438" xr:uid="{1B82D1F8-9A76-4C43-8806-11269F3EE15F}"/>
    <cellStyle name="Comma 60" xfId="261" xr:uid="{64F7EFB7-CE43-4E4F-9C11-77CDD2660F84}"/>
    <cellStyle name="Comma 60 2" xfId="1338" xr:uid="{233B6E70-304D-4DE4-9921-9F065C379315}"/>
    <cellStyle name="Comma 60 2 2" xfId="3396" xr:uid="{4CDEBE86-CBCD-4818-8D34-1984E123E20C}"/>
    <cellStyle name="Comma 60 3" xfId="2366" xr:uid="{CF0A5F70-1C64-4246-A140-9A0457F7065E}"/>
    <cellStyle name="Comma 60 4" xfId="4492" xr:uid="{699B703D-BCB9-4CDB-A7E6-C8D61CD7FF80}"/>
    <cellStyle name="Comma 600" xfId="840" xr:uid="{94B1C7A2-4A6D-4B40-980B-78B1A3A80F70}"/>
    <cellStyle name="Comma 600 2" xfId="1878" xr:uid="{1452762F-3A0A-4B0B-AC6A-F080EFED8358}"/>
    <cellStyle name="Comma 600 2 2" xfId="3936" xr:uid="{D495B463-3FA8-407A-9DC3-418AA5262C17}"/>
    <cellStyle name="Comma 600 3" xfId="2906" xr:uid="{BC2F6DD4-BA45-4243-840C-64BC5577C798}"/>
    <cellStyle name="Comma 600 4" xfId="5032" xr:uid="{95DBAE8F-74BD-4F67-807A-FAD791C9C2AC}"/>
    <cellStyle name="Comma 601" xfId="841" xr:uid="{99C79628-522E-476A-A1C1-AF2D31CB201B}"/>
    <cellStyle name="Comma 601 2" xfId="1879" xr:uid="{4378FBDC-E778-41ED-9BF5-2544427CB606}"/>
    <cellStyle name="Comma 601 2 2" xfId="3937" xr:uid="{7DC682F7-AFBB-4242-A652-E6D84835662B}"/>
    <cellStyle name="Comma 601 3" xfId="2907" xr:uid="{39EE2037-C38F-49BC-A3D4-14C3B8DCA47F}"/>
    <cellStyle name="Comma 601 4" xfId="5033" xr:uid="{BDFA82FB-946D-4823-A7D7-F61D537E42E3}"/>
    <cellStyle name="Comma 602" xfId="842" xr:uid="{F9461B7E-ACD8-49F1-AA9F-3D2DA01E27FE}"/>
    <cellStyle name="Comma 602 2" xfId="1880" xr:uid="{FFD1F7E1-6BCE-47C6-B2DA-3FFBEEADACD6}"/>
    <cellStyle name="Comma 602 2 2" xfId="3938" xr:uid="{0B518556-310D-42F8-8B3E-1A51BE29F02E}"/>
    <cellStyle name="Comma 602 3" xfId="2908" xr:uid="{7C530DB4-E541-41D9-B4A1-06FD96457277}"/>
    <cellStyle name="Comma 602 4" xfId="5034" xr:uid="{1AA90A02-B4F6-4C61-92AC-73CAAADAD910}"/>
    <cellStyle name="Comma 603" xfId="843" xr:uid="{DCA60936-84BB-43C3-A961-0FCC04A608CC}"/>
    <cellStyle name="Comma 603 2" xfId="1881" xr:uid="{D6365328-40E3-4B40-8FA9-78599C14C0AE}"/>
    <cellStyle name="Comma 603 2 2" xfId="3939" xr:uid="{53698554-ACBD-4FFD-9C23-443087BD121F}"/>
    <cellStyle name="Comma 603 3" xfId="2909" xr:uid="{C298DAC1-2F49-4379-8684-3BD23F66F10C}"/>
    <cellStyle name="Comma 603 4" xfId="5035" xr:uid="{ED1A1BD5-93F7-488A-A1B0-9A2C981A36B2}"/>
    <cellStyle name="Comma 604" xfId="844" xr:uid="{389A0CED-E0B9-4B69-A8F2-78A7551C706B}"/>
    <cellStyle name="Comma 604 2" xfId="1882" xr:uid="{29F743B7-CB85-4625-A58A-18DA2F611A5D}"/>
    <cellStyle name="Comma 604 2 2" xfId="3940" xr:uid="{6B29DFC6-5C28-4922-920B-D0975884458F}"/>
    <cellStyle name="Comma 604 3" xfId="2910" xr:uid="{52F84D2F-092D-4B8D-8EBF-F6FF4EDBC0AA}"/>
    <cellStyle name="Comma 604 4" xfId="5036" xr:uid="{F01D4309-B459-47B1-A973-24085BF78B1B}"/>
    <cellStyle name="Comma 605" xfId="845" xr:uid="{54FCD890-6E53-445D-995B-D04A9D79DC2E}"/>
    <cellStyle name="Comma 605 2" xfId="1883" xr:uid="{81740826-F32F-457F-A7DD-1FC23CBAEBBD}"/>
    <cellStyle name="Comma 605 2 2" xfId="3941" xr:uid="{2DDFE1BD-F146-41A3-AC50-597D1E66962E}"/>
    <cellStyle name="Comma 605 3" xfId="2911" xr:uid="{E206EECF-7848-4426-8572-F166FE71998C}"/>
    <cellStyle name="Comma 605 4" xfId="5037" xr:uid="{6E0EF64E-2EF7-4235-A8EA-757BFBAF7549}"/>
    <cellStyle name="Comma 606" xfId="846" xr:uid="{B6DF7683-9767-4291-A46E-72370E272FA6}"/>
    <cellStyle name="Comma 606 2" xfId="1884" xr:uid="{8D334919-6DF2-4C11-A352-4D25FA405862}"/>
    <cellStyle name="Comma 606 2 2" xfId="3942" xr:uid="{A17CE969-64C1-43A5-A66E-4E13DA80634A}"/>
    <cellStyle name="Comma 606 3" xfId="2912" xr:uid="{4B8372C2-6681-4C83-B40E-013233907E93}"/>
    <cellStyle name="Comma 606 4" xfId="5038" xr:uid="{F83CD7C3-B7ED-43C8-9FEA-093A13581647}"/>
    <cellStyle name="Comma 607" xfId="847" xr:uid="{5A4DEDD3-0A95-4DF1-8549-CB565ED3A1B0}"/>
    <cellStyle name="Comma 607 2" xfId="1885" xr:uid="{78EEC697-EFE9-4037-AFD1-B587FDA56312}"/>
    <cellStyle name="Comma 607 2 2" xfId="3943" xr:uid="{E2F8DAC3-3DC6-402F-8FB1-BBCD3604EC6D}"/>
    <cellStyle name="Comma 607 3" xfId="2913" xr:uid="{78B74548-C17E-40F3-92A9-CF634BBC5B96}"/>
    <cellStyle name="Comma 607 4" xfId="5039" xr:uid="{03A0C25A-B754-45ED-A4DA-F8B1C5278BA4}"/>
    <cellStyle name="Comma 608" xfId="848" xr:uid="{5C9C0C07-F822-4637-A51B-8AD20D7C8B86}"/>
    <cellStyle name="Comma 608 2" xfId="1886" xr:uid="{ED4A9D82-002C-4B95-887E-3FD3935D69F1}"/>
    <cellStyle name="Comma 608 2 2" xfId="3944" xr:uid="{99C1270F-5144-43F0-8061-B0D75760C31F}"/>
    <cellStyle name="Comma 608 3" xfId="2914" xr:uid="{E869EE48-77D1-4F76-A7DB-DB80C38856EA}"/>
    <cellStyle name="Comma 608 4" xfId="5040" xr:uid="{580ADECE-9A2B-4F91-ABD3-7279DCD9BB97}"/>
    <cellStyle name="Comma 609" xfId="849" xr:uid="{F490A436-6DAB-4C23-8481-24863D3ACF0A}"/>
    <cellStyle name="Comma 609 2" xfId="1887" xr:uid="{B7C063EC-36A5-4C20-AC5D-EB9C76B9013B}"/>
    <cellStyle name="Comma 609 2 2" xfId="3945" xr:uid="{B961BEB5-D708-4F82-A267-482A19BEC506}"/>
    <cellStyle name="Comma 609 3" xfId="2915" xr:uid="{E1409823-15D5-4B19-B748-C99DC134D047}"/>
    <cellStyle name="Comma 609 4" xfId="5041" xr:uid="{23E9AF48-A352-4873-B54F-AD9197038A3E}"/>
    <cellStyle name="Comma 61" xfId="262" xr:uid="{00BCC727-0683-4164-87B0-C1C688C21361}"/>
    <cellStyle name="Comma 61 2" xfId="1339" xr:uid="{58DB7ABF-0158-44EA-98E8-2FB24BA4DC95}"/>
    <cellStyle name="Comma 61 2 2" xfId="3397" xr:uid="{DD3E7104-D233-4F30-9947-C61FF9DF33FB}"/>
    <cellStyle name="Comma 61 3" xfId="2367" xr:uid="{7A082A05-9C52-4A66-8F8B-7118A39DB3F9}"/>
    <cellStyle name="Comma 61 4" xfId="4493" xr:uid="{DAAEC7F6-7836-4DCD-832D-55417A408D6A}"/>
    <cellStyle name="Comma 610" xfId="850" xr:uid="{01E45C70-F4B8-45ED-82A5-A6D8275C0D60}"/>
    <cellStyle name="Comma 610 2" xfId="1888" xr:uid="{BD715D0A-3E42-4B4C-AECF-ECE9B105F6A2}"/>
    <cellStyle name="Comma 610 2 2" xfId="3946" xr:uid="{56BDA74E-2F02-41EB-A195-032A6FEB2A24}"/>
    <cellStyle name="Comma 610 3" xfId="2916" xr:uid="{A9076203-AD54-4D77-A636-922FE6D8C59F}"/>
    <cellStyle name="Comma 610 4" xfId="5042" xr:uid="{EFDA6785-6827-4D32-8B5D-1835BDA97E30}"/>
    <cellStyle name="Comma 611" xfId="851" xr:uid="{3381BBBE-13D2-4EB7-9D1F-C958925CE026}"/>
    <cellStyle name="Comma 611 2" xfId="1889" xr:uid="{B2D0602B-4345-4638-93E1-F2EB892998DE}"/>
    <cellStyle name="Comma 611 2 2" xfId="3947" xr:uid="{202083D3-0A7D-460E-ADB4-AA68C499FEBE}"/>
    <cellStyle name="Comma 611 3" xfId="2917" xr:uid="{EE9270C6-007E-4860-8FD0-FF169B13B7FA}"/>
    <cellStyle name="Comma 611 4" xfId="5043" xr:uid="{6B1DEC88-09FD-4804-A291-116717B58047}"/>
    <cellStyle name="Comma 612" xfId="852" xr:uid="{DB8C8777-F868-44AC-9F1F-437A3099C957}"/>
    <cellStyle name="Comma 612 2" xfId="1890" xr:uid="{5D150FDE-B37F-4943-BF59-062C6DF58A31}"/>
    <cellStyle name="Comma 612 2 2" xfId="3948" xr:uid="{0999D6D0-C475-470F-8373-672908AA0C4B}"/>
    <cellStyle name="Comma 612 3" xfId="2918" xr:uid="{6AF16371-55C8-4ED5-9119-DEAE2C0F6CBF}"/>
    <cellStyle name="Comma 612 4" xfId="5044" xr:uid="{413F9BD8-8E7D-4AD5-8986-B26EF5351741}"/>
    <cellStyle name="Comma 613" xfId="853" xr:uid="{3EEEA17B-7977-40E5-BCAC-A0F585E5D947}"/>
    <cellStyle name="Comma 613 2" xfId="1891" xr:uid="{D20C8966-82D9-4B3A-B3DC-74BDB0C0FFC4}"/>
    <cellStyle name="Comma 613 2 2" xfId="3949" xr:uid="{DAE1875B-0AFD-428E-8FF6-5ADEA174E236}"/>
    <cellStyle name="Comma 613 3" xfId="2919" xr:uid="{E17B7E4B-9D03-4CB4-90CB-205C22A299A0}"/>
    <cellStyle name="Comma 613 4" xfId="5045" xr:uid="{46DD8A36-B8D0-4056-A43E-879E215747E8}"/>
    <cellStyle name="Comma 614" xfId="854" xr:uid="{8C5C727C-7BCE-4B57-B2B2-C542580F0186}"/>
    <cellStyle name="Comma 614 2" xfId="1892" xr:uid="{CEE7613B-2001-4B64-9FF6-808C1CCCB789}"/>
    <cellStyle name="Comma 614 2 2" xfId="3950" xr:uid="{9D570F29-A291-41FC-BF98-2530D7350D2B}"/>
    <cellStyle name="Comma 614 3" xfId="2920" xr:uid="{BB581476-0733-44C0-ACF2-31CCA2275B7D}"/>
    <cellStyle name="Comma 614 4" xfId="5046" xr:uid="{B706F550-7AAA-4ABC-9A79-B29D3233BF06}"/>
    <cellStyle name="Comma 615" xfId="855" xr:uid="{F7B04A63-285F-4CDC-A87B-6819A7B63758}"/>
    <cellStyle name="Comma 615 2" xfId="1893" xr:uid="{DD496868-7453-4EB2-9827-05FB37C45B98}"/>
    <cellStyle name="Comma 615 2 2" xfId="3951" xr:uid="{5097BF90-56F1-4D79-A084-1DA6B88E054A}"/>
    <cellStyle name="Comma 615 3" xfId="2921" xr:uid="{E4007801-4DCB-4B86-87FD-9BDD92405A04}"/>
    <cellStyle name="Comma 615 4" xfId="5047" xr:uid="{B4D1A920-70F7-4B05-88AE-F48F3EF54614}"/>
    <cellStyle name="Comma 616" xfId="856" xr:uid="{46F031EA-6381-4878-B5D0-666B7C07DBB3}"/>
    <cellStyle name="Comma 616 2" xfId="1894" xr:uid="{B357E784-7D42-4173-96D6-820485C5EFAF}"/>
    <cellStyle name="Comma 616 2 2" xfId="3952" xr:uid="{FE34FD67-9426-4781-95BA-81ECEF3864B8}"/>
    <cellStyle name="Comma 616 3" xfId="2922" xr:uid="{C8C4CBF2-4F55-4D70-B7AE-A65C6F449D19}"/>
    <cellStyle name="Comma 616 4" xfId="5048" xr:uid="{0269C93E-B248-4226-A047-A63D2B7323B5}"/>
    <cellStyle name="Comma 617" xfId="857" xr:uid="{8D960D17-CAE2-4D9E-AC82-529DCB572420}"/>
    <cellStyle name="Comma 617 2" xfId="1895" xr:uid="{495832FA-834C-49EA-94E5-D25CF3A8D1A1}"/>
    <cellStyle name="Comma 617 2 2" xfId="3953" xr:uid="{F025E107-839C-4047-86FD-4423B3D5EB12}"/>
    <cellStyle name="Comma 617 3" xfId="2923" xr:uid="{50C45E80-487E-46D1-BB47-16853B1FAC9E}"/>
    <cellStyle name="Comma 617 4" xfId="5049" xr:uid="{82DE6A00-7093-46F9-A737-B87A128D37F5}"/>
    <cellStyle name="Comma 618" xfId="858" xr:uid="{6A4F2B1C-C5DA-4C1B-85FE-9DD4BBE2878C}"/>
    <cellStyle name="Comma 618 2" xfId="1896" xr:uid="{A2ECEF52-36DE-43BB-9AB8-1BDAA2B6DA76}"/>
    <cellStyle name="Comma 618 2 2" xfId="3954" xr:uid="{184A7241-4C36-40C7-94DF-2F811F938D7E}"/>
    <cellStyle name="Comma 618 3" xfId="2924" xr:uid="{C24061D7-E519-4525-8CD5-7231F954DF07}"/>
    <cellStyle name="Comma 618 4" xfId="5050" xr:uid="{4C41F2AC-FD05-4614-A901-88AF4B0D80EC}"/>
    <cellStyle name="Comma 619" xfId="859" xr:uid="{2E75272D-76C8-406C-8E7C-B8B733E70798}"/>
    <cellStyle name="Comma 619 2" xfId="1897" xr:uid="{2675DE5C-FA48-4CDA-A383-F4270BE063F6}"/>
    <cellStyle name="Comma 619 2 2" xfId="3955" xr:uid="{CFA636D5-66B0-4EB7-A253-483FFD75F62F}"/>
    <cellStyle name="Comma 619 3" xfId="2925" xr:uid="{06ACD6C5-3C58-4D25-A036-0AFDAD1D00B9}"/>
    <cellStyle name="Comma 619 4" xfId="5051" xr:uid="{E196F6C2-7BAD-47D9-A8AE-C994A3E45209}"/>
    <cellStyle name="Comma 62" xfId="263" xr:uid="{D958420D-F31E-464E-B1F9-BB9FAB82CED9}"/>
    <cellStyle name="Comma 62 2" xfId="1340" xr:uid="{AC05D504-F5E0-4648-8BB9-41BFF82BE255}"/>
    <cellStyle name="Comma 62 2 2" xfId="3398" xr:uid="{841BAA19-6043-479D-8234-05C21850A2D8}"/>
    <cellStyle name="Comma 62 3" xfId="2368" xr:uid="{2A3C2847-929E-48A4-A544-608747B2974D}"/>
    <cellStyle name="Comma 62 4" xfId="4494" xr:uid="{99DFA02A-FA37-4176-8E4A-A9EBD4A68DEE}"/>
    <cellStyle name="Comma 620" xfId="860" xr:uid="{628101E7-E4E5-41A7-BF19-AB0A2BA43A50}"/>
    <cellStyle name="Comma 620 2" xfId="1898" xr:uid="{BFF5CF01-BF73-455A-A6EF-3E68F72A7A59}"/>
    <cellStyle name="Comma 620 2 2" xfId="3956" xr:uid="{60E216FE-B2FB-437B-A2A2-6970DB58328D}"/>
    <cellStyle name="Comma 620 3" xfId="2926" xr:uid="{1A727141-502F-448A-B2A9-E7B62FBDC8F4}"/>
    <cellStyle name="Comma 620 4" xfId="5052" xr:uid="{A69F2BB7-020C-4A2D-8AB0-F91306A2B7B3}"/>
    <cellStyle name="Comma 621" xfId="861" xr:uid="{3345AF4F-E8C7-4C70-8B4C-9C759D86C601}"/>
    <cellStyle name="Comma 621 2" xfId="1899" xr:uid="{9527B947-609B-4DDE-94B1-A705354526EB}"/>
    <cellStyle name="Comma 621 2 2" xfId="3957" xr:uid="{3D7D904F-3D87-4407-BE54-65938625A947}"/>
    <cellStyle name="Comma 621 3" xfId="2927" xr:uid="{AF84FEDD-0563-435F-9754-90444100E308}"/>
    <cellStyle name="Comma 621 4" xfId="5053" xr:uid="{D37106E2-DA64-44AC-8D2B-863F35743662}"/>
    <cellStyle name="Comma 622" xfId="862" xr:uid="{5D4F8F71-4BCB-4A45-8BCB-87D885BAB40F}"/>
    <cellStyle name="Comma 622 2" xfId="1900" xr:uid="{AC86AAB0-9DEF-4762-B941-ED1497530235}"/>
    <cellStyle name="Comma 622 2 2" xfId="3958" xr:uid="{46189A14-79BA-42AD-804B-DBF94B41CE2E}"/>
    <cellStyle name="Comma 622 3" xfId="2928" xr:uid="{5AB828A2-A659-4ADA-9C01-A64FA91E677B}"/>
    <cellStyle name="Comma 622 4" xfId="5054" xr:uid="{5E47752A-43FE-463E-BE30-F3592FFBE628}"/>
    <cellStyle name="Comma 623" xfId="863" xr:uid="{CFE8AB84-CF64-42B1-9E04-17539827338A}"/>
    <cellStyle name="Comma 623 2" xfId="1901" xr:uid="{6A709C4E-291C-4635-911A-7A564CCC6FFD}"/>
    <cellStyle name="Comma 623 2 2" xfId="3959" xr:uid="{088D9797-F2CF-4125-AC3C-8D9982CF0759}"/>
    <cellStyle name="Comma 623 3" xfId="2929" xr:uid="{266FCBC0-994F-418C-ACF0-95CA43D1AFF5}"/>
    <cellStyle name="Comma 623 4" xfId="5055" xr:uid="{EB0BF4EF-5A29-42BF-BEB4-99E6F3AC37A6}"/>
    <cellStyle name="Comma 624" xfId="864" xr:uid="{5FD02CEF-380A-432F-AB88-457ED77A14B9}"/>
    <cellStyle name="Comma 624 2" xfId="1902" xr:uid="{8839EB73-F405-44B1-B6F6-1DC42B8FE79E}"/>
    <cellStyle name="Comma 624 2 2" xfId="3960" xr:uid="{18F54A89-6F67-446C-97EC-993859D80A43}"/>
    <cellStyle name="Comma 624 3" xfId="2930" xr:uid="{989B557B-272A-4ED2-86A8-A8B02C6E003C}"/>
    <cellStyle name="Comma 624 4" xfId="5056" xr:uid="{9ABFD037-EE8D-4C87-AD87-8E76322B6782}"/>
    <cellStyle name="Comma 625" xfId="865" xr:uid="{AF3EE04B-0BAC-491A-BC74-414A2DFD93C2}"/>
    <cellStyle name="Comma 625 2" xfId="1903" xr:uid="{19E750F5-0481-4D83-8B78-F97333095776}"/>
    <cellStyle name="Comma 625 2 2" xfId="3961" xr:uid="{55ACD2A5-32CD-45AA-9103-F8FC0A602C8F}"/>
    <cellStyle name="Comma 625 3" xfId="2931" xr:uid="{D19ADAB3-B6F2-4737-B003-1F85D133C693}"/>
    <cellStyle name="Comma 625 4" xfId="5057" xr:uid="{F8F3DF8B-CCB3-4E49-A46F-E9109508F320}"/>
    <cellStyle name="Comma 626" xfId="866" xr:uid="{4DC1F3AC-2431-49B0-B97A-B0554DF9C68A}"/>
    <cellStyle name="Comma 626 2" xfId="1904" xr:uid="{AAEC50B7-1BEA-4AA7-BEDE-53FC53AFF8DE}"/>
    <cellStyle name="Comma 626 2 2" xfId="3962" xr:uid="{1DDEEA70-DC60-49CC-ABD5-F1929A488362}"/>
    <cellStyle name="Comma 626 3" xfId="2932" xr:uid="{3624F5C5-4407-4EE4-A497-B1CCEC7C582E}"/>
    <cellStyle name="Comma 626 4" xfId="5058" xr:uid="{818CF6E9-26B6-4715-8A4C-F5B104E3D244}"/>
    <cellStyle name="Comma 627" xfId="867" xr:uid="{A3EF553D-F61A-4586-A36E-C698AA1BC8CF}"/>
    <cellStyle name="Comma 627 2" xfId="1905" xr:uid="{6CFD0819-78EB-40EC-B48B-91C37946B316}"/>
    <cellStyle name="Comma 627 2 2" xfId="3963" xr:uid="{98AA48DB-48A5-4DB3-9DF9-9CB482F23D80}"/>
    <cellStyle name="Comma 627 3" xfId="2933" xr:uid="{27C88B99-A32B-4A0B-9205-A4BF15EA3C35}"/>
    <cellStyle name="Comma 627 4" xfId="5059" xr:uid="{D15A22A8-CA91-49FC-88F9-B30178862F52}"/>
    <cellStyle name="Comma 628" xfId="868" xr:uid="{B9FA9BCE-983F-4FB1-AAFD-C9721AD10421}"/>
    <cellStyle name="Comma 628 2" xfId="1906" xr:uid="{3F98441F-D6E0-4EDC-813F-09E54F7CC035}"/>
    <cellStyle name="Comma 628 2 2" xfId="3964" xr:uid="{9185F834-C08F-4278-9508-9DD1EC01CDD4}"/>
    <cellStyle name="Comma 628 3" xfId="2934" xr:uid="{C5B52775-D6C7-4D94-BF72-9F04CABDB2CC}"/>
    <cellStyle name="Comma 628 4" xfId="5060" xr:uid="{44FF20AD-B4A1-4489-9A18-4CA114E227DB}"/>
    <cellStyle name="Comma 629" xfId="869" xr:uid="{030C46E9-4829-4B9F-A98A-4BCD93466A23}"/>
    <cellStyle name="Comma 629 2" xfId="1907" xr:uid="{2B48B6C2-1406-4697-91B3-A8F2C3881B09}"/>
    <cellStyle name="Comma 629 2 2" xfId="3965" xr:uid="{6E725B78-F74B-497E-BBC3-0F4187A589B8}"/>
    <cellStyle name="Comma 629 3" xfId="2935" xr:uid="{635C7844-B1BD-47A6-9728-603BAE718BE9}"/>
    <cellStyle name="Comma 629 4" xfId="5061" xr:uid="{5646DC56-8160-45A8-8338-B04D2ED9F592}"/>
    <cellStyle name="Comma 63" xfId="264" xr:uid="{8FD3EB95-802A-45D5-82B6-BB8E238BEC05}"/>
    <cellStyle name="Comma 63 2" xfId="1341" xr:uid="{D6079E74-F9F2-4347-8466-09A9E34DA856}"/>
    <cellStyle name="Comma 63 2 2" xfId="3399" xr:uid="{0A212C7D-F574-4DEE-9AB7-36732B53B0FA}"/>
    <cellStyle name="Comma 63 3" xfId="2369" xr:uid="{CEE86877-441B-4E16-A5B0-AF517CF828EC}"/>
    <cellStyle name="Comma 63 4" xfId="4495" xr:uid="{3DC5B3D6-E4C3-4242-99B1-EA4AFF792392}"/>
    <cellStyle name="Comma 630" xfId="870" xr:uid="{85C8E7BE-07EB-49AD-9A07-B85D9E785A80}"/>
    <cellStyle name="Comma 630 2" xfId="1908" xr:uid="{D72AA508-7988-4DA7-8EB2-72B19C6B1A7A}"/>
    <cellStyle name="Comma 630 2 2" xfId="3966" xr:uid="{7EBF0B49-1447-4093-A64F-0FCEB2D38CEC}"/>
    <cellStyle name="Comma 630 3" xfId="2936" xr:uid="{F2E61F73-6FA7-4A3F-AE87-3750E1950F38}"/>
    <cellStyle name="Comma 630 4" xfId="5062" xr:uid="{B6933A04-437F-49EE-8AF0-3484FEB80EC1}"/>
    <cellStyle name="Comma 631" xfId="871" xr:uid="{61D0B67E-6D3C-4BA3-98E1-AA9DD2B96764}"/>
    <cellStyle name="Comma 631 2" xfId="1909" xr:uid="{4DE57AF2-7702-4375-8E00-A07FE3D289FC}"/>
    <cellStyle name="Comma 631 2 2" xfId="3967" xr:uid="{4F2400A3-EA13-4757-8B0E-C51152F0EDBB}"/>
    <cellStyle name="Comma 631 3" xfId="2937" xr:uid="{0FEDBB7D-F4E2-4AF7-B1DB-2EEF0A9F792A}"/>
    <cellStyle name="Comma 631 4" xfId="5063" xr:uid="{63DDB6F7-480D-420F-800B-4214A4DEE7DC}"/>
    <cellStyle name="Comma 632" xfId="872" xr:uid="{01E1E421-D257-4EB9-8CD6-095D1FD3BAFF}"/>
    <cellStyle name="Comma 632 2" xfId="1910" xr:uid="{9FED6D14-3E38-4961-97CF-7FD486C2040C}"/>
    <cellStyle name="Comma 632 2 2" xfId="3968" xr:uid="{A9E5DF9D-FD89-4D8C-8AAA-0C27DACEEB67}"/>
    <cellStyle name="Comma 632 3" xfId="2938" xr:uid="{B3388841-4A40-4D64-9C15-33C267070E51}"/>
    <cellStyle name="Comma 632 4" xfId="5064" xr:uid="{AC40DE97-636F-412F-AA30-A6BED1500AF8}"/>
    <cellStyle name="Comma 633" xfId="873" xr:uid="{D460746E-9C7E-429F-97B1-7A212B754EEE}"/>
    <cellStyle name="Comma 633 2" xfId="1911" xr:uid="{9F76FB0C-10B9-46D4-A0A4-4D1C6C5D64B5}"/>
    <cellStyle name="Comma 633 2 2" xfId="3969" xr:uid="{D7311ED9-3B32-4844-AF0E-1372A156D48A}"/>
    <cellStyle name="Comma 633 3" xfId="2939" xr:uid="{F7A3E552-6E09-4C86-9476-DE4ACCE965F5}"/>
    <cellStyle name="Comma 633 4" xfId="5065" xr:uid="{20B09A82-AF30-412A-99D2-734512E638A1}"/>
    <cellStyle name="Comma 634" xfId="874" xr:uid="{4A61E18C-1598-4844-80EC-F8AE78A98AB6}"/>
    <cellStyle name="Comma 634 2" xfId="1912" xr:uid="{59FE0F98-107D-4CC4-B27E-F8C183D2DA45}"/>
    <cellStyle name="Comma 634 2 2" xfId="3970" xr:uid="{2352BDD8-4024-4A32-9571-34B62140A7A6}"/>
    <cellStyle name="Comma 634 3" xfId="2940" xr:uid="{87A057A8-BDCD-452F-91C0-5CF7D9F126F1}"/>
    <cellStyle name="Comma 634 4" xfId="5066" xr:uid="{EEEB4C58-DD27-473A-B87A-0D24D6B069E3}"/>
    <cellStyle name="Comma 635" xfId="875" xr:uid="{A8EB3ADC-0CED-4B64-A66C-E05DEB4776F3}"/>
    <cellStyle name="Comma 635 2" xfId="1913" xr:uid="{561C5D8C-402C-4187-8A30-25EFEC8105AA}"/>
    <cellStyle name="Comma 635 2 2" xfId="3971" xr:uid="{EDC63BD6-8001-47BC-86B6-EA413F2626B7}"/>
    <cellStyle name="Comma 635 3" xfId="2941" xr:uid="{21A2714F-D6E0-4B07-BA47-8E44BAD27F0E}"/>
    <cellStyle name="Comma 635 4" xfId="5067" xr:uid="{77D8A934-EA31-4B12-A47B-EE02C3BF1254}"/>
    <cellStyle name="Comma 636" xfId="876" xr:uid="{57726D36-9CD7-4F19-BAC2-39CF8EA725BC}"/>
    <cellStyle name="Comma 636 2" xfId="1914" xr:uid="{84981713-3915-4F2D-917E-BD35E226C391}"/>
    <cellStyle name="Comma 636 2 2" xfId="3972" xr:uid="{A76AE428-9A98-468A-BCB5-058F260E115D}"/>
    <cellStyle name="Comma 636 3" xfId="2942" xr:uid="{554FC34B-79E7-4B73-9F62-7DEFB8408FA4}"/>
    <cellStyle name="Comma 636 4" xfId="5068" xr:uid="{936087B9-F7B2-4966-A152-E2B5657CA19F}"/>
    <cellStyle name="Comma 637" xfId="877" xr:uid="{5F357027-1B52-45F9-A2E9-D3D5FCBD579D}"/>
    <cellStyle name="Comma 637 2" xfId="1915" xr:uid="{A19CD71B-B8B1-4A4D-B631-DCCB28A7E3CC}"/>
    <cellStyle name="Comma 637 2 2" xfId="3973" xr:uid="{645E3A0B-C4AF-4A1E-8E39-F3313E7E3179}"/>
    <cellStyle name="Comma 637 3" xfId="2943" xr:uid="{0D74E07F-D84D-46F5-AA7F-6D369F198746}"/>
    <cellStyle name="Comma 637 4" xfId="5069" xr:uid="{05A018DC-2004-4A62-9F50-E333E6CE27C7}"/>
    <cellStyle name="Comma 638" xfId="878" xr:uid="{80758B0D-3C96-47CA-81CA-6BEA5DA94E73}"/>
    <cellStyle name="Comma 638 2" xfId="1916" xr:uid="{67189226-B148-4BC0-8383-2D25CA059F1A}"/>
    <cellStyle name="Comma 638 2 2" xfId="3974" xr:uid="{53A94E28-B88A-4C68-8D8F-3E8957D368C5}"/>
    <cellStyle name="Comma 638 3" xfId="2944" xr:uid="{EEEFB300-4164-450C-908B-FAD6804C85BA}"/>
    <cellStyle name="Comma 638 4" xfId="5070" xr:uid="{6868978D-1971-408F-B8CA-9FE762680AEC}"/>
    <cellStyle name="Comma 639" xfId="879" xr:uid="{D8B1E60A-EEAC-4430-87ED-FFFDFB6BE483}"/>
    <cellStyle name="Comma 639 2" xfId="1917" xr:uid="{0E798C3A-FFD0-4C50-AAB1-BC6FA1068F64}"/>
    <cellStyle name="Comma 639 2 2" xfId="3975" xr:uid="{1708A278-7623-446C-AE79-BD5445BF78A5}"/>
    <cellStyle name="Comma 639 3" xfId="2945" xr:uid="{2F8321F3-27B2-4FF7-AF5A-68C978B1E48E}"/>
    <cellStyle name="Comma 639 4" xfId="5071" xr:uid="{E3636411-77F5-411A-9049-D439D51B6C18}"/>
    <cellStyle name="Comma 64" xfId="265" xr:uid="{DF15C231-C6F6-4E61-BF59-865B41CC8FE6}"/>
    <cellStyle name="Comma 64 2" xfId="1342" xr:uid="{569BC52D-37EE-4CD9-AAA9-5B4A29113936}"/>
    <cellStyle name="Comma 64 2 2" xfId="3400" xr:uid="{E18374B9-8094-4F2B-AED1-32DB3B20AB20}"/>
    <cellStyle name="Comma 64 3" xfId="2370" xr:uid="{B11C9158-6A31-4C2C-A11D-AEC1B898E1DC}"/>
    <cellStyle name="Comma 64 4" xfId="4496" xr:uid="{6A6BD18F-C9F3-45ED-B776-D6EAE5466680}"/>
    <cellStyle name="Comma 640" xfId="880" xr:uid="{5AF8495A-3050-438A-AD14-709ACF146E27}"/>
    <cellStyle name="Comma 640 2" xfId="1918" xr:uid="{1020226A-D17E-49C5-B1CC-46444BD563EE}"/>
    <cellStyle name="Comma 640 2 2" xfId="3976" xr:uid="{1E895E38-2CCB-4E85-B135-CC45C455FC5C}"/>
    <cellStyle name="Comma 640 3" xfId="2946" xr:uid="{E6D79785-10B8-47A4-A3A9-831F3A9E9229}"/>
    <cellStyle name="Comma 640 4" xfId="5072" xr:uid="{02F802AC-72EA-4208-B720-69DB3AA06353}"/>
    <cellStyle name="Comma 641" xfId="881" xr:uid="{BF40E73D-3475-44A8-8FCA-B6B2BFF2E40B}"/>
    <cellStyle name="Comma 641 2" xfId="1919" xr:uid="{A0C1D7ED-0E8A-474B-8F34-7985EA3CD56E}"/>
    <cellStyle name="Comma 641 2 2" xfId="3977" xr:uid="{C2828748-3B14-4689-9198-C2C2F0D9AFDB}"/>
    <cellStyle name="Comma 641 3" xfId="2947" xr:uid="{268DDF80-C1F7-4703-AC7C-C4D52320EBA1}"/>
    <cellStyle name="Comma 641 4" xfId="5073" xr:uid="{E6B897C0-57AC-4070-9CA9-00706229ADAE}"/>
    <cellStyle name="Comma 642" xfId="882" xr:uid="{51E409B5-5FAB-4B82-AFA8-F8B14FF990C7}"/>
    <cellStyle name="Comma 642 2" xfId="1920" xr:uid="{4893E372-4F83-4DB0-BAF3-347FC5AB1AE2}"/>
    <cellStyle name="Comma 642 2 2" xfId="3978" xr:uid="{E7BC17DE-0E18-4349-A2B8-8C290FA2C2DE}"/>
    <cellStyle name="Comma 642 3" xfId="2948" xr:uid="{B7180279-25DA-4B3A-94A3-F3C904B6E23A}"/>
    <cellStyle name="Comma 642 4" xfId="5074" xr:uid="{4A2E8B45-DEEC-4B4E-A3B2-C19A14C8A4A5}"/>
    <cellStyle name="Comma 643" xfId="883" xr:uid="{C270FAF1-1E07-430B-A19B-5FAF35701BE1}"/>
    <cellStyle name="Comma 643 2" xfId="1921" xr:uid="{C1290406-879F-4BF9-A609-AFB8271A0199}"/>
    <cellStyle name="Comma 643 2 2" xfId="3979" xr:uid="{4E00449B-9877-4581-A882-0B7777C0DE3B}"/>
    <cellStyle name="Comma 643 3" xfId="2949" xr:uid="{C57B3694-8450-408C-B91B-716B85BC99BC}"/>
    <cellStyle name="Comma 643 4" xfId="5075" xr:uid="{A4B53DE2-745F-4C80-A1D5-72738FB26CD6}"/>
    <cellStyle name="Comma 644" xfId="884" xr:uid="{467CAB5D-778D-4AF1-9850-BDAEF9EC9233}"/>
    <cellStyle name="Comma 644 2" xfId="1922" xr:uid="{59CA17D3-04B1-483E-8C0C-14BF090CAFFE}"/>
    <cellStyle name="Comma 644 2 2" xfId="3980" xr:uid="{40BF80A3-8497-42FF-941E-526DBCB1E906}"/>
    <cellStyle name="Comma 644 3" xfId="2950" xr:uid="{0ED981CA-A540-4861-BED9-38D5DF1EB34F}"/>
    <cellStyle name="Comma 644 4" xfId="5076" xr:uid="{9565EB97-52E0-4647-81A6-89BD887229D9}"/>
    <cellStyle name="Comma 645" xfId="885" xr:uid="{CA6F2E30-6D0F-4CCD-9254-2960AAD3381E}"/>
    <cellStyle name="Comma 645 2" xfId="1923" xr:uid="{0336D4C1-42AF-45E4-89D7-438144C20D55}"/>
    <cellStyle name="Comma 645 2 2" xfId="3981" xr:uid="{11ADC584-2C6E-4FE6-B9B3-F30038AC9437}"/>
    <cellStyle name="Comma 645 3" xfId="2951" xr:uid="{2DBE379D-AEBA-4984-BE6D-DB555BEBE319}"/>
    <cellStyle name="Comma 645 4" xfId="5077" xr:uid="{C7C3B519-F210-4EC2-968A-952AE2800AA3}"/>
    <cellStyle name="Comma 646" xfId="886" xr:uid="{2A849CAE-693C-45CF-9183-18A1393BA7A4}"/>
    <cellStyle name="Comma 646 2" xfId="1924" xr:uid="{D95A3A7B-9AFB-4C45-B2BF-EBB58A20088C}"/>
    <cellStyle name="Comma 646 2 2" xfId="3982" xr:uid="{1196645F-BF1B-4857-AFB5-F5D7513B63D5}"/>
    <cellStyle name="Comma 646 3" xfId="2952" xr:uid="{1DC3F02D-FF53-44E5-8FE9-779D20D6F07E}"/>
    <cellStyle name="Comma 646 4" xfId="5078" xr:uid="{1F36FCF6-1FD0-4B33-A2A7-C92644D8EB55}"/>
    <cellStyle name="Comma 647" xfId="887" xr:uid="{4F8013EE-F341-4FE8-80AE-7E63228C713F}"/>
    <cellStyle name="Comma 647 2" xfId="1925" xr:uid="{0C4B70EF-3A34-4B50-B8C9-50A08832F912}"/>
    <cellStyle name="Comma 647 2 2" xfId="3983" xr:uid="{750F32BB-572B-442D-B156-57B14FAEEBDA}"/>
    <cellStyle name="Comma 647 3" xfId="2953" xr:uid="{DF321CF9-99AD-4E43-B3F8-4BF3E2F93914}"/>
    <cellStyle name="Comma 647 4" xfId="5079" xr:uid="{A4838BD2-9BE8-4126-98E7-AC28E13318B5}"/>
    <cellStyle name="Comma 648" xfId="888" xr:uid="{D43F0E4F-17F5-4566-94F3-C0A699C4F249}"/>
    <cellStyle name="Comma 648 2" xfId="1926" xr:uid="{C3A21021-BFBF-4C63-815C-27E4C6780663}"/>
    <cellStyle name="Comma 648 2 2" xfId="3984" xr:uid="{DBA8DCFA-260D-466A-8691-0E1049097D3E}"/>
    <cellStyle name="Comma 648 3" xfId="2954" xr:uid="{134AAB3D-B8AE-435B-AE60-DCAF5F9D3DD5}"/>
    <cellStyle name="Comma 648 4" xfId="5080" xr:uid="{7DE5EAE3-7B7D-45FE-8D87-AA681FE7E7AF}"/>
    <cellStyle name="Comma 649" xfId="889" xr:uid="{F3A0C54D-F278-45A4-98D4-4DCC2F9D2462}"/>
    <cellStyle name="Comma 649 2" xfId="1927" xr:uid="{E342076E-C159-4414-A223-38FB41BCF533}"/>
    <cellStyle name="Comma 649 2 2" xfId="3985" xr:uid="{E8BDAD3A-6ECB-4629-9CCE-F0073C3B1494}"/>
    <cellStyle name="Comma 649 3" xfId="2955" xr:uid="{3DB45C99-6096-47E8-99ED-95841655C969}"/>
    <cellStyle name="Comma 649 4" xfId="5081" xr:uid="{B56A485C-9EEF-4D3A-93C6-1705060761E3}"/>
    <cellStyle name="Comma 65" xfId="268" xr:uid="{077F919B-2B41-449C-B167-79224E0DBF9E}"/>
    <cellStyle name="Comma 65 2" xfId="1343" xr:uid="{EE3285C2-5AB2-410B-A70F-8A9E9C85E605}"/>
    <cellStyle name="Comma 65 2 2" xfId="3401" xr:uid="{04B876E6-F104-4499-A2A5-BF83BF289471}"/>
    <cellStyle name="Comma 65 3" xfId="2371" xr:uid="{9B511E8A-1852-40E5-9DCE-C50A6E7DE2D2}"/>
    <cellStyle name="Comma 65 4" xfId="4497" xr:uid="{B723F7CE-BF9D-4F2E-A8D1-0410A55C29FF}"/>
    <cellStyle name="Comma 650" xfId="890" xr:uid="{ABE84F33-D3F0-4889-9DD9-67152A00E492}"/>
    <cellStyle name="Comma 650 2" xfId="1928" xr:uid="{71CF128C-7F90-49DB-A644-DAE4788F6D0D}"/>
    <cellStyle name="Comma 650 2 2" xfId="3986" xr:uid="{44E347F1-49E7-4FA2-AFD0-441CF8271347}"/>
    <cellStyle name="Comma 650 3" xfId="2956" xr:uid="{0F4167EF-DDF4-4A21-B7D5-4D9770BD78C6}"/>
    <cellStyle name="Comma 650 4" xfId="5082" xr:uid="{3A397BB7-DF44-425E-B712-9F6F1BBCE554}"/>
    <cellStyle name="Comma 651" xfId="891" xr:uid="{BE150A37-7D94-417D-8CDE-28E2A86C1198}"/>
    <cellStyle name="Comma 651 2" xfId="1929" xr:uid="{F3ABD1E8-F812-4DFE-8EDC-3621F1F3E700}"/>
    <cellStyle name="Comma 651 2 2" xfId="3987" xr:uid="{1FFD15EC-3DDF-4AE3-96C4-D8AC7CFD977B}"/>
    <cellStyle name="Comma 651 3" xfId="2957" xr:uid="{FE51DB44-87CC-49C4-A057-E76387A1478A}"/>
    <cellStyle name="Comma 651 4" xfId="5083" xr:uid="{47981B9E-C26A-44CE-84F7-839A65ED4EC8}"/>
    <cellStyle name="Comma 652" xfId="892" xr:uid="{ECEE3729-3DD0-445F-8BD9-C014B7A23A01}"/>
    <cellStyle name="Comma 652 2" xfId="1930" xr:uid="{04454BE9-91EA-49AB-8960-8E4204F357E0}"/>
    <cellStyle name="Comma 652 2 2" xfId="3988" xr:uid="{CA872DFA-01CA-46CC-B393-3D2232838D3B}"/>
    <cellStyle name="Comma 652 3" xfId="2958" xr:uid="{2B72BB7A-5D50-4EDC-8C3A-DB5C5438FF2C}"/>
    <cellStyle name="Comma 652 4" xfId="5084" xr:uid="{91502305-2DAC-4672-9E16-5681BE88564B}"/>
    <cellStyle name="Comma 653" xfId="893" xr:uid="{0F6E2556-DD9C-4016-A747-835FE31D8C15}"/>
    <cellStyle name="Comma 653 2" xfId="1931" xr:uid="{2DB7ECFF-F2AF-4060-AFBA-7FB613A19235}"/>
    <cellStyle name="Comma 653 2 2" xfId="3989" xr:uid="{94C0F974-BF18-47F0-BF42-973715A5EDA9}"/>
    <cellStyle name="Comma 653 3" xfId="2959" xr:uid="{2A7C6E8D-DBD6-4C3C-B9F7-615E8EC86CB1}"/>
    <cellStyle name="Comma 653 4" xfId="5085" xr:uid="{BFBEC417-95BD-4D7E-AD9D-C51A9252042F}"/>
    <cellStyle name="Comma 654" xfId="894" xr:uid="{480C74FA-039E-477A-AA2A-E378CDFBFD7F}"/>
    <cellStyle name="Comma 654 2" xfId="1932" xr:uid="{660BD7E9-CFB5-413A-AD76-F70D6D0823BC}"/>
    <cellStyle name="Comma 654 2 2" xfId="3990" xr:uid="{990CEDC4-2CAC-418F-B1FC-31955B401135}"/>
    <cellStyle name="Comma 654 3" xfId="2960" xr:uid="{CFD5C0CE-3DC9-49EC-8CA8-0B6F4CB6B236}"/>
    <cellStyle name="Comma 654 4" xfId="5086" xr:uid="{01C1F827-377C-4FD5-B60D-DABEA58D95F8}"/>
    <cellStyle name="Comma 655" xfId="895" xr:uid="{FDBF8E3B-4771-4C59-97B2-54EDAFDB9FE5}"/>
    <cellStyle name="Comma 655 2" xfId="1933" xr:uid="{FF8C9BBE-0403-4AAD-9A01-16DEF71E60F4}"/>
    <cellStyle name="Comma 655 2 2" xfId="3991" xr:uid="{DDE2FFCF-DA4F-43B6-AD51-3FF9E7888595}"/>
    <cellStyle name="Comma 655 3" xfId="2961" xr:uid="{495979F6-7EC8-4546-B12D-E633581BB78C}"/>
    <cellStyle name="Comma 655 4" xfId="5087" xr:uid="{96EB8E78-1B09-413F-9ADC-74E3D69AC2C2}"/>
    <cellStyle name="Comma 656" xfId="896" xr:uid="{087687CE-D0C4-4FEE-8DF2-D2DFCBD60962}"/>
    <cellStyle name="Comma 656 2" xfId="1934" xr:uid="{EFB10129-A18C-43F7-82B5-30BE53423DF6}"/>
    <cellStyle name="Comma 656 2 2" xfId="3992" xr:uid="{61DA9276-A2EE-484E-B998-6A56712149A5}"/>
    <cellStyle name="Comma 656 3" xfId="2962" xr:uid="{2A5D9DB4-E245-4912-B2ED-5570CD326A6E}"/>
    <cellStyle name="Comma 656 4" xfId="5088" xr:uid="{60EC327E-81B4-4D42-917F-D9720AB0BEB6}"/>
    <cellStyle name="Comma 657" xfId="897" xr:uid="{608B7FC8-BE81-4975-AD88-1EF8849A690F}"/>
    <cellStyle name="Comma 657 2" xfId="1935" xr:uid="{C45A8374-869C-4CED-9671-32A54178E376}"/>
    <cellStyle name="Comma 657 2 2" xfId="3993" xr:uid="{61846462-19B6-4031-BEA0-72365DCF9BEB}"/>
    <cellStyle name="Comma 657 3" xfId="2963" xr:uid="{6D6ABCF5-6D84-4570-8173-E2301214B471}"/>
    <cellStyle name="Comma 657 4" xfId="5089" xr:uid="{431A75EA-AE5C-458B-B791-C500128C211B}"/>
    <cellStyle name="Comma 658" xfId="898" xr:uid="{A5458EE4-DCFB-4061-B565-78F4B3DC840F}"/>
    <cellStyle name="Comma 658 2" xfId="1936" xr:uid="{E9B441E3-32BD-4D24-ACAD-CEC02398DE96}"/>
    <cellStyle name="Comma 658 2 2" xfId="3994" xr:uid="{D2C1C64E-606B-4F34-9F91-0935C79F4193}"/>
    <cellStyle name="Comma 658 3" xfId="2964" xr:uid="{201E1F0A-F67F-482C-9BB2-186047E66CF9}"/>
    <cellStyle name="Comma 658 4" xfId="5090" xr:uid="{8599D5E4-4165-4C07-9F0B-6A85A33EB74A}"/>
    <cellStyle name="Comma 659" xfId="899" xr:uid="{9316FA47-B9CE-4A68-9128-86877AC63FA7}"/>
    <cellStyle name="Comma 659 2" xfId="1937" xr:uid="{3B670598-CEC1-4104-97E4-BAEB5E65BBEF}"/>
    <cellStyle name="Comma 659 2 2" xfId="3995" xr:uid="{98282A5C-9A04-4B51-8237-45ADCE8B09FD}"/>
    <cellStyle name="Comma 659 3" xfId="2965" xr:uid="{682A1529-3CD3-4898-81E8-BAF9EF2BF3A9}"/>
    <cellStyle name="Comma 659 4" xfId="5091" xr:uid="{6A565B07-9BC2-41EF-A936-7E3FB8238430}"/>
    <cellStyle name="Comma 66" xfId="269" xr:uid="{99E5653B-1A06-4EE0-A1E1-58E611108330}"/>
    <cellStyle name="Comma 66 2" xfId="1344" xr:uid="{C89EBBE5-AA62-4FB8-9669-625E73289C1E}"/>
    <cellStyle name="Comma 66 2 2" xfId="3402" xr:uid="{F574A18A-B417-41F7-95E5-631322DC1D39}"/>
    <cellStyle name="Comma 66 3" xfId="2372" xr:uid="{8F950BDC-AB03-47AC-80E4-FD078517D9E9}"/>
    <cellStyle name="Comma 66 4" xfId="4498" xr:uid="{0363B10C-2758-42E3-A293-90C83D7CB6BA}"/>
    <cellStyle name="Comma 660" xfId="900" xr:uid="{1A7EEA42-8343-4D2F-A9DF-686DC6C70FC1}"/>
    <cellStyle name="Comma 660 2" xfId="1938" xr:uid="{740D63EA-DFCE-4717-A7A4-37D1F5B25F14}"/>
    <cellStyle name="Comma 660 2 2" xfId="3996" xr:uid="{09DBE1D8-82E2-477A-A7E2-5DFADE173E1A}"/>
    <cellStyle name="Comma 660 3" xfId="2966" xr:uid="{A1A79693-B401-4AE1-BE3B-8D6B310EE564}"/>
    <cellStyle name="Comma 660 4" xfId="5092" xr:uid="{CFA8814E-D47D-4D3E-91FE-23FCF5B9BFC6}"/>
    <cellStyle name="Comma 661" xfId="901" xr:uid="{A5E63E93-C9ED-445F-896D-D07F40EE558C}"/>
    <cellStyle name="Comma 661 2" xfId="1939" xr:uid="{360718F0-FAB7-47F5-A406-F0354C9FD72A}"/>
    <cellStyle name="Comma 661 2 2" xfId="3997" xr:uid="{0B5D8ABE-54A6-4557-BA67-A6F1978C4784}"/>
    <cellStyle name="Comma 661 3" xfId="2967" xr:uid="{94DE2978-00CB-46E2-B770-AAB61331AC80}"/>
    <cellStyle name="Comma 661 4" xfId="5093" xr:uid="{375429C2-34DC-4E08-AEF9-9C9FFD7F1837}"/>
    <cellStyle name="Comma 662" xfId="902" xr:uid="{97BE077E-FCFC-4C68-AE35-37612C7930CD}"/>
    <cellStyle name="Comma 662 2" xfId="1940" xr:uid="{C5F8CF4C-3B86-4E4E-B37E-E32729A859D0}"/>
    <cellStyle name="Comma 662 2 2" xfId="3998" xr:uid="{E9852ED8-1314-47DA-B7FF-B722BC87EBC3}"/>
    <cellStyle name="Comma 662 3" xfId="2968" xr:uid="{6350F4C4-0E36-460D-A215-CDC9DE9B7B61}"/>
    <cellStyle name="Comma 662 4" xfId="5094" xr:uid="{C904518D-2CF9-4547-A7D7-735F46B646A7}"/>
    <cellStyle name="Comma 663" xfId="903" xr:uid="{C8BDEC8E-B135-4808-B528-84D6940E427B}"/>
    <cellStyle name="Comma 663 2" xfId="1941" xr:uid="{3D0C972A-9216-4A67-9133-D388D5FCC621}"/>
    <cellStyle name="Comma 663 2 2" xfId="3999" xr:uid="{BCCE0409-0B7D-4AA2-8F49-78B1B92D0ABA}"/>
    <cellStyle name="Comma 663 3" xfId="2969" xr:uid="{5D251B94-CB46-4CF4-B846-21374CAB57E0}"/>
    <cellStyle name="Comma 663 4" xfId="5095" xr:uid="{25C7B294-1629-48E6-9028-0DA8730AA529}"/>
    <cellStyle name="Comma 664" xfId="904" xr:uid="{28D1A59D-0756-4A94-A1D0-821E5C3003ED}"/>
    <cellStyle name="Comma 664 2" xfId="1942" xr:uid="{6333973A-E110-489F-AB66-B0FB7C235029}"/>
    <cellStyle name="Comma 664 2 2" xfId="4000" xr:uid="{36DDB59D-B7FA-4136-919D-241507B6AB47}"/>
    <cellStyle name="Comma 664 3" xfId="2970" xr:uid="{30A0B856-9C18-43A8-B0CF-7F6D9DB2E033}"/>
    <cellStyle name="Comma 664 4" xfId="5096" xr:uid="{AEFDBD2A-9D95-4040-9430-734CED39F371}"/>
    <cellStyle name="Comma 665" xfId="905" xr:uid="{6042F8F8-1EB2-4AFA-A7E4-5E6C457E4312}"/>
    <cellStyle name="Comma 665 2" xfId="1943" xr:uid="{B1FAE2EA-4D93-41C6-B8B0-66707C8BF517}"/>
    <cellStyle name="Comma 665 2 2" xfId="4001" xr:uid="{8BE88F4C-5A39-453D-9A3E-E5223D7E3EF5}"/>
    <cellStyle name="Comma 665 3" xfId="2971" xr:uid="{71D0A325-1312-4537-BA9C-241404151501}"/>
    <cellStyle name="Comma 665 4" xfId="5097" xr:uid="{86FD81BF-C1AF-40E1-9B01-D18D12BA08AB}"/>
    <cellStyle name="Comma 666" xfId="906" xr:uid="{6A999220-3474-4795-9138-EC7B9A989473}"/>
    <cellStyle name="Comma 666 2" xfId="1944" xr:uid="{2193544F-B745-40F1-B212-EE753C7B2A8D}"/>
    <cellStyle name="Comma 666 2 2" xfId="4002" xr:uid="{5FF888B9-B089-41B4-9217-7CAADB4A6631}"/>
    <cellStyle name="Comma 666 3" xfId="2972" xr:uid="{5FA165A4-1ED7-428C-A27B-2DC4A534B37E}"/>
    <cellStyle name="Comma 666 4" xfId="5098" xr:uid="{DE3D9301-7987-4284-8703-E6C37E86C2B8}"/>
    <cellStyle name="Comma 667" xfId="907" xr:uid="{CD22C50A-7247-4BD1-A95C-66D1C70EB881}"/>
    <cellStyle name="Comma 667 2" xfId="1945" xr:uid="{CC475A5B-0521-42A3-9A27-A76A35775E74}"/>
    <cellStyle name="Comma 667 2 2" xfId="4003" xr:uid="{5ED1FF0B-DB84-47EF-9BDB-2C9474C1770E}"/>
    <cellStyle name="Comma 667 3" xfId="2973" xr:uid="{3423439D-868D-4523-9729-15AF900D0E4B}"/>
    <cellStyle name="Comma 667 4" xfId="5099" xr:uid="{B0F621F4-FC69-4120-A941-249C5AA617E1}"/>
    <cellStyle name="Comma 668" xfId="908" xr:uid="{99B5816A-FEF1-4298-ACB7-854D0B87050A}"/>
    <cellStyle name="Comma 668 2" xfId="1946" xr:uid="{550A72FD-3FDF-4CE8-A075-CE2395E46BAC}"/>
    <cellStyle name="Comma 668 2 2" xfId="4004" xr:uid="{0D5C99D5-4859-4161-982A-C548009AFC0D}"/>
    <cellStyle name="Comma 668 3" xfId="2974" xr:uid="{A3EC553D-D325-4AC7-966D-AD82584E339B}"/>
    <cellStyle name="Comma 668 4" xfId="5100" xr:uid="{8C06B619-BE35-444F-A148-0E8D4FD766BD}"/>
    <cellStyle name="Comma 669" xfId="909" xr:uid="{52D2327B-3A71-4037-AADD-BFC9353B6C86}"/>
    <cellStyle name="Comma 669 2" xfId="1947" xr:uid="{538E5CD0-41A0-4724-91A9-93331F97C508}"/>
    <cellStyle name="Comma 669 2 2" xfId="4005" xr:uid="{0958743F-7E9F-4AEB-9E4C-D851E350E77D}"/>
    <cellStyle name="Comma 669 3" xfId="2975" xr:uid="{C81C89ED-4D10-4E4B-B83C-8B3D681FB674}"/>
    <cellStyle name="Comma 669 4" xfId="5101" xr:uid="{DC5E6E20-6302-4F50-8D87-B8D3A90D4646}"/>
    <cellStyle name="Comma 67" xfId="270" xr:uid="{69D5E901-2024-4BD5-983D-9FDCE7F0EA29}"/>
    <cellStyle name="Comma 67 2" xfId="1345" xr:uid="{F210575B-039F-491C-943B-3C229FEC42CF}"/>
    <cellStyle name="Comma 67 2 2" xfId="3403" xr:uid="{D9A26CA1-D90F-4BBF-A28E-1212BD3EF5F5}"/>
    <cellStyle name="Comma 67 3" xfId="2373" xr:uid="{C8E9DE94-078C-4C12-B883-1F54D0AEA7FA}"/>
    <cellStyle name="Comma 67 4" xfId="4499" xr:uid="{CD99369E-6444-4B44-96AF-B31A8DB5B06C}"/>
    <cellStyle name="Comma 670" xfId="910" xr:uid="{0B5A1ED8-0B19-498E-9D60-97B985A083A6}"/>
    <cellStyle name="Comma 670 2" xfId="1948" xr:uid="{DB114444-1AF3-46DA-B195-6AE5B13DDFE1}"/>
    <cellStyle name="Comma 670 2 2" xfId="4006" xr:uid="{4C4E92E9-F216-4F61-8704-F40DE46511AE}"/>
    <cellStyle name="Comma 670 3" xfId="2976" xr:uid="{C59C4247-D016-402C-9176-CF102510586B}"/>
    <cellStyle name="Comma 670 4" xfId="5102" xr:uid="{4D50F6A4-DC9C-470C-B233-114D3BDA1727}"/>
    <cellStyle name="Comma 671" xfId="911" xr:uid="{29DEBB46-10FB-4C74-A74F-D41DEA518FB7}"/>
    <cellStyle name="Comma 671 2" xfId="1949" xr:uid="{D116F57F-77BC-4CD8-A4AD-394C06830F99}"/>
    <cellStyle name="Comma 671 2 2" xfId="4007" xr:uid="{BE3CA3BC-4326-49F6-870A-899B5615416A}"/>
    <cellStyle name="Comma 671 3" xfId="2977" xr:uid="{E27EDF71-E475-4F26-BEB8-049529989EAF}"/>
    <cellStyle name="Comma 671 4" xfId="5103" xr:uid="{5A0C1F13-F930-4038-86A0-63B1310AABF2}"/>
    <cellStyle name="Comma 672" xfId="912" xr:uid="{64ADB63C-5922-4BCC-9A36-C3C3056A2D93}"/>
    <cellStyle name="Comma 672 2" xfId="1950" xr:uid="{7A2A56A5-4247-4A51-903D-66DC28D1BBA5}"/>
    <cellStyle name="Comma 672 2 2" xfId="4008" xr:uid="{03CCD24F-A0D4-4ADA-8353-EFD33DC54760}"/>
    <cellStyle name="Comma 672 3" xfId="2978" xr:uid="{23E7C6F6-AE53-4B7B-907E-479F2B1CD279}"/>
    <cellStyle name="Comma 672 4" xfId="5104" xr:uid="{50F90113-4B8E-4E9B-B7E0-389582D3A0FE}"/>
    <cellStyle name="Comma 673" xfId="913" xr:uid="{96CD7E50-EA22-41BB-B549-49F6D469AACB}"/>
    <cellStyle name="Comma 673 2" xfId="1951" xr:uid="{9F0699D3-2E4B-4433-BD26-D2E18DA38689}"/>
    <cellStyle name="Comma 673 2 2" xfId="4009" xr:uid="{CF42EDCF-4701-4E0D-AB57-0350B05DA952}"/>
    <cellStyle name="Comma 673 3" xfId="2979" xr:uid="{27152497-DB0D-4727-98E9-85ED4D07A619}"/>
    <cellStyle name="Comma 673 4" xfId="5105" xr:uid="{512048E8-4C4F-46CC-BCD0-86BC47988762}"/>
    <cellStyle name="Comma 674" xfId="914" xr:uid="{B5A6F970-C981-4B84-B6C9-BA66BA8100CA}"/>
    <cellStyle name="Comma 674 2" xfId="1952" xr:uid="{AAC585D3-4681-4018-8D5B-09E0FDA0C770}"/>
    <cellStyle name="Comma 674 2 2" xfId="4010" xr:uid="{80CE325F-27E9-4539-A82A-6F7D017C463D}"/>
    <cellStyle name="Comma 674 3" xfId="2980" xr:uid="{38BDA87D-0834-4EE8-8BED-240C4EE9D9A1}"/>
    <cellStyle name="Comma 674 4" xfId="5106" xr:uid="{F9937DF8-3E58-4299-A43B-C00B4C15228E}"/>
    <cellStyle name="Comma 675" xfId="915" xr:uid="{DB4083D8-1FEA-4386-9B16-1CE0261432E1}"/>
    <cellStyle name="Comma 675 2" xfId="1953" xr:uid="{A4E14A0C-DFE3-4BF0-BE8B-51F039F23EB5}"/>
    <cellStyle name="Comma 675 2 2" xfId="4011" xr:uid="{E53DAEB7-FA9D-4709-BEF0-4EB11F6AD18A}"/>
    <cellStyle name="Comma 675 3" xfId="2981" xr:uid="{CCCEEACA-32BB-4F98-883B-A1A0042B419D}"/>
    <cellStyle name="Comma 675 4" xfId="5107" xr:uid="{5018EBC1-D589-4FEF-9A13-E52B1D6DE5C1}"/>
    <cellStyle name="Comma 676" xfId="916" xr:uid="{B9CE3400-FC28-41EC-9403-A4F62DA80EBD}"/>
    <cellStyle name="Comma 676 2" xfId="1954" xr:uid="{D39E0C89-7D25-42B8-A597-6ACF23680A22}"/>
    <cellStyle name="Comma 676 2 2" xfId="4012" xr:uid="{545040BB-E282-47E5-843E-C02139FA8847}"/>
    <cellStyle name="Comma 676 3" xfId="2982" xr:uid="{3E6F9B8E-08AA-4415-A71F-1053C45AD169}"/>
    <cellStyle name="Comma 676 4" xfId="5108" xr:uid="{834CCE19-B305-47A0-804D-E7E0BE9FFA93}"/>
    <cellStyle name="Comma 677" xfId="917" xr:uid="{58894A1E-9658-4320-8FDF-81E5107DA506}"/>
    <cellStyle name="Comma 677 2" xfId="1955" xr:uid="{EC5701B4-A101-48D4-91BE-47EDEDC3BD2F}"/>
    <cellStyle name="Comma 677 2 2" xfId="4013" xr:uid="{AEAE34AA-E2EF-49EB-B772-F05C0A0AFDA8}"/>
    <cellStyle name="Comma 677 3" xfId="2983" xr:uid="{AC35EDD1-51D8-4B70-B938-DC888B5486CC}"/>
    <cellStyle name="Comma 677 4" xfId="5109" xr:uid="{CA8CD2B4-7E96-407B-AE82-24DBB8372719}"/>
    <cellStyle name="Comma 678" xfId="918" xr:uid="{E7088DFF-0D7E-44AA-9D1A-94ABC59349D5}"/>
    <cellStyle name="Comma 678 2" xfId="1956" xr:uid="{8A4E2259-4AA0-44CA-961C-D8376B87DFA7}"/>
    <cellStyle name="Comma 678 2 2" xfId="4014" xr:uid="{5B6365F4-AF66-4CBB-B74A-EFEBFAE6AE45}"/>
    <cellStyle name="Comma 678 3" xfId="2984" xr:uid="{F10CDB0C-1DC9-4ED0-87C4-965C8FA8E6C0}"/>
    <cellStyle name="Comma 678 4" xfId="5110" xr:uid="{30FAB751-07BB-47B7-96B3-22148A0C6B5B}"/>
    <cellStyle name="Comma 679" xfId="919" xr:uid="{1CCFF116-84B7-44B2-A17F-1CD9171D15E2}"/>
    <cellStyle name="Comma 679 2" xfId="1957" xr:uid="{BE03F11A-2B3A-4B58-B0ED-AFFDC7CF41E0}"/>
    <cellStyle name="Comma 679 2 2" xfId="4015" xr:uid="{6D864725-9C8C-4541-B445-2C439CDFABBA}"/>
    <cellStyle name="Comma 679 3" xfId="2985" xr:uid="{5625E9C2-AFE0-43D3-9F3B-5B080CBE8252}"/>
    <cellStyle name="Comma 679 4" xfId="5111" xr:uid="{77AFF78E-F249-46D1-910B-388F14FE134E}"/>
    <cellStyle name="Comma 68" xfId="271" xr:uid="{21F2C10F-148D-4447-AC9E-F0CBBC506D7A}"/>
    <cellStyle name="Comma 68 2" xfId="1346" xr:uid="{B6BA9136-395C-477A-A777-C476E1EABFFC}"/>
    <cellStyle name="Comma 68 2 2" xfId="3404" xr:uid="{D5D946DA-7BA6-478B-9B46-94714171D080}"/>
    <cellStyle name="Comma 68 3" xfId="2374" xr:uid="{971C01F5-B90B-4E65-8F48-42EE8816BC90}"/>
    <cellStyle name="Comma 68 4" xfId="4500" xr:uid="{171C9278-53AE-4B96-B270-32D38C3BC417}"/>
    <cellStyle name="Comma 680" xfId="920" xr:uid="{DA1D3552-C214-460F-9F55-0EAB621D883A}"/>
    <cellStyle name="Comma 680 2" xfId="1958" xr:uid="{7EBE22AA-96B5-4960-9271-AEEE8587B4A7}"/>
    <cellStyle name="Comma 680 2 2" xfId="4016" xr:uid="{8AC61B64-755E-4ED4-8F14-6C684670D50B}"/>
    <cellStyle name="Comma 680 3" xfId="2986" xr:uid="{27E31142-5CC5-477D-9D2B-1C3BDA3E9519}"/>
    <cellStyle name="Comma 680 4" xfId="5112" xr:uid="{5D44CBDA-616F-4941-92C3-31A98544EB30}"/>
    <cellStyle name="Comma 681" xfId="921" xr:uid="{C49C6582-2EE5-4D94-80A1-707539151968}"/>
    <cellStyle name="Comma 681 2" xfId="1959" xr:uid="{EBB241A3-E24C-4AA2-B97C-55C9E471CBBA}"/>
    <cellStyle name="Comma 681 2 2" xfId="4017" xr:uid="{201D4954-03A7-49FA-BDC2-DEFBE213A2EE}"/>
    <cellStyle name="Comma 681 3" xfId="2987" xr:uid="{EF4F76BB-30E7-497D-9BFB-10A93B791B61}"/>
    <cellStyle name="Comma 681 4" xfId="5113" xr:uid="{8D950263-E959-411B-9A2C-C56EA82A8261}"/>
    <cellStyle name="Comma 682" xfId="922" xr:uid="{FCDD5D25-8A80-4A27-9335-537EAD9DA098}"/>
    <cellStyle name="Comma 682 2" xfId="1960" xr:uid="{DAA6A9F3-B4A7-4501-9CFE-8284BACC4348}"/>
    <cellStyle name="Comma 682 2 2" xfId="4018" xr:uid="{866879E4-F9AB-451C-B2CC-1EB8DE292F53}"/>
    <cellStyle name="Comma 682 3" xfId="2988" xr:uid="{C7A1DFAA-7841-4A16-9664-BCF5E69BEDEF}"/>
    <cellStyle name="Comma 682 4" xfId="5114" xr:uid="{40A5193D-C72F-472C-B0E9-61218FC962B1}"/>
    <cellStyle name="Comma 683" xfId="923" xr:uid="{4AE4A9E9-0A93-455E-B867-6E7AE064E740}"/>
    <cellStyle name="Comma 683 2" xfId="1961" xr:uid="{25B8B3F5-4A42-47BC-89A9-C8D9C64E381F}"/>
    <cellStyle name="Comma 683 2 2" xfId="4019" xr:uid="{B3B46156-8FAD-495C-ABEE-9553E6121EE7}"/>
    <cellStyle name="Comma 683 3" xfId="2989" xr:uid="{DBE4FC8C-847D-4765-BB01-0E2EEE49E1CE}"/>
    <cellStyle name="Comma 683 4" xfId="5115" xr:uid="{8F4FE3D3-3B7C-4E17-966E-634CB3C39349}"/>
    <cellStyle name="Comma 684" xfId="924" xr:uid="{122E02FB-4E87-4CC0-B835-B08FE36F6769}"/>
    <cellStyle name="Comma 684 2" xfId="1962" xr:uid="{C616C5FE-4E04-4F7A-9686-F7394743B716}"/>
    <cellStyle name="Comma 684 2 2" xfId="4020" xr:uid="{FA6D6D95-5E71-4DAD-9C6F-7C8C0EA102FF}"/>
    <cellStyle name="Comma 684 3" xfId="2990" xr:uid="{1466DA1D-736E-4A7F-AB06-C02C321E62ED}"/>
    <cellStyle name="Comma 684 4" xfId="5116" xr:uid="{EDB1656F-8BFE-41A4-A337-9F936D7DA83D}"/>
    <cellStyle name="Comma 685" xfId="925" xr:uid="{20D9BA68-54B4-4D83-B300-65A044BED641}"/>
    <cellStyle name="Comma 685 2" xfId="1963" xr:uid="{8B92D8B7-763A-4299-BD70-85E9100023D8}"/>
    <cellStyle name="Comma 685 2 2" xfId="4021" xr:uid="{811E32CA-4DC0-4173-B4CE-C4E3AEA9A1C0}"/>
    <cellStyle name="Comma 685 3" xfId="2991" xr:uid="{9B05590D-6060-4F5A-B93D-0AF765BFB7B0}"/>
    <cellStyle name="Comma 685 4" xfId="5117" xr:uid="{74EF7492-FD76-4C13-98A4-137164358154}"/>
    <cellStyle name="Comma 686" xfId="926" xr:uid="{FFE993B3-3F33-4B26-B2CA-99C0890F7133}"/>
    <cellStyle name="Comma 686 2" xfId="1964" xr:uid="{7CE86ECE-8751-44D8-8898-625E5729879E}"/>
    <cellStyle name="Comma 686 2 2" xfId="4022" xr:uid="{2187B688-D043-472C-8365-AE6A8FFAE27E}"/>
    <cellStyle name="Comma 686 3" xfId="2992" xr:uid="{941BDB13-8985-41AD-9D6A-C36AF7CEF217}"/>
    <cellStyle name="Comma 686 4" xfId="5118" xr:uid="{D346DB34-27F3-4816-865B-2FE941322751}"/>
    <cellStyle name="Comma 687" xfId="927" xr:uid="{2B3EBF52-C292-4921-B671-6436270D6715}"/>
    <cellStyle name="Comma 687 2" xfId="1965" xr:uid="{7652904B-935A-439C-93D2-38A4E353CB9E}"/>
    <cellStyle name="Comma 687 2 2" xfId="4023" xr:uid="{F2A43D3A-03E8-4341-99C3-11E024082F4E}"/>
    <cellStyle name="Comma 687 3" xfId="2993" xr:uid="{36A7C16B-45B4-4ECF-86D0-363DE9F0E3FD}"/>
    <cellStyle name="Comma 687 4" xfId="5119" xr:uid="{3BB82DDF-4927-4029-9CF2-44363DB22462}"/>
    <cellStyle name="Comma 688" xfId="928" xr:uid="{7BB6A959-DC41-46AF-A363-8697DB43F010}"/>
    <cellStyle name="Comma 688 2" xfId="1966" xr:uid="{01206717-9EBE-47CE-96E9-87AA63987672}"/>
    <cellStyle name="Comma 688 2 2" xfId="4024" xr:uid="{5666CF58-862F-47CF-845D-2B4724ADDDCE}"/>
    <cellStyle name="Comma 688 3" xfId="2994" xr:uid="{9C96BD81-AF12-465D-A57C-439BE3103288}"/>
    <cellStyle name="Comma 688 4" xfId="5120" xr:uid="{8F1D12D4-BD50-4388-B4D8-4DB34000BDA4}"/>
    <cellStyle name="Comma 689" xfId="929" xr:uid="{68FC1BAE-8C06-44D9-B3D1-E621BDFA8E8E}"/>
    <cellStyle name="Comma 689 2" xfId="1967" xr:uid="{CBABCBAC-32E7-470B-A767-5C0DB944BA0B}"/>
    <cellStyle name="Comma 689 2 2" xfId="4025" xr:uid="{413A43D6-FEC3-4C37-BF5C-0FAE95BCDB6C}"/>
    <cellStyle name="Comma 689 3" xfId="2995" xr:uid="{7F6980AA-F9B9-49E4-A792-45FDC9E54561}"/>
    <cellStyle name="Comma 689 4" xfId="5121" xr:uid="{30C57320-DA9C-43F4-A15A-D76B7D7DF81A}"/>
    <cellStyle name="Comma 69" xfId="272" xr:uid="{515EF98B-9D5A-47E8-A583-A9B150432421}"/>
    <cellStyle name="Comma 69 2" xfId="1347" xr:uid="{0F79F129-55CE-490C-9058-A78D565E2B50}"/>
    <cellStyle name="Comma 69 2 2" xfId="3405" xr:uid="{9E0746F0-072A-4D2D-BCBF-89CB212C0900}"/>
    <cellStyle name="Comma 69 3" xfId="2375" xr:uid="{38633AF1-CFB7-478A-AC3C-C1ACB0A5CD28}"/>
    <cellStyle name="Comma 69 4" xfId="4501" xr:uid="{B9A0C4A0-5585-46A2-8CB4-25324C2A9925}"/>
    <cellStyle name="Comma 690" xfId="930" xr:uid="{71886148-5903-4A90-94D7-58FD594FEC66}"/>
    <cellStyle name="Comma 690 2" xfId="1968" xr:uid="{A29049EA-EC69-4260-9DBC-EF03728E5ED8}"/>
    <cellStyle name="Comma 690 2 2" xfId="4026" xr:uid="{08399B3E-7890-4DD3-B2F5-36258449D400}"/>
    <cellStyle name="Comma 690 3" xfId="2996" xr:uid="{CF2ECF31-3A89-45C6-A8D3-36F88013E204}"/>
    <cellStyle name="Comma 690 4" xfId="5122" xr:uid="{E780BFE6-8766-41AD-A481-7331EB105281}"/>
    <cellStyle name="Comma 691" xfId="931" xr:uid="{C1358FE3-859D-4397-80DB-1131DB106B9C}"/>
    <cellStyle name="Comma 691 2" xfId="1969" xr:uid="{98D79B25-131D-41AD-B4BF-15B34EFEC1F3}"/>
    <cellStyle name="Comma 691 2 2" xfId="4027" xr:uid="{B73BBDA6-CD48-46A8-B512-A61F985BA14F}"/>
    <cellStyle name="Comma 691 3" xfId="2997" xr:uid="{D4DB4CE3-03FE-4A44-8256-2F252D530EC0}"/>
    <cellStyle name="Comma 691 4" xfId="5123" xr:uid="{F79C7D59-2502-4E60-8DAA-70D52AC5CD1B}"/>
    <cellStyle name="Comma 692" xfId="932" xr:uid="{31BA70B6-9DDF-42EC-9A94-172E567644A6}"/>
    <cellStyle name="Comma 692 2" xfId="1970" xr:uid="{F4FEE45B-DA50-48BE-9ABE-7828CE1496EC}"/>
    <cellStyle name="Comma 692 2 2" xfId="4028" xr:uid="{F107F511-8C91-48DB-8596-23372E491B58}"/>
    <cellStyle name="Comma 692 3" xfId="2998" xr:uid="{50A57F21-4EA2-467C-9754-E5D5FC7780D4}"/>
    <cellStyle name="Comma 692 4" xfId="5124" xr:uid="{985B0CD0-6076-4DC6-9220-C130F3F62A99}"/>
    <cellStyle name="Comma 693" xfId="933" xr:uid="{98CE5512-792C-4589-AD17-C837C636E4F4}"/>
    <cellStyle name="Comma 693 2" xfId="1971" xr:uid="{07D33AE6-0A42-4237-98E2-8042AE0EF0E8}"/>
    <cellStyle name="Comma 693 2 2" xfId="4029" xr:uid="{B8D66A60-0D7A-4F24-A026-37D43A76B4D1}"/>
    <cellStyle name="Comma 693 3" xfId="2999" xr:uid="{D7CED08B-751A-47F9-B373-31DC63CDE07A}"/>
    <cellStyle name="Comma 693 4" xfId="5125" xr:uid="{917E4129-A060-4871-A891-C5055D4443E3}"/>
    <cellStyle name="Comma 694" xfId="934" xr:uid="{2BBFED2C-B052-4E1A-8D11-48E855E38821}"/>
    <cellStyle name="Comma 694 2" xfId="1972" xr:uid="{B614F00E-8B54-4205-A00E-352DFB670D7A}"/>
    <cellStyle name="Comma 694 2 2" xfId="4030" xr:uid="{5CBBEE94-7DDE-4650-B0E3-5B481028B8ED}"/>
    <cellStyle name="Comma 694 3" xfId="3000" xr:uid="{B95C948C-6E40-4D78-858F-FA684C630AB4}"/>
    <cellStyle name="Comma 694 4" xfId="5126" xr:uid="{CCAE0941-217A-44E3-A7E9-9685ADA32414}"/>
    <cellStyle name="Comma 695" xfId="935" xr:uid="{812175D9-8CBB-43E2-BFF5-EF0A5C7FF8F5}"/>
    <cellStyle name="Comma 695 2" xfId="1973" xr:uid="{F605752A-4508-4348-AD4E-EA24CE3F2F8B}"/>
    <cellStyle name="Comma 695 2 2" xfId="4031" xr:uid="{E70E73C0-8EA9-4352-96A3-F951E8253622}"/>
    <cellStyle name="Comma 695 3" xfId="3001" xr:uid="{18A6E9A1-3055-4E02-8255-6F81EA59C9BC}"/>
    <cellStyle name="Comma 695 4" xfId="5127" xr:uid="{BCAEEF94-FA15-4855-A814-1D2D806F6AC3}"/>
    <cellStyle name="Comma 696" xfId="936" xr:uid="{4CB58722-6CF5-47D2-A4A0-CFE20505BC72}"/>
    <cellStyle name="Comma 696 2" xfId="1974" xr:uid="{4F824A40-BD16-42DC-8D3E-2FA144EE33A9}"/>
    <cellStyle name="Comma 696 2 2" xfId="4032" xr:uid="{36AD81A9-F57B-4626-A073-34925B6F357E}"/>
    <cellStyle name="Comma 696 3" xfId="3002" xr:uid="{CA56E1CA-A5E1-4576-9F91-7D161050C5C2}"/>
    <cellStyle name="Comma 696 4" xfId="5128" xr:uid="{EC9E730A-C888-4B47-BC40-22C07CD3EFE4}"/>
    <cellStyle name="Comma 697" xfId="937" xr:uid="{D2BF8D49-E5D2-43CF-8EBE-28F3044F7AA5}"/>
    <cellStyle name="Comma 697 2" xfId="1975" xr:uid="{7D0D36B2-030E-4946-B856-06608B4E4F5F}"/>
    <cellStyle name="Comma 697 2 2" xfId="4033" xr:uid="{03071497-00D4-45AD-A5B7-D7C02349E535}"/>
    <cellStyle name="Comma 697 3" xfId="3003" xr:uid="{C353349F-7A4C-4401-8F0C-F582CC4836ED}"/>
    <cellStyle name="Comma 697 4" xfId="5129" xr:uid="{F8E0E45D-BFB4-47DB-B682-9D124CB2EC6E}"/>
    <cellStyle name="Comma 698" xfId="938" xr:uid="{5C2E96D3-03BA-4B83-B7F3-B02ADA5529C3}"/>
    <cellStyle name="Comma 698 2" xfId="1976" xr:uid="{FB029E4C-5B8C-44A4-BD90-C7F742DBFE87}"/>
    <cellStyle name="Comma 698 2 2" xfId="4034" xr:uid="{B95ECD11-3A14-40BE-B8E1-6A01AE67CCB7}"/>
    <cellStyle name="Comma 698 3" xfId="3004" xr:uid="{DC714DF7-5CAB-49F5-AFBE-B9663596DA97}"/>
    <cellStyle name="Comma 698 4" xfId="5130" xr:uid="{B84BE620-EAB3-4A96-878C-F09EFCFD6CC3}"/>
    <cellStyle name="Comma 699" xfId="939" xr:uid="{5A7CEDD4-F9A4-4B41-BEB9-46BE535D3334}"/>
    <cellStyle name="Comma 699 2" xfId="1977" xr:uid="{5FDD48EF-BEBB-4A30-B85F-61EA9FD21CDD}"/>
    <cellStyle name="Comma 699 2 2" xfId="4035" xr:uid="{B2E3CE58-E3D4-4C8A-A56A-6F5038F43370}"/>
    <cellStyle name="Comma 699 3" xfId="3005" xr:uid="{7DFC9F1E-3E85-4B77-91F4-5154EE654F9B}"/>
    <cellStyle name="Comma 699 4" xfId="5131" xr:uid="{4600B89B-6EBB-4FCC-8851-73538F199277}"/>
    <cellStyle name="Comma 7" xfId="199" xr:uid="{56DDE7D6-41EE-47A1-8A57-07FA837FA5CD}"/>
    <cellStyle name="Comma 7 2" xfId="1285" xr:uid="{316E1568-7390-461C-B037-405F90400A92}"/>
    <cellStyle name="Comma 7 2 2" xfId="3343" xr:uid="{6374D629-0FBE-4EF1-AEBE-5D386870B7AA}"/>
    <cellStyle name="Comma 7 3" xfId="2313" xr:uid="{214E1004-D708-4878-BD19-6B567C627B58}"/>
    <cellStyle name="Comma 7 4" xfId="4439" xr:uid="{B05C57A9-F849-4297-A887-E4ADCE670733}"/>
    <cellStyle name="Comma 70" xfId="273" xr:uid="{D018E91F-5D74-4C2B-A459-2A5540124D53}"/>
    <cellStyle name="Comma 70 2" xfId="1348" xr:uid="{9C2E3A8A-3E25-4832-A971-A76A814F16AF}"/>
    <cellStyle name="Comma 70 2 2" xfId="3406" xr:uid="{9A75EB5A-654C-4AA2-89DB-3E76F4481196}"/>
    <cellStyle name="Comma 70 3" xfId="2376" xr:uid="{3BD28FAF-BDDB-4585-9004-A2108BB41D12}"/>
    <cellStyle name="Comma 70 4" xfId="4502" xr:uid="{F995A58C-C3B4-4F26-8F32-CD75AFE1A5B0}"/>
    <cellStyle name="Comma 700" xfId="940" xr:uid="{F09E3465-F330-4232-A263-B77EB0CFB1A7}"/>
    <cellStyle name="Comma 700 2" xfId="1978" xr:uid="{47B19068-8E13-4990-A0B5-4CABA68F0D85}"/>
    <cellStyle name="Comma 700 2 2" xfId="4036" xr:uid="{32D3AF5E-764F-4F85-914E-76991CF13AE0}"/>
    <cellStyle name="Comma 700 3" xfId="3006" xr:uid="{F43B876C-C6C6-490B-AA2B-D8471862E58C}"/>
    <cellStyle name="Comma 700 4" xfId="5132" xr:uid="{78339758-0990-4CFE-872C-9F6F1F1F9D19}"/>
    <cellStyle name="Comma 701" xfId="941" xr:uid="{F7A00D07-CEC1-49C0-B0C9-A47B43AFD397}"/>
    <cellStyle name="Comma 701 2" xfId="1979" xr:uid="{F2EFA114-B4CD-4267-AE2C-F6B6DEBA3925}"/>
    <cellStyle name="Comma 701 2 2" xfId="4037" xr:uid="{D788D824-F8BE-46E1-84C3-408D088C18C2}"/>
    <cellStyle name="Comma 701 3" xfId="3007" xr:uid="{F45E35C2-7FBE-4021-8BA3-8FE9F1839754}"/>
    <cellStyle name="Comma 701 4" xfId="5133" xr:uid="{E05B777A-1301-4608-91B4-076CEA8C4D38}"/>
    <cellStyle name="Comma 702" xfId="942" xr:uid="{A6E15E9D-DC4C-4891-8054-641A02FBC5E7}"/>
    <cellStyle name="Comma 702 2" xfId="1980" xr:uid="{5193F60B-E5B5-4827-A5C7-3A8E6A9AD09F}"/>
    <cellStyle name="Comma 702 2 2" xfId="4038" xr:uid="{0F3E8A32-4895-4586-A90F-C648EDD99631}"/>
    <cellStyle name="Comma 702 3" xfId="3008" xr:uid="{E92FE557-087D-4B2B-88B2-DC59B810D37C}"/>
    <cellStyle name="Comma 702 4" xfId="5134" xr:uid="{43E0A7A4-5E3D-42C3-93C2-3DF1E152B968}"/>
    <cellStyle name="Comma 703" xfId="943" xr:uid="{E16F4B95-4410-4817-87A2-8828D733413F}"/>
    <cellStyle name="Comma 703 2" xfId="1981" xr:uid="{AC6649EE-363B-427A-8913-64C7259C62AF}"/>
    <cellStyle name="Comma 703 2 2" xfId="4039" xr:uid="{F18FD1E0-FE06-4C8D-BABE-ADAFAFB90B84}"/>
    <cellStyle name="Comma 703 3" xfId="3009" xr:uid="{54DC67C0-BE02-4C7C-8734-F91D5298DF32}"/>
    <cellStyle name="Comma 703 4" xfId="5135" xr:uid="{48CD34E9-2C6E-4674-B01E-773FD56EC71D}"/>
    <cellStyle name="Comma 704" xfId="944" xr:uid="{7F44C3E4-232C-48AB-B306-9AB44435D244}"/>
    <cellStyle name="Comma 704 2" xfId="1982" xr:uid="{F57E72D0-97AF-4F85-9D7B-4662D2E6F18D}"/>
    <cellStyle name="Comma 704 2 2" xfId="4040" xr:uid="{2B682738-F319-42CC-8D15-6432BE4E3711}"/>
    <cellStyle name="Comma 704 3" xfId="3010" xr:uid="{57A97C52-EC53-4DA9-8AD1-60A2A1253F8E}"/>
    <cellStyle name="Comma 704 4" xfId="5136" xr:uid="{6EF160C8-7D20-4CE0-869D-397092709F6B}"/>
    <cellStyle name="Comma 705" xfId="945" xr:uid="{A62A2C38-39E2-42EA-B3B0-DE737F044A2E}"/>
    <cellStyle name="Comma 705 2" xfId="1983" xr:uid="{8B2B98C5-10F3-48BD-B907-C0191096119F}"/>
    <cellStyle name="Comma 705 2 2" xfId="4041" xr:uid="{AB13E7FC-A00C-4E26-AEC1-8994203C9C92}"/>
    <cellStyle name="Comma 705 3" xfId="3011" xr:uid="{9F682AF3-0029-4ED8-8EF6-8F1C652DDAB3}"/>
    <cellStyle name="Comma 705 4" xfId="5137" xr:uid="{36269533-E21D-4914-9021-902CBEAB8225}"/>
    <cellStyle name="Comma 706" xfId="946" xr:uid="{E631F145-19AD-4B01-9582-48DF391D1A2F}"/>
    <cellStyle name="Comma 706 2" xfId="1984" xr:uid="{E86E8945-5197-4D9F-BF67-E9B0B7AF0372}"/>
    <cellStyle name="Comma 706 2 2" xfId="4042" xr:uid="{3C2BDB3D-F9AA-49FD-A28F-E1EDA0BA9D79}"/>
    <cellStyle name="Comma 706 3" xfId="3012" xr:uid="{4F89C8A9-C26A-45A3-A132-8FF6C8CC0477}"/>
    <cellStyle name="Comma 706 4" xfId="5138" xr:uid="{5C31C812-7DA9-4AA4-8ED8-C85EFF16FAD4}"/>
    <cellStyle name="Comma 707" xfId="947" xr:uid="{7ED3D5CD-4CCD-4546-980F-C22DEE005630}"/>
    <cellStyle name="Comma 707 2" xfId="1985" xr:uid="{F84BD219-EF00-48DE-AEC8-6376033F0427}"/>
    <cellStyle name="Comma 707 2 2" xfId="4043" xr:uid="{D6081129-69A2-4E06-8684-2ED6053E6429}"/>
    <cellStyle name="Comma 707 3" xfId="3013" xr:uid="{B09BF79C-D682-4DF7-8D5A-F9D51A752240}"/>
    <cellStyle name="Comma 707 4" xfId="5139" xr:uid="{9C3C4FD0-068E-4A9C-B407-963B2CB76799}"/>
    <cellStyle name="Comma 708" xfId="948" xr:uid="{1F5EDF9F-9B1D-4EF3-AB9F-2127006631B0}"/>
    <cellStyle name="Comma 708 2" xfId="1986" xr:uid="{5E2A4056-BF80-41F6-9C2A-3F215315C2CF}"/>
    <cellStyle name="Comma 708 2 2" xfId="4044" xr:uid="{8F6BAF56-9ED1-422B-A511-2724B4DAFCEF}"/>
    <cellStyle name="Comma 708 3" xfId="3014" xr:uid="{3C7F2A93-C7A6-406D-B6DF-3E3C6E75AFB3}"/>
    <cellStyle name="Comma 708 4" xfId="5140" xr:uid="{CCFB0C1A-7D9D-45CB-9A9F-7353FA537918}"/>
    <cellStyle name="Comma 709" xfId="949" xr:uid="{12AB64AD-C256-4FC5-BEAF-6F5861953863}"/>
    <cellStyle name="Comma 709 2" xfId="1987" xr:uid="{DAEEEF07-49C5-4805-96AC-660C05CC562D}"/>
    <cellStyle name="Comma 709 2 2" xfId="4045" xr:uid="{08421979-1B27-41EB-9110-9F36C2A5C55A}"/>
    <cellStyle name="Comma 709 3" xfId="3015" xr:uid="{5D0DB713-C562-452F-BCA9-28A9853961D1}"/>
    <cellStyle name="Comma 709 4" xfId="5141" xr:uid="{EE7F7AEC-3A6E-4E62-B2BA-099918A5A896}"/>
    <cellStyle name="Comma 71" xfId="274" xr:uid="{877EE850-513A-4006-92ED-625E7A2E93DA}"/>
    <cellStyle name="Comma 71 2" xfId="1349" xr:uid="{5D18E956-FF25-4E2A-8EE7-8AB60BCE1124}"/>
    <cellStyle name="Comma 71 2 2" xfId="3407" xr:uid="{B8BF0524-2EB8-4756-B240-49942B807B25}"/>
    <cellStyle name="Comma 71 3" xfId="2377" xr:uid="{1F42F6AF-5FA9-41C6-A03D-81622B4C2FE5}"/>
    <cellStyle name="Comma 71 4" xfId="4503" xr:uid="{1A3840D7-6B1E-4675-807A-722286281001}"/>
    <cellStyle name="Comma 710" xfId="950" xr:uid="{90B8E46A-31CE-49B6-8CD1-759A87F47DCB}"/>
    <cellStyle name="Comma 710 2" xfId="1988" xr:uid="{B260A752-ACD4-4160-B556-7B4B13D39EF6}"/>
    <cellStyle name="Comma 710 2 2" xfId="4046" xr:uid="{1895317F-B603-4DD7-9C8A-2C9E0F0AAF79}"/>
    <cellStyle name="Comma 710 3" xfId="3016" xr:uid="{7EA371C3-0A7F-4849-AFFA-5061DF78D9E0}"/>
    <cellStyle name="Comma 710 4" xfId="5142" xr:uid="{725C95B2-9E2E-4C45-874F-2CC63FE5C0BD}"/>
    <cellStyle name="Comma 711" xfId="951" xr:uid="{19F3E500-5F52-453D-9CA0-FC0394D7981F}"/>
    <cellStyle name="Comma 711 2" xfId="1989" xr:uid="{462171EA-DD7B-4319-B124-B6BF901BC82C}"/>
    <cellStyle name="Comma 711 2 2" xfId="4047" xr:uid="{9A2739EE-8ED5-4D6E-AF85-06BFB86CBAF7}"/>
    <cellStyle name="Comma 711 3" xfId="3017" xr:uid="{933DA493-331B-4BE2-8022-46D1A11AE5A9}"/>
    <cellStyle name="Comma 711 4" xfId="5143" xr:uid="{0774E5BB-4876-44B8-9173-C27CC35AC82B}"/>
    <cellStyle name="Comma 712" xfId="952" xr:uid="{EBA5018C-F3F6-45D6-9FAD-1038E50ECCFE}"/>
    <cellStyle name="Comma 712 2" xfId="1990" xr:uid="{63828E7D-57BD-4B14-89EB-8DCF1F253F4E}"/>
    <cellStyle name="Comma 712 2 2" xfId="4048" xr:uid="{5013E6F1-83D3-49A6-AC35-FA89A49825C6}"/>
    <cellStyle name="Comma 712 3" xfId="3018" xr:uid="{3235AC4F-F70E-47E3-A182-A1F7A76A5AFE}"/>
    <cellStyle name="Comma 712 4" xfId="5144" xr:uid="{842F9F2B-DFD9-439D-B78E-C6C82D0906A4}"/>
    <cellStyle name="Comma 713" xfId="953" xr:uid="{7C930E2D-D01F-4614-BCDD-9A1BD10A18B1}"/>
    <cellStyle name="Comma 713 2" xfId="1991" xr:uid="{D2A0F132-C3F8-4333-9149-69A5988CE865}"/>
    <cellStyle name="Comma 713 2 2" xfId="4049" xr:uid="{7EA0E239-F7A3-4582-846A-1057917FE063}"/>
    <cellStyle name="Comma 713 3" xfId="3019" xr:uid="{205418D8-B1FB-49C0-849B-874971911BD7}"/>
    <cellStyle name="Comma 713 4" xfId="5145" xr:uid="{CCB230E0-014F-426E-91DB-67E7B6E6C95F}"/>
    <cellStyle name="Comma 714" xfId="954" xr:uid="{B8D77867-B535-4218-B0C5-B6B3687FC4F9}"/>
    <cellStyle name="Comma 714 2" xfId="1992" xr:uid="{EF188899-378B-4EFD-BDFA-C22C4E4F06CA}"/>
    <cellStyle name="Comma 714 2 2" xfId="4050" xr:uid="{6C2CF371-23E6-445E-BA61-3202592EFCC3}"/>
    <cellStyle name="Comma 714 3" xfId="3020" xr:uid="{97EE3278-CD1F-496F-8340-9C21C6FDEAE8}"/>
    <cellStyle name="Comma 714 4" xfId="5146" xr:uid="{BAE1B7AD-E8DC-427F-839C-4CF813F1E5F6}"/>
    <cellStyle name="Comma 715" xfId="955" xr:uid="{33716FC2-173F-4528-BA68-421217F98C76}"/>
    <cellStyle name="Comma 715 2" xfId="1993" xr:uid="{8F2F2853-349D-4407-B91A-6ED9303F1831}"/>
    <cellStyle name="Comma 715 2 2" xfId="4051" xr:uid="{3F7F6948-D597-4D02-ABA4-5F40F1C3865B}"/>
    <cellStyle name="Comma 715 3" xfId="3021" xr:uid="{35F6FE80-869E-4668-B2BE-C9E42F139783}"/>
    <cellStyle name="Comma 715 4" xfId="5147" xr:uid="{EB2EFB11-D8D8-419D-A00C-1C5D7AC0F221}"/>
    <cellStyle name="Comma 716" xfId="956" xr:uid="{6CB1DB49-4EF2-46F8-B42D-C35C791A1C09}"/>
    <cellStyle name="Comma 716 2" xfId="1994" xr:uid="{8196B09D-FC63-48DF-86EE-C79FF0051514}"/>
    <cellStyle name="Comma 716 2 2" xfId="4052" xr:uid="{290C9F4B-F5A4-437B-90CF-58A8B0213F04}"/>
    <cellStyle name="Comma 716 3" xfId="3022" xr:uid="{FC21408A-BC56-49C7-80CD-1D22CDACA475}"/>
    <cellStyle name="Comma 716 4" xfId="5148" xr:uid="{F4FA7DBC-0EB0-4FDD-B4F6-B17D74F3ACC4}"/>
    <cellStyle name="Comma 717" xfId="957" xr:uid="{CADEFF78-89C9-440D-BB69-1E7B7FB7B428}"/>
    <cellStyle name="Comma 717 2" xfId="1995" xr:uid="{F58A9CC0-E77B-4F0E-899B-C8488A1AB918}"/>
    <cellStyle name="Comma 717 2 2" xfId="4053" xr:uid="{9F77D668-992A-43BC-A585-8071DD59CF71}"/>
    <cellStyle name="Comma 717 3" xfId="3023" xr:uid="{2BF55785-D0E1-4ECB-92B4-0DE9F4E59119}"/>
    <cellStyle name="Comma 717 4" xfId="5149" xr:uid="{388ACF9E-A509-437D-9359-D633B0BB1255}"/>
    <cellStyle name="Comma 718" xfId="958" xr:uid="{8FA4D578-E9D3-4E7D-9BEE-AA68F948B0E3}"/>
    <cellStyle name="Comma 718 2" xfId="1996" xr:uid="{8EF32DED-009E-40EE-832A-7C51895D8E31}"/>
    <cellStyle name="Comma 718 2 2" xfId="4054" xr:uid="{8C84C0E3-B28D-44FC-8B22-9E47C47F7632}"/>
    <cellStyle name="Comma 718 3" xfId="3024" xr:uid="{5939EE62-7B92-4EAD-8B0D-43FD046D506E}"/>
    <cellStyle name="Comma 718 4" xfId="5150" xr:uid="{D465289A-B011-49BD-BB86-90BA631AEE5B}"/>
    <cellStyle name="Comma 719" xfId="959" xr:uid="{C8BC961E-1332-46FB-8588-6601ED06F89B}"/>
    <cellStyle name="Comma 719 2" xfId="1997" xr:uid="{7468CAA0-EE27-49E6-87BC-30875D7369A2}"/>
    <cellStyle name="Comma 719 2 2" xfId="4055" xr:uid="{59952CFF-9BD9-435D-AD47-63251BF04D53}"/>
    <cellStyle name="Comma 719 3" xfId="3025" xr:uid="{0D5FB967-CB29-4550-9B34-44891A422B16}"/>
    <cellStyle name="Comma 719 4" xfId="5151" xr:uid="{EB5A1959-F704-4941-AAD2-81C67F6E781A}"/>
    <cellStyle name="Comma 72" xfId="275" xr:uid="{B3E2F9FA-DD5C-42FC-93A2-2DD58502ED23}"/>
    <cellStyle name="Comma 72 2" xfId="1350" xr:uid="{34DCEF63-49A3-4B6D-81D4-49070771787B}"/>
    <cellStyle name="Comma 72 2 2" xfId="3408" xr:uid="{09E3BEF5-9178-40D6-89CF-EFFCAB641127}"/>
    <cellStyle name="Comma 72 3" xfId="2378" xr:uid="{C3AEFADD-9186-4B36-A34D-67A1DF677C49}"/>
    <cellStyle name="Comma 72 4" xfId="4504" xr:uid="{30C1BAA3-FFBC-4359-BEA6-6D1DDF3A4AF7}"/>
    <cellStyle name="Comma 720" xfId="960" xr:uid="{F916E849-790A-4D72-9645-89374CDBC10C}"/>
    <cellStyle name="Comma 720 2" xfId="1998" xr:uid="{476ED8AA-C21F-4214-8D06-9ADD6BDB8FBE}"/>
    <cellStyle name="Comma 720 2 2" xfId="4056" xr:uid="{C10BDF4E-D19E-4292-9A54-72571A480C73}"/>
    <cellStyle name="Comma 720 3" xfId="3026" xr:uid="{B812833D-0B2C-4337-97A1-18D872FCC88D}"/>
    <cellStyle name="Comma 720 4" xfId="5152" xr:uid="{A5634179-D257-4D7E-B3AE-1421273B00C7}"/>
    <cellStyle name="Comma 721" xfId="961" xr:uid="{4FF90391-70CB-420D-B40B-40CC0EF605DD}"/>
    <cellStyle name="Comma 721 2" xfId="1999" xr:uid="{6349AEAA-D606-4BD7-B8A2-F4F37E680E7D}"/>
    <cellStyle name="Comma 721 2 2" xfId="4057" xr:uid="{4D1852C9-7EAD-4297-98BF-C60648F80132}"/>
    <cellStyle name="Comma 721 3" xfId="3027" xr:uid="{2D08885C-6E62-4184-9F79-56CF0DE3E527}"/>
    <cellStyle name="Comma 721 4" xfId="5153" xr:uid="{73318EB9-76F0-4998-B9DF-FF369121C65F}"/>
    <cellStyle name="Comma 722" xfId="962" xr:uid="{B732869C-200E-460D-932A-2AA0838B9C4E}"/>
    <cellStyle name="Comma 722 2" xfId="2000" xr:uid="{5D8CD36F-89D9-474C-91F8-65E7AF654F37}"/>
    <cellStyle name="Comma 722 2 2" xfId="4058" xr:uid="{5AF9AD18-6C07-4231-BEA1-F628B94CCBF0}"/>
    <cellStyle name="Comma 722 3" xfId="3028" xr:uid="{6B1F1348-457F-4F73-90B5-40861652095C}"/>
    <cellStyle name="Comma 722 4" xfId="5154" xr:uid="{99E5FF81-8551-4FF6-B123-4E4435ADA87B}"/>
    <cellStyle name="Comma 723" xfId="963" xr:uid="{CA17B236-3D89-4B48-8294-D8F3E8967A5B}"/>
    <cellStyle name="Comma 723 2" xfId="2001" xr:uid="{60DD687C-0002-40C9-BDE8-22B7EF455A2E}"/>
    <cellStyle name="Comma 723 2 2" xfId="4059" xr:uid="{6EDF3FA0-57DB-40D5-AA31-86C1F55B8894}"/>
    <cellStyle name="Comma 723 3" xfId="3029" xr:uid="{EA42E66D-6577-47A8-90CE-D9BB4F394224}"/>
    <cellStyle name="Comma 723 4" xfId="5155" xr:uid="{60ED752A-BCDB-488F-A66E-FD4FC9E626E2}"/>
    <cellStyle name="Comma 724" xfId="964" xr:uid="{E1BF7EA3-9A99-4FCE-AE92-80521D400DF1}"/>
    <cellStyle name="Comma 724 2" xfId="2002" xr:uid="{ACB70E92-B7B5-4953-86AC-279EE33433D7}"/>
    <cellStyle name="Comma 724 2 2" xfId="4060" xr:uid="{D450E67D-0924-455A-9CBC-3DD648E24421}"/>
    <cellStyle name="Comma 724 3" xfId="3030" xr:uid="{B1DEEB61-AF6E-4C0C-BB41-41BD414DC414}"/>
    <cellStyle name="Comma 724 4" xfId="5156" xr:uid="{1BFA549B-C58E-46FF-B9AD-8E13D0866287}"/>
    <cellStyle name="Comma 725" xfId="965" xr:uid="{541596FE-8BCF-47A2-A82A-76CEC1D7F9FD}"/>
    <cellStyle name="Comma 725 2" xfId="2003" xr:uid="{C1E6AB6B-A94D-4A03-8959-C13D11157D02}"/>
    <cellStyle name="Comma 725 2 2" xfId="4061" xr:uid="{011B7B57-D6BE-4021-8C9B-174A89D1FB91}"/>
    <cellStyle name="Comma 725 3" xfId="3031" xr:uid="{D119134E-EB76-40CB-ACBD-C4592B4242E4}"/>
    <cellStyle name="Comma 725 4" xfId="5157" xr:uid="{768026A4-A55C-4E01-A6F9-0CFF9347C4AE}"/>
    <cellStyle name="Comma 726" xfId="966" xr:uid="{165CB0D2-99A4-4B30-A3B1-B698C3FED6FE}"/>
    <cellStyle name="Comma 726 2" xfId="2004" xr:uid="{D9358EE5-ACDE-4D5D-9B2B-64912D5C4FCA}"/>
    <cellStyle name="Comma 726 2 2" xfId="4062" xr:uid="{DC55EAC1-C2C7-4C6E-AD50-3F8C06D9C436}"/>
    <cellStyle name="Comma 726 3" xfId="3032" xr:uid="{968C9E7B-F31C-4683-843F-D59EFF04F40F}"/>
    <cellStyle name="Comma 726 4" xfId="5158" xr:uid="{3C7DD440-A3C8-4058-9DBE-6FFA15D6B8AB}"/>
    <cellStyle name="Comma 727" xfId="967" xr:uid="{5CDD519D-A4E3-4BD1-BCBA-28BFA1914E52}"/>
    <cellStyle name="Comma 727 2" xfId="2005" xr:uid="{2AFB5A11-B456-438C-A882-7582AC09A0C1}"/>
    <cellStyle name="Comma 727 2 2" xfId="4063" xr:uid="{52B039D1-35FD-4173-A231-CF6A6122C09B}"/>
    <cellStyle name="Comma 727 3" xfId="3033" xr:uid="{9C618607-A254-4F72-A9BB-96C6912B20A0}"/>
    <cellStyle name="Comma 727 4" xfId="5159" xr:uid="{7327EED8-0706-4AA1-95EB-5D6A74AC9F17}"/>
    <cellStyle name="Comma 728" xfId="968" xr:uid="{23D4B100-0900-4853-84DD-44EA41733834}"/>
    <cellStyle name="Comma 728 2" xfId="2006" xr:uid="{C5904952-DC75-4065-BE91-FF04CEA81088}"/>
    <cellStyle name="Comma 728 2 2" xfId="4064" xr:uid="{988A513F-D3C7-4F0F-B555-0DA7EF616D02}"/>
    <cellStyle name="Comma 728 3" xfId="3034" xr:uid="{53EEDCC5-8D0D-4032-B9FB-FAF8B44B7659}"/>
    <cellStyle name="Comma 728 4" xfId="5160" xr:uid="{AFAD0073-D87F-48E5-BB41-D990946B0F11}"/>
    <cellStyle name="Comma 729" xfId="969" xr:uid="{AC843F9D-4FEA-4C46-9211-85A85A1C94B9}"/>
    <cellStyle name="Comma 729 2" xfId="2007" xr:uid="{BBA70E88-B3EB-4958-808C-B1CB393B280C}"/>
    <cellStyle name="Comma 729 2 2" xfId="4065" xr:uid="{B01B286A-70B6-4E21-BD2E-09693089AB3D}"/>
    <cellStyle name="Comma 729 3" xfId="3035" xr:uid="{9CBA50A5-D9C4-4572-B423-03325205853E}"/>
    <cellStyle name="Comma 729 4" xfId="5161" xr:uid="{15B4381C-B5B8-4BE4-9B6B-573BAA1B73D0}"/>
    <cellStyle name="Comma 73" xfId="276" xr:uid="{D29743F2-118A-4E1C-98A3-2B7A36239B6A}"/>
    <cellStyle name="Comma 73 2" xfId="1351" xr:uid="{53B1F0D4-F80E-405A-A6F2-97CEFDD36082}"/>
    <cellStyle name="Comma 73 2 2" xfId="3409" xr:uid="{192650E1-4686-47F0-87D0-ED833CDAF357}"/>
    <cellStyle name="Comma 73 3" xfId="2379" xr:uid="{796EA116-E4BE-4CC4-9A3B-15D4F3E280B4}"/>
    <cellStyle name="Comma 73 4" xfId="4505" xr:uid="{0D8668B2-B9F7-4B3F-876E-61CCE4C049CC}"/>
    <cellStyle name="Comma 730" xfId="970" xr:uid="{26ACC504-9624-40AA-A2B2-25566BF7367D}"/>
    <cellStyle name="Comma 730 2" xfId="2008" xr:uid="{7328FD37-5DD6-4025-9A27-1FD96D35C765}"/>
    <cellStyle name="Comma 730 2 2" xfId="4066" xr:uid="{5BBFD90B-3DD5-4F79-A7AC-6A1AE2D8B06E}"/>
    <cellStyle name="Comma 730 3" xfId="3036" xr:uid="{64F867D4-2511-4DCF-AA67-BBFA09740254}"/>
    <cellStyle name="Comma 730 4" xfId="5162" xr:uid="{D4A56941-6003-4AE5-9EDA-2F4A74C4C921}"/>
    <cellStyle name="Comma 731" xfId="971" xr:uid="{0B82EBA2-E8A0-44E5-A042-78E9D4322148}"/>
    <cellStyle name="Comma 731 2" xfId="2009" xr:uid="{831C4186-E614-4583-B421-2064CA237CE5}"/>
    <cellStyle name="Comma 731 2 2" xfId="4067" xr:uid="{22AB6631-66B7-49AB-AF4C-E699DE2BA52A}"/>
    <cellStyle name="Comma 731 3" xfId="3037" xr:uid="{7E2A22D2-7720-42BB-A1C5-91C0D6D27425}"/>
    <cellStyle name="Comma 731 4" xfId="5163" xr:uid="{596F30E1-72EA-4A00-A4D0-236B5F96E58E}"/>
    <cellStyle name="Comma 732" xfId="972" xr:uid="{106D1349-7EA5-45B8-AD37-2C3A41F2FCC9}"/>
    <cellStyle name="Comma 732 2" xfId="2010" xr:uid="{88F23711-A12C-4552-9424-BF7851A99DA1}"/>
    <cellStyle name="Comma 732 2 2" xfId="4068" xr:uid="{B4CA5746-B900-4231-9FD3-2BE4F002D5F7}"/>
    <cellStyle name="Comma 732 3" xfId="3038" xr:uid="{B65503FA-14B3-4AC6-8F89-5C562063C33F}"/>
    <cellStyle name="Comma 732 4" xfId="5164" xr:uid="{8F9C2FD4-C8BE-4C02-AC48-9439FE833027}"/>
    <cellStyle name="Comma 733" xfId="973" xr:uid="{E3709EA2-E4FF-4141-818C-F41D96EEFEB0}"/>
    <cellStyle name="Comma 733 2" xfId="2011" xr:uid="{BD7463B6-7604-41A0-A9DA-857FBFE75310}"/>
    <cellStyle name="Comma 733 2 2" xfId="4069" xr:uid="{7B013679-F19D-46A0-BAD3-24B6D20ACB14}"/>
    <cellStyle name="Comma 733 3" xfId="3039" xr:uid="{D4E31D42-F766-4B93-961E-38A362CE600A}"/>
    <cellStyle name="Comma 733 4" xfId="5165" xr:uid="{23529AC6-C2B0-4FE3-AFBC-80C45996F659}"/>
    <cellStyle name="Comma 734" xfId="974" xr:uid="{D2632069-4EDF-42E4-8850-02671F1DAA91}"/>
    <cellStyle name="Comma 734 2" xfId="2012" xr:uid="{6A0FD8F7-85BC-4494-A0C7-CD0135159E05}"/>
    <cellStyle name="Comma 734 2 2" xfId="4070" xr:uid="{C29CBEDA-03B5-4EF5-BB06-70BE7E388EDD}"/>
    <cellStyle name="Comma 734 3" xfId="3040" xr:uid="{342B00AB-845E-4644-8AE7-9F0A06651260}"/>
    <cellStyle name="Comma 734 4" xfId="5166" xr:uid="{1AA08908-E7D0-43B9-9EAE-EE15ABFEE4AD}"/>
    <cellStyle name="Comma 735" xfId="975" xr:uid="{81535539-07F7-4EC8-8391-2397A752549C}"/>
    <cellStyle name="Comma 735 2" xfId="2013" xr:uid="{E1CF0FC5-8575-40DA-98FE-495DA40EA98B}"/>
    <cellStyle name="Comma 735 2 2" xfId="4071" xr:uid="{E9215C40-739B-42C2-9305-D202B2176613}"/>
    <cellStyle name="Comma 735 3" xfId="3041" xr:uid="{7AFA1D63-917F-4214-A01E-6D00C8349F4B}"/>
    <cellStyle name="Comma 735 4" xfId="5167" xr:uid="{215D15D0-671A-445A-AC76-DBAEFAECADA5}"/>
    <cellStyle name="Comma 736" xfId="976" xr:uid="{6275CC8C-1C23-4415-96F8-16C4C06E846A}"/>
    <cellStyle name="Comma 736 2" xfId="2014" xr:uid="{9510FF2A-C9E8-476C-B3EC-5BDEB127DC0A}"/>
    <cellStyle name="Comma 736 2 2" xfId="4072" xr:uid="{DF1C7203-D71C-4264-B8B6-ED8474AF3B5F}"/>
    <cellStyle name="Comma 736 3" xfId="3042" xr:uid="{5AF25BA0-85B8-48C6-A30E-502DC969B392}"/>
    <cellStyle name="Comma 736 4" xfId="5168" xr:uid="{72E29ED4-8AAA-445E-9E82-1C33F60C8692}"/>
    <cellStyle name="Comma 737" xfId="977" xr:uid="{91108602-B0AE-4C4C-A200-206F281E3442}"/>
    <cellStyle name="Comma 737 2" xfId="2015" xr:uid="{FCAAD7D1-3E05-45B4-BF94-0F94AD81F8C1}"/>
    <cellStyle name="Comma 737 2 2" xfId="4073" xr:uid="{CE5F3098-745D-48F4-8700-CB6C798B1E4A}"/>
    <cellStyle name="Comma 737 3" xfId="3043" xr:uid="{07D184F6-E6B9-46AF-B8D1-913D29012EDE}"/>
    <cellStyle name="Comma 737 4" xfId="5169" xr:uid="{DA0F3A2C-9AA3-402E-A3D4-A80DD3C95D9F}"/>
    <cellStyle name="Comma 738" xfId="978" xr:uid="{D52C17A9-FAFE-432F-9C57-4762C2848E1F}"/>
    <cellStyle name="Comma 738 2" xfId="2016" xr:uid="{929F9423-F8E9-4CA4-8F78-4ABDA7995EC2}"/>
    <cellStyle name="Comma 738 2 2" xfId="4074" xr:uid="{630EA61D-78AC-49C6-BCE7-4B16298D18CB}"/>
    <cellStyle name="Comma 738 3" xfId="3044" xr:uid="{ADEE654C-4242-4864-AB64-F4E533589A19}"/>
    <cellStyle name="Comma 738 4" xfId="5170" xr:uid="{B606ABF3-4EDE-46D9-9DD1-514C7971DF53}"/>
    <cellStyle name="Comma 739" xfId="979" xr:uid="{BF632AFB-B3F7-4E15-A430-2928B306CACC}"/>
    <cellStyle name="Comma 739 2" xfId="2017" xr:uid="{51E7EB29-1D51-4DB3-ADCD-486AAAB4AA9D}"/>
    <cellStyle name="Comma 739 2 2" xfId="4075" xr:uid="{3D476F29-EE1D-45DF-B4FD-4565AE5EF2E3}"/>
    <cellStyle name="Comma 739 3" xfId="3045" xr:uid="{68291E10-2155-4A39-B14E-F53C3F7D76A4}"/>
    <cellStyle name="Comma 739 4" xfId="5171" xr:uid="{FFAD1435-74B0-4333-BE1E-9B529A444C6F}"/>
    <cellStyle name="Comma 74" xfId="277" xr:uid="{6D1A54F5-328B-42C3-9B42-AB586DBD70E6}"/>
    <cellStyle name="Comma 74 2" xfId="1352" xr:uid="{EFF80CAE-ED4A-47F3-9D2B-9DC67E146D79}"/>
    <cellStyle name="Comma 74 2 2" xfId="3410" xr:uid="{7E8FF0C5-33BA-4BDE-B391-55F2E7A06793}"/>
    <cellStyle name="Comma 74 3" xfId="2380" xr:uid="{2DD77E5C-5700-4C38-BD94-100253B06E0F}"/>
    <cellStyle name="Comma 74 4" xfId="4506" xr:uid="{7B41CDC5-B81A-485D-9A9F-91FE787360A5}"/>
    <cellStyle name="Comma 740" xfId="980" xr:uid="{5058C42B-FF04-424A-89D9-3EED97FF4E86}"/>
    <cellStyle name="Comma 740 2" xfId="2018" xr:uid="{55A52E11-55E8-4E51-8649-C30F1A6C244A}"/>
    <cellStyle name="Comma 740 2 2" xfId="4076" xr:uid="{5D907768-939D-47DA-A5EE-02E320CAB862}"/>
    <cellStyle name="Comma 740 3" xfId="3046" xr:uid="{59F434F8-0FBF-4B9C-ABDF-DBEC8FC03E1E}"/>
    <cellStyle name="Comma 740 4" xfId="5172" xr:uid="{05CCD0FD-5859-4DA5-A0B6-5EF075A4476C}"/>
    <cellStyle name="Comma 741" xfId="981" xr:uid="{D9D9CDA0-A2B7-4731-B4D1-2CAE565B887E}"/>
    <cellStyle name="Comma 741 2" xfId="2019" xr:uid="{F3C12424-6713-4C09-8365-AD1756D296DB}"/>
    <cellStyle name="Comma 741 2 2" xfId="4077" xr:uid="{839AA61D-4463-46B1-9CAE-1910411BE413}"/>
    <cellStyle name="Comma 741 3" xfId="3047" xr:uid="{65D0485E-3626-4576-843B-C0A02950795F}"/>
    <cellStyle name="Comma 741 4" xfId="5173" xr:uid="{BB0A730E-E3E5-45B9-BDEB-46773E904063}"/>
    <cellStyle name="Comma 742" xfId="982" xr:uid="{35481A7F-8619-4C33-BFBC-7E21C2A98BB6}"/>
    <cellStyle name="Comma 742 2" xfId="2020" xr:uid="{8BE82A58-7F94-4D57-8B36-C79F48309AFD}"/>
    <cellStyle name="Comma 742 2 2" xfId="4078" xr:uid="{2E94C716-E914-440C-BC05-6893229096FC}"/>
    <cellStyle name="Comma 742 3" xfId="3048" xr:uid="{F797EDF4-31A9-4436-BA30-04F686BB922F}"/>
    <cellStyle name="Comma 742 4" xfId="5174" xr:uid="{B03DA3B4-974D-4C50-A5A8-EC6E020ED986}"/>
    <cellStyle name="Comma 743" xfId="983" xr:uid="{DC988B34-0A31-491E-9145-40B6C366FAC5}"/>
    <cellStyle name="Comma 743 2" xfId="2021" xr:uid="{AF53B96E-37BF-45D7-A9E8-CF911DB0841A}"/>
    <cellStyle name="Comma 743 2 2" xfId="4079" xr:uid="{CC74FCC5-8EB1-48BF-8209-642035D15AFD}"/>
    <cellStyle name="Comma 743 3" xfId="3049" xr:uid="{46D6D5B2-40A9-4068-8DE3-6C911B89E483}"/>
    <cellStyle name="Comma 743 4" xfId="5175" xr:uid="{0038FF65-34B4-4CB9-926A-9E2CC99A670F}"/>
    <cellStyle name="Comma 744" xfId="984" xr:uid="{CC9F0AF4-3C11-4DA8-89C4-B9163ABB6094}"/>
    <cellStyle name="Comma 744 2" xfId="2022" xr:uid="{E5606532-DB34-4E1C-B068-D659B0DCBA59}"/>
    <cellStyle name="Comma 744 2 2" xfId="4080" xr:uid="{E4C2DE7E-7F9D-4293-94F9-7B4D15CCED92}"/>
    <cellStyle name="Comma 744 3" xfId="3050" xr:uid="{8FF084EC-1781-4AF5-92D9-43B9CD2BBB7C}"/>
    <cellStyle name="Comma 744 4" xfId="5176" xr:uid="{1C9ADC34-7736-4CC7-B794-1733B21BAD72}"/>
    <cellStyle name="Comma 745" xfId="985" xr:uid="{DC63B68F-F818-4159-8769-400CF316E422}"/>
    <cellStyle name="Comma 745 2" xfId="2023" xr:uid="{34B70E65-D3F2-444F-9BDA-FD119878BE6C}"/>
    <cellStyle name="Comma 745 2 2" xfId="4081" xr:uid="{61870E45-53AC-4344-9604-B2B468230A41}"/>
    <cellStyle name="Comma 745 3" xfId="3051" xr:uid="{7964722A-ED48-4284-B0A4-39AA35DB5ED8}"/>
    <cellStyle name="Comma 745 4" xfId="5177" xr:uid="{084507D2-4FAF-4EEE-AF2C-27A8EBBEA0B7}"/>
    <cellStyle name="Comma 746" xfId="986" xr:uid="{DD792C47-655A-4E44-BFD4-1CA30EF88126}"/>
    <cellStyle name="Comma 746 2" xfId="2024" xr:uid="{E2E2190D-1A1A-4CA5-ACF1-842FE904E313}"/>
    <cellStyle name="Comma 746 2 2" xfId="4082" xr:uid="{794FE7A9-5CF5-464D-8302-4B0129E51746}"/>
    <cellStyle name="Comma 746 3" xfId="3052" xr:uid="{C64D7566-888B-43A5-9E68-0D6A13876B8D}"/>
    <cellStyle name="Comma 746 4" xfId="5178" xr:uid="{F3A65856-18BB-476E-8A66-4D50EB3F6619}"/>
    <cellStyle name="Comma 747" xfId="987" xr:uid="{9A9153D3-2767-4529-A8A5-ED5BA30E675F}"/>
    <cellStyle name="Comma 747 2" xfId="2025" xr:uid="{D3BA5256-4E66-4E8E-92C1-43976A718A8B}"/>
    <cellStyle name="Comma 747 2 2" xfId="4083" xr:uid="{5123F2BF-DEE8-4E6C-8425-18656DE156B9}"/>
    <cellStyle name="Comma 747 3" xfId="3053" xr:uid="{42399D7F-E250-4BC6-AE1B-3E405E967F0C}"/>
    <cellStyle name="Comma 747 4" xfId="5179" xr:uid="{FB34FE62-4AD9-4D85-B60D-BAC3C5ED1F4A}"/>
    <cellStyle name="Comma 748" xfId="988" xr:uid="{740ED02A-4B79-45E5-B928-B5E717605701}"/>
    <cellStyle name="Comma 748 2" xfId="2026" xr:uid="{C5829390-FBF5-4695-A131-444B15BBA79F}"/>
    <cellStyle name="Comma 748 2 2" xfId="4084" xr:uid="{7011CFEB-38F2-4014-8D97-EF7A20DDE6C9}"/>
    <cellStyle name="Comma 748 3" xfId="3054" xr:uid="{5E8DF34B-1184-4E53-BA04-362385B67ACA}"/>
    <cellStyle name="Comma 748 4" xfId="5180" xr:uid="{D0AC4690-41F7-4244-811C-0B06C855DB08}"/>
    <cellStyle name="Comma 749" xfId="989" xr:uid="{C8E6276A-CABE-4499-8B7C-F1B9A569293F}"/>
    <cellStyle name="Comma 749 2" xfId="2027" xr:uid="{FB019767-609A-4954-BA19-0DA755B2C78A}"/>
    <cellStyle name="Comma 749 2 2" xfId="4085" xr:uid="{CFCB5ABA-836A-4BDA-BE84-5E986D1FF3F5}"/>
    <cellStyle name="Comma 749 3" xfId="3055" xr:uid="{4EF94D64-BEFD-445D-8CFA-326139D828A4}"/>
    <cellStyle name="Comma 749 4" xfId="5181" xr:uid="{A6205009-B615-4097-8D54-993D8C847E44}"/>
    <cellStyle name="Comma 75" xfId="288" xr:uid="{CFB4C1AD-322F-4062-B8B5-A657D9C95928}"/>
    <cellStyle name="Comma 75 2" xfId="1353" xr:uid="{D2B2364E-6C84-430B-8889-347DE157E11A}"/>
    <cellStyle name="Comma 75 2 2" xfId="3411" xr:uid="{920A9383-64A2-43B1-A166-FBA67DB9D9F3}"/>
    <cellStyle name="Comma 75 3" xfId="2381" xr:uid="{1A1A81F9-3674-4BE0-974B-72611C8CED69}"/>
    <cellStyle name="Comma 75 4" xfId="4507" xr:uid="{E8605CE7-9FB7-49C4-BDB3-A46D057BBF7C}"/>
    <cellStyle name="Comma 750" xfId="990" xr:uid="{85E1522D-24CF-4420-A89E-952F4CA82A5B}"/>
    <cellStyle name="Comma 750 2" xfId="2028" xr:uid="{884E6F8E-599E-46F3-B12A-6017B0D9954C}"/>
    <cellStyle name="Comma 750 2 2" xfId="4086" xr:uid="{9A96BD89-485C-4E50-B8F1-25918F8EB6E9}"/>
    <cellStyle name="Comma 750 3" xfId="3056" xr:uid="{41013789-A5FF-4ADE-9066-60E0E3CDA5FC}"/>
    <cellStyle name="Comma 750 4" xfId="5182" xr:uid="{5C0FDCA6-5D3F-48A9-8862-C8A59B506CB7}"/>
    <cellStyle name="Comma 751" xfId="991" xr:uid="{C54845E1-B8E5-4E06-B059-4BB617289D77}"/>
    <cellStyle name="Comma 751 2" xfId="2029" xr:uid="{9AB0BECB-EAE6-4957-8C63-6E305D410776}"/>
    <cellStyle name="Comma 751 2 2" xfId="4087" xr:uid="{D48A9CD9-1496-451A-A5D9-E2DBCEEBE544}"/>
    <cellStyle name="Comma 751 3" xfId="3057" xr:uid="{B8911A7D-FC51-40B8-B0FD-B45F3F781B55}"/>
    <cellStyle name="Comma 751 4" xfId="5183" xr:uid="{DE6882E5-ED54-49E6-923E-74FA3E20BC81}"/>
    <cellStyle name="Comma 752" xfId="992" xr:uid="{9FB34232-D606-4595-903B-CBDF640F3763}"/>
    <cellStyle name="Comma 752 2" xfId="2030" xr:uid="{E5F2E6E5-8273-405A-82A0-A1482EA04070}"/>
    <cellStyle name="Comma 752 2 2" xfId="4088" xr:uid="{7E1FEF5A-1491-45AF-B183-858C4FD919C0}"/>
    <cellStyle name="Comma 752 3" xfId="3058" xr:uid="{D5D7EFC0-49AF-4563-A69B-71A67DB05696}"/>
    <cellStyle name="Comma 752 4" xfId="5184" xr:uid="{AF6A14C6-C8C9-40EF-BE4D-CDF536CA99F3}"/>
    <cellStyle name="Comma 753" xfId="993" xr:uid="{6CB37D44-89F6-4A29-AF28-4A453C16A0CC}"/>
    <cellStyle name="Comma 753 2" xfId="2031" xr:uid="{004BB3D9-7230-4DD9-8F57-43513AB252EF}"/>
    <cellStyle name="Comma 753 2 2" xfId="4089" xr:uid="{7C8A6936-49EA-499C-9B2E-8AB3BC3DB6BA}"/>
    <cellStyle name="Comma 753 3" xfId="3059" xr:uid="{A7351CBC-8F0C-4060-AE28-D4D3AF1FF2BE}"/>
    <cellStyle name="Comma 753 4" xfId="5185" xr:uid="{904F9A23-1B07-48BA-B457-0E27DCB305F3}"/>
    <cellStyle name="Comma 754" xfId="994" xr:uid="{E61E6E18-FF7A-45E3-8E37-5B21BF71D33E}"/>
    <cellStyle name="Comma 754 2" xfId="2032" xr:uid="{CA7D1172-8D86-46EE-BF9E-5E4D82D621BB}"/>
    <cellStyle name="Comma 754 2 2" xfId="4090" xr:uid="{56543CBC-47AA-448F-8BE2-1E087B528CF5}"/>
    <cellStyle name="Comma 754 3" xfId="3060" xr:uid="{46432A26-0C81-4BCE-9AEB-F36A7F6F09A6}"/>
    <cellStyle name="Comma 754 4" xfId="5186" xr:uid="{BD1DB889-1583-4F45-A4B4-76D7FF5F07D3}"/>
    <cellStyle name="Comma 755" xfId="995" xr:uid="{D52A7725-7A45-4624-9C11-F2943134035F}"/>
    <cellStyle name="Comma 755 2" xfId="2033" xr:uid="{54EB9BAB-B3E9-4F43-B192-54D6701942A1}"/>
    <cellStyle name="Comma 755 2 2" xfId="4091" xr:uid="{0E347590-5945-410E-8FF2-798C1C2B0E32}"/>
    <cellStyle name="Comma 755 3" xfId="3061" xr:uid="{6833C0FB-48DE-4D65-877D-9062BA22FC78}"/>
    <cellStyle name="Comma 755 4" xfId="5187" xr:uid="{BA09E638-E9C0-4B91-B677-52C0B32D6578}"/>
    <cellStyle name="Comma 756" xfId="996" xr:uid="{FC397E92-8B0B-415A-A99D-032D2E1E73FE}"/>
    <cellStyle name="Comma 756 2" xfId="2034" xr:uid="{C084DCC5-2372-4CF6-87EA-88A0E86FF7AA}"/>
    <cellStyle name="Comma 756 2 2" xfId="4092" xr:uid="{4C754423-77D9-4483-9434-DD2367A9E3C5}"/>
    <cellStyle name="Comma 756 3" xfId="3062" xr:uid="{7B74CE19-9D7C-4451-A9D7-51AC63E6236B}"/>
    <cellStyle name="Comma 756 4" xfId="5188" xr:uid="{D2795248-CEE8-4F26-A365-5F7B2AD9BB0B}"/>
    <cellStyle name="Comma 757" xfId="997" xr:uid="{A823B1EB-6798-4E28-A2F7-071F5DFB9D33}"/>
    <cellStyle name="Comma 757 2" xfId="2035" xr:uid="{09D69B7A-7694-46D7-A1E8-F92FD3C4116D}"/>
    <cellStyle name="Comma 757 2 2" xfId="4093" xr:uid="{30201A4A-AB3B-49A2-AC77-A71813056D49}"/>
    <cellStyle name="Comma 757 3" xfId="3063" xr:uid="{F796E91A-6417-41B0-B4C0-01AA5332D777}"/>
    <cellStyle name="Comma 757 4" xfId="5189" xr:uid="{D1CB296A-003E-4DA5-B98A-2AE2FD8AAB68}"/>
    <cellStyle name="Comma 758" xfId="998" xr:uid="{66704FEB-75BD-4578-B78C-7B45C5BCD2F8}"/>
    <cellStyle name="Comma 758 2" xfId="2036" xr:uid="{DDF514A7-61FC-4AA2-8D9C-18603831ED48}"/>
    <cellStyle name="Comma 758 2 2" xfId="4094" xr:uid="{CA5E5DFF-4745-4864-BCDA-B79B20093CC9}"/>
    <cellStyle name="Comma 758 3" xfId="3064" xr:uid="{1153CD1D-83BA-4B27-820B-3F84717FD46F}"/>
    <cellStyle name="Comma 758 4" xfId="5190" xr:uid="{900984A8-51E7-41BA-B757-216D5BEC9B1D}"/>
    <cellStyle name="Comma 759" xfId="999" xr:uid="{74E281D2-236C-4A34-BD73-74149C70861A}"/>
    <cellStyle name="Comma 759 2" xfId="2037" xr:uid="{04136C2F-8CA7-447F-B285-CF46F05C734A}"/>
    <cellStyle name="Comma 759 2 2" xfId="4095" xr:uid="{15951416-2516-43E0-8878-35695E751F10}"/>
    <cellStyle name="Comma 759 3" xfId="3065" xr:uid="{A96CC902-EC4A-4FF5-BB06-BE5F46F2B9B8}"/>
    <cellStyle name="Comma 759 4" xfId="5191" xr:uid="{F84D424E-485B-4BFF-97BD-2388E1A8DDB6}"/>
    <cellStyle name="Comma 76" xfId="289" xr:uid="{7DC4BEB5-651B-4F0B-970C-A062761D13EF}"/>
    <cellStyle name="Comma 76 2" xfId="1354" xr:uid="{13447B68-7C2D-49DF-BB1A-2856E2EABDE7}"/>
    <cellStyle name="Comma 76 2 2" xfId="3412" xr:uid="{1A290B6F-2C00-450D-8198-355E560733B7}"/>
    <cellStyle name="Comma 76 3" xfId="2382" xr:uid="{4E2E0F32-B8DE-415D-A8AC-C3777B3A046C}"/>
    <cellStyle name="Comma 76 4" xfId="4508" xr:uid="{32900EAF-8BDC-42FC-AB7E-9DFDB9266434}"/>
    <cellStyle name="Comma 760" xfId="1000" xr:uid="{80C7D3FE-4F90-485F-BB5A-730DB50C559B}"/>
    <cellStyle name="Comma 760 2" xfId="2038" xr:uid="{23B2FB40-F798-401B-8B29-BFD7E303C2C5}"/>
    <cellStyle name="Comma 760 2 2" xfId="4096" xr:uid="{40F687D6-640F-4C02-B463-F0EA131462AC}"/>
    <cellStyle name="Comma 760 3" xfId="3066" xr:uid="{5B3CD299-5C4A-4E61-A160-F8166F0509A4}"/>
    <cellStyle name="Comma 760 4" xfId="5192" xr:uid="{C88E970A-D710-4551-A828-829EB3E8C520}"/>
    <cellStyle name="Comma 761" xfId="1001" xr:uid="{3F091C6B-5E87-4791-A885-97DC3FE2E150}"/>
    <cellStyle name="Comma 761 2" xfId="2039" xr:uid="{2B412FEA-6B1A-4995-9B62-8F8AA3B5F0B0}"/>
    <cellStyle name="Comma 761 2 2" xfId="4097" xr:uid="{FD6FEA32-5320-48A5-B312-792A4BB79DAE}"/>
    <cellStyle name="Comma 761 3" xfId="3067" xr:uid="{6E347450-B660-42F7-A42E-6E10C02E67BA}"/>
    <cellStyle name="Comma 761 4" xfId="5193" xr:uid="{D309DBE0-9BA5-4259-AF2D-E8BDC95F6789}"/>
    <cellStyle name="Comma 762" xfId="1002" xr:uid="{A0B42FF0-F426-4482-A6B2-0818ED3A1AE7}"/>
    <cellStyle name="Comma 762 2" xfId="2040" xr:uid="{DEC85766-436E-46C8-973C-A131EB826C1D}"/>
    <cellStyle name="Comma 762 2 2" xfId="4098" xr:uid="{406C9B14-AE49-490A-9871-17FFA081B0C2}"/>
    <cellStyle name="Comma 762 3" xfId="3068" xr:uid="{E23BD4C8-F529-41F3-A5F5-5BFACA908935}"/>
    <cellStyle name="Comma 762 4" xfId="5194" xr:uid="{1164DC48-9C05-4030-9827-E85FB1F5AB27}"/>
    <cellStyle name="Comma 763" xfId="1003" xr:uid="{D2C9B864-7FB6-4FC2-94BF-D3A8593B2D08}"/>
    <cellStyle name="Comma 763 2" xfId="2041" xr:uid="{D559BE2B-6488-4454-BB18-AECF3D0DC24D}"/>
    <cellStyle name="Comma 763 2 2" xfId="4099" xr:uid="{A1C8E203-50D8-4668-B9A8-400656B9C4EE}"/>
    <cellStyle name="Comma 763 3" xfId="3069" xr:uid="{817A4858-A10D-4A7C-8A72-F48DE1F0A98D}"/>
    <cellStyle name="Comma 763 4" xfId="5195" xr:uid="{DD77B5F1-6734-4BF1-8BB2-0166839A326C}"/>
    <cellStyle name="Comma 764" xfId="1004" xr:uid="{2B4BFB05-4A01-4682-8BBF-7A94723B264B}"/>
    <cellStyle name="Comma 764 2" xfId="2042" xr:uid="{7165B608-348C-41DA-87B7-F4C9CC6369D9}"/>
    <cellStyle name="Comma 764 2 2" xfId="4100" xr:uid="{37AB8FE0-997C-49A1-BEFD-86C84967D81D}"/>
    <cellStyle name="Comma 764 3" xfId="3070" xr:uid="{255375D3-BFC7-43D7-8A03-0FF15602E10A}"/>
    <cellStyle name="Comma 764 4" xfId="5196" xr:uid="{38FF5CC6-9AF3-49C2-9E0C-875C5F46D4D9}"/>
    <cellStyle name="Comma 765" xfId="1005" xr:uid="{8D5CCCDE-3E2D-465E-BA32-7A908D8D90C1}"/>
    <cellStyle name="Comma 765 2" xfId="2043" xr:uid="{0BFF451B-6B71-4925-A506-FA6EB3B8388A}"/>
    <cellStyle name="Comma 765 2 2" xfId="4101" xr:uid="{991BA38A-DE73-4A46-AD8F-F1D8B4B94E7D}"/>
    <cellStyle name="Comma 765 3" xfId="3071" xr:uid="{51D3D6E8-C7B6-4A96-B195-F1BBD0258108}"/>
    <cellStyle name="Comma 765 4" xfId="5197" xr:uid="{D54B9D77-4AA1-45E2-AAD5-7D117D143AAD}"/>
    <cellStyle name="Comma 766" xfId="1006" xr:uid="{8CE88248-11C1-454D-9FDE-F1C32A4FA1CD}"/>
    <cellStyle name="Comma 766 2" xfId="2044" xr:uid="{34040A0E-AA35-4D15-90E0-9FC1971EC651}"/>
    <cellStyle name="Comma 766 2 2" xfId="4102" xr:uid="{A51B2530-E39F-451F-BD16-DDA974258F5D}"/>
    <cellStyle name="Comma 766 3" xfId="3072" xr:uid="{FF0FE157-FF82-46D6-91BE-7E6B69CB9D74}"/>
    <cellStyle name="Comma 766 4" xfId="5198" xr:uid="{4E18B723-3D6F-4A81-BEB2-BBE04C691EFE}"/>
    <cellStyle name="Comma 767" xfId="1007" xr:uid="{8BE006D4-3A14-414E-B000-C050B90E2AB9}"/>
    <cellStyle name="Comma 767 2" xfId="2045" xr:uid="{A2EDE219-FE64-4ED7-B4E6-8D0228CD2C21}"/>
    <cellStyle name="Comma 767 2 2" xfId="4103" xr:uid="{2155CB14-052B-47B6-A877-1490F8D35A6D}"/>
    <cellStyle name="Comma 767 3" xfId="3073" xr:uid="{180346F9-D783-43DF-B10C-7C424B345EDB}"/>
    <cellStyle name="Comma 767 4" xfId="5199" xr:uid="{803F97B4-096A-45A0-91F0-C20C1A81D676}"/>
    <cellStyle name="Comma 768" xfId="1008" xr:uid="{0E91708D-3B5F-47B0-872F-1279C431EDFC}"/>
    <cellStyle name="Comma 768 2" xfId="2046" xr:uid="{4B9D870F-8E78-4E15-8A4F-022927054F61}"/>
    <cellStyle name="Comma 768 2 2" xfId="4104" xr:uid="{F39E5F40-B66E-472D-833B-B07E4020271A}"/>
    <cellStyle name="Comma 768 3" xfId="3074" xr:uid="{015B4414-170F-4DD2-B3B6-7E4A6937E233}"/>
    <cellStyle name="Comma 768 4" xfId="5200" xr:uid="{E0BF3BCA-CDF0-415C-92DE-BBD36B355BB1}"/>
    <cellStyle name="Comma 769" xfId="1009" xr:uid="{C5B90C9F-39B2-4FE6-95C8-D6A68D48325A}"/>
    <cellStyle name="Comma 769 2" xfId="2047" xr:uid="{253E09E4-C40E-41D3-998D-020F3085AA67}"/>
    <cellStyle name="Comma 769 2 2" xfId="4105" xr:uid="{4FA8B453-6934-475D-A174-7B6859530E83}"/>
    <cellStyle name="Comma 769 3" xfId="3075" xr:uid="{B233FBD3-FBCD-4806-B1A9-CCCAB5E4748C}"/>
    <cellStyle name="Comma 769 4" xfId="5201" xr:uid="{14C4BC31-601F-41F6-86DB-E69A75DB7067}"/>
    <cellStyle name="Comma 77" xfId="290" xr:uid="{ECD79BC8-B446-4D57-B42C-23D2B0620CB7}"/>
    <cellStyle name="Comma 77 2" xfId="1355" xr:uid="{94E85596-24BC-408A-9468-C441C2DF0653}"/>
    <cellStyle name="Comma 77 2 2" xfId="3413" xr:uid="{1F622E6D-0CE2-4578-A2B0-CE9FCEB43E1A}"/>
    <cellStyle name="Comma 77 3" xfId="2383" xr:uid="{1936373F-2F7A-4A1F-913A-FAEB58516959}"/>
    <cellStyle name="Comma 77 4" xfId="4509" xr:uid="{E3810EE7-3C04-47D3-B70E-E2DADE9DA434}"/>
    <cellStyle name="Comma 770" xfId="1010" xr:uid="{0931D7E4-A729-40D0-8408-48A734F6A053}"/>
    <cellStyle name="Comma 770 2" xfId="2048" xr:uid="{55BDC774-FB07-4D99-B454-E8C781C4C491}"/>
    <cellStyle name="Comma 770 2 2" xfId="4106" xr:uid="{1135D8CD-EED5-44DD-9693-DBF823EAA5CC}"/>
    <cellStyle name="Comma 770 3" xfId="3076" xr:uid="{DA231126-1566-4FA8-88D0-BDF03A58AD40}"/>
    <cellStyle name="Comma 770 4" xfId="5202" xr:uid="{E18A1737-886F-4B03-9380-459564771581}"/>
    <cellStyle name="Comma 771" xfId="1011" xr:uid="{723ADEA3-411D-465B-ADA0-3580426C16CF}"/>
    <cellStyle name="Comma 771 2" xfId="2049" xr:uid="{62276E40-260C-46FA-A4C9-6553B1288E11}"/>
    <cellStyle name="Comma 771 2 2" xfId="4107" xr:uid="{EA13DAB5-604A-425C-9285-A77CC140BF9D}"/>
    <cellStyle name="Comma 771 3" xfId="3077" xr:uid="{1E721F5C-080C-4937-8AC9-B9EA392CB226}"/>
    <cellStyle name="Comma 771 4" xfId="5203" xr:uid="{906307B0-B8CF-447F-B787-AE31E828040E}"/>
    <cellStyle name="Comma 772" xfId="1012" xr:uid="{93E30F42-EC1C-4834-A305-0E01374197C6}"/>
    <cellStyle name="Comma 772 2" xfId="2050" xr:uid="{C61BD08E-C448-4FBF-A786-F902D46F4FB3}"/>
    <cellStyle name="Comma 772 2 2" xfId="4108" xr:uid="{12DFD550-8B57-4C6B-929F-5CBA49A7D11E}"/>
    <cellStyle name="Comma 772 3" xfId="3078" xr:uid="{9DE6061A-9B01-432C-81FB-A52EA3DDC9E5}"/>
    <cellStyle name="Comma 772 4" xfId="5204" xr:uid="{4C1B46F3-1456-49C8-9FA4-62612D080262}"/>
    <cellStyle name="Comma 773" xfId="1013" xr:uid="{D715F4E5-8230-42ED-91AB-CFCC57A5B076}"/>
    <cellStyle name="Comma 773 2" xfId="2051" xr:uid="{5ABBF01D-4270-4C27-A889-73BD5F9E9B50}"/>
    <cellStyle name="Comma 773 2 2" xfId="4109" xr:uid="{DCBBD6D6-FEAE-4C5C-ABE1-0D0F256AE3AA}"/>
    <cellStyle name="Comma 773 3" xfId="3079" xr:uid="{A8BF9A69-E9BF-44C4-8F3B-AB0BB34B8633}"/>
    <cellStyle name="Comma 773 4" xfId="5205" xr:uid="{9A236CF2-25CF-4FB9-9653-EBB4D34D9BB5}"/>
    <cellStyle name="Comma 774" xfId="1014" xr:uid="{F8432EC1-775C-413A-B7E8-60032084851A}"/>
    <cellStyle name="Comma 774 2" xfId="2052" xr:uid="{416D5D1B-D29D-47FD-8BC3-085AE61986A1}"/>
    <cellStyle name="Comma 774 2 2" xfId="4110" xr:uid="{0016EA46-ECAC-416E-82BD-60EA07027C63}"/>
    <cellStyle name="Comma 774 3" xfId="3080" xr:uid="{702E6F46-1E33-4662-A6DC-242924756B85}"/>
    <cellStyle name="Comma 774 4" xfId="5206" xr:uid="{397B2AF0-D5A6-423B-9C9F-E07313269857}"/>
    <cellStyle name="Comma 775" xfId="1015" xr:uid="{2CDE34B7-74FE-4BCD-AEB8-800147DA713D}"/>
    <cellStyle name="Comma 775 2" xfId="2053" xr:uid="{481FC255-1FC3-4488-A553-90337F8C7DD6}"/>
    <cellStyle name="Comma 775 2 2" xfId="4111" xr:uid="{1152757D-925E-42E4-9366-231490925B57}"/>
    <cellStyle name="Comma 775 3" xfId="3081" xr:uid="{D3FF2696-8FC6-47FB-8732-0FF1423360FA}"/>
    <cellStyle name="Comma 775 4" xfId="5207" xr:uid="{58D52178-4DBC-4785-9D61-B295D0F54247}"/>
    <cellStyle name="Comma 776" xfId="1016" xr:uid="{B80FCC5B-465D-4A92-B520-D2D72C537C77}"/>
    <cellStyle name="Comma 776 2" xfId="2054" xr:uid="{AF5F9DAC-EB47-4D9C-808A-B39022C7ED9D}"/>
    <cellStyle name="Comma 776 2 2" xfId="4112" xr:uid="{96234E90-EB49-4E80-B13B-2152EA0A1558}"/>
    <cellStyle name="Comma 776 3" xfId="3082" xr:uid="{69A447BE-71ED-4D3E-9410-17B47E911F63}"/>
    <cellStyle name="Comma 776 4" xfId="5208" xr:uid="{5A1106A3-54ED-4C5A-8D86-0E24CB1C8B6F}"/>
    <cellStyle name="Comma 777" xfId="1017" xr:uid="{D40BE07A-B4F6-407E-B8C0-E6B57BCC9ED8}"/>
    <cellStyle name="Comma 777 2" xfId="2055" xr:uid="{9ABE9E09-A335-438C-BD9A-6F184575029B}"/>
    <cellStyle name="Comma 777 2 2" xfId="4113" xr:uid="{243ED1F7-79B7-486C-A12F-5A03F02DDF18}"/>
    <cellStyle name="Comma 777 3" xfId="3083" xr:uid="{4DF41D66-CAF7-4771-9E27-C94310724AD5}"/>
    <cellStyle name="Comma 777 4" xfId="5209" xr:uid="{25758337-B1DD-496B-97D1-2EF30587A888}"/>
    <cellStyle name="Comma 778" xfId="1018" xr:uid="{356EB9C8-4135-446D-8400-21C3AD993AB6}"/>
    <cellStyle name="Comma 778 2" xfId="2056" xr:uid="{46C67A81-8BBD-449B-A97F-57B2F4BBE44B}"/>
    <cellStyle name="Comma 778 2 2" xfId="4114" xr:uid="{E6CCE4AB-0626-402A-9525-C8BF209493C9}"/>
    <cellStyle name="Comma 778 3" xfId="3084" xr:uid="{35F2F8F9-4F85-467B-ABA8-9A2E50AF9845}"/>
    <cellStyle name="Comma 778 4" xfId="5210" xr:uid="{9E2E5F1C-FFC6-4DD0-8410-299D8BE03939}"/>
    <cellStyle name="Comma 779" xfId="1019" xr:uid="{E8CED299-F35C-4654-9D2F-E625524E4C7E}"/>
    <cellStyle name="Comma 779 2" xfId="2057" xr:uid="{0EEE7242-E480-4033-A375-B23A2B99FF49}"/>
    <cellStyle name="Comma 779 2 2" xfId="4115" xr:uid="{C43967FA-8322-4ED8-ABA1-EFA24A78CAB7}"/>
    <cellStyle name="Comma 779 3" xfId="3085" xr:uid="{53FF1D1E-9FB6-4E95-A9B3-B0722B02D9E9}"/>
    <cellStyle name="Comma 779 4" xfId="5211" xr:uid="{9518A0BF-F801-4152-9BDF-9F5CDF01D14C}"/>
    <cellStyle name="Comma 78" xfId="291" xr:uid="{E9C68E09-92FB-430E-9440-035F48AE2A85}"/>
    <cellStyle name="Comma 78 2" xfId="1356" xr:uid="{935C2436-8A16-4813-A63F-E4D0ED78ED2C}"/>
    <cellStyle name="Comma 78 2 2" xfId="3414" xr:uid="{7CC6817F-0FB9-4A17-8003-52A0FC1A376D}"/>
    <cellStyle name="Comma 78 3" xfId="2384" xr:uid="{CDD8CEF8-E660-4AD8-81DF-3D242F1312AF}"/>
    <cellStyle name="Comma 78 4" xfId="4510" xr:uid="{05798106-1EAB-4C0C-BBA4-D59713E439EB}"/>
    <cellStyle name="Comma 780" xfId="1020" xr:uid="{1EAB6831-024A-4420-8585-A83EF01E6CE0}"/>
    <cellStyle name="Comma 780 2" xfId="2058" xr:uid="{EFD42A1A-5BAE-4C71-B49A-3BE2962D7C5E}"/>
    <cellStyle name="Comma 780 2 2" xfId="4116" xr:uid="{DFEFAEE9-320E-486D-AA86-F98E70F7E3F1}"/>
    <cellStyle name="Comma 780 3" xfId="3086" xr:uid="{E6A69ACE-87A7-48BC-B50C-EC3C4850AB22}"/>
    <cellStyle name="Comma 780 4" xfId="5212" xr:uid="{E8FC2366-E48F-47AD-A541-5DEC3020A748}"/>
    <cellStyle name="Comma 781" xfId="1021" xr:uid="{1F529C4B-0815-493F-8E03-F3AFF64F421B}"/>
    <cellStyle name="Comma 781 2" xfId="2059" xr:uid="{2EE85927-F36C-45E7-BAE0-959F97ACE027}"/>
    <cellStyle name="Comma 781 2 2" xfId="4117" xr:uid="{A4120C44-25B3-4495-9348-5EEBB898C21A}"/>
    <cellStyle name="Comma 781 3" xfId="3087" xr:uid="{EEA37E1C-ED25-49BE-ACDC-52BB6926B4C7}"/>
    <cellStyle name="Comma 781 4" xfId="5213" xr:uid="{8C04E074-0128-4F9D-8394-610690E08B56}"/>
    <cellStyle name="Comma 782" xfId="1022" xr:uid="{D3EB4A7E-5211-48C0-BB88-E4C4D6508DBE}"/>
    <cellStyle name="Comma 782 2" xfId="2060" xr:uid="{BA2EDE29-951C-4327-BD73-3BEEB0F8BB78}"/>
    <cellStyle name="Comma 782 2 2" xfId="4118" xr:uid="{B1518211-7D9B-45CB-8409-063CCE472C1A}"/>
    <cellStyle name="Comma 782 3" xfId="3088" xr:uid="{709F0052-3150-4381-BACD-6A6096D9078A}"/>
    <cellStyle name="Comma 782 4" xfId="5214" xr:uid="{8EF53806-58BD-43EE-BD21-77C916FF9130}"/>
    <cellStyle name="Comma 783" xfId="1023" xr:uid="{F7A2DE00-BA80-4E7A-9728-593262AF4284}"/>
    <cellStyle name="Comma 783 2" xfId="2061" xr:uid="{5E9F2E2C-62A9-4C56-BEAC-548138AE54F1}"/>
    <cellStyle name="Comma 783 2 2" xfId="4119" xr:uid="{C18724FA-A2B2-44C1-9A3E-6596F1A3CE5F}"/>
    <cellStyle name="Comma 783 3" xfId="3089" xr:uid="{9DAE7F3A-717C-44E7-8311-B7FFAF1B6F29}"/>
    <cellStyle name="Comma 783 4" xfId="5215" xr:uid="{44B2D97A-0716-4D43-9A83-117E28BF14DA}"/>
    <cellStyle name="Comma 784" xfId="1024" xr:uid="{460C835F-2065-43B6-8FE1-725C2CCA98C5}"/>
    <cellStyle name="Comma 784 2" xfId="2062" xr:uid="{7B566245-8DC8-4F48-99C9-9507FAA42E6F}"/>
    <cellStyle name="Comma 784 2 2" xfId="4120" xr:uid="{340337F4-466B-49B9-9B1C-4789313937A7}"/>
    <cellStyle name="Comma 784 3" xfId="3090" xr:uid="{46A560E5-9E61-4B6C-BAFD-BF429B4B5D21}"/>
    <cellStyle name="Comma 784 4" xfId="5216" xr:uid="{2FC404D5-C84F-41A2-A421-5F1A41A449F0}"/>
    <cellStyle name="Comma 785" xfId="1025" xr:uid="{B7FF3C6D-B76A-419B-AC63-C912A506EBFB}"/>
    <cellStyle name="Comma 785 2" xfId="2063" xr:uid="{34B5C547-0055-4541-B759-470540DE46B4}"/>
    <cellStyle name="Comma 785 2 2" xfId="4121" xr:uid="{0738446A-70A2-48F0-A129-72196613F70B}"/>
    <cellStyle name="Comma 785 3" xfId="3091" xr:uid="{88E1A51D-0998-4CF9-83AB-1C677AAA1DCB}"/>
    <cellStyle name="Comma 785 4" xfId="5217" xr:uid="{56EDB522-3555-4946-8EC3-9F4CD622B183}"/>
    <cellStyle name="Comma 786" xfId="1026" xr:uid="{465F0B7F-1A34-49EE-9DCB-8DFCDDF6097B}"/>
    <cellStyle name="Comma 786 2" xfId="2064" xr:uid="{8E8D6BF7-5C8E-4E71-ADA2-F2646AF6C940}"/>
    <cellStyle name="Comma 786 2 2" xfId="4122" xr:uid="{3B0D777B-5825-471A-BAB8-E4FCBCA6B1A8}"/>
    <cellStyle name="Comma 786 3" xfId="3092" xr:uid="{C70BDFEB-1BD8-4B4D-94AE-4B8F6A7CE499}"/>
    <cellStyle name="Comma 786 4" xfId="5218" xr:uid="{FA54157A-2D09-4457-8F25-D2BABFE5FBD7}"/>
    <cellStyle name="Comma 787" xfId="1027" xr:uid="{58F01476-18DB-49AD-9C63-E28B85709F13}"/>
    <cellStyle name="Comma 787 2" xfId="2065" xr:uid="{AB135E98-0218-43C1-BC89-7DF40C6CEC57}"/>
    <cellStyle name="Comma 787 2 2" xfId="4123" xr:uid="{99496259-B6AD-4F1B-9C09-FB9099CD5296}"/>
    <cellStyle name="Comma 787 3" xfId="3093" xr:uid="{EFDFEB6C-EB31-41A5-A4C9-0A4F87F9CEE0}"/>
    <cellStyle name="Comma 787 4" xfId="5219" xr:uid="{47211637-F509-4B60-BBB3-DD68941C69ED}"/>
    <cellStyle name="Comma 788" xfId="1028" xr:uid="{1C026A37-F342-43BF-8D12-F943D1B12FBE}"/>
    <cellStyle name="Comma 788 2" xfId="2066" xr:uid="{A8DD7CE2-0BF6-4EE2-93E9-6D28C92BBE0C}"/>
    <cellStyle name="Comma 788 2 2" xfId="4124" xr:uid="{916DFC0E-1623-4857-BF49-8BB4AA85CCC6}"/>
    <cellStyle name="Comma 788 3" xfId="3094" xr:uid="{6ECEA4D1-C97A-422C-BD75-0C98483E4FE3}"/>
    <cellStyle name="Comma 788 4" xfId="5220" xr:uid="{6B12EE37-8836-4818-9ADD-70761655B7F1}"/>
    <cellStyle name="Comma 789" xfId="1029" xr:uid="{92444CB5-8BDF-4AE2-8A06-99358E72CA1E}"/>
    <cellStyle name="Comma 789 2" xfId="2067" xr:uid="{B354A7A8-3E35-49DD-BE0E-FB340B45EA55}"/>
    <cellStyle name="Comma 789 2 2" xfId="4125" xr:uid="{8FFB6A2C-700B-404E-AC21-5B8B41AD206E}"/>
    <cellStyle name="Comma 789 3" xfId="3095" xr:uid="{99D3353B-444A-40C8-86F9-782394FD741C}"/>
    <cellStyle name="Comma 789 4" xfId="5221" xr:uid="{2A260AD9-8917-48CB-BA11-A6D1390D3552}"/>
    <cellStyle name="Comma 79" xfId="292" xr:uid="{93552BE5-7938-432A-B935-FB35D27C656C}"/>
    <cellStyle name="Comma 79 2" xfId="1357" xr:uid="{D5BDC577-ABF2-43C4-841C-76929A298571}"/>
    <cellStyle name="Comma 79 2 2" xfId="3415" xr:uid="{F67AF015-144D-4D0B-8FBC-B395F815F9DF}"/>
    <cellStyle name="Comma 79 3" xfId="2385" xr:uid="{C3CCAE6E-748A-4517-89F6-D8324B0AC912}"/>
    <cellStyle name="Comma 79 4" xfId="4511" xr:uid="{FC4A5A75-ACCA-47C0-A111-79C6FBF05193}"/>
    <cellStyle name="Comma 790" xfId="1030" xr:uid="{6411665D-68A0-4E0F-8066-511FE083AAF6}"/>
    <cellStyle name="Comma 790 2" xfId="2068" xr:uid="{E0F1AFF8-A0F6-4337-A5E3-2B1F8BD34A7A}"/>
    <cellStyle name="Comma 790 2 2" xfId="4126" xr:uid="{D1D49319-98F8-41F7-83EE-64AE18D7651C}"/>
    <cellStyle name="Comma 790 3" xfId="3096" xr:uid="{BD64CDF2-B9EA-4C38-BC98-F63E5C1A51E8}"/>
    <cellStyle name="Comma 790 4" xfId="5222" xr:uid="{614BAA1D-A7B4-49CA-AB68-DD5BA3444628}"/>
    <cellStyle name="Comma 791" xfId="1031" xr:uid="{88E8C9BD-F414-496F-8C1C-732DE95DB69B}"/>
    <cellStyle name="Comma 791 2" xfId="2069" xr:uid="{5DC4BB78-EC6D-4807-A811-870D74FBB9FA}"/>
    <cellStyle name="Comma 791 2 2" xfId="4127" xr:uid="{400A1892-5034-4856-ADBA-B31D9DAD7781}"/>
    <cellStyle name="Comma 791 3" xfId="3097" xr:uid="{F35ACAF2-6B7C-44FB-AFB7-53A8D3084708}"/>
    <cellStyle name="Comma 791 4" xfId="5223" xr:uid="{2A06EF35-585D-4EED-BA0F-98A57CF282AC}"/>
    <cellStyle name="Comma 792" xfId="1032" xr:uid="{A2B65E50-F84A-401F-827E-103FE95EBF6A}"/>
    <cellStyle name="Comma 792 2" xfId="2070" xr:uid="{C16C2346-0F96-4803-99A5-ABFEBF2255B3}"/>
    <cellStyle name="Comma 792 2 2" xfId="4128" xr:uid="{83A98143-2949-485B-A6AB-7A93F10F2886}"/>
    <cellStyle name="Comma 792 3" xfId="3098" xr:uid="{31EEC573-55B8-4705-BD05-E389B3C8D721}"/>
    <cellStyle name="Comma 792 4" xfId="5224" xr:uid="{60F6B647-2371-4D93-9C59-C3FDCD1B0B53}"/>
    <cellStyle name="Comma 793" xfId="1033" xr:uid="{FDAFAD55-88ED-40B1-BAA6-937A106E0C29}"/>
    <cellStyle name="Comma 793 2" xfId="2071" xr:uid="{84420541-324D-4434-B131-83DC32C8ECB3}"/>
    <cellStyle name="Comma 793 2 2" xfId="4129" xr:uid="{2D78AF2E-5613-4D70-BBD0-03C8945A342F}"/>
    <cellStyle name="Comma 793 3" xfId="3099" xr:uid="{6C5061AA-B117-4166-8E32-60BE0566A1FF}"/>
    <cellStyle name="Comma 793 4" xfId="5225" xr:uid="{1C3E5DBB-5BFD-4C31-81A2-38DB81F309A6}"/>
    <cellStyle name="Comma 794" xfId="1034" xr:uid="{03A9522C-AC9F-4034-84A7-FECC47C1C5EA}"/>
    <cellStyle name="Comma 794 2" xfId="2072" xr:uid="{7BB3861F-F757-4E5E-94E1-EF806379D89A}"/>
    <cellStyle name="Comma 794 2 2" xfId="4130" xr:uid="{CDCC0BCB-12A8-4470-BCDF-5F82ACA871AE}"/>
    <cellStyle name="Comma 794 3" xfId="3100" xr:uid="{34E3469A-5394-45E2-8E87-F5CC26BB1FE1}"/>
    <cellStyle name="Comma 794 4" xfId="5226" xr:uid="{A0132CB3-323E-4264-8512-7B42A3AFE6F2}"/>
    <cellStyle name="Comma 795" xfId="1035" xr:uid="{A15BDEE9-B6C2-4F57-B48A-1B3CD39CEB30}"/>
    <cellStyle name="Comma 795 2" xfId="2073" xr:uid="{4C76DDD9-C964-4B12-8518-9A92217F8547}"/>
    <cellStyle name="Comma 795 2 2" xfId="4131" xr:uid="{52D173D9-063F-4471-A495-87AF4BE74511}"/>
    <cellStyle name="Comma 795 3" xfId="3101" xr:uid="{3F2491C3-B9A8-4A15-81DA-71F1B86FE198}"/>
    <cellStyle name="Comma 795 4" xfId="5227" xr:uid="{793A2DE1-64C6-4527-ACA0-5BECAE601B26}"/>
    <cellStyle name="Comma 796" xfId="1036" xr:uid="{34A61068-EBDC-43F5-B9DE-F51EFEA5B2EA}"/>
    <cellStyle name="Comma 796 2" xfId="2074" xr:uid="{FAD34091-A244-42A2-9A3C-07475BCEC06E}"/>
    <cellStyle name="Comma 796 2 2" xfId="4132" xr:uid="{C7663E09-BCAD-43E3-846B-B9F46D3C15EA}"/>
    <cellStyle name="Comma 796 3" xfId="3102" xr:uid="{648E744E-456B-4889-A940-6BD5A7FC7C96}"/>
    <cellStyle name="Comma 796 4" xfId="5228" xr:uid="{58076A51-CF09-4FC5-B63C-DFC132E93165}"/>
    <cellStyle name="Comma 797" xfId="1037" xr:uid="{7C23782C-FCF9-47E3-B709-6CB2181D26AB}"/>
    <cellStyle name="Comma 797 2" xfId="2075" xr:uid="{A990D86E-D819-4D1F-8434-F41D28777E99}"/>
    <cellStyle name="Comma 797 2 2" xfId="4133" xr:uid="{D0EF2A2E-BFC5-495D-ACD3-7F2C2BD1B29E}"/>
    <cellStyle name="Comma 797 3" xfId="3103" xr:uid="{9A4D1F4E-4F31-4090-9ECF-3F24B8A777E6}"/>
    <cellStyle name="Comma 797 4" xfId="5229" xr:uid="{B0A05BEA-48BD-476C-9E2C-B1EFC4E4685B}"/>
    <cellStyle name="Comma 798" xfId="1038" xr:uid="{AEE9AC04-8F2A-4D8A-A015-2814FD6BC8EB}"/>
    <cellStyle name="Comma 798 2" xfId="2076" xr:uid="{14DE4B33-FD17-4C0D-8E54-C960A3ED267F}"/>
    <cellStyle name="Comma 798 2 2" xfId="4134" xr:uid="{1F64D639-7FA2-4F1C-BD9D-B24648FD4109}"/>
    <cellStyle name="Comma 798 3" xfId="3104" xr:uid="{55C07345-C662-486D-9B8E-1213F0E9A916}"/>
    <cellStyle name="Comma 798 4" xfId="5230" xr:uid="{753F6C2F-7E73-4039-8F49-6DD914CA24C1}"/>
    <cellStyle name="Comma 799" xfId="1039" xr:uid="{2734B111-D638-4CF9-B32E-22CFACFC2537}"/>
    <cellStyle name="Comma 799 2" xfId="2077" xr:uid="{66277512-59F6-4E76-A3E2-B8DD6A426CA5}"/>
    <cellStyle name="Comma 799 2 2" xfId="4135" xr:uid="{953C47B9-1FB1-4B2C-AFF5-79AF2A467B9A}"/>
    <cellStyle name="Comma 799 3" xfId="3105" xr:uid="{9C9BC101-85B4-47BB-8E8E-4D28B8EC2B02}"/>
    <cellStyle name="Comma 799 4" xfId="5231" xr:uid="{3154E421-3C45-4243-B6EF-5641EF627089}"/>
    <cellStyle name="Comma 8" xfId="200" xr:uid="{2E85E71D-D188-4369-A48D-A467CBB02DD2}"/>
    <cellStyle name="Comma 8 2" xfId="1286" xr:uid="{A58853F2-1EEA-43F8-8C37-7103D6B8F959}"/>
    <cellStyle name="Comma 8 2 2" xfId="3344" xr:uid="{E342173F-0145-475D-9922-D3239BCD51A1}"/>
    <cellStyle name="Comma 8 3" xfId="2314" xr:uid="{8F9ACDE6-E127-4029-B7BA-36806ABBD151}"/>
    <cellStyle name="Comma 8 4" xfId="4440" xr:uid="{11726030-3E7E-4C34-9E96-FC2655B74EEB}"/>
    <cellStyle name="Comma 80" xfId="293" xr:uid="{97D51FCB-FC17-4867-AA51-EB4A6552BF5B}"/>
    <cellStyle name="Comma 80 2" xfId="1358" xr:uid="{574D48DE-2484-4816-99D5-7BEB088AE5E1}"/>
    <cellStyle name="Comma 80 2 2" xfId="3416" xr:uid="{D5534950-DCD1-403C-A2A1-4EBE69D73290}"/>
    <cellStyle name="Comma 80 3" xfId="2386" xr:uid="{B8934338-CB3C-4FDC-9BC6-E93F84D22843}"/>
    <cellStyle name="Comma 80 4" xfId="4512" xr:uid="{9BB8CA93-E0EB-44ED-89BA-CB4BF0351129}"/>
    <cellStyle name="Comma 800" xfId="1040" xr:uid="{9ADD3BAC-8DBD-4FE5-9EE9-D6E87198CD86}"/>
    <cellStyle name="Comma 800 2" xfId="2078" xr:uid="{0060DE5C-352A-4D81-A688-9ACB97DC6BC6}"/>
    <cellStyle name="Comma 800 2 2" xfId="4136" xr:uid="{6F7E41B0-75CB-4874-864F-5E4FAAE6800E}"/>
    <cellStyle name="Comma 800 3" xfId="3106" xr:uid="{B7300EED-4880-456A-819A-58B1A1D85FF5}"/>
    <cellStyle name="Comma 800 4" xfId="5232" xr:uid="{1232C050-6BCF-446D-B47E-8B4A904ED8BE}"/>
    <cellStyle name="Comma 801" xfId="1041" xr:uid="{4574C181-FC2B-4EF0-A901-498675828137}"/>
    <cellStyle name="Comma 801 2" xfId="2079" xr:uid="{D80E01B2-EC20-4753-98EF-0B27759E49A6}"/>
    <cellStyle name="Comma 801 2 2" xfId="4137" xr:uid="{13FE16D0-EBA7-4021-80CB-20D2589103AE}"/>
    <cellStyle name="Comma 801 3" xfId="3107" xr:uid="{2E4E500E-76D3-4BDC-BF87-E03306B5E25E}"/>
    <cellStyle name="Comma 801 4" xfId="5233" xr:uid="{0AA86853-EBF4-4484-8747-0A1759A4DA60}"/>
    <cellStyle name="Comma 802" xfId="1042" xr:uid="{56BA4E00-3920-4D97-A235-BB22EF20BC40}"/>
    <cellStyle name="Comma 802 2" xfId="2080" xr:uid="{00D40D04-D7E1-4180-BF9C-68555E90D6DD}"/>
    <cellStyle name="Comma 802 2 2" xfId="4138" xr:uid="{3C51D982-5450-40D4-BCD8-726C5FB98FFD}"/>
    <cellStyle name="Comma 802 3" xfId="3108" xr:uid="{96658DF1-4D5F-4735-8FB1-8900C42B6CA8}"/>
    <cellStyle name="Comma 802 4" xfId="5234" xr:uid="{A23ECCEF-FB3A-49E7-BB56-1479D59A663A}"/>
    <cellStyle name="Comma 803" xfId="1043" xr:uid="{23559EAB-F89F-4D34-8284-E1AB2079CAEA}"/>
    <cellStyle name="Comma 803 2" xfId="2081" xr:uid="{B2CCD682-B6A2-4A33-8A23-233B910685E5}"/>
    <cellStyle name="Comma 803 2 2" xfId="4139" xr:uid="{A093A633-A41C-4AE1-A3DF-A0A18C86DB57}"/>
    <cellStyle name="Comma 803 3" xfId="3109" xr:uid="{ECCA72BB-A7DE-4768-87A5-49E1F4E6EA8E}"/>
    <cellStyle name="Comma 803 4" xfId="5235" xr:uid="{0301EBD3-E0E1-4CA6-A28B-6A607C759D05}"/>
    <cellStyle name="Comma 804" xfId="1044" xr:uid="{66DAF52F-AC38-4D4A-8B97-506FC54809E5}"/>
    <cellStyle name="Comma 804 2" xfId="2082" xr:uid="{0A7FA2B7-E419-4537-8A11-89ECCE288B1F}"/>
    <cellStyle name="Comma 804 2 2" xfId="4140" xr:uid="{331B7D30-5294-43A1-B9FB-043F2826C038}"/>
    <cellStyle name="Comma 804 3" xfId="3110" xr:uid="{3A13E5EC-4357-4B73-A611-4C909218C8AF}"/>
    <cellStyle name="Comma 804 4" xfId="5236" xr:uid="{40A3A1DC-7B3A-4E73-8FC7-12F1983BE56A}"/>
    <cellStyle name="Comma 805" xfId="1045" xr:uid="{AE1DC3FC-B7A9-4593-8913-5BC843B9EE91}"/>
    <cellStyle name="Comma 805 2" xfId="2083" xr:uid="{97A91718-A8D0-4A33-BD73-9B09F86B5299}"/>
    <cellStyle name="Comma 805 2 2" xfId="4141" xr:uid="{08EC53B6-D4EA-4635-B056-5C4508C3E569}"/>
    <cellStyle name="Comma 805 3" xfId="3111" xr:uid="{FF5AF45B-2FD6-4E5B-8116-2F1A91AF12EB}"/>
    <cellStyle name="Comma 805 4" xfId="5237" xr:uid="{456D9FA1-B397-4884-8DF6-3140FFC33C42}"/>
    <cellStyle name="Comma 806" xfId="1046" xr:uid="{6C22CD9E-B36F-46E1-A974-F63FD9551A84}"/>
    <cellStyle name="Comma 806 2" xfId="2084" xr:uid="{DB0F634F-B85F-4339-880D-BD4E2ED46166}"/>
    <cellStyle name="Comma 806 2 2" xfId="4142" xr:uid="{95D0F90C-82A7-42D2-B462-EC224AB46E9B}"/>
    <cellStyle name="Comma 806 3" xfId="3112" xr:uid="{7D377F3F-1DEF-44B7-8092-5B5863EF3970}"/>
    <cellStyle name="Comma 806 4" xfId="5238" xr:uid="{7C900558-4081-483A-A073-440A5B57ED8C}"/>
    <cellStyle name="Comma 807" xfId="1047" xr:uid="{4575972F-2161-4DC8-B2F8-B0F4DCCF110B}"/>
    <cellStyle name="Comma 807 2" xfId="2085" xr:uid="{262FF8F9-3FB2-4879-8859-AB1F2A131ED9}"/>
    <cellStyle name="Comma 807 2 2" xfId="4143" xr:uid="{6C5D2C5F-C58E-4B71-81B2-56E036097017}"/>
    <cellStyle name="Comma 807 3" xfId="3113" xr:uid="{062D0F9B-14C8-4350-B67D-FBA9BC2F5591}"/>
    <cellStyle name="Comma 807 4" xfId="5239" xr:uid="{ABBD8552-11FA-4F92-97FC-73F7C05F1F57}"/>
    <cellStyle name="Comma 808" xfId="1048" xr:uid="{B0C24B35-B6DC-47CD-8F28-E188B828C21F}"/>
    <cellStyle name="Comma 808 2" xfId="2086" xr:uid="{089A55C1-8BBA-49BE-9219-2814AFFCD9AC}"/>
    <cellStyle name="Comma 808 2 2" xfId="4144" xr:uid="{66825B7D-71B6-4034-841E-67590EDDD62A}"/>
    <cellStyle name="Comma 808 3" xfId="3114" xr:uid="{DC7F4BC6-B58E-4685-A03E-5FC1C4182A50}"/>
    <cellStyle name="Comma 808 4" xfId="5240" xr:uid="{A4BFE882-4752-4065-AC17-4043E70FF81C}"/>
    <cellStyle name="Comma 809" xfId="1049" xr:uid="{27ED6F5F-C767-4897-9C42-B10EE7E1E1A4}"/>
    <cellStyle name="Comma 809 2" xfId="2087" xr:uid="{6BB0A841-9E45-4F1D-8108-12565ABC37F6}"/>
    <cellStyle name="Comma 809 2 2" xfId="4145" xr:uid="{6E79A3F5-18E5-44DD-AD47-97177031C039}"/>
    <cellStyle name="Comma 809 3" xfId="3115" xr:uid="{9CCC5014-AD40-4492-8543-3B77B24B9962}"/>
    <cellStyle name="Comma 809 4" xfId="5241" xr:uid="{C8E7A63B-503F-4EB3-851D-9F37AACAB968}"/>
    <cellStyle name="Comma 81" xfId="294" xr:uid="{37708F2E-E937-436D-9AFA-6D0B92EAF4B2}"/>
    <cellStyle name="Comma 81 2" xfId="1359" xr:uid="{C381AA6B-81D8-4723-9260-C58CC5295E8C}"/>
    <cellStyle name="Comma 81 2 2" xfId="3417" xr:uid="{DF785619-76AB-4360-A8C0-EAF367B9E17B}"/>
    <cellStyle name="Comma 81 3" xfId="2387" xr:uid="{1F277AAB-F2A8-4C12-B15E-543E50276193}"/>
    <cellStyle name="Comma 81 4" xfId="4513" xr:uid="{4EA37830-F62E-4BBD-9C29-DABF2A45BA49}"/>
    <cellStyle name="Comma 810" xfId="1050" xr:uid="{14F380B4-AD16-4FB3-B4E4-9178FF053082}"/>
    <cellStyle name="Comma 810 2" xfId="2088" xr:uid="{B779B991-2CAF-4DF0-80E4-08B05154ADB8}"/>
    <cellStyle name="Comma 810 2 2" xfId="4146" xr:uid="{508E5259-CDF3-4777-977A-06734CBB4545}"/>
    <cellStyle name="Comma 810 3" xfId="3116" xr:uid="{0664581E-56FE-40A0-BF3C-A62424D3505E}"/>
    <cellStyle name="Comma 810 4" xfId="5242" xr:uid="{5151B7FA-8013-46DB-A8D9-4D196F2BB326}"/>
    <cellStyle name="Comma 811" xfId="1051" xr:uid="{71C735C6-47A2-4E41-A880-4708CAA558FE}"/>
    <cellStyle name="Comma 811 2" xfId="2089" xr:uid="{126B5E00-2E5D-4D4A-9F4E-47BD8B67B773}"/>
    <cellStyle name="Comma 811 2 2" xfId="4147" xr:uid="{268B0A2F-0654-4DB0-B2E2-8B8FD3D4E6A1}"/>
    <cellStyle name="Comma 811 3" xfId="3117" xr:uid="{856B8182-8107-4B39-942E-CE4C66329A35}"/>
    <cellStyle name="Comma 811 4" xfId="5243" xr:uid="{2B717F1E-956E-411E-A1D0-4544B98A3FB5}"/>
    <cellStyle name="Comma 812" xfId="1052" xr:uid="{6BFE55F3-2A55-4E19-88B4-C11A90433CE6}"/>
    <cellStyle name="Comma 812 2" xfId="2090" xr:uid="{8176A611-E5F5-496F-B8A6-001B37B26B41}"/>
    <cellStyle name="Comma 812 2 2" xfId="4148" xr:uid="{5F5B4EFF-8016-446F-92CC-137A7D28513D}"/>
    <cellStyle name="Comma 812 3" xfId="3118" xr:uid="{504E1EB2-01F9-4511-8203-D3525C32AF23}"/>
    <cellStyle name="Comma 812 4" xfId="5244" xr:uid="{74DE26C3-CDF6-4781-881F-E8AD80BF021F}"/>
    <cellStyle name="Comma 813" xfId="1053" xr:uid="{4CD781A1-499F-46EB-B2B1-8A09070155C9}"/>
    <cellStyle name="Comma 813 2" xfId="2091" xr:uid="{0ACBD2B9-5E45-4575-B590-24385B2B0424}"/>
    <cellStyle name="Comma 813 2 2" xfId="4149" xr:uid="{A826CF43-0F01-4337-81F6-FEE72F1F084F}"/>
    <cellStyle name="Comma 813 3" xfId="3119" xr:uid="{FE3D7C42-099E-4EDA-8FDA-E553A26C9DED}"/>
    <cellStyle name="Comma 813 4" xfId="5245" xr:uid="{4C269993-B7C0-4AC8-91B8-E3323EE984A5}"/>
    <cellStyle name="Comma 814" xfId="1054" xr:uid="{C9E8C5C2-943C-47AF-8C37-116B1313B660}"/>
    <cellStyle name="Comma 814 2" xfId="2092" xr:uid="{75FAF034-3413-44C5-B31A-FACB26345246}"/>
    <cellStyle name="Comma 814 2 2" xfId="4150" xr:uid="{1F0E31C1-2319-4AEC-9B3A-416310713982}"/>
    <cellStyle name="Comma 814 3" xfId="3120" xr:uid="{61607C36-D807-484B-A51A-5CF745A73420}"/>
    <cellStyle name="Comma 814 4" xfId="5246" xr:uid="{28C082BD-F7FD-45B0-9E81-79A574E13233}"/>
    <cellStyle name="Comma 815" xfId="1055" xr:uid="{E766ED0C-0C26-43D2-90EC-6004D4A5643C}"/>
    <cellStyle name="Comma 815 2" xfId="2093" xr:uid="{EABC3BDB-C8D6-4E28-9B47-B772073DF21F}"/>
    <cellStyle name="Comma 815 2 2" xfId="4151" xr:uid="{7C9545BB-45DE-4575-885E-B906A8ECA42F}"/>
    <cellStyle name="Comma 815 3" xfId="3121" xr:uid="{D2188B3C-16B0-4559-9739-743394CD8D15}"/>
    <cellStyle name="Comma 815 4" xfId="5247" xr:uid="{D36F8D71-17CC-4036-8472-B4123EB3B6CA}"/>
    <cellStyle name="Comma 816" xfId="1056" xr:uid="{BFCC9EFD-6EF6-4295-B3E8-802968F9A469}"/>
    <cellStyle name="Comma 816 2" xfId="2094" xr:uid="{D135DA06-DBEE-40F6-BB30-5D5571A33C35}"/>
    <cellStyle name="Comma 816 2 2" xfId="4152" xr:uid="{05059CF4-6BE9-4126-B4BA-C0E148F7D6C9}"/>
    <cellStyle name="Comma 816 3" xfId="3122" xr:uid="{7EA6D62C-B744-4B92-B238-0EAB66E8E277}"/>
    <cellStyle name="Comma 816 4" xfId="5248" xr:uid="{77CCDE26-9622-4AC4-BDB7-294362532C9C}"/>
    <cellStyle name="Comma 817" xfId="1057" xr:uid="{5428D0BB-625E-4E3F-946A-9D1E1B0D3A3E}"/>
    <cellStyle name="Comma 817 2" xfId="2095" xr:uid="{C366F4E8-19EB-4CEF-ABA6-C14386E307AB}"/>
    <cellStyle name="Comma 817 2 2" xfId="4153" xr:uid="{D218BE4F-5E63-47B6-82B1-D10B7AA0842C}"/>
    <cellStyle name="Comma 817 3" xfId="3123" xr:uid="{A08D0222-B0AA-4E24-B7B6-F5CE76633B30}"/>
    <cellStyle name="Comma 817 4" xfId="5249" xr:uid="{70767BCC-BC78-4EB6-8F75-3915D7851D46}"/>
    <cellStyle name="Comma 818" xfId="1058" xr:uid="{31D7EE79-D057-4627-A2B4-3BE1C279BA0F}"/>
    <cellStyle name="Comma 818 2" xfId="2096" xr:uid="{91AFDF2B-E213-42B6-82F0-FE3BCB9A1234}"/>
    <cellStyle name="Comma 818 2 2" xfId="4154" xr:uid="{FD0451BA-89C6-4A49-A17A-F9B3054936D9}"/>
    <cellStyle name="Comma 818 3" xfId="3124" xr:uid="{90114DDE-285A-4491-9BA8-DF7CF2CE4B57}"/>
    <cellStyle name="Comma 818 4" xfId="5250" xr:uid="{5DBB2057-EF10-4556-A306-78DC95F5964C}"/>
    <cellStyle name="Comma 819" xfId="1059" xr:uid="{419B9300-E162-40A2-B2C1-E87AF4F677E0}"/>
    <cellStyle name="Comma 819 2" xfId="2097" xr:uid="{BA2A804B-0C26-42CE-84B4-5F554C444BD4}"/>
    <cellStyle name="Comma 819 2 2" xfId="4155" xr:uid="{402AA7DE-9AC9-44A8-A1ED-89B626496CF8}"/>
    <cellStyle name="Comma 819 3" xfId="3125" xr:uid="{2F749518-769B-428A-BF00-8E753C567834}"/>
    <cellStyle name="Comma 819 4" xfId="5251" xr:uid="{EFF71DDD-A6A9-4488-8DB3-92D6A7871778}"/>
    <cellStyle name="Comma 82" xfId="295" xr:uid="{F4C59E57-A74D-46FB-BCEA-A30DFF280E99}"/>
    <cellStyle name="Comma 82 2" xfId="1360" xr:uid="{BFAEBEDD-E1F5-4FB2-94E9-C098817E9B1B}"/>
    <cellStyle name="Comma 82 2 2" xfId="3418" xr:uid="{8FAFB9DA-D31C-406B-9B7C-CAF83AEEC4A6}"/>
    <cellStyle name="Comma 82 3" xfId="2388" xr:uid="{9AB8E0A6-A4AC-45F0-90C4-06CC9A4677BF}"/>
    <cellStyle name="Comma 82 4" xfId="4514" xr:uid="{E3C43FCD-2B6F-49B7-B232-F153D2BED6ED}"/>
    <cellStyle name="Comma 820" xfId="1060" xr:uid="{EB3F1B21-F092-4725-AD67-F12A2B166B08}"/>
    <cellStyle name="Comma 820 2" xfId="2098" xr:uid="{CBE1282F-AB29-4952-932C-063B5857B04B}"/>
    <cellStyle name="Comma 820 2 2" xfId="4156" xr:uid="{DC457309-D231-4AAF-93FD-6C714C230A0F}"/>
    <cellStyle name="Comma 820 3" xfId="3126" xr:uid="{97C1E444-C06E-4A8F-8AFC-6EF8A13A4B2D}"/>
    <cellStyle name="Comma 820 4" xfId="5252" xr:uid="{3EE3FE59-D0CA-4707-85BB-2E2A9CBAB584}"/>
    <cellStyle name="Comma 821" xfId="1061" xr:uid="{97ABBE3B-730B-4FFE-BF70-5DC869F7CDAA}"/>
    <cellStyle name="Comma 821 2" xfId="2099" xr:uid="{0C22853F-A455-43CF-8696-DBF3645A75FC}"/>
    <cellStyle name="Comma 821 2 2" xfId="4157" xr:uid="{06F8577C-54FC-4353-9F7D-ED086605FCB3}"/>
    <cellStyle name="Comma 821 3" xfId="3127" xr:uid="{5B4B537F-C755-4CF8-9F3C-3FA8C48C4A36}"/>
    <cellStyle name="Comma 821 4" xfId="5253" xr:uid="{BF76A280-B223-48AC-91A3-9F6051C370D2}"/>
    <cellStyle name="Comma 822" xfId="1062" xr:uid="{20D9876B-3677-4592-B53C-5AB4DE56474A}"/>
    <cellStyle name="Comma 822 2" xfId="2100" xr:uid="{E8B143F3-54CF-4F48-B1CE-A775A32CF590}"/>
    <cellStyle name="Comma 822 2 2" xfId="4158" xr:uid="{B19D09F9-1961-43B6-AD41-C1AA0C360B51}"/>
    <cellStyle name="Comma 822 3" xfId="3128" xr:uid="{0FA30A06-DF94-4315-B954-536DF344AD57}"/>
    <cellStyle name="Comma 822 4" xfId="5254" xr:uid="{EC047169-24A2-4B21-B2E0-7A1E76E10962}"/>
    <cellStyle name="Comma 823" xfId="1063" xr:uid="{E62C9301-018D-4A9A-8CA3-751FA25A0E69}"/>
    <cellStyle name="Comma 823 2" xfId="2101" xr:uid="{32DE0C8D-062B-48CA-88BD-BE58CE4F660F}"/>
    <cellStyle name="Comma 823 2 2" xfId="4159" xr:uid="{B9EB69B6-1D3E-438D-A143-1B2F7679A277}"/>
    <cellStyle name="Comma 823 3" xfId="3129" xr:uid="{C4CA63E5-FB7D-42F8-AB66-0052BB3E4AA6}"/>
    <cellStyle name="Comma 823 4" xfId="5255" xr:uid="{A69342F1-77E8-4B00-8C33-14F31B6046A7}"/>
    <cellStyle name="Comma 824" xfId="1064" xr:uid="{907C2836-5A6D-4269-8179-8C7BAE988C56}"/>
    <cellStyle name="Comma 824 2" xfId="2102" xr:uid="{80A4157A-5376-4791-945F-D33B5ECD1F86}"/>
    <cellStyle name="Comma 824 2 2" xfId="4160" xr:uid="{820222F5-5AF1-4018-9946-8E6B3609F68C}"/>
    <cellStyle name="Comma 824 3" xfId="3130" xr:uid="{1364E6E6-3AD7-4140-9A61-216327FF6C0D}"/>
    <cellStyle name="Comma 824 4" xfId="5256" xr:uid="{188D7D49-0F50-4D9E-ABCC-72E5541991A1}"/>
    <cellStyle name="Comma 825" xfId="1065" xr:uid="{540D3E1F-2DFF-4161-9ECD-0482D949F30C}"/>
    <cellStyle name="Comma 825 2" xfId="2103" xr:uid="{C2726A50-06B1-47A6-8A8D-CAD3C8124472}"/>
    <cellStyle name="Comma 825 2 2" xfId="4161" xr:uid="{30181A6B-A1F9-4C46-9290-9078DADE0628}"/>
    <cellStyle name="Comma 825 3" xfId="3131" xr:uid="{13314471-B350-48E5-9947-05CCE4CBE6B8}"/>
    <cellStyle name="Comma 825 4" xfId="5257" xr:uid="{E08E9FF6-2600-45C8-9135-2EF6B2A33D66}"/>
    <cellStyle name="Comma 826" xfId="1066" xr:uid="{CF6993B2-B525-441D-B3CE-1EB5F96F6A0A}"/>
    <cellStyle name="Comma 826 2" xfId="2104" xr:uid="{F7787E93-5E03-406E-9E2D-8BA630AD00E5}"/>
    <cellStyle name="Comma 826 2 2" xfId="4162" xr:uid="{4E5AA89D-6F2C-461E-A690-079F37A5FAD5}"/>
    <cellStyle name="Comma 826 3" xfId="3132" xr:uid="{BD8DC815-BAC3-44BE-9454-4E686E60D918}"/>
    <cellStyle name="Comma 826 4" xfId="5258" xr:uid="{BF04AA42-C9A5-4B1B-A62F-742B00CA2F66}"/>
    <cellStyle name="Comma 827" xfId="1067" xr:uid="{FEBB5FF4-3C00-4C7E-888B-C63FD56EB99F}"/>
    <cellStyle name="Comma 827 2" xfId="2105" xr:uid="{644D886A-D781-431F-8896-05043BB5C0A4}"/>
    <cellStyle name="Comma 827 2 2" xfId="4163" xr:uid="{ADB1CE2C-9679-466B-822C-6C41B679E2D5}"/>
    <cellStyle name="Comma 827 3" xfId="3133" xr:uid="{BCF8A643-8D6A-40F6-BD6D-50B040F79A1A}"/>
    <cellStyle name="Comma 827 4" xfId="5259" xr:uid="{9134FABF-8ED5-4DDF-86E8-8C7B3669553C}"/>
    <cellStyle name="Comma 828" xfId="1068" xr:uid="{88CF6DA5-C007-4142-B6A3-2361837235B4}"/>
    <cellStyle name="Comma 828 2" xfId="2106" xr:uid="{D2E4D831-ECFE-4A92-AD7B-C51BE1A81B51}"/>
    <cellStyle name="Comma 828 2 2" xfId="4164" xr:uid="{4D849EE9-CAC7-463B-86DC-882797106E73}"/>
    <cellStyle name="Comma 828 3" xfId="3134" xr:uid="{3CB4191D-C6A4-495F-9DB0-2F8943AB9404}"/>
    <cellStyle name="Comma 828 4" xfId="5260" xr:uid="{53697C4D-E42A-45A5-8F67-906AE1CFAC30}"/>
    <cellStyle name="Comma 829" xfId="1069" xr:uid="{E905AF52-CEA7-4069-98AA-C90804470A07}"/>
    <cellStyle name="Comma 829 2" xfId="2107" xr:uid="{A67EBF62-7647-45E4-A319-DA87E2D6A6AA}"/>
    <cellStyle name="Comma 829 2 2" xfId="4165" xr:uid="{6153E9A8-2FCD-432B-BC55-59C3880855FA}"/>
    <cellStyle name="Comma 829 3" xfId="3135" xr:uid="{0248195A-57F9-4F11-AA88-BE61B2DC15D0}"/>
    <cellStyle name="Comma 829 4" xfId="5261" xr:uid="{3F248A83-E10F-475B-BDD0-C70A27B95E03}"/>
    <cellStyle name="Comma 83" xfId="296" xr:uid="{39629F91-5246-412B-B383-D3DF6F987DF2}"/>
    <cellStyle name="Comma 83 2" xfId="1361" xr:uid="{8FD9C544-9654-4D73-8443-1094A26C9946}"/>
    <cellStyle name="Comma 83 2 2" xfId="3419" xr:uid="{AE90CE25-BC25-4B66-B024-D61FFBDD6AD9}"/>
    <cellStyle name="Comma 83 3" xfId="2389" xr:uid="{620AC12B-1475-48D8-B5EC-F910C08A90CE}"/>
    <cellStyle name="Comma 83 4" xfId="4515" xr:uid="{4949529C-06CB-43BB-8461-CC68F69023B9}"/>
    <cellStyle name="Comma 830" xfId="1070" xr:uid="{19DE3F97-BED2-4AB3-9047-15BC8AFF8B84}"/>
    <cellStyle name="Comma 830 2" xfId="2108" xr:uid="{09FAEA16-E25E-4A0E-A041-0809C175B4EC}"/>
    <cellStyle name="Comma 830 2 2" xfId="4166" xr:uid="{46098499-6114-4005-A13F-BBACFB0F7585}"/>
    <cellStyle name="Comma 830 3" xfId="3136" xr:uid="{10704ECD-DA5D-4897-BBB4-E5DDE7249EB7}"/>
    <cellStyle name="Comma 830 4" xfId="5262" xr:uid="{D585E2CA-3475-4AED-841D-4817618A0FE2}"/>
    <cellStyle name="Comma 831" xfId="1071" xr:uid="{04EF9EBA-83AD-43DC-BEE3-B866931BBCB6}"/>
    <cellStyle name="Comma 831 2" xfId="2109" xr:uid="{71824F94-9A03-42B9-BFA7-3A3C2CBEFCEB}"/>
    <cellStyle name="Comma 831 2 2" xfId="4167" xr:uid="{52CA26D2-8CE0-4177-BBF7-9610C86B6A5A}"/>
    <cellStyle name="Comma 831 3" xfId="3137" xr:uid="{A39579FF-B4BD-4E0E-BDB0-14D59FDBE73F}"/>
    <cellStyle name="Comma 831 4" xfId="5263" xr:uid="{EB228899-8C81-4149-AF87-3E833F5EE4D4}"/>
    <cellStyle name="Comma 832" xfId="1072" xr:uid="{CE9C30BA-E5AA-4B82-9EFE-FD8D4D31366F}"/>
    <cellStyle name="Comma 832 2" xfId="2110" xr:uid="{C8145140-E0D8-4D8A-AECF-56F6559B284B}"/>
    <cellStyle name="Comma 832 2 2" xfId="4168" xr:uid="{446A2E6B-2303-4288-A5A9-7D8CE924497D}"/>
    <cellStyle name="Comma 832 3" xfId="3138" xr:uid="{942CF8F8-D6C9-4A22-B8AD-5621CDBC5916}"/>
    <cellStyle name="Comma 832 4" xfId="5264" xr:uid="{5E934839-95F0-4996-A39E-763A7274D02F}"/>
    <cellStyle name="Comma 833" xfId="1073" xr:uid="{12A96A7F-3A07-46E1-AD3A-43CEE0E83C10}"/>
    <cellStyle name="Comma 833 2" xfId="2111" xr:uid="{998CA8FD-B99B-4D31-B1C4-AF217D04AFC3}"/>
    <cellStyle name="Comma 833 2 2" xfId="4169" xr:uid="{F2DFFBD3-06A6-4F52-8E21-F358901E2725}"/>
    <cellStyle name="Comma 833 3" xfId="3139" xr:uid="{D78E5127-9378-47BE-8F51-2CCEDE274D46}"/>
    <cellStyle name="Comma 833 4" xfId="5265" xr:uid="{B8600CE1-1931-4AE9-B6BC-3C2EA6CEABE0}"/>
    <cellStyle name="Comma 834" xfId="1074" xr:uid="{D90889E6-DB49-4041-A848-13C51BD294EA}"/>
    <cellStyle name="Comma 834 2" xfId="2112" xr:uid="{E1F87DC5-996A-4BAD-A9D6-E9F049EC413B}"/>
    <cellStyle name="Comma 834 2 2" xfId="4170" xr:uid="{5EDCE5BE-D2E4-4810-B907-410BF5F0392C}"/>
    <cellStyle name="Comma 834 3" xfId="3140" xr:uid="{E6F3672C-CB8E-4AE3-BF7A-B0187862017D}"/>
    <cellStyle name="Comma 834 4" xfId="5266" xr:uid="{B66BD2C8-2968-464D-A25A-841B2535000C}"/>
    <cellStyle name="Comma 835" xfId="1075" xr:uid="{5815FA27-36D0-484A-869D-60306690CB86}"/>
    <cellStyle name="Comma 835 2" xfId="2113" xr:uid="{5C05AFCA-F738-43C3-B0A8-100D33E60318}"/>
    <cellStyle name="Comma 835 2 2" xfId="4171" xr:uid="{01863099-F556-464A-961E-6C235C5483E1}"/>
    <cellStyle name="Comma 835 3" xfId="3141" xr:uid="{736E9B22-A46D-489E-9814-5233C715A267}"/>
    <cellStyle name="Comma 835 4" xfId="5267" xr:uid="{F24F5AED-D9A4-4C6F-90BA-A2712FEAD9BE}"/>
    <cellStyle name="Comma 836" xfId="1076" xr:uid="{4C95F3E4-F042-4B75-B9C4-E90011C6FCE3}"/>
    <cellStyle name="Comma 836 2" xfId="2114" xr:uid="{8C4E34C9-ADBA-4D4A-ACDB-9AC0D9B30455}"/>
    <cellStyle name="Comma 836 2 2" xfId="4172" xr:uid="{8C14F122-05AC-4D56-AE32-8C51559564BE}"/>
    <cellStyle name="Comma 836 3" xfId="3142" xr:uid="{69621652-EC2E-4DDD-8453-526F8254DDD8}"/>
    <cellStyle name="Comma 836 4" xfId="5268" xr:uid="{9B6DF371-8D71-4119-8A8D-C1B841E922DA}"/>
    <cellStyle name="Comma 837" xfId="1077" xr:uid="{15164E8E-112F-45A4-9F7D-6E592F8BC04E}"/>
    <cellStyle name="Comma 837 2" xfId="2115" xr:uid="{3A611BEA-B192-49E1-97F2-C4AA144B7019}"/>
    <cellStyle name="Comma 837 2 2" xfId="4173" xr:uid="{27D1A1AC-F254-499F-94E9-A1FD6D18C522}"/>
    <cellStyle name="Comma 837 3" xfId="3143" xr:uid="{C63E2F2F-F8F2-4097-BA21-349F65D292BA}"/>
    <cellStyle name="Comma 837 4" xfId="5269" xr:uid="{BA849861-E907-4832-B7BA-DB291FE7A256}"/>
    <cellStyle name="Comma 838" xfId="1078" xr:uid="{CB867EB8-5DF5-47D1-BF82-D17BDA4DC583}"/>
    <cellStyle name="Comma 838 2" xfId="2116" xr:uid="{CE87DA06-90D8-41BF-A76B-29A0D47ABC02}"/>
    <cellStyle name="Comma 838 2 2" xfId="4174" xr:uid="{9BBF9314-B4A2-4EAC-B6CA-BF42E951BA17}"/>
    <cellStyle name="Comma 838 3" xfId="3144" xr:uid="{36F7E94C-1047-4BB2-99C3-2A1AA27A41FA}"/>
    <cellStyle name="Comma 838 4" xfId="5270" xr:uid="{44AB980A-2D5C-4E1E-A86C-47A8CCB542FE}"/>
    <cellStyle name="Comma 839" xfId="1079" xr:uid="{ACCC7286-5647-4139-A561-6D602B9C663A}"/>
    <cellStyle name="Comma 839 2" xfId="2117" xr:uid="{7BA636A6-FDE1-4ED6-B32B-427607C3B508}"/>
    <cellStyle name="Comma 839 2 2" xfId="4175" xr:uid="{3CBFB131-00B5-4776-9A7F-3648D5403983}"/>
    <cellStyle name="Comma 839 3" xfId="3145" xr:uid="{532F8A74-BD97-4825-8F12-6C1E764B3861}"/>
    <cellStyle name="Comma 839 4" xfId="5271" xr:uid="{3106FF66-9DFC-4980-9850-FFD175EC875C}"/>
    <cellStyle name="Comma 84" xfId="297" xr:uid="{C27D2E24-5278-4306-8EDB-3500271F88FD}"/>
    <cellStyle name="Comma 84 2" xfId="1362" xr:uid="{FA953DAF-9FEA-4789-89DA-1D384180B439}"/>
    <cellStyle name="Comma 84 2 2" xfId="3420" xr:uid="{F23F740B-F1D6-42B7-8E2A-1735C6CE3E69}"/>
    <cellStyle name="Comma 84 3" xfId="2390" xr:uid="{8F711E0C-6255-4030-90DF-8BEA677F6253}"/>
    <cellStyle name="Comma 84 4" xfId="4516" xr:uid="{946B99E2-089E-479C-B69A-4459181621A7}"/>
    <cellStyle name="Comma 840" xfId="1080" xr:uid="{74C5DF27-ADBA-4482-B39A-79230DA3B430}"/>
    <cellStyle name="Comma 840 2" xfId="2118" xr:uid="{0F58E634-59E0-4E64-8359-F21BDD01C401}"/>
    <cellStyle name="Comma 840 2 2" xfId="4176" xr:uid="{531F0615-E33E-4751-A7DF-97A116286DCB}"/>
    <cellStyle name="Comma 840 3" xfId="3146" xr:uid="{D4911CAA-F074-4E52-9909-B6FD15F9ACB2}"/>
    <cellStyle name="Comma 840 4" xfId="5272" xr:uid="{EC26A740-1FFA-4C78-83A5-F954B7349A89}"/>
    <cellStyle name="Comma 841" xfId="1081" xr:uid="{C9999700-0ABE-44A0-B700-4D71C79F10AF}"/>
    <cellStyle name="Comma 841 2" xfId="2119" xr:uid="{4CD21FB1-8D6E-4E51-B3CD-50185861F546}"/>
    <cellStyle name="Comma 841 2 2" xfId="4177" xr:uid="{D8946A41-D89F-4FF0-B56B-942498595193}"/>
    <cellStyle name="Comma 841 3" xfId="3147" xr:uid="{2C1BD0FB-D637-43F7-9176-8428286A4F3C}"/>
    <cellStyle name="Comma 841 4" xfId="5273" xr:uid="{75F7ECA3-D824-43B5-B185-AB0AB34F2B39}"/>
    <cellStyle name="Comma 842" xfId="1082" xr:uid="{E0BB9836-9045-4328-9CB3-E0C5E414E8BC}"/>
    <cellStyle name="Comma 842 2" xfId="2120" xr:uid="{35896DAB-FEF1-4918-AB42-9504B79654CB}"/>
    <cellStyle name="Comma 842 2 2" xfId="4178" xr:uid="{FDD59540-6E73-4E45-827F-3A1B9D43CB3F}"/>
    <cellStyle name="Comma 842 3" xfId="3148" xr:uid="{C8A64825-0624-424D-95A6-4BD86C91E73B}"/>
    <cellStyle name="Comma 842 4" xfId="5274" xr:uid="{AA57FBEF-358D-4EA3-B7B7-210F32474970}"/>
    <cellStyle name="Comma 843" xfId="1083" xr:uid="{12AB5A7E-653D-49D7-B2DF-F6CB766E7B53}"/>
    <cellStyle name="Comma 843 2" xfId="2121" xr:uid="{F3A7531E-34D5-4C3C-8790-C2C25FB1994F}"/>
    <cellStyle name="Comma 843 2 2" xfId="4179" xr:uid="{3E5F9D46-A312-4547-9381-A491FECE021A}"/>
    <cellStyle name="Comma 843 3" xfId="3149" xr:uid="{2D330D70-823C-480F-B2E2-57B819880621}"/>
    <cellStyle name="Comma 843 4" xfId="5275" xr:uid="{CF629D65-21E8-4C2D-AD1B-9F2F4B895AFA}"/>
    <cellStyle name="Comma 844" xfId="1084" xr:uid="{1766B157-515C-4011-B31B-69541F91761D}"/>
    <cellStyle name="Comma 844 2" xfId="2122" xr:uid="{091CF861-88CB-4B5D-AF92-D3793FDF01C6}"/>
    <cellStyle name="Comma 844 2 2" xfId="4180" xr:uid="{51145E17-04ED-442D-B3E9-7E31BDECA13C}"/>
    <cellStyle name="Comma 844 3" xfId="3150" xr:uid="{CEB7D2FF-5195-4BD7-AF53-4528D940E713}"/>
    <cellStyle name="Comma 844 4" xfId="5276" xr:uid="{D13F2C06-5856-401E-AA20-C1B26079A30E}"/>
    <cellStyle name="Comma 845" xfId="1085" xr:uid="{D13DDA96-9EC0-49C1-A41A-CB5376C8B955}"/>
    <cellStyle name="Comma 845 2" xfId="2123" xr:uid="{19BEE44F-3F26-41A8-AF38-21EB0A603174}"/>
    <cellStyle name="Comma 845 2 2" xfId="4181" xr:uid="{76A0495F-7CCD-4409-AC06-EFEB0E7B404D}"/>
    <cellStyle name="Comma 845 3" xfId="3151" xr:uid="{ABD811F9-E6A0-490F-9630-014ED266AE5D}"/>
    <cellStyle name="Comma 845 4" xfId="5277" xr:uid="{D63946A9-9C31-4C11-8D78-C34C50F95A7B}"/>
    <cellStyle name="Comma 846" xfId="1086" xr:uid="{FBE41161-DB1E-4680-A463-00E1438441B4}"/>
    <cellStyle name="Comma 846 2" xfId="2124" xr:uid="{68A717E0-251B-4010-BB8B-BC23E3B81719}"/>
    <cellStyle name="Comma 846 2 2" xfId="4182" xr:uid="{A43C5D05-BB51-4398-84B9-F7FC444215ED}"/>
    <cellStyle name="Comma 846 3" xfId="3152" xr:uid="{0C438592-C035-472B-8F9C-8952F05A0002}"/>
    <cellStyle name="Comma 846 4" xfId="5278" xr:uid="{953F88AD-182B-42A6-8DAD-DBED513D11E6}"/>
    <cellStyle name="Comma 847" xfId="1087" xr:uid="{560689B3-A36D-4A2B-ABA8-59EBEFEDDAB1}"/>
    <cellStyle name="Comma 847 2" xfId="2125" xr:uid="{B271EC23-045C-4085-8422-CCAC7DD8E3E6}"/>
    <cellStyle name="Comma 847 2 2" xfId="4183" xr:uid="{D34E582F-A8C8-4A52-8202-493D08F329C2}"/>
    <cellStyle name="Comma 847 3" xfId="3153" xr:uid="{127F9E13-7889-4BAC-880C-40F81EC92F4A}"/>
    <cellStyle name="Comma 847 4" xfId="5279" xr:uid="{3694948F-18C9-4206-ACBE-3BE1188AE58B}"/>
    <cellStyle name="Comma 848" xfId="1088" xr:uid="{5810F7BB-0E82-42BA-B629-E955DD3B6919}"/>
    <cellStyle name="Comma 848 2" xfId="2126" xr:uid="{4A16B2AE-061E-4AA5-9F96-6CC5A84762AE}"/>
    <cellStyle name="Comma 848 2 2" xfId="4184" xr:uid="{EB5BB26A-057E-4A7E-9B4A-833563FAFD38}"/>
    <cellStyle name="Comma 848 3" xfId="3154" xr:uid="{F7545639-7A0F-4225-8F2C-E6CA0F632AA9}"/>
    <cellStyle name="Comma 848 4" xfId="5280" xr:uid="{C219F640-0BBF-4089-B4E4-AAEE6FBCE1D1}"/>
    <cellStyle name="Comma 849" xfId="1089" xr:uid="{B6CE3074-AA05-43CB-868D-F80EC4350D47}"/>
    <cellStyle name="Comma 849 2" xfId="2127" xr:uid="{F0C9C6B3-53C8-4D67-8EFD-8E4A797E4548}"/>
    <cellStyle name="Comma 849 2 2" xfId="4185" xr:uid="{2922E57F-B4F8-49C6-98B5-506750A0F8BD}"/>
    <cellStyle name="Comma 849 3" xfId="3155" xr:uid="{8F415C54-BB4D-4CA7-AB37-F7BDC1D42B28}"/>
    <cellStyle name="Comma 849 4" xfId="5281" xr:uid="{49214240-3117-470E-B441-2AED7AABB176}"/>
    <cellStyle name="Comma 85" xfId="298" xr:uid="{FE803DC0-1878-41CD-AE12-BF47A5F050CB}"/>
    <cellStyle name="Comma 85 2" xfId="1363" xr:uid="{F013F505-67F9-469C-91CC-6008C01BF139}"/>
    <cellStyle name="Comma 85 2 2" xfId="3421" xr:uid="{737C7C9E-9F0C-46E3-9A34-F75CD5C882AE}"/>
    <cellStyle name="Comma 85 3" xfId="2391" xr:uid="{3B3C6B22-A43B-46DC-9BFC-AC4AC13E84D1}"/>
    <cellStyle name="Comma 85 4" xfId="4517" xr:uid="{76F8CDF7-1894-49C2-9E6A-ADC7951F46FB}"/>
    <cellStyle name="Comma 850" xfId="1090" xr:uid="{03200743-E388-4AC8-A1B8-0B87D75E9E1F}"/>
    <cellStyle name="Comma 850 2" xfId="2128" xr:uid="{FC86144C-B69B-462A-B19F-4D64A8BD2844}"/>
    <cellStyle name="Comma 850 2 2" xfId="4186" xr:uid="{21824E8C-8E55-4D7B-BDDE-4BAA8EB39C83}"/>
    <cellStyle name="Comma 850 3" xfId="3156" xr:uid="{8C042D8D-2DEC-42A1-A68C-182EBDAB27A3}"/>
    <cellStyle name="Comma 850 4" xfId="5282" xr:uid="{77AA86AF-39EF-4737-AB52-6A9E46A41E6F}"/>
    <cellStyle name="Comma 851" xfId="1091" xr:uid="{7BAB7F33-F286-42D8-BCC1-CAE129079002}"/>
    <cellStyle name="Comma 851 2" xfId="2129" xr:uid="{DEBE81BE-5C54-4C26-B5EC-C8B107929A0E}"/>
    <cellStyle name="Comma 851 2 2" xfId="4187" xr:uid="{8519DF2A-DDFC-49BF-8823-15C5C205D369}"/>
    <cellStyle name="Comma 851 3" xfId="3157" xr:uid="{7EC0CB58-E407-4C71-8999-FC8C67DCCFF4}"/>
    <cellStyle name="Comma 851 4" xfId="5283" xr:uid="{8DE0EC55-201B-4097-ADE1-32FDEEBFFB1B}"/>
    <cellStyle name="Comma 852" xfId="1092" xr:uid="{C5289178-59F0-4A30-936F-9A048915DFF9}"/>
    <cellStyle name="Comma 852 2" xfId="2130" xr:uid="{4AFE2349-B760-4880-96CA-86CE01F7BD3C}"/>
    <cellStyle name="Comma 852 2 2" xfId="4188" xr:uid="{C4B3D7A1-ED80-4A47-A596-4C24BF902B89}"/>
    <cellStyle name="Comma 852 3" xfId="3158" xr:uid="{A8DEB88F-E2F5-4BC3-B314-394D120BD1EE}"/>
    <cellStyle name="Comma 852 4" xfId="5284" xr:uid="{27262EA8-2984-42D6-B3E4-F4C02590DB3C}"/>
    <cellStyle name="Comma 853" xfId="1093" xr:uid="{96E52875-2096-4906-AE80-CF942F7BD09B}"/>
    <cellStyle name="Comma 853 2" xfId="2131" xr:uid="{6606B992-2B5C-434A-8A9B-54067E1050A4}"/>
    <cellStyle name="Comma 853 2 2" xfId="4189" xr:uid="{52694EB6-B8C0-4F81-8C77-E59C01B17DAB}"/>
    <cellStyle name="Comma 853 3" xfId="3159" xr:uid="{1B9C5D50-4945-46EC-A8C6-24A4E8A58634}"/>
    <cellStyle name="Comma 853 4" xfId="5285" xr:uid="{3F2A3EFC-0F1E-439B-A0D9-FF43A93648A7}"/>
    <cellStyle name="Comma 854" xfId="1094" xr:uid="{437D183F-F75D-4505-9AD6-75CEBFCBF073}"/>
    <cellStyle name="Comma 854 2" xfId="2132" xr:uid="{F9B8788C-0B42-447D-9A13-64037C8E55FC}"/>
    <cellStyle name="Comma 854 2 2" xfId="4190" xr:uid="{32C4099F-FC5C-4208-8511-267D9CB9E435}"/>
    <cellStyle name="Comma 854 3" xfId="3160" xr:uid="{559EC488-6316-4803-ABCE-1980402719F2}"/>
    <cellStyle name="Comma 854 4" xfId="5286" xr:uid="{A459C663-2ED3-4C27-8212-EA4785459E7D}"/>
    <cellStyle name="Comma 855" xfId="1095" xr:uid="{2AC4781C-0FB5-4465-95CB-0BA08393F4B6}"/>
    <cellStyle name="Comma 855 2" xfId="2133" xr:uid="{B9E95E2D-CA77-4C1B-ABF6-527DEF7AB808}"/>
    <cellStyle name="Comma 855 2 2" xfId="4191" xr:uid="{2865F222-B427-42B8-AD5E-59C1B3FD68EA}"/>
    <cellStyle name="Comma 855 3" xfId="3161" xr:uid="{A8E0092A-D87A-4FED-A3AB-979FA8CBC128}"/>
    <cellStyle name="Comma 855 4" xfId="5287" xr:uid="{9D3262D3-73E3-45AA-B1C0-DB19357F7586}"/>
    <cellStyle name="Comma 856" xfId="1096" xr:uid="{1F771DE9-CFFD-4B7E-A257-B598914D7C83}"/>
    <cellStyle name="Comma 856 2" xfId="2134" xr:uid="{13E96A83-CB1A-40F9-AECF-76C9E615B4F0}"/>
    <cellStyle name="Comma 856 2 2" xfId="4192" xr:uid="{74E27B59-1E03-43F3-981A-FA4766ED9A93}"/>
    <cellStyle name="Comma 856 3" xfId="3162" xr:uid="{A4462A83-AB09-4EC7-8385-969F3DB3E679}"/>
    <cellStyle name="Comma 856 4" xfId="5288" xr:uid="{57F172A3-8F0B-4719-8510-3D9396D588C6}"/>
    <cellStyle name="Comma 857" xfId="1097" xr:uid="{2E0BEA57-5444-4E1F-8D06-D39C96C0EB7C}"/>
    <cellStyle name="Comma 857 2" xfId="2135" xr:uid="{D986F980-1817-4661-AFF7-5C8EA84180BD}"/>
    <cellStyle name="Comma 857 2 2" xfId="4193" xr:uid="{2A72D985-86BB-4893-82C9-7C8151674BB9}"/>
    <cellStyle name="Comma 857 3" xfId="3163" xr:uid="{5068B8F5-34C3-4FFA-A071-8738F52F7D94}"/>
    <cellStyle name="Comma 857 4" xfId="5289" xr:uid="{87379C62-7A87-43BB-A3A0-EC2DFB6E7DCF}"/>
    <cellStyle name="Comma 858" xfId="1098" xr:uid="{A8611B48-5448-4CBE-92B8-BB8F48644661}"/>
    <cellStyle name="Comma 858 2" xfId="2136" xr:uid="{B66DF33D-439C-4429-8D67-6F7B4D7456BE}"/>
    <cellStyle name="Comma 858 2 2" xfId="4194" xr:uid="{1D39BD57-B366-4EBE-BC04-A695E4430FAA}"/>
    <cellStyle name="Comma 858 3" xfId="3164" xr:uid="{6F635DDA-7B59-4E6F-8CCD-C889C7792ED3}"/>
    <cellStyle name="Comma 858 4" xfId="5290" xr:uid="{3DC6C8F4-791B-4682-A3C1-8FA1AE641658}"/>
    <cellStyle name="Comma 859" xfId="1099" xr:uid="{D09617C9-885C-4D54-86E0-C8462C619CEB}"/>
    <cellStyle name="Comma 859 2" xfId="2137" xr:uid="{EF075726-858C-4CE8-9929-E59E6B8234FF}"/>
    <cellStyle name="Comma 859 2 2" xfId="4195" xr:uid="{AD087D51-AEA6-46DD-B099-0A422A438BA2}"/>
    <cellStyle name="Comma 859 3" xfId="3165" xr:uid="{D1ED7B50-42DE-448A-894C-262CFB996A33}"/>
    <cellStyle name="Comma 859 4" xfId="5291" xr:uid="{35817B4B-55FA-411B-91E0-9CDB4B162720}"/>
    <cellStyle name="Comma 86" xfId="299" xr:uid="{DE55C285-69EE-4FBD-9E70-A2D9F91B09CA}"/>
    <cellStyle name="Comma 86 2" xfId="1364" xr:uid="{C9F9046E-D586-47D0-BFC9-281AE446E07A}"/>
    <cellStyle name="Comma 86 2 2" xfId="3422" xr:uid="{A371D949-A621-4CCA-8084-3B6ECABF5A38}"/>
    <cellStyle name="Comma 86 3" xfId="2392" xr:uid="{7F8C6114-F9B7-4D06-8753-5C56350C7191}"/>
    <cellStyle name="Comma 86 4" xfId="4518" xr:uid="{EC096854-1E36-475A-8603-6E7BDF45529F}"/>
    <cellStyle name="Comma 860" xfId="1100" xr:uid="{327512FA-E0F9-4B6C-A220-EA55EEF142B1}"/>
    <cellStyle name="Comma 860 2" xfId="2138" xr:uid="{21609CD8-4F3A-4BA2-98E9-0D63CE0893C0}"/>
    <cellStyle name="Comma 860 2 2" xfId="4196" xr:uid="{9E1CF44A-8540-46C6-B94A-AF43C668F490}"/>
    <cellStyle name="Comma 860 3" xfId="3166" xr:uid="{24268C38-934E-4C44-B051-07A245DCCFCE}"/>
    <cellStyle name="Comma 860 4" xfId="5292" xr:uid="{8A461407-A598-4131-A70F-2C331853E67A}"/>
    <cellStyle name="Comma 861" xfId="1101" xr:uid="{02DB9641-6B09-4D7C-899C-E9B17AEB2A0A}"/>
    <cellStyle name="Comma 861 2" xfId="2139" xr:uid="{94AEE11F-D214-49E9-B306-4170C2D01EFD}"/>
    <cellStyle name="Comma 861 2 2" xfId="4197" xr:uid="{12E56322-BC40-4F91-AF16-BBF4202AC5F0}"/>
    <cellStyle name="Comma 861 3" xfId="3167" xr:uid="{13FA404C-6457-4BA5-B0A9-0D76236CBA42}"/>
    <cellStyle name="Comma 861 4" xfId="5293" xr:uid="{D45D42B5-7169-4166-BC05-9D3CDB5F727A}"/>
    <cellStyle name="Comma 862" xfId="1102" xr:uid="{9C06894C-6F25-4938-80AE-D6557D2C6FA4}"/>
    <cellStyle name="Comma 862 2" xfId="2140" xr:uid="{95316B71-B100-48B1-8F1A-643DE84B7EA3}"/>
    <cellStyle name="Comma 862 2 2" xfId="4198" xr:uid="{D8900B89-15AD-4BB5-A1C1-B3340650169F}"/>
    <cellStyle name="Comma 862 3" xfId="3168" xr:uid="{7F23BD09-6333-4F81-81CB-3C05F7785890}"/>
    <cellStyle name="Comma 862 4" xfId="5294" xr:uid="{2A34814E-EA19-4BB0-B7B2-E99836D0B1FD}"/>
    <cellStyle name="Comma 863" xfId="1103" xr:uid="{96E42C17-179F-447E-A5DD-B93C53861770}"/>
    <cellStyle name="Comma 863 2" xfId="2141" xr:uid="{7726079A-A248-4A46-BF99-C6CDB59D5165}"/>
    <cellStyle name="Comma 863 2 2" xfId="4199" xr:uid="{5AB13BAB-1C8A-45BD-BDCB-2B6705B9AA8D}"/>
    <cellStyle name="Comma 863 3" xfId="3169" xr:uid="{86CC266A-8C06-4C48-9F18-E572390A7FFE}"/>
    <cellStyle name="Comma 863 4" xfId="5295" xr:uid="{E65AF708-7730-462B-936A-E59AA5F87175}"/>
    <cellStyle name="Comma 864" xfId="1104" xr:uid="{3567AE89-2B4C-487B-B17F-E1E9C486DEFF}"/>
    <cellStyle name="Comma 864 2" xfId="2142" xr:uid="{2E21748C-F133-40F3-9A9F-28B1CD24B72E}"/>
    <cellStyle name="Comma 864 2 2" xfId="4200" xr:uid="{5CE7BFA8-1653-47A7-BF2A-84670ACC882B}"/>
    <cellStyle name="Comma 864 3" xfId="3170" xr:uid="{C595162C-0098-4E63-AB6C-8FA8631E2ECD}"/>
    <cellStyle name="Comma 864 4" xfId="5296" xr:uid="{0615FC24-255A-42ED-BEB8-13E2C7AA55A8}"/>
    <cellStyle name="Comma 865" xfId="1105" xr:uid="{F7B8E2EA-A1FD-4B1D-A223-FFC4B18158EE}"/>
    <cellStyle name="Comma 865 2" xfId="2143" xr:uid="{F5BEEDDD-12A1-4909-8697-807A094E562B}"/>
    <cellStyle name="Comma 865 2 2" xfId="4201" xr:uid="{A5406B15-BBBD-40AA-B3D7-50D231C2ED53}"/>
    <cellStyle name="Comma 865 3" xfId="3171" xr:uid="{3FE4F6E2-E7C7-4404-A086-4365C96B7EBC}"/>
    <cellStyle name="Comma 865 4" xfId="5297" xr:uid="{189ACF4A-2C3B-46C6-9955-5A6981B0FAA3}"/>
    <cellStyle name="Comma 866" xfId="1106" xr:uid="{D37AA2F1-81D6-4D45-B4A8-AAFB9ED1C4B5}"/>
    <cellStyle name="Comma 866 2" xfId="2144" xr:uid="{D4803D71-49AC-4DC8-B079-F8FCE1CF1AF2}"/>
    <cellStyle name="Comma 866 2 2" xfId="4202" xr:uid="{D1557DA0-8DC7-41C6-B98A-4259B5CB169E}"/>
    <cellStyle name="Comma 866 3" xfId="3172" xr:uid="{C4C3ABCD-0AAB-429F-8BF5-73F7AC03FA2D}"/>
    <cellStyle name="Comma 866 4" xfId="5298" xr:uid="{D1DDC834-2E48-4D96-A2C2-B2C471DBA6E1}"/>
    <cellStyle name="Comma 867" xfId="1107" xr:uid="{EDF593A3-8E43-4FB9-B638-58C8597C4786}"/>
    <cellStyle name="Comma 867 2" xfId="2145" xr:uid="{83F6F769-2194-4F62-8A84-837C2959E52A}"/>
    <cellStyle name="Comma 867 2 2" xfId="4203" xr:uid="{7903D740-AB8A-40F6-81E6-4CB27E91E23B}"/>
    <cellStyle name="Comma 867 3" xfId="3173" xr:uid="{1034EB06-0A86-4E86-9AC6-D077CD512E8D}"/>
    <cellStyle name="Comma 867 4" xfId="5299" xr:uid="{635A6AB9-CBAE-4C7C-B855-75D614C16D30}"/>
    <cellStyle name="Comma 868" xfId="1108" xr:uid="{BF3D19AB-4FE2-417D-AB97-95097ECA7ED9}"/>
    <cellStyle name="Comma 868 2" xfId="2146" xr:uid="{D3B0B081-09DD-48F0-B458-5D6088F66D74}"/>
    <cellStyle name="Comma 868 2 2" xfId="4204" xr:uid="{87EFAB6C-53F7-43F8-BA8A-67EAF4A449BC}"/>
    <cellStyle name="Comma 868 3" xfId="3174" xr:uid="{6A342E94-C2F2-49CA-861B-E03DA0CD0C92}"/>
    <cellStyle name="Comma 868 4" xfId="5300" xr:uid="{21440DC1-1829-4ACA-BB3E-B0F73A2965F6}"/>
    <cellStyle name="Comma 869" xfId="1109" xr:uid="{05C7C853-D775-410F-B73E-A0151CC5395B}"/>
    <cellStyle name="Comma 869 2" xfId="2147" xr:uid="{80A90046-20F0-4C0D-B017-A46233A4AF4D}"/>
    <cellStyle name="Comma 869 2 2" xfId="4205" xr:uid="{38CE4B1F-C393-426C-95DB-66FD1E96947B}"/>
    <cellStyle name="Comma 869 3" xfId="3175" xr:uid="{DCFCC0EB-5610-4CBD-B7DA-833526C6D262}"/>
    <cellStyle name="Comma 869 4" xfId="5301" xr:uid="{49AB8B4A-BD0C-4641-A67D-3EDBE09475CB}"/>
    <cellStyle name="Comma 87" xfId="301" xr:uid="{9FBCCC61-8286-48E1-90ED-DE356E32AC47}"/>
    <cellStyle name="Comma 87 2" xfId="1365" xr:uid="{72F5B45D-8783-440D-8A50-06F008190F12}"/>
    <cellStyle name="Comma 87 2 2" xfId="3423" xr:uid="{051CC18F-D9AD-409B-B7FD-0F9A21344C08}"/>
    <cellStyle name="Comma 87 3" xfId="2393" xr:uid="{4E933B7A-C7FD-4841-8EB6-A48BEFF28883}"/>
    <cellStyle name="Comma 87 4" xfId="4519" xr:uid="{0F74C827-E6E9-4258-AB5C-43E8F21CE61C}"/>
    <cellStyle name="Comma 870" xfId="1110" xr:uid="{A4DB84B3-8858-4BF2-97B6-A588D459049C}"/>
    <cellStyle name="Comma 870 2" xfId="2148" xr:uid="{5D8CA38F-9394-4220-9528-CA0AC1E7F3C7}"/>
    <cellStyle name="Comma 870 2 2" xfId="4206" xr:uid="{C46D8C5B-B753-4392-9F95-82B67C2156B1}"/>
    <cellStyle name="Comma 870 3" xfId="3176" xr:uid="{9298F767-09E1-4E12-ADC9-324094918D4B}"/>
    <cellStyle name="Comma 870 4" xfId="5302" xr:uid="{411CBEF0-583F-44DB-8237-1504BCEB0FBD}"/>
    <cellStyle name="Comma 871" xfId="1111" xr:uid="{E1E6E153-420B-4178-B4C1-A96743226E25}"/>
    <cellStyle name="Comma 871 2" xfId="2149" xr:uid="{9A2BED0C-237C-485E-B3B8-21496EE2A67A}"/>
    <cellStyle name="Comma 871 2 2" xfId="4207" xr:uid="{969A8638-6DAE-4DC7-912B-EE7C6633DC09}"/>
    <cellStyle name="Comma 871 3" xfId="3177" xr:uid="{A6F5AF9F-1D92-42A3-8F64-BC74891F021A}"/>
    <cellStyle name="Comma 871 4" xfId="5303" xr:uid="{DBCA8CDE-FB75-478B-B061-9838D8A9A1B3}"/>
    <cellStyle name="Comma 872" xfId="1112" xr:uid="{D434DB9B-69ED-44F6-978C-896F666707BF}"/>
    <cellStyle name="Comma 872 2" xfId="2150" xr:uid="{13795508-D0DB-43D1-A15E-2ADAB214855E}"/>
    <cellStyle name="Comma 872 2 2" xfId="4208" xr:uid="{DB59C724-6F0E-4659-8015-B4CEB6B9F0BF}"/>
    <cellStyle name="Comma 872 3" xfId="3178" xr:uid="{79B90C0E-6967-49BE-A43F-1BB9D65874A6}"/>
    <cellStyle name="Comma 872 4" xfId="5304" xr:uid="{BC669582-D6EA-45C4-BB5A-8F73B9BF8C1E}"/>
    <cellStyle name="Comma 873" xfId="1113" xr:uid="{C15F09BD-D810-4834-97EA-F61F4589F0D1}"/>
    <cellStyle name="Comma 873 2" xfId="2151" xr:uid="{64C7805C-44F5-44E4-8F1A-8061B573181E}"/>
    <cellStyle name="Comma 873 2 2" xfId="4209" xr:uid="{C8F5AC4F-D198-4621-95CC-3B724FDD844D}"/>
    <cellStyle name="Comma 873 3" xfId="3179" xr:uid="{BA4C4006-D9AD-4BB9-A22C-6C7F45C2D12F}"/>
    <cellStyle name="Comma 873 4" xfId="5305" xr:uid="{28199282-AA40-4193-AF6B-20488FB104A7}"/>
    <cellStyle name="Comma 874" xfId="1114" xr:uid="{AE6303E0-D146-47A2-A45B-AFEC580987E1}"/>
    <cellStyle name="Comma 874 2" xfId="2152" xr:uid="{5F71333A-515C-490A-80E3-7866B66E901E}"/>
    <cellStyle name="Comma 874 2 2" xfId="4210" xr:uid="{D09B4C12-B3B0-4266-9484-5BAD8B94C78C}"/>
    <cellStyle name="Comma 874 3" xfId="3180" xr:uid="{89A8C498-DC64-4719-99E6-8439EE1DFF93}"/>
    <cellStyle name="Comma 874 4" xfId="5306" xr:uid="{D81BF6C9-6B39-4211-AD29-864298F113FF}"/>
    <cellStyle name="Comma 875" xfId="1115" xr:uid="{7BD726EA-A291-4FFC-8438-0058655F3F56}"/>
    <cellStyle name="Comma 875 2" xfId="2153" xr:uid="{C301DAE0-4C01-4FD2-A597-EC088CC8CED8}"/>
    <cellStyle name="Comma 875 2 2" xfId="4211" xr:uid="{4AAA8DDA-419F-41DB-B78C-C9110A5A8FDB}"/>
    <cellStyle name="Comma 875 3" xfId="3181" xr:uid="{C23F680B-C5DA-41CB-90F1-12EC3E6F4618}"/>
    <cellStyle name="Comma 875 4" xfId="5307" xr:uid="{70D0A34A-0864-47F9-B2CF-606508911279}"/>
    <cellStyle name="Comma 876" xfId="1116" xr:uid="{57DE3260-A155-4981-93EC-2E41AE60C888}"/>
    <cellStyle name="Comma 876 2" xfId="2154" xr:uid="{57D2B5F7-CBEC-41BA-A6BC-CB2DEBA773F0}"/>
    <cellStyle name="Comma 876 2 2" xfId="4212" xr:uid="{09396C08-796B-45D2-BC5C-69E5499606DB}"/>
    <cellStyle name="Comma 876 3" xfId="3182" xr:uid="{5E082D87-86A8-421A-91FA-B3DD559C26D1}"/>
    <cellStyle name="Comma 876 4" xfId="5308" xr:uid="{485353F8-9C27-4617-9B25-CB3FFF3508C3}"/>
    <cellStyle name="Comma 877" xfId="1117" xr:uid="{688CAFA2-62AB-4A8A-902F-EB02571D5C97}"/>
    <cellStyle name="Comma 877 2" xfId="2155" xr:uid="{BDFEFEF2-7A10-48F0-97B0-C980AB1E40E8}"/>
    <cellStyle name="Comma 877 2 2" xfId="4213" xr:uid="{44910E9B-A208-4700-9E16-7E4747FC34DE}"/>
    <cellStyle name="Comma 877 3" xfId="3183" xr:uid="{99AAAED6-AFD0-4396-9408-0FD2B06137AE}"/>
    <cellStyle name="Comma 877 4" xfId="5309" xr:uid="{3EDBE5B4-A971-4550-8E51-565DAD78C93C}"/>
    <cellStyle name="Comma 878" xfId="1118" xr:uid="{EE8EFCCA-88CB-4EEE-99C2-B5B1208DAB7F}"/>
    <cellStyle name="Comma 878 2" xfId="2156" xr:uid="{5E7CA93A-24C8-40BA-A2F1-72C027BCB8E8}"/>
    <cellStyle name="Comma 878 2 2" xfId="4214" xr:uid="{19E26B44-6459-44E2-AE63-EA3DE4E4B387}"/>
    <cellStyle name="Comma 878 3" xfId="3184" xr:uid="{E743D29D-50BE-4E3C-8467-044D957F9DC0}"/>
    <cellStyle name="Comma 878 4" xfId="5310" xr:uid="{9BDBEFFD-B8E1-4CDC-8441-983636749ADF}"/>
    <cellStyle name="Comma 879" xfId="1119" xr:uid="{A6DD14C8-4E00-4AAE-84B7-14B1B47375ED}"/>
    <cellStyle name="Comma 879 2" xfId="2157" xr:uid="{124D7290-2336-4EBE-92D4-4997B607B810}"/>
    <cellStyle name="Comma 879 2 2" xfId="4215" xr:uid="{DABBE0ED-A910-4CC7-8338-70D182D39A7D}"/>
    <cellStyle name="Comma 879 3" xfId="3185" xr:uid="{39B1E68A-07CC-4EDF-AF21-3A98B00F254B}"/>
    <cellStyle name="Comma 879 4" xfId="5311" xr:uid="{8FC4F0AE-9801-4FA2-BCD2-ECD1E7C29CA3}"/>
    <cellStyle name="Comma 88" xfId="302" xr:uid="{6A9FF043-E7D6-4B37-A58D-E782D131FA95}"/>
    <cellStyle name="Comma 88 2" xfId="1366" xr:uid="{85851B64-2B81-4B56-ADEC-7FA0E4337A8F}"/>
    <cellStyle name="Comma 88 2 2" xfId="3424" xr:uid="{2D7C3F32-EC63-4426-BC2B-A1EEC54AD14F}"/>
    <cellStyle name="Comma 88 3" xfId="2394" xr:uid="{9DB3F7EE-5213-438A-A35E-AC6C0B1D148F}"/>
    <cellStyle name="Comma 88 4" xfId="4520" xr:uid="{5E089EBB-5572-41BF-B906-618A9A77C1A8}"/>
    <cellStyle name="Comma 880" xfId="1120" xr:uid="{9AD63CE6-B978-46C8-B6CE-162F22914DCC}"/>
    <cellStyle name="Comma 880 2" xfId="2158" xr:uid="{F4235B89-C2CD-405E-AE00-D05F2FF185AD}"/>
    <cellStyle name="Comma 880 2 2" xfId="4216" xr:uid="{CD6D33EF-16F0-4EA9-B68C-C2842787BE8B}"/>
    <cellStyle name="Comma 880 3" xfId="3186" xr:uid="{1547BDB0-DCB4-4D6B-BA05-B460D527ED2A}"/>
    <cellStyle name="Comma 880 4" xfId="5312" xr:uid="{9451EA44-F113-4F48-8280-48EB3C50271A}"/>
    <cellStyle name="Comma 881" xfId="1121" xr:uid="{4109F32E-9F22-42DD-BF43-BDF51C4F7884}"/>
    <cellStyle name="Comma 881 2" xfId="2159" xr:uid="{9CE49A15-DE80-4DB8-BDC7-2A164800086B}"/>
    <cellStyle name="Comma 881 2 2" xfId="4217" xr:uid="{DFACBD3E-40F8-4902-80C0-9CE99E4BEE05}"/>
    <cellStyle name="Comma 881 3" xfId="3187" xr:uid="{11FE7570-4664-469E-A0B6-0D91B50CD660}"/>
    <cellStyle name="Comma 881 4" xfId="5313" xr:uid="{E63F7ED1-8DAB-4A33-9E08-B4625BE4664C}"/>
    <cellStyle name="Comma 882" xfId="1122" xr:uid="{EDAC929F-39B8-4634-A0DD-7A56B979D402}"/>
    <cellStyle name="Comma 882 2" xfId="2160" xr:uid="{E87D34A5-E989-4F63-8141-0D2A5E4D4315}"/>
    <cellStyle name="Comma 882 2 2" xfId="4218" xr:uid="{E4AE0D1E-D53D-4580-9E67-52CA6943B00E}"/>
    <cellStyle name="Comma 882 3" xfId="3188" xr:uid="{A722035A-1E41-41F0-B44C-FFA942857A86}"/>
    <cellStyle name="Comma 882 4" xfId="5314" xr:uid="{E159DB49-A983-4021-93AF-808F7D2C4AE8}"/>
    <cellStyle name="Comma 883" xfId="1123" xr:uid="{E8DDE722-F539-4BB5-92E1-35E52455F515}"/>
    <cellStyle name="Comma 883 2" xfId="2161" xr:uid="{76129F59-8FE5-441D-88FC-B3E38AF43733}"/>
    <cellStyle name="Comma 883 2 2" xfId="4219" xr:uid="{2854D774-76D6-4194-B873-3BDA89884456}"/>
    <cellStyle name="Comma 883 3" xfId="3189" xr:uid="{EB69E032-45A4-44AA-A383-15EBA5ACBE52}"/>
    <cellStyle name="Comma 883 4" xfId="5315" xr:uid="{4D6265A1-CB57-4661-9654-B97E3BBAF526}"/>
    <cellStyle name="Comma 884" xfId="1124" xr:uid="{97393C9E-62FA-4294-96A6-4FAD0C63970D}"/>
    <cellStyle name="Comma 884 2" xfId="2162" xr:uid="{04792462-D795-4DD2-8777-ECE386255A3E}"/>
    <cellStyle name="Comma 884 2 2" xfId="4220" xr:uid="{B6D9625D-E5EA-49A4-A861-4B052BE5AD6D}"/>
    <cellStyle name="Comma 884 3" xfId="3190" xr:uid="{8978284A-7BE2-4265-AA1C-8C45A9CB98F9}"/>
    <cellStyle name="Comma 884 4" xfId="5316" xr:uid="{EB664FDB-496A-47F7-9520-CCF7121BFE29}"/>
    <cellStyle name="Comma 885" xfId="1125" xr:uid="{3B830C29-625D-4492-9F0A-262F80590960}"/>
    <cellStyle name="Comma 885 2" xfId="2163" xr:uid="{C1B6C892-D387-4ED5-BE28-AB71308212A2}"/>
    <cellStyle name="Comma 885 2 2" xfId="4221" xr:uid="{C0CF87AF-4253-46D4-9747-14191FC2F15C}"/>
    <cellStyle name="Comma 885 3" xfId="3191" xr:uid="{3D825E58-FA73-4D01-9B3E-C3BC28D072BB}"/>
    <cellStyle name="Comma 885 4" xfId="5317" xr:uid="{1E2CACA7-EBB0-4B75-B9C5-D79E0F18C992}"/>
    <cellStyle name="Comma 886" xfId="1126" xr:uid="{0878E60C-02DD-42BC-B65F-1BA5ADEC9E09}"/>
    <cellStyle name="Comma 886 2" xfId="2164" xr:uid="{B64B1EFF-5EAF-4371-B04A-C97F84F3CFEC}"/>
    <cellStyle name="Comma 886 2 2" xfId="4222" xr:uid="{CC069431-010F-4E6C-889F-75465A539A5D}"/>
    <cellStyle name="Comma 886 3" xfId="3192" xr:uid="{AF3ADDD9-9AF9-4F8E-BC36-589B95F688B7}"/>
    <cellStyle name="Comma 886 4" xfId="5318" xr:uid="{1D01824E-A41D-4867-99F5-BFA875C30B23}"/>
    <cellStyle name="Comma 887" xfId="1127" xr:uid="{DA8B6DFB-BC9F-42B1-9909-9FBE41BB92D3}"/>
    <cellStyle name="Comma 887 2" xfId="2165" xr:uid="{4BDB0DF6-1704-4B13-823C-B2ED98522626}"/>
    <cellStyle name="Comma 887 2 2" xfId="4223" xr:uid="{50193DF1-6D4A-4313-8774-DAAF5CD49DD7}"/>
    <cellStyle name="Comma 887 3" xfId="3193" xr:uid="{E673EFAF-3EC1-4371-A970-15BAB7236652}"/>
    <cellStyle name="Comma 887 4" xfId="5319" xr:uid="{527F560F-3090-4880-BBAB-982A1C9A0B15}"/>
    <cellStyle name="Comma 888" xfId="1128" xr:uid="{A893F6DA-D398-4532-B044-CAE5E005593E}"/>
    <cellStyle name="Comma 888 2" xfId="2166" xr:uid="{F44DF73D-A5B3-4770-93B5-F9880223CC72}"/>
    <cellStyle name="Comma 888 2 2" xfId="4224" xr:uid="{0E930184-A3D1-407B-A06B-CB40740B2898}"/>
    <cellStyle name="Comma 888 3" xfId="3194" xr:uid="{CDD114FF-9752-4227-8DBE-AA616507617B}"/>
    <cellStyle name="Comma 888 4" xfId="5320" xr:uid="{E002C11E-38F6-4B67-AD39-16B68F8F5A25}"/>
    <cellStyle name="Comma 889" xfId="1129" xr:uid="{0C5DFB6A-5AF1-4AF3-BA63-2575BCAF2F71}"/>
    <cellStyle name="Comma 889 2" xfId="2167" xr:uid="{C6BF5723-E9C1-4282-8029-62B13420A575}"/>
    <cellStyle name="Comma 889 2 2" xfId="4225" xr:uid="{5CAB2FDE-38A6-4FE1-92BD-6B45D57BE8F2}"/>
    <cellStyle name="Comma 889 3" xfId="3195" xr:uid="{DCB17B09-5A80-4A51-94BB-0EA9D28AF06A}"/>
    <cellStyle name="Comma 889 4" xfId="5321" xr:uid="{846A5EA7-FC48-48DF-86B5-3A90468360B4}"/>
    <cellStyle name="Comma 89" xfId="303" xr:uid="{B7AF396A-C8DC-44FF-B911-BB13F224D5C8}"/>
    <cellStyle name="Comma 89 2" xfId="1367" xr:uid="{CA109C8E-2D33-40ED-AC3E-FBD477583792}"/>
    <cellStyle name="Comma 89 2 2" xfId="3425" xr:uid="{5F8B63CE-779D-4179-9867-EDD458F22485}"/>
    <cellStyle name="Comma 89 3" xfId="2395" xr:uid="{91B4D079-7608-4C3A-AE35-5969F46ABC7E}"/>
    <cellStyle name="Comma 89 4" xfId="4521" xr:uid="{C02C3135-0E54-481A-8272-5B0D5FEFE334}"/>
    <cellStyle name="Comma 890" xfId="1130" xr:uid="{21C205F9-509A-44C6-AB6E-1BAD92E04FA7}"/>
    <cellStyle name="Comma 890 2" xfId="2168" xr:uid="{EA040D70-A911-439C-BA61-205316CF4770}"/>
    <cellStyle name="Comma 890 2 2" xfId="4226" xr:uid="{BA43CBE7-AB24-43C9-A57D-D792A98AB61E}"/>
    <cellStyle name="Comma 890 3" xfId="3196" xr:uid="{07DA50CE-C26B-4FFE-95FD-94A7DDC5C587}"/>
    <cellStyle name="Comma 890 4" xfId="5322" xr:uid="{324A4E91-25CF-4CE4-B1DF-B08C58F83BD2}"/>
    <cellStyle name="Comma 891" xfId="1131" xr:uid="{56FB4B51-3A25-496A-A39D-3A71F5F04083}"/>
    <cellStyle name="Comma 891 2" xfId="2169" xr:uid="{FB73EDF6-05D0-4685-B992-5E37511018B6}"/>
    <cellStyle name="Comma 891 2 2" xfId="4227" xr:uid="{39337DD2-D871-4561-8A39-C748C4DB8526}"/>
    <cellStyle name="Comma 891 3" xfId="3197" xr:uid="{EA91E385-4E12-412E-A7D4-C422F95D1A53}"/>
    <cellStyle name="Comma 891 4" xfId="5323" xr:uid="{7B4A453E-8A3F-483D-B29F-5E8EAD74B5DF}"/>
    <cellStyle name="Comma 892" xfId="1132" xr:uid="{06279597-7A5F-404B-BC24-5DEA32650683}"/>
    <cellStyle name="Comma 892 2" xfId="2170" xr:uid="{4518B62B-6521-45BB-B6DA-9E6D31ED45CC}"/>
    <cellStyle name="Comma 892 2 2" xfId="4228" xr:uid="{9976C939-EB9B-46C1-899B-BB520C4ED99A}"/>
    <cellStyle name="Comma 892 3" xfId="3198" xr:uid="{784A9328-E9A0-4154-A255-BF719C26E227}"/>
    <cellStyle name="Comma 892 4" xfId="5324" xr:uid="{B425DA5A-B406-4CB3-92AC-5C8E3CCD1798}"/>
    <cellStyle name="Comma 893" xfId="1133" xr:uid="{D82C00BE-5DDC-481C-B31D-627C523451AF}"/>
    <cellStyle name="Comma 893 2" xfId="2171" xr:uid="{9D6446F4-5B77-4554-96B2-299AC2BCC1A9}"/>
    <cellStyle name="Comma 893 2 2" xfId="4229" xr:uid="{F70C48BB-CDEB-4886-99DB-0FC731E7A51F}"/>
    <cellStyle name="Comma 893 3" xfId="3199" xr:uid="{C0F032EF-A28C-408D-94EE-0CF6E43A976F}"/>
    <cellStyle name="Comma 893 4" xfId="5325" xr:uid="{29A420F4-0C67-4E6D-B1E3-8132F6B2B925}"/>
    <cellStyle name="Comma 894" xfId="1134" xr:uid="{6EC63375-1221-41FD-85FD-5DF548D80116}"/>
    <cellStyle name="Comma 894 2" xfId="2172" xr:uid="{4FF0CDB6-E667-4860-8868-4B53844C80A5}"/>
    <cellStyle name="Comma 894 2 2" xfId="4230" xr:uid="{3100D32B-04C2-4FDC-B0CC-9AAA64F664E5}"/>
    <cellStyle name="Comma 894 3" xfId="3200" xr:uid="{499BB89E-0BDF-4EDD-8428-6B183115BB96}"/>
    <cellStyle name="Comma 894 4" xfId="5326" xr:uid="{635A5F63-F88F-450A-B998-28A1FF0CC633}"/>
    <cellStyle name="Comma 895" xfId="1135" xr:uid="{72BC37A3-7451-4DD5-9246-95ED0329CFE2}"/>
    <cellStyle name="Comma 895 2" xfId="2173" xr:uid="{7F044833-FE3D-4350-AB05-42F750A81DFD}"/>
    <cellStyle name="Comma 895 2 2" xfId="4231" xr:uid="{75188BD4-450E-4773-A4CD-6B363DBD41D9}"/>
    <cellStyle name="Comma 895 3" xfId="3201" xr:uid="{28BC97E0-F7DD-4CBE-B9E9-C0377482618B}"/>
    <cellStyle name="Comma 895 4" xfId="5327" xr:uid="{0FB145E1-C754-4299-ADB4-99DA2CC1BE4C}"/>
    <cellStyle name="Comma 896" xfId="1136" xr:uid="{87DBD93E-5EED-4589-9D3D-6CD166D99A00}"/>
    <cellStyle name="Comma 896 2" xfId="2174" xr:uid="{49EE85F8-0AA5-4500-8BF1-16A10D85D1EB}"/>
    <cellStyle name="Comma 896 2 2" xfId="4232" xr:uid="{8B42BCB3-38AD-423B-BCC6-56973E06DE1F}"/>
    <cellStyle name="Comma 896 3" xfId="3202" xr:uid="{D4BF07C4-99F7-494B-A30D-1801419CC542}"/>
    <cellStyle name="Comma 896 4" xfId="5328" xr:uid="{5D515008-B18A-43EA-960A-2ED6C1E81388}"/>
    <cellStyle name="Comma 897" xfId="1137" xr:uid="{F070C5C9-03EF-4523-BED1-4004630A5485}"/>
    <cellStyle name="Comma 897 2" xfId="2175" xr:uid="{F0815505-8459-419B-9983-93E868EA64EE}"/>
    <cellStyle name="Comma 897 2 2" xfId="4233" xr:uid="{220371E7-87F4-4352-BFD9-70212AB339CF}"/>
    <cellStyle name="Comma 897 3" xfId="3203" xr:uid="{1A03F1EB-2BB1-42B4-96FE-EB70BB6B8A4C}"/>
    <cellStyle name="Comma 897 4" xfId="5329" xr:uid="{4154B1F8-1AB2-4407-833B-444F28BEE865}"/>
    <cellStyle name="Comma 898" xfId="1138" xr:uid="{EFE0475B-32A8-45DB-826C-16B39DD8C604}"/>
    <cellStyle name="Comma 898 2" xfId="2176" xr:uid="{134F206C-518F-479E-BA4A-EAF4B37226CF}"/>
    <cellStyle name="Comma 898 2 2" xfId="4234" xr:uid="{7D1E66C6-8F96-4304-BEBB-64B90F87F2E7}"/>
    <cellStyle name="Comma 898 3" xfId="3204" xr:uid="{C3C804EB-2AFB-4542-B6CF-9CB880DAA71E}"/>
    <cellStyle name="Comma 898 4" xfId="5330" xr:uid="{1EC69873-4AAE-4DA9-8400-2D6A7E445192}"/>
    <cellStyle name="Comma 899" xfId="1139" xr:uid="{4D8D30F3-6277-4513-A90E-36B83A119819}"/>
    <cellStyle name="Comma 899 2" xfId="2177" xr:uid="{B6E73616-1306-43AF-B7A6-C80EDBAEF510}"/>
    <cellStyle name="Comma 899 2 2" xfId="4235" xr:uid="{41246519-5F83-4E27-8E83-7372FE20B9D0}"/>
    <cellStyle name="Comma 899 3" xfId="3205" xr:uid="{D01118BB-893F-4046-9DC9-1D500B31003A}"/>
    <cellStyle name="Comma 899 4" xfId="5331" xr:uid="{5EC8976A-C195-417D-90BF-5A2A59FEB607}"/>
    <cellStyle name="Comma 9" xfId="201" xr:uid="{0B417BF3-55D5-4F0E-91F1-00B5C81CA029}"/>
    <cellStyle name="Comma 9 2" xfId="1287" xr:uid="{D95332D4-63AD-4D56-9D16-681E6A3C2EA6}"/>
    <cellStyle name="Comma 9 2 2" xfId="3345" xr:uid="{B843E342-6F8F-45C5-B06F-2896AFA100C9}"/>
    <cellStyle name="Comma 9 3" xfId="2315" xr:uid="{4DED934C-58B7-430B-8036-E9EC9ED70A51}"/>
    <cellStyle name="Comma 9 4" xfId="4441" xr:uid="{198EF511-C200-458A-9D68-5C8271AECDFA}"/>
    <cellStyle name="Comma 90" xfId="304" xr:uid="{43A550A1-E5E4-4020-98A9-D3E5432BF125}"/>
    <cellStyle name="Comma 90 2" xfId="1368" xr:uid="{E2886A9D-1971-4401-BC8A-E909FEBE62ED}"/>
    <cellStyle name="Comma 90 2 2" xfId="3426" xr:uid="{FEE8796E-4A4F-46B8-B0CE-7AE6AF87B1D2}"/>
    <cellStyle name="Comma 90 3" xfId="2396" xr:uid="{7CA8C4C9-A77F-40FE-B184-E6F5772D4F61}"/>
    <cellStyle name="Comma 90 4" xfId="4522" xr:uid="{DF1E2311-7D83-48D3-8518-FB3C93FA230F}"/>
    <cellStyle name="Comma 900" xfId="1140" xr:uid="{DF6FC738-502D-4C04-AE1F-37BB16EC3398}"/>
    <cellStyle name="Comma 900 2" xfId="2178" xr:uid="{89458137-236C-4D58-8771-2B929CE76FFD}"/>
    <cellStyle name="Comma 900 2 2" xfId="4236" xr:uid="{63A55369-3BDC-43D6-B7E8-BC35C10933D7}"/>
    <cellStyle name="Comma 900 3" xfId="3206" xr:uid="{51B527E2-A701-413D-946E-A3F58F8B0F60}"/>
    <cellStyle name="Comma 900 4" xfId="5332" xr:uid="{ABB751EE-60E2-42BD-BD78-64ABF792C97D}"/>
    <cellStyle name="Comma 901" xfId="1141" xr:uid="{3763F0D5-4EAE-494E-A488-462BC032F4E3}"/>
    <cellStyle name="Comma 901 2" xfId="2179" xr:uid="{A4730331-2851-4C7E-9AB5-A13162C363DB}"/>
    <cellStyle name="Comma 901 2 2" xfId="4237" xr:uid="{552ECBD3-B80E-4207-9176-5BFDA5E50F77}"/>
    <cellStyle name="Comma 901 3" xfId="3207" xr:uid="{F8E38CA6-C144-42C0-9412-A1578F96ED0C}"/>
    <cellStyle name="Comma 901 4" xfId="5333" xr:uid="{395ADC8C-AEB8-42CE-9DED-891ED4854953}"/>
    <cellStyle name="Comma 902" xfId="1142" xr:uid="{D2AB9CD7-39E6-4C72-80E5-35D55C7DF795}"/>
    <cellStyle name="Comma 902 2" xfId="2180" xr:uid="{E7953947-ED48-46F9-A2DA-2E388729EBC4}"/>
    <cellStyle name="Comma 902 2 2" xfId="4238" xr:uid="{1B713E2B-83B1-4BEC-ADA1-C20E299D469E}"/>
    <cellStyle name="Comma 902 3" xfId="3208" xr:uid="{FA1F33E7-A3E6-4033-B2FD-25DCD2972759}"/>
    <cellStyle name="Comma 902 4" xfId="5334" xr:uid="{7004E5FB-EBEB-4EC5-8E71-B057D986FDC7}"/>
    <cellStyle name="Comma 903" xfId="1143" xr:uid="{F9220388-261C-455B-AF16-EC3F9049A2F1}"/>
    <cellStyle name="Comma 903 2" xfId="2181" xr:uid="{ACEC06EF-7B46-4D08-9726-A6C80816DF5F}"/>
    <cellStyle name="Comma 903 2 2" xfId="4239" xr:uid="{50943DBD-9BF4-4367-B506-EFBB6106509B}"/>
    <cellStyle name="Comma 903 3" xfId="3209" xr:uid="{2C122D34-B2BD-4A87-BAC4-0155AB2DC8C2}"/>
    <cellStyle name="Comma 903 4" xfId="5335" xr:uid="{2059FEA9-C984-4BBF-95C2-13FA9D95854F}"/>
    <cellStyle name="Comma 904" xfId="1144" xr:uid="{4B1B2358-0203-40AE-996F-8D77B76D1F70}"/>
    <cellStyle name="Comma 904 2" xfId="2182" xr:uid="{18CC3C5A-4705-4495-9917-255E13526D21}"/>
    <cellStyle name="Comma 904 2 2" xfId="4240" xr:uid="{85701341-BFBA-4E77-8737-C162CCD3E5E8}"/>
    <cellStyle name="Comma 904 3" xfId="3210" xr:uid="{EC6AECE0-F71C-4EA4-B002-09718AC76C5F}"/>
    <cellStyle name="Comma 904 4" xfId="5336" xr:uid="{E89D64AE-1F23-4615-8A52-87CF5C9496CF}"/>
    <cellStyle name="Comma 905" xfId="1145" xr:uid="{F7A34768-5DB3-44B0-A0D1-694C0D610F67}"/>
    <cellStyle name="Comma 905 2" xfId="2183" xr:uid="{71D3961A-06FC-4EF4-BA9D-A8C2A3051BD7}"/>
    <cellStyle name="Comma 905 2 2" xfId="4241" xr:uid="{C9D9A240-2519-4635-A9D5-74C758E7E938}"/>
    <cellStyle name="Comma 905 3" xfId="3211" xr:uid="{37CB60EB-0C76-48F9-A5CA-866C0E4F9E65}"/>
    <cellStyle name="Comma 905 4" xfId="5337" xr:uid="{63541C31-5187-4C05-B710-557CC27E3A18}"/>
    <cellStyle name="Comma 906" xfId="1146" xr:uid="{8DE6887D-82E4-4C85-885F-0B4CF669FBE5}"/>
    <cellStyle name="Comma 906 2" xfId="2184" xr:uid="{C63E31FB-F7D9-40C6-8C73-71019AEC41DE}"/>
    <cellStyle name="Comma 906 2 2" xfId="4242" xr:uid="{D993853C-58BA-499B-8F70-90FB29FFE8DD}"/>
    <cellStyle name="Comma 906 3" xfId="3212" xr:uid="{2800D4B1-F92C-499B-86EE-2B3BA7CED49A}"/>
    <cellStyle name="Comma 906 4" xfId="5338" xr:uid="{056C8D5B-E729-4863-878A-990E8898440A}"/>
    <cellStyle name="Comma 907" xfId="1147" xr:uid="{CC8F0A5B-7392-4C87-AF34-69116FFB8CA1}"/>
    <cellStyle name="Comma 907 2" xfId="2185" xr:uid="{99C802EB-D6AD-4BD0-AC74-E454472DA532}"/>
    <cellStyle name="Comma 907 2 2" xfId="4243" xr:uid="{558FB060-F818-4E16-B01A-5871F66E95D8}"/>
    <cellStyle name="Comma 907 3" xfId="3213" xr:uid="{3CEE9718-5E53-43B0-B34E-7F378A100A26}"/>
    <cellStyle name="Comma 907 4" xfId="5339" xr:uid="{EFC7CF37-57B8-4F1E-9575-4BA68E5520D3}"/>
    <cellStyle name="Comma 908" xfId="1148" xr:uid="{7AFAF6A0-9915-4B0F-BA1F-63459610C437}"/>
    <cellStyle name="Comma 908 2" xfId="2186" xr:uid="{C5997784-91FC-4931-9D6A-EDA95B2163BE}"/>
    <cellStyle name="Comma 908 2 2" xfId="4244" xr:uid="{A0068722-93ED-44CC-B18D-4A2731C60F91}"/>
    <cellStyle name="Comma 908 3" xfId="3214" xr:uid="{DD80FF9F-78DD-480A-B31D-0DE18CD22B4C}"/>
    <cellStyle name="Comma 908 4" xfId="5340" xr:uid="{BEB21D47-D7D7-4AB7-A486-DB0475EF2F0A}"/>
    <cellStyle name="Comma 909" xfId="1149" xr:uid="{AF43962F-CF7C-4B8C-9609-37F5D8E0986A}"/>
    <cellStyle name="Comma 909 2" xfId="2187" xr:uid="{42E740FF-D74E-4961-84A3-6F88674FDB41}"/>
    <cellStyle name="Comma 909 2 2" xfId="4245" xr:uid="{F7A50636-8D78-4CCB-B23C-D95A51AE5D30}"/>
    <cellStyle name="Comma 909 3" xfId="3215" xr:uid="{4E08A254-3AA2-4F62-9B50-630AB2EE7541}"/>
    <cellStyle name="Comma 909 4" xfId="5341" xr:uid="{E012A34A-04D5-491C-9279-E74635D5728A}"/>
    <cellStyle name="Comma 91" xfId="305" xr:uid="{079D1E42-628E-49CF-B2F9-D92C9F5B1FB9}"/>
    <cellStyle name="Comma 91 2" xfId="1369" xr:uid="{8357E2FB-1A45-4BE9-BEB7-7CF2F04F5126}"/>
    <cellStyle name="Comma 91 2 2" xfId="3427" xr:uid="{759A0D9E-4844-44AB-8173-02E5AC145AA3}"/>
    <cellStyle name="Comma 91 3" xfId="2397" xr:uid="{F2556B3C-A1F6-470E-ACA7-090426121CD1}"/>
    <cellStyle name="Comma 91 4" xfId="4523" xr:uid="{66EC97D7-4E30-4E93-8540-C4797B810503}"/>
    <cellStyle name="Comma 910" xfId="1150" xr:uid="{A0CCAAE1-F95C-47B4-AC54-53DA31C2798D}"/>
    <cellStyle name="Comma 910 2" xfId="2188" xr:uid="{12A0A762-9E3B-4941-852C-33C2745821B7}"/>
    <cellStyle name="Comma 910 2 2" xfId="4246" xr:uid="{BB9BB395-FB60-430E-A45B-BB281F492E32}"/>
    <cellStyle name="Comma 910 3" xfId="3216" xr:uid="{123BB10B-E5A2-4ED7-AA9D-C12ADAFA8981}"/>
    <cellStyle name="Comma 910 4" xfId="5342" xr:uid="{F119279D-73E3-464D-95B0-0208ED09C763}"/>
    <cellStyle name="Comma 911" xfId="1151" xr:uid="{58C1E42D-5A7B-4B49-93A4-BA8B06ADB16D}"/>
    <cellStyle name="Comma 911 2" xfId="2189" xr:uid="{7BB043AA-96CF-48BF-A014-3C170065CE2E}"/>
    <cellStyle name="Comma 911 2 2" xfId="4247" xr:uid="{3F89FD73-18AC-4B6E-A636-AB49ADE7F577}"/>
    <cellStyle name="Comma 911 3" xfId="3217" xr:uid="{4DDB102C-7C03-41DB-BBF0-E46ECAFF6E8A}"/>
    <cellStyle name="Comma 911 4" xfId="5343" xr:uid="{03C114FF-E77D-4A05-B475-454EF4B3C4F9}"/>
    <cellStyle name="Comma 912" xfId="1152" xr:uid="{88DD90D7-D175-4753-9F41-9636538C1375}"/>
    <cellStyle name="Comma 912 2" xfId="2190" xr:uid="{DCDCDDB9-B776-4618-9D2F-004A07F0303D}"/>
    <cellStyle name="Comma 912 2 2" xfId="4248" xr:uid="{6D80EAEB-B550-43A5-B654-436F338302FA}"/>
    <cellStyle name="Comma 912 3" xfId="3218" xr:uid="{8D770360-F856-4569-B483-CBE128DE2A7E}"/>
    <cellStyle name="Comma 912 4" xfId="5344" xr:uid="{13773074-E08D-45A7-ABF5-D9B9E8CFE215}"/>
    <cellStyle name="Comma 913" xfId="1153" xr:uid="{224BC121-2241-4627-8E9A-040A26464C0E}"/>
    <cellStyle name="Comma 913 2" xfId="2191" xr:uid="{7535C62E-5281-4BEF-A827-92EAFF7CF430}"/>
    <cellStyle name="Comma 913 2 2" xfId="4249" xr:uid="{8F0E7CCE-1524-420D-A751-7057C5735C69}"/>
    <cellStyle name="Comma 913 3" xfId="3219" xr:uid="{0AB51771-ACB3-441A-B5EB-F5192270D791}"/>
    <cellStyle name="Comma 913 4" xfId="5345" xr:uid="{AAFFF8A3-6F2B-4A76-BEB1-203600B65BC6}"/>
    <cellStyle name="Comma 914" xfId="1154" xr:uid="{3CFE376C-2663-4484-9020-21C4AAB3E1D1}"/>
    <cellStyle name="Comma 914 2" xfId="2192" xr:uid="{F1BD17DC-3850-43EB-8AA3-B250ECECCD6F}"/>
    <cellStyle name="Comma 914 2 2" xfId="4250" xr:uid="{ABE1C6B1-C8E2-45EE-971A-F6DC558065F0}"/>
    <cellStyle name="Comma 914 3" xfId="3220" xr:uid="{B4B94AC2-5064-43B3-B0EC-B31635DACD1B}"/>
    <cellStyle name="Comma 914 4" xfId="5346" xr:uid="{250E0484-BB02-4C2F-B8B5-5381CB10258D}"/>
    <cellStyle name="Comma 915" xfId="1155" xr:uid="{A17789F7-2CD7-426A-8F7E-48EFF7F5330E}"/>
    <cellStyle name="Comma 915 2" xfId="2193" xr:uid="{C2C17634-6425-4506-BAFD-5E40546C5C24}"/>
    <cellStyle name="Comma 915 2 2" xfId="4251" xr:uid="{FEA9FF0F-0159-4049-8A10-E0874002F0AB}"/>
    <cellStyle name="Comma 915 3" xfId="3221" xr:uid="{53397B12-F34F-4542-83A8-82600979DA41}"/>
    <cellStyle name="Comma 915 4" xfId="5347" xr:uid="{EB28F203-27DA-4EC9-AA51-71D25D952400}"/>
    <cellStyle name="Comma 916" xfId="1156" xr:uid="{5DCF5E75-710C-4B40-9B43-DE25A639A89D}"/>
    <cellStyle name="Comma 916 2" xfId="2194" xr:uid="{1CA8D6EE-A17C-4B41-B7EB-2C107CB79123}"/>
    <cellStyle name="Comma 916 2 2" xfId="4252" xr:uid="{D93CF31B-C754-446D-9787-9C5619E043E6}"/>
    <cellStyle name="Comma 916 3" xfId="3222" xr:uid="{241CD645-1A94-4FE8-8745-D2260BF04296}"/>
    <cellStyle name="Comma 916 4" xfId="5348" xr:uid="{1CFF3574-36F2-4691-B6D5-5B533FEC8700}"/>
    <cellStyle name="Comma 917" xfId="1157" xr:uid="{951F4E0B-97FB-4DE3-8ECF-DB28FE814640}"/>
    <cellStyle name="Comma 917 2" xfId="2195" xr:uid="{641140A4-16C7-479C-9C0A-650769FF103A}"/>
    <cellStyle name="Comma 917 2 2" xfId="4253" xr:uid="{3697CC5F-CB04-4ACC-9954-FCFB5DD54EFD}"/>
    <cellStyle name="Comma 917 3" xfId="3223" xr:uid="{8FA93574-3A9B-4066-96EF-E34C842C7DEF}"/>
    <cellStyle name="Comma 917 4" xfId="5349" xr:uid="{8B50FCA3-EA5C-47BD-81A9-D7C571280FF1}"/>
    <cellStyle name="Comma 918" xfId="1158" xr:uid="{6CFD5F50-6377-4881-A319-B94F06694029}"/>
    <cellStyle name="Comma 918 2" xfId="2196" xr:uid="{D102210D-645A-4C57-A7D8-9CEDB8AFF970}"/>
    <cellStyle name="Comma 918 2 2" xfId="4254" xr:uid="{4D013807-4C20-4FCC-B17B-14B81E7A5F10}"/>
    <cellStyle name="Comma 918 3" xfId="3224" xr:uid="{942C8C2A-AF64-499F-B7DD-D41C78BFD9D5}"/>
    <cellStyle name="Comma 918 4" xfId="5350" xr:uid="{2FE8FB0D-BF8C-4729-AC0E-DB004E84973B}"/>
    <cellStyle name="Comma 919" xfId="1159" xr:uid="{8C64E652-2830-415B-9D57-96B7A7954067}"/>
    <cellStyle name="Comma 919 2" xfId="2197" xr:uid="{0F772B7D-4804-4E9B-B5D0-2D1E3B29B380}"/>
    <cellStyle name="Comma 919 2 2" xfId="4255" xr:uid="{8E59FC5D-962F-455D-BCF1-D96934CA6D16}"/>
    <cellStyle name="Comma 919 3" xfId="3225" xr:uid="{B6A7F85B-89FB-4EB1-BD6B-58B1DFA4D4D0}"/>
    <cellStyle name="Comma 919 4" xfId="5351" xr:uid="{372782A8-6905-4954-8340-38456EEC1D67}"/>
    <cellStyle name="Comma 92" xfId="306" xr:uid="{719259CA-A972-4874-8374-B53117138154}"/>
    <cellStyle name="Comma 92 2" xfId="1370" xr:uid="{49CB2383-C2AA-4A62-A6F5-9F645DA145C9}"/>
    <cellStyle name="Comma 92 2 2" xfId="3428" xr:uid="{421713ED-6338-4D66-96BD-30619B6754CC}"/>
    <cellStyle name="Comma 92 3" xfId="2398" xr:uid="{40DBF799-1D24-4D34-AA37-3DD2EB807C99}"/>
    <cellStyle name="Comma 92 4" xfId="4524" xr:uid="{2CD2C8D7-95E9-42F0-ADA8-2826A3751E4C}"/>
    <cellStyle name="Comma 920" xfId="1160" xr:uid="{B80E0D96-45CB-40BC-BFDB-6F7D5C02DB3C}"/>
    <cellStyle name="Comma 920 2" xfId="2198" xr:uid="{8FDC965A-6F32-4097-A559-33CC13DD9648}"/>
    <cellStyle name="Comma 920 2 2" xfId="4256" xr:uid="{BFA211B9-8824-455C-9C2C-FCD880D0218C}"/>
    <cellStyle name="Comma 920 3" xfId="3226" xr:uid="{72BC79BC-55DE-46C0-9308-55498632D288}"/>
    <cellStyle name="Comma 920 4" xfId="5352" xr:uid="{2FE809D4-2FEB-4A1F-A6CD-6BBB743A6432}"/>
    <cellStyle name="Comma 921" xfId="1161" xr:uid="{C02250FC-ED67-43C6-ACEF-8DEC491082B0}"/>
    <cellStyle name="Comma 921 2" xfId="2199" xr:uid="{F43E0482-65C5-4C70-9B93-892572C4CCEA}"/>
    <cellStyle name="Comma 921 2 2" xfId="4257" xr:uid="{FF9A8F82-78C0-4170-92E2-6819F93C0B77}"/>
    <cellStyle name="Comma 921 3" xfId="3227" xr:uid="{AD6ED6EC-BDA9-4477-B9B7-886BBE5F8669}"/>
    <cellStyle name="Comma 921 4" xfId="5353" xr:uid="{75DFA970-C2E3-4857-8758-1B0FBF8EDA2D}"/>
    <cellStyle name="Comma 922" xfId="1162" xr:uid="{4017F18C-C7D0-4B5C-A8B5-074A99177674}"/>
    <cellStyle name="Comma 922 2" xfId="2200" xr:uid="{4E8720B7-82F8-4727-A014-BFC14EC57999}"/>
    <cellStyle name="Comma 922 2 2" xfId="4258" xr:uid="{394D7EAC-5B25-437F-95E6-C1724579D40D}"/>
    <cellStyle name="Comma 922 3" xfId="3228" xr:uid="{6C9AF215-70C5-4395-9CB0-0857140DCCBD}"/>
    <cellStyle name="Comma 922 4" xfId="5354" xr:uid="{018D05C4-7CDA-4BB1-AA1D-D6F5CEF8176B}"/>
    <cellStyle name="Comma 923" xfId="1163" xr:uid="{F29CC67F-5541-4C6A-BCC2-D9C681158627}"/>
    <cellStyle name="Comma 923 2" xfId="2201" xr:uid="{FBA61012-2BF8-477B-B49A-39C3E5DC0DC3}"/>
    <cellStyle name="Comma 923 2 2" xfId="4259" xr:uid="{F2797534-AC6B-4800-B72F-CAC212043B61}"/>
    <cellStyle name="Comma 923 3" xfId="3229" xr:uid="{042FD223-3DF3-436B-8CB1-B0F97419097E}"/>
    <cellStyle name="Comma 923 4" xfId="5355" xr:uid="{18C5543C-43EF-4DEA-8DA7-30283064273C}"/>
    <cellStyle name="Comma 924" xfId="1164" xr:uid="{D1D964AF-4C86-4009-9C84-029B12EE465A}"/>
    <cellStyle name="Comma 924 2" xfId="2202" xr:uid="{1FA52FB6-CBA4-4FC7-ADAA-E361A910B8BC}"/>
    <cellStyle name="Comma 924 2 2" xfId="4260" xr:uid="{394E0BC4-3FB4-4F32-AC20-7BE7A028529D}"/>
    <cellStyle name="Comma 924 3" xfId="3230" xr:uid="{93E2B80F-1ADC-484A-B88F-AC6F556C19D7}"/>
    <cellStyle name="Comma 924 4" xfId="5356" xr:uid="{C636B9C2-5F99-48AE-ACBE-9C7B75F11FE4}"/>
    <cellStyle name="Comma 925" xfId="1165" xr:uid="{CFCEF022-5DBC-4E84-B898-9346F51BB779}"/>
    <cellStyle name="Comma 925 2" xfId="2203" xr:uid="{0F54B139-4F2A-4416-B2A0-A69E556B6A83}"/>
    <cellStyle name="Comma 925 2 2" xfId="4261" xr:uid="{938F1A38-9C8B-4B37-BDDC-718E891D27B1}"/>
    <cellStyle name="Comma 925 3" xfId="3231" xr:uid="{F7FC1F21-F05C-4A30-B468-E2FFF2672D7F}"/>
    <cellStyle name="Comma 925 4" xfId="5357" xr:uid="{AA3693C1-A8B7-49F4-87C8-DFDBEDF4918C}"/>
    <cellStyle name="Comma 926" xfId="1166" xr:uid="{A1B4E320-4CD0-406D-8290-5E17615EB650}"/>
    <cellStyle name="Comma 926 2" xfId="2204" xr:uid="{A3CA031F-01F4-443F-A689-AAA80989373B}"/>
    <cellStyle name="Comma 926 2 2" xfId="4262" xr:uid="{66648787-A637-467C-B45B-E2527E99939F}"/>
    <cellStyle name="Comma 926 3" xfId="3232" xr:uid="{B52070F3-5293-4D24-9FF2-9C70441CCE65}"/>
    <cellStyle name="Comma 926 4" xfId="5358" xr:uid="{2FC28FD7-DF37-4436-B3FE-CDEEBAE2E90C}"/>
    <cellStyle name="Comma 927" xfId="1167" xr:uid="{94F3C32F-12AF-4037-8E73-9E58A1EB1BC5}"/>
    <cellStyle name="Comma 927 2" xfId="2205" xr:uid="{59E2E0DE-89AC-46CE-851E-FC1FE000EB37}"/>
    <cellStyle name="Comma 927 2 2" xfId="4263" xr:uid="{CDCB617C-70CD-4893-B435-5FDD84DB9FB0}"/>
    <cellStyle name="Comma 927 3" xfId="3233" xr:uid="{16A16A2F-A516-447E-8539-778B74283E72}"/>
    <cellStyle name="Comma 927 4" xfId="5359" xr:uid="{8542F3B8-BEDE-4091-BACC-A2A228ADD223}"/>
    <cellStyle name="Comma 928" xfId="1168" xr:uid="{2B920012-4F1C-416F-B189-0A77D9A59CA2}"/>
    <cellStyle name="Comma 928 2" xfId="2206" xr:uid="{F27277E4-D7FF-48E8-AEEB-6F272F648BE0}"/>
    <cellStyle name="Comma 928 2 2" xfId="4264" xr:uid="{42439928-4A5B-4D47-BEC4-BB12BF5AB2AD}"/>
    <cellStyle name="Comma 928 3" xfId="3234" xr:uid="{4813DBF7-E1B0-479C-9B9D-02C49186E4A8}"/>
    <cellStyle name="Comma 928 4" xfId="5360" xr:uid="{3430A04B-9F52-4DCE-8700-8BAB0772347C}"/>
    <cellStyle name="Comma 929" xfId="1169" xr:uid="{FF1A41F1-1789-404E-8708-B8A01DF7432F}"/>
    <cellStyle name="Comma 929 2" xfId="2207" xr:uid="{0A8DDEA5-DDCF-4643-ACDA-C01915FEBFB9}"/>
    <cellStyle name="Comma 929 2 2" xfId="4265" xr:uid="{F302BAA8-56F3-43F4-8D04-9ADFA85E7BEC}"/>
    <cellStyle name="Comma 929 3" xfId="3235" xr:uid="{E9A3A5A0-4540-44EE-9DF5-56BC64AE3DA1}"/>
    <cellStyle name="Comma 929 4" xfId="5361" xr:uid="{A7B6BBA6-17A1-42E1-82CC-8E9860DFFAD2}"/>
    <cellStyle name="Comma 93" xfId="307" xr:uid="{FA7B0CF3-F102-4C58-B083-673929D060A6}"/>
    <cellStyle name="Comma 93 2" xfId="1371" xr:uid="{3F63EE57-EEC3-4063-A1F7-46C3C3566FB7}"/>
    <cellStyle name="Comma 93 2 2" xfId="3429" xr:uid="{467AC940-F32F-4BCC-A905-D5C792F6E41E}"/>
    <cellStyle name="Comma 93 3" xfId="2399" xr:uid="{8E874835-9B2A-4C45-95BD-65AD4AACF284}"/>
    <cellStyle name="Comma 93 4" xfId="4525" xr:uid="{A7987454-B87F-47ED-8615-01441974FC50}"/>
    <cellStyle name="Comma 930" xfId="1170" xr:uid="{47700334-4D66-4AB3-B1D4-2754D479878D}"/>
    <cellStyle name="Comma 930 2" xfId="2208" xr:uid="{2BF3FA89-6C45-4877-AE52-A7224D7542B4}"/>
    <cellStyle name="Comma 930 2 2" xfId="4266" xr:uid="{202FC8DD-D6AD-4597-846D-55FDA78697A4}"/>
    <cellStyle name="Comma 930 3" xfId="3236" xr:uid="{CB105695-4BE7-4C32-AF90-33118821B204}"/>
    <cellStyle name="Comma 930 4" xfId="5362" xr:uid="{BCC2EB0F-802A-48E0-BDA4-DB184EC60DD9}"/>
    <cellStyle name="Comma 931" xfId="1171" xr:uid="{10C1B770-66F1-4A70-8734-335839184F27}"/>
    <cellStyle name="Comma 931 2" xfId="2209" xr:uid="{BD0DBF45-2F23-480E-A8D2-7BDD9929559D}"/>
    <cellStyle name="Comma 931 2 2" xfId="4267" xr:uid="{314A989E-3F27-4CAD-910F-944745EE28D9}"/>
    <cellStyle name="Comma 931 3" xfId="3237" xr:uid="{7A2A202A-5C49-4A4E-AE15-AC75AAB711DE}"/>
    <cellStyle name="Comma 931 4" xfId="5363" xr:uid="{4E422E87-076F-4DC6-B614-3720F1CD77B3}"/>
    <cellStyle name="Comma 932" xfId="1172" xr:uid="{2BF4C716-3390-44BB-A3E7-46AC6D9ADDC2}"/>
    <cellStyle name="Comma 932 2" xfId="2210" xr:uid="{7E043AD7-4F23-468E-851F-340C55542614}"/>
    <cellStyle name="Comma 932 2 2" xfId="4268" xr:uid="{D82F9343-8C4F-46EA-B38B-F25DD501CAEC}"/>
    <cellStyle name="Comma 932 3" xfId="3238" xr:uid="{FD4D6931-26AE-44FA-8F5F-5E709C4D8784}"/>
    <cellStyle name="Comma 932 4" xfId="5364" xr:uid="{AC86E431-BCEF-4E9B-A522-9946C4971767}"/>
    <cellStyle name="Comma 933" xfId="1173" xr:uid="{CC3900F8-7882-4656-825C-E576D77C3F2B}"/>
    <cellStyle name="Comma 933 2" xfId="2211" xr:uid="{11F0E670-C8A9-4557-B6EC-65929D678F70}"/>
    <cellStyle name="Comma 933 2 2" xfId="4269" xr:uid="{F8784ED3-769E-4791-8284-8520AE64D6C5}"/>
    <cellStyle name="Comma 933 3" xfId="3239" xr:uid="{26CB19AD-79C1-4FFF-AA0D-2F78F31B045C}"/>
    <cellStyle name="Comma 933 4" xfId="5365" xr:uid="{F9C6E9AF-0C08-435F-872D-CD8A295118C5}"/>
    <cellStyle name="Comma 934" xfId="1174" xr:uid="{2AFBF03B-391C-48FA-BA24-602217BEA2BC}"/>
    <cellStyle name="Comma 934 2" xfId="2212" xr:uid="{405BBC36-D4FF-4027-A91B-93CA1E073B8E}"/>
    <cellStyle name="Comma 934 2 2" xfId="4270" xr:uid="{D0AAA3A7-2FAD-46A6-A4EB-5A1CEA5347D2}"/>
    <cellStyle name="Comma 934 3" xfId="3240" xr:uid="{032D5F7F-5A1A-427C-A3A0-A642BDFCF6CB}"/>
    <cellStyle name="Comma 934 4" xfId="5366" xr:uid="{B43E9FDA-1535-4E44-9023-6EE1A40F8EB8}"/>
    <cellStyle name="Comma 935" xfId="1175" xr:uid="{2C46A837-E840-4964-B779-8684592D8C89}"/>
    <cellStyle name="Comma 935 2" xfId="2213" xr:uid="{2A055D3D-4A38-450F-BC71-073DF9F6DE07}"/>
    <cellStyle name="Comma 935 2 2" xfId="4271" xr:uid="{6DEC201B-EEC2-4032-BC91-687CD6130C35}"/>
    <cellStyle name="Comma 935 3" xfId="3241" xr:uid="{17A61D54-36CE-4C96-9601-0C1BD826C736}"/>
    <cellStyle name="Comma 935 4" xfId="5367" xr:uid="{603A0990-79B1-43EC-BA46-F6BD4F265AC2}"/>
    <cellStyle name="Comma 936" xfId="1176" xr:uid="{4EC6B0D1-D907-4C8D-87AD-F5BEE9051995}"/>
    <cellStyle name="Comma 936 2" xfId="2214" xr:uid="{FCD5CD3C-A04D-4A05-9CCF-8C9DE6845031}"/>
    <cellStyle name="Comma 936 2 2" xfId="4272" xr:uid="{BA4C6669-3BB1-4E33-87D8-817C01D3DD64}"/>
    <cellStyle name="Comma 936 3" xfId="3242" xr:uid="{5F576AF1-A463-4997-A4B8-523E7EF4637B}"/>
    <cellStyle name="Comma 936 4" xfId="5368" xr:uid="{875AB71B-4000-4A81-9BA4-8912F5EB1AAA}"/>
    <cellStyle name="Comma 937" xfId="1177" xr:uid="{94FD259F-7F2C-4278-AA26-16E580573BF1}"/>
    <cellStyle name="Comma 937 2" xfId="2215" xr:uid="{635BAC87-C02E-4409-A249-7E71C6C5FDE2}"/>
    <cellStyle name="Comma 937 2 2" xfId="4273" xr:uid="{53C1FF8C-C4FE-48EE-B332-77CB193FE1AA}"/>
    <cellStyle name="Comma 937 3" xfId="3243" xr:uid="{CF7C54F1-6FCB-4DC9-9E82-CC14EA34DFC3}"/>
    <cellStyle name="Comma 937 4" xfId="5369" xr:uid="{43D17890-7443-4CCD-89D4-C4972936AE19}"/>
    <cellStyle name="Comma 938" xfId="1178" xr:uid="{457075AB-3A45-426D-B5D2-B19B3A21164E}"/>
    <cellStyle name="Comma 938 2" xfId="2216" xr:uid="{56A3AD36-A4C9-4850-960D-56E9178695FA}"/>
    <cellStyle name="Comma 938 2 2" xfId="4274" xr:uid="{2CD1BCCF-7861-4D14-8223-81382DCD5E89}"/>
    <cellStyle name="Comma 938 3" xfId="3244" xr:uid="{E714FAA0-A241-431F-90B1-7F4924A05DA6}"/>
    <cellStyle name="Comma 938 4" xfId="5370" xr:uid="{FBDBD8A2-1067-49EA-AC25-BB3FD738D15C}"/>
    <cellStyle name="Comma 939" xfId="1179" xr:uid="{BA25C9F8-F4D9-482C-9337-D66055505596}"/>
    <cellStyle name="Comma 939 2" xfId="2217" xr:uid="{D0F281CB-58C1-4CA0-8A83-E016F140C087}"/>
    <cellStyle name="Comma 939 2 2" xfId="4275" xr:uid="{359D5491-861A-483A-9747-9FA6FAB38C37}"/>
    <cellStyle name="Comma 939 3" xfId="3245" xr:uid="{438D2FAB-8E31-42DA-B632-E8238EBAF6A6}"/>
    <cellStyle name="Comma 939 4" xfId="5371" xr:uid="{F7EFBE08-6F76-4AF7-8B8E-F7EBE6D4E5AE}"/>
    <cellStyle name="Comma 94" xfId="308" xr:uid="{687658B6-67FF-4160-805B-DD37621ABE1D}"/>
    <cellStyle name="Comma 94 2" xfId="1372" xr:uid="{6CDC8791-AF01-4225-B9BC-8185472DB5AA}"/>
    <cellStyle name="Comma 94 2 2" xfId="3430" xr:uid="{C0FD3820-FCF3-4CBC-B3EC-9FD57C920037}"/>
    <cellStyle name="Comma 94 3" xfId="2400" xr:uid="{51C99B75-CB0A-433B-BC9D-9D14A2391982}"/>
    <cellStyle name="Comma 94 4" xfId="4526" xr:uid="{2BBFFC01-4250-490E-A67C-8A618EE0DB51}"/>
    <cellStyle name="Comma 940" xfId="1180" xr:uid="{5CF87DD2-8121-4A9D-B22D-6EB10848A13C}"/>
    <cellStyle name="Comma 940 2" xfId="2218" xr:uid="{E274EE59-3EB6-4DE8-99BD-15B28262DDF5}"/>
    <cellStyle name="Comma 940 2 2" xfId="4276" xr:uid="{A99DC509-3942-47E7-BCF0-A413BE70CCFA}"/>
    <cellStyle name="Comma 940 3" xfId="3246" xr:uid="{AEDA126C-29C5-428C-BFE8-E21E71EC6281}"/>
    <cellStyle name="Comma 940 4" xfId="5372" xr:uid="{5BBC0D90-6833-4F6D-B390-E8DADCABA776}"/>
    <cellStyle name="Comma 941" xfId="1181" xr:uid="{75C2A582-70C2-465A-A23E-7C0A1A4E15AE}"/>
    <cellStyle name="Comma 941 2" xfId="2219" xr:uid="{1A9A93E7-7257-4B8B-9A33-6F385F992993}"/>
    <cellStyle name="Comma 941 2 2" xfId="4277" xr:uid="{9D854503-7525-4516-A5DF-750BFBEF12C4}"/>
    <cellStyle name="Comma 941 3" xfId="3247" xr:uid="{2ECB9EDD-DE3C-4B4F-B3E9-66DE32A570B7}"/>
    <cellStyle name="Comma 941 4" xfId="5373" xr:uid="{770812DC-0479-4EE2-AF57-64B1BD494789}"/>
    <cellStyle name="Comma 942" xfId="1182" xr:uid="{6394B946-DD47-4C44-9FE9-87B7A62ADDC2}"/>
    <cellStyle name="Comma 942 2" xfId="2220" xr:uid="{F2F546EB-9A20-4F6E-8BC7-7904AA9DFD11}"/>
    <cellStyle name="Comma 942 2 2" xfId="4278" xr:uid="{0F7C7DEB-B941-4ECC-8622-657BB3D612E1}"/>
    <cellStyle name="Comma 942 3" xfId="3248" xr:uid="{97CEACB7-7F78-4AB7-831A-1C9B184E03AA}"/>
    <cellStyle name="Comma 942 4" xfId="5374" xr:uid="{EAE257F3-5029-4FF0-B11A-FAB3E9BC60BC}"/>
    <cellStyle name="Comma 943" xfId="1183" xr:uid="{E775A35A-4712-45AC-ACDC-77435FB67C77}"/>
    <cellStyle name="Comma 943 2" xfId="2221" xr:uid="{1BC81FF6-45EE-4CEA-BCC4-224B80B5E8BA}"/>
    <cellStyle name="Comma 943 2 2" xfId="4279" xr:uid="{987CE858-C948-4696-A3AD-735769A88CFC}"/>
    <cellStyle name="Comma 943 3" xfId="3249" xr:uid="{0F632CEB-EF82-4FDA-98EC-07C31A54B2BF}"/>
    <cellStyle name="Comma 943 4" xfId="5375" xr:uid="{2906B484-6EF0-4B58-919E-6E4C97C6B497}"/>
    <cellStyle name="Comma 944" xfId="1184" xr:uid="{1F993B81-AB8F-40F3-8E75-0CC5C1B15282}"/>
    <cellStyle name="Comma 944 2" xfId="2222" xr:uid="{BA8686E3-9F08-4F21-A6F7-5AD262C52B08}"/>
    <cellStyle name="Comma 944 2 2" xfId="4280" xr:uid="{592E3134-5F9B-4627-B88A-CF9573DBE486}"/>
    <cellStyle name="Comma 944 3" xfId="3250" xr:uid="{629E7655-D0F1-453B-8339-3CEDE778BF6F}"/>
    <cellStyle name="Comma 944 4" xfId="5376" xr:uid="{12D2496F-5634-4B91-AC3F-D1FCEEAF7A47}"/>
    <cellStyle name="Comma 945" xfId="1185" xr:uid="{9CFE5651-5587-49D2-939A-A695C5DC7379}"/>
    <cellStyle name="Comma 945 2" xfId="2223" xr:uid="{E87F2753-1FEF-45CC-AF57-67FA6E20C390}"/>
    <cellStyle name="Comma 945 2 2" xfId="4281" xr:uid="{C58925F8-AC8F-4EF9-9FBE-DAA103A58801}"/>
    <cellStyle name="Comma 945 3" xfId="3251" xr:uid="{4EAEE90E-4FC4-4833-B43B-A7027817114F}"/>
    <cellStyle name="Comma 945 4" xfId="5377" xr:uid="{C4F5C81E-24E1-4FE2-A97D-2906CD06C914}"/>
    <cellStyle name="Comma 946" xfId="1186" xr:uid="{0CD3868A-90CC-465F-A272-FD8699C9E106}"/>
    <cellStyle name="Comma 946 2" xfId="2224" xr:uid="{70FD7349-0308-42C1-93E9-A71A3C102361}"/>
    <cellStyle name="Comma 946 2 2" xfId="4282" xr:uid="{6CE4F5D0-2121-4972-9006-02957F02319A}"/>
    <cellStyle name="Comma 946 3" xfId="3252" xr:uid="{2B767153-D461-43A4-81D3-89DF52C60611}"/>
    <cellStyle name="Comma 946 4" xfId="5378" xr:uid="{8EC32CAD-B510-40C2-AB67-9C62A3C0CD0D}"/>
    <cellStyle name="Comma 947" xfId="1187" xr:uid="{CF5045C6-9FDE-4332-A52C-A9C20FE6175B}"/>
    <cellStyle name="Comma 947 2" xfId="2225" xr:uid="{99B9FDE7-9794-4AF6-8B4A-94DB24590860}"/>
    <cellStyle name="Comma 947 2 2" xfId="4283" xr:uid="{DBA166AF-565C-4A12-87AA-F814F37F6BEA}"/>
    <cellStyle name="Comma 947 3" xfId="3253" xr:uid="{000AFE68-414C-4E98-A1A6-81CE315C1162}"/>
    <cellStyle name="Comma 947 4" xfId="5379" xr:uid="{FBE71268-D26C-49C1-99F6-4BD11D5AD8A1}"/>
    <cellStyle name="Comma 948" xfId="1188" xr:uid="{9794CCEF-9745-41A2-957B-4DFC2826F059}"/>
    <cellStyle name="Comma 948 2" xfId="2226" xr:uid="{82AF9BE6-4A01-43F8-85DC-D051EF6E3E4E}"/>
    <cellStyle name="Comma 948 2 2" xfId="4284" xr:uid="{AB4F4CE1-0354-4D74-B608-177082A9EB97}"/>
    <cellStyle name="Comma 948 3" xfId="3254" xr:uid="{75606C4A-75CD-4079-87A9-6E4AF9DABFC8}"/>
    <cellStyle name="Comma 948 4" xfId="5380" xr:uid="{F878BC44-A85F-44D2-8BD0-6F114B92B2E6}"/>
    <cellStyle name="Comma 949" xfId="1189" xr:uid="{531B4112-A4EE-4033-92F3-CC841EA7A3A6}"/>
    <cellStyle name="Comma 949 2" xfId="2227" xr:uid="{654DF9AF-1C00-478A-9AC5-EFE0A0CC02BA}"/>
    <cellStyle name="Comma 949 2 2" xfId="4285" xr:uid="{C2ADF918-7D4B-4E5F-A89D-84B1493719B8}"/>
    <cellStyle name="Comma 949 3" xfId="3255" xr:uid="{A5127D30-4457-455A-B3D1-353C55D1AF7B}"/>
    <cellStyle name="Comma 949 4" xfId="5381" xr:uid="{627D49F5-9D20-4B5B-B777-7D968DA750E9}"/>
    <cellStyle name="Comma 95" xfId="309" xr:uid="{D98D815D-11D2-4850-B18F-54FA94DAD15C}"/>
    <cellStyle name="Comma 95 2" xfId="1373" xr:uid="{C34DA4B1-B6D5-4273-9933-054DF7E98599}"/>
    <cellStyle name="Comma 95 2 2" xfId="3431" xr:uid="{B17FB7C6-ABF3-4F6A-8299-8C79B33F7C91}"/>
    <cellStyle name="Comma 95 3" xfId="2401" xr:uid="{03E40966-C39F-485C-93A8-5380853C2CEA}"/>
    <cellStyle name="Comma 95 4" xfId="4527" xr:uid="{B8BDFA47-F872-4576-883F-5A7CDF7F77B9}"/>
    <cellStyle name="Comma 950" xfId="1190" xr:uid="{C7BAA6FB-5944-4A20-8119-0F8B6A5DA3E2}"/>
    <cellStyle name="Comma 950 2" xfId="2228" xr:uid="{C6DE85F8-9967-4563-B356-5EBB6D4491C9}"/>
    <cellStyle name="Comma 950 2 2" xfId="4286" xr:uid="{41670178-4847-4F0B-B64D-D79B155759CF}"/>
    <cellStyle name="Comma 950 3" xfId="3256" xr:uid="{48F66B1D-4390-49B3-B3E8-B0921A86C8AF}"/>
    <cellStyle name="Comma 950 4" xfId="5382" xr:uid="{5BA81AAF-2B07-4EF0-9089-ED01B58E34BC}"/>
    <cellStyle name="Comma 951" xfId="1191" xr:uid="{3C4A85A3-2D3B-4AF7-BA34-1CE32396E4DF}"/>
    <cellStyle name="Comma 951 2" xfId="2229" xr:uid="{69B0130E-0D00-4445-B688-894F48759DF7}"/>
    <cellStyle name="Comma 951 2 2" xfId="4287" xr:uid="{5DEE74BF-C9C4-4227-B30A-2BFD7997A7EF}"/>
    <cellStyle name="Comma 951 3" xfId="3257" xr:uid="{CE2863C0-ED6B-48B1-B98F-4934C5AEB649}"/>
    <cellStyle name="Comma 951 4" xfId="5383" xr:uid="{0D43319F-B17E-4B0C-8406-FB5BCC4384B1}"/>
    <cellStyle name="Comma 952" xfId="1192" xr:uid="{F998E06B-D0E2-4CA6-A439-54A958C14038}"/>
    <cellStyle name="Comma 952 2" xfId="2230" xr:uid="{E7FE351B-01AD-42DE-8D7A-97CD24FF733B}"/>
    <cellStyle name="Comma 952 2 2" xfId="4288" xr:uid="{3A6AC5E6-8B19-4CA3-920E-CFAC6EC3B072}"/>
    <cellStyle name="Comma 952 3" xfId="3258" xr:uid="{E305B069-BFC2-4726-A88E-091B988E520F}"/>
    <cellStyle name="Comma 952 4" xfId="5384" xr:uid="{0E870EA2-BB74-48CF-9527-57CD0C9C0EE0}"/>
    <cellStyle name="Comma 953" xfId="1193" xr:uid="{5DCED212-18F1-4B8A-BE7A-0054D4921DF0}"/>
    <cellStyle name="Comma 953 2" xfId="2231" xr:uid="{92A70CC4-6D41-4CCC-861A-EDD4E87FC7C9}"/>
    <cellStyle name="Comma 953 2 2" xfId="4289" xr:uid="{3D8FF04F-B849-4C5F-8CC1-76DFCC4449C8}"/>
    <cellStyle name="Comma 953 3" xfId="3259" xr:uid="{934C59B7-4622-4BC4-9458-F6FF106F7CBD}"/>
    <cellStyle name="Comma 953 4" xfId="5385" xr:uid="{82432755-FCFE-477C-BA38-9DCC87261B0C}"/>
    <cellStyle name="Comma 954" xfId="1194" xr:uid="{52AEF082-DC35-410D-9DE7-CFC18A460884}"/>
    <cellStyle name="Comma 954 2" xfId="2232" xr:uid="{BA1930FD-F5E7-4428-BB07-98676A3B6399}"/>
    <cellStyle name="Comma 954 2 2" xfId="4290" xr:uid="{38BF863F-F09D-4A3F-A18F-C6DAFF942DFF}"/>
    <cellStyle name="Comma 954 3" xfId="3260" xr:uid="{D0457735-BAED-41F2-A965-40772422CEA2}"/>
    <cellStyle name="Comma 954 4" xfId="5386" xr:uid="{19E10778-B1DB-4334-B23D-B7E7AFA22B1F}"/>
    <cellStyle name="Comma 955" xfId="1195" xr:uid="{25CC2F2F-4D10-4670-82B0-94BE4596E9A0}"/>
    <cellStyle name="Comma 955 2" xfId="2233" xr:uid="{9014A93F-1744-468C-9979-53BFB57A8364}"/>
    <cellStyle name="Comma 955 2 2" xfId="4291" xr:uid="{A367D198-F0FB-4951-9FF1-DB7BA824580B}"/>
    <cellStyle name="Comma 955 3" xfId="3261" xr:uid="{4EBC3F55-FCF8-4C7D-8588-F07F346DEDA6}"/>
    <cellStyle name="Comma 955 4" xfId="5387" xr:uid="{F5172873-E387-4040-BD4B-C39B1109D323}"/>
    <cellStyle name="Comma 956" xfId="1196" xr:uid="{641E5279-DAE0-42EE-A220-1206FF768961}"/>
    <cellStyle name="Comma 956 2" xfId="2234" xr:uid="{8B644CDB-0F44-4F66-8F3D-53F7A1537F77}"/>
    <cellStyle name="Comma 956 2 2" xfId="4292" xr:uid="{F8CF0DAE-62E5-41CE-8CF2-4C1B5B25872A}"/>
    <cellStyle name="Comma 956 3" xfId="3262" xr:uid="{9A7376C7-E48D-4D28-8740-443ED213CEE4}"/>
    <cellStyle name="Comma 956 4" xfId="5388" xr:uid="{7D0FE181-7B62-4970-8DA4-DE4F3A138039}"/>
    <cellStyle name="Comma 957" xfId="1197" xr:uid="{DAA56BD0-13B1-4FEF-80EE-99982403507E}"/>
    <cellStyle name="Comma 957 2" xfId="2235" xr:uid="{C67B48EC-F720-408F-B500-41517BD1240B}"/>
    <cellStyle name="Comma 957 2 2" xfId="4293" xr:uid="{44994C99-40BA-4F20-A52A-49B0F4957255}"/>
    <cellStyle name="Comma 957 3" xfId="3263" xr:uid="{C1DFEDF8-23DD-4769-BF82-56159A33AD91}"/>
    <cellStyle name="Comma 957 4" xfId="5389" xr:uid="{DA378FB3-156C-4955-9605-6335388A6B24}"/>
    <cellStyle name="Comma 958" xfId="1198" xr:uid="{FB033A74-B9AF-4D41-8947-98CD00D7E366}"/>
    <cellStyle name="Comma 958 2" xfId="2236" xr:uid="{3C76E62E-A299-46BD-B906-929F7EE57391}"/>
    <cellStyle name="Comma 958 2 2" xfId="4294" xr:uid="{0506B32F-E3D3-4B80-AD28-C02CB0882CB4}"/>
    <cellStyle name="Comma 958 3" xfId="3264" xr:uid="{FC9A0FC1-C3E5-4166-B57E-E8A457764BAB}"/>
    <cellStyle name="Comma 958 4" xfId="5390" xr:uid="{AF172CD5-14E4-43D5-9692-F4FAB463BD23}"/>
    <cellStyle name="Comma 959" xfId="1199" xr:uid="{B816D53A-FB80-4B8A-B1FF-A7644C0C428F}"/>
    <cellStyle name="Comma 959 2" xfId="2237" xr:uid="{54115268-F0FB-4E69-900A-05D50AE7C126}"/>
    <cellStyle name="Comma 959 2 2" xfId="4295" xr:uid="{BD7A7288-FBEF-4A95-9084-636142F221FF}"/>
    <cellStyle name="Comma 959 3" xfId="3265" xr:uid="{95D68248-BAA5-4B9F-88F6-A25061E9B74D}"/>
    <cellStyle name="Comma 959 4" xfId="5391" xr:uid="{2B2B87AA-B95B-4DA7-AC54-5B3A7BB56BCD}"/>
    <cellStyle name="Comma 96" xfId="310" xr:uid="{CD86B641-A8F5-4622-9143-1284B7B2CDF5}"/>
    <cellStyle name="Comma 96 2" xfId="1374" xr:uid="{C04B2D15-8C4C-457C-BE20-7E9038323B0B}"/>
    <cellStyle name="Comma 96 2 2" xfId="3432" xr:uid="{353C72DD-EF19-47CE-A196-65A6CA8684E7}"/>
    <cellStyle name="Comma 96 3" xfId="2402" xr:uid="{FF027217-1C05-40E6-9961-EB47F7CAF898}"/>
    <cellStyle name="Comma 96 4" xfId="4528" xr:uid="{61D39C61-6C72-4CEE-B73E-475E713D24EF}"/>
    <cellStyle name="Comma 960" xfId="1200" xr:uid="{23225545-4887-42F4-8E4B-04368DFEBA2F}"/>
    <cellStyle name="Comma 960 2" xfId="2238" xr:uid="{2BEA2FF8-3B5F-453E-9793-62E3F2733D98}"/>
    <cellStyle name="Comma 960 2 2" xfId="4296" xr:uid="{029F6174-2406-47B3-A804-4C1F7D85BB84}"/>
    <cellStyle name="Comma 960 3" xfId="3266" xr:uid="{993919DF-394C-4DB4-8CA9-FA75D6B1FE39}"/>
    <cellStyle name="Comma 960 4" xfId="5392" xr:uid="{5D145691-3A26-42EF-A067-323E6DCA8921}"/>
    <cellStyle name="Comma 961" xfId="1201" xr:uid="{3250FBC2-A6E3-4F1A-9094-803A0F1FDCA8}"/>
    <cellStyle name="Comma 961 2" xfId="2239" xr:uid="{FB50C94D-84AF-481F-AF1E-CB21410346CC}"/>
    <cellStyle name="Comma 961 2 2" xfId="4297" xr:uid="{F752CE25-CDDC-4840-8775-7D7A0E4CC97A}"/>
    <cellStyle name="Comma 961 3" xfId="3267" xr:uid="{CB2D1A64-00D6-4760-8B16-6064BBF124F1}"/>
    <cellStyle name="Comma 961 4" xfId="5393" xr:uid="{2E013E0F-3662-42E6-B087-EB263D5BAC2D}"/>
    <cellStyle name="Comma 962" xfId="1202" xr:uid="{65887225-5046-401F-86BD-D9EF60958C5C}"/>
    <cellStyle name="Comma 962 2" xfId="2240" xr:uid="{31ED0034-FBB9-4C8D-96A1-7EED3D45BD01}"/>
    <cellStyle name="Comma 962 2 2" xfId="4298" xr:uid="{69A34A6C-FB38-4D80-AD4F-2CFB1F5ED96E}"/>
    <cellStyle name="Comma 962 3" xfId="3268" xr:uid="{9265B937-5A4E-4DF0-A0D0-1DD9EA0EFC83}"/>
    <cellStyle name="Comma 962 4" xfId="5394" xr:uid="{A8C39650-B955-4D96-8E9E-0332D2E07C77}"/>
    <cellStyle name="Comma 963" xfId="1203" xr:uid="{0F64BF4C-CB54-4BF5-AEB2-E4437202153E}"/>
    <cellStyle name="Comma 963 2" xfId="2241" xr:uid="{CA12894D-85B3-4BBA-A015-246E34CDA589}"/>
    <cellStyle name="Comma 963 2 2" xfId="4299" xr:uid="{1AC4939B-60BD-4EB2-A007-2ED6D5FEBFA9}"/>
    <cellStyle name="Comma 963 3" xfId="3269" xr:uid="{5192C0A1-55CF-4D97-843C-0F558574FF1E}"/>
    <cellStyle name="Comma 963 4" xfId="5395" xr:uid="{69A70D3B-094C-498C-8F2A-0E77D23CA6EB}"/>
    <cellStyle name="Comma 964" xfId="1204" xr:uid="{9B2C3B62-033C-49C4-A156-619C5FAE291D}"/>
    <cellStyle name="Comma 964 2" xfId="2242" xr:uid="{EBD175D8-CAD1-421C-AC30-2B23FADD8BEF}"/>
    <cellStyle name="Comma 964 2 2" xfId="4300" xr:uid="{5204F119-96DF-47A0-B7BF-CADFAEDF8352}"/>
    <cellStyle name="Comma 964 3" xfId="3270" xr:uid="{3EE354D2-8105-47BC-8B7E-89792178D4FA}"/>
    <cellStyle name="Comma 964 4" xfId="5396" xr:uid="{B241A3F2-E0B3-4334-9CBA-F8E22AD8720A}"/>
    <cellStyle name="Comma 965" xfId="1205" xr:uid="{B718FF9E-F31D-4F1E-85C7-2BB3CC3FA6F8}"/>
    <cellStyle name="Comma 965 2" xfId="2243" xr:uid="{3FDC64F3-C131-4E77-B5E0-46738ECA188F}"/>
    <cellStyle name="Comma 965 2 2" xfId="4301" xr:uid="{DBEAFA5D-D4EE-4750-A97A-E98670E6F05C}"/>
    <cellStyle name="Comma 965 3" xfId="3271" xr:uid="{5D0421B7-F0A3-49FE-836D-DE7B2621DE88}"/>
    <cellStyle name="Comma 965 4" xfId="5397" xr:uid="{26FA8E3B-DC6E-40EC-A60E-7913A226D833}"/>
    <cellStyle name="Comma 966" xfId="1206" xr:uid="{31888E55-6B9D-410F-835F-3262B4E42879}"/>
    <cellStyle name="Comma 966 2" xfId="2244" xr:uid="{FA52DF17-FA06-46E0-BD34-8F69A7353C0C}"/>
    <cellStyle name="Comma 966 2 2" xfId="4302" xr:uid="{60460DE9-39D9-4D62-96BC-3FC642A14D37}"/>
    <cellStyle name="Comma 966 3" xfId="3272" xr:uid="{F0862251-EBD2-4384-80D9-897D88E8D886}"/>
    <cellStyle name="Comma 966 4" xfId="5398" xr:uid="{94C0FCBB-C3CF-45F4-A3BF-6735951B4617}"/>
    <cellStyle name="Comma 967" xfId="1207" xr:uid="{8C415EA0-48C2-419D-8AFB-9F794930E322}"/>
    <cellStyle name="Comma 967 2" xfId="2245" xr:uid="{FCC09DE9-69E2-401A-8571-A7610A21A33E}"/>
    <cellStyle name="Comma 967 2 2" xfId="4303" xr:uid="{1A4E6EA4-29E1-4C32-BD4B-87C9F41C557B}"/>
    <cellStyle name="Comma 967 3" xfId="3273" xr:uid="{494049A0-5F8D-4613-BD2F-B9F7F2953692}"/>
    <cellStyle name="Comma 967 4" xfId="5399" xr:uid="{A071F717-3748-436F-9167-5A1049572765}"/>
    <cellStyle name="Comma 968" xfId="1208" xr:uid="{315CB885-B3A3-4A9B-9EA3-4939CB6C6B54}"/>
    <cellStyle name="Comma 968 2" xfId="2246" xr:uid="{C87A02B7-0E19-4D29-A680-66490B6E74AA}"/>
    <cellStyle name="Comma 968 2 2" xfId="4304" xr:uid="{343D8205-F9F9-496E-B7E1-57228C375477}"/>
    <cellStyle name="Comma 968 3" xfId="3274" xr:uid="{715B62D0-060D-46D2-A958-E5E09E4213A7}"/>
    <cellStyle name="Comma 968 4" xfId="5400" xr:uid="{EA7A1FE2-B508-4C51-BA82-F21CA4BF647A}"/>
    <cellStyle name="Comma 969" xfId="1209" xr:uid="{387DF333-D4C5-420C-ACE7-91DA4976353D}"/>
    <cellStyle name="Comma 969 2" xfId="2247" xr:uid="{FB574312-4665-4282-A295-9C2B55C497F4}"/>
    <cellStyle name="Comma 969 2 2" xfId="4305" xr:uid="{B45C56FD-D844-422D-8DAD-0C58E138F2C1}"/>
    <cellStyle name="Comma 969 3" xfId="3275" xr:uid="{277A1E26-5E88-4B5D-9B34-66BB0B09DF3C}"/>
    <cellStyle name="Comma 969 4" xfId="5401" xr:uid="{4D62D3EF-2E90-4CA9-AFBC-82607E9C9FDD}"/>
    <cellStyle name="Comma 97" xfId="311" xr:uid="{730615D5-9A11-4E2B-A027-E8CEC682D40F}"/>
    <cellStyle name="Comma 97 2" xfId="1375" xr:uid="{988651A0-2CAB-4114-B6C1-B312899C3398}"/>
    <cellStyle name="Comma 97 2 2" xfId="3433" xr:uid="{463C58C6-E548-40EF-A031-514AF736B3DF}"/>
    <cellStyle name="Comma 97 3" xfId="2403" xr:uid="{CD348C6A-2A4C-4E85-B5BA-FB2FC8E00718}"/>
    <cellStyle name="Comma 97 4" xfId="4529" xr:uid="{E2632C54-36C2-4DC1-ADD6-DC750D5B4602}"/>
    <cellStyle name="Comma 970" xfId="1210" xr:uid="{B5E155C9-FA2A-4ABD-8D4F-EC21002C0742}"/>
    <cellStyle name="Comma 970 2" xfId="2248" xr:uid="{8846E985-2589-42E4-8B2C-4936E9CE21CD}"/>
    <cellStyle name="Comma 970 2 2" xfId="4306" xr:uid="{58A49430-3415-489B-BD67-7006431EA38E}"/>
    <cellStyle name="Comma 970 3" xfId="3276" xr:uid="{E00C15E6-DEE4-44D3-AF16-25CE58A36704}"/>
    <cellStyle name="Comma 970 4" xfId="5402" xr:uid="{AC36B1BF-CBF9-4CEC-89B3-35565E61E254}"/>
    <cellStyle name="Comma 971" xfId="1211" xr:uid="{8EAC1E80-F07B-44F3-BBB1-28FE1AF11489}"/>
    <cellStyle name="Comma 971 2" xfId="2249" xr:uid="{07F4DF0A-5FAF-4598-908F-56ADA56683B7}"/>
    <cellStyle name="Comma 971 2 2" xfId="4307" xr:uid="{153D27B1-E4DC-48C7-9FFA-F7AD773C075B}"/>
    <cellStyle name="Comma 971 3" xfId="3277" xr:uid="{F3C31A4D-5A92-41CA-AB1B-A723A4133156}"/>
    <cellStyle name="Comma 971 4" xfId="5403" xr:uid="{46D0A58C-204A-4316-A2D7-19988473F9CA}"/>
    <cellStyle name="Comma 972" xfId="1212" xr:uid="{F2BD2263-E067-46BC-A597-9179F931C2FB}"/>
    <cellStyle name="Comma 972 2" xfId="2250" xr:uid="{1CBB578E-6A65-4AD1-A854-22B1DE379399}"/>
    <cellStyle name="Comma 972 2 2" xfId="4308" xr:uid="{E8055E10-5D32-4C13-AE21-75CA0131CCBB}"/>
    <cellStyle name="Comma 972 3" xfId="3278" xr:uid="{35DB3E28-6DCC-46B9-A3C3-29665DF52F71}"/>
    <cellStyle name="Comma 972 4" xfId="5404" xr:uid="{8F767A56-11B0-481F-9654-3A2A71CC63C4}"/>
    <cellStyle name="Comma 973" xfId="1213" xr:uid="{3CBBF81F-0E63-40F7-B004-C840B091C0F6}"/>
    <cellStyle name="Comma 973 2" xfId="2251" xr:uid="{297A001E-B047-49F6-AF4B-47CF92325218}"/>
    <cellStyle name="Comma 973 2 2" xfId="4309" xr:uid="{46BDC7D4-B0D4-4F59-B865-C0B9327F4AB5}"/>
    <cellStyle name="Comma 973 3" xfId="3279" xr:uid="{42C437F4-9D84-4415-A223-A237925ABF89}"/>
    <cellStyle name="Comma 973 4" xfId="5405" xr:uid="{CB1AE7CF-9721-43F2-8B58-F00D7B1F5171}"/>
    <cellStyle name="Comma 974" xfId="1214" xr:uid="{80B0A3A0-6C3A-4D0A-8AB8-8C06C5EDB78A}"/>
    <cellStyle name="Comma 974 2" xfId="2252" xr:uid="{B7600C6D-E021-4053-AF5F-BC83FE8B7D3E}"/>
    <cellStyle name="Comma 974 2 2" xfId="4310" xr:uid="{4A208CD5-FF6B-4C52-A7AA-BDF3995B0EA2}"/>
    <cellStyle name="Comma 974 3" xfId="3280" xr:uid="{0ACFC9C6-C122-4B77-9F96-CDB32641E2B3}"/>
    <cellStyle name="Comma 974 4" xfId="5406" xr:uid="{4D2E955C-10A2-4BB3-876F-6C1072995615}"/>
    <cellStyle name="Comma 975" xfId="1215" xr:uid="{09E2167B-0F53-496F-B83B-D14E9358E649}"/>
    <cellStyle name="Comma 975 2" xfId="2253" xr:uid="{5784BD7B-8297-46CB-B7FB-7DD8D2081536}"/>
    <cellStyle name="Comma 975 2 2" xfId="4311" xr:uid="{1424DA17-5001-4770-86FB-27236C63221D}"/>
    <cellStyle name="Comma 975 3" xfId="3281" xr:uid="{D6E7429E-74BA-4167-B3E8-C73B1AF42718}"/>
    <cellStyle name="Comma 975 4" xfId="5407" xr:uid="{A9B67A8E-EC1E-43B4-BD27-1B630C940B44}"/>
    <cellStyle name="Comma 976" xfId="1216" xr:uid="{04305622-AD15-48F5-8461-0502F1C0E38D}"/>
    <cellStyle name="Comma 976 2" xfId="2254" xr:uid="{09F72BDB-A4AE-412E-AA41-5E91BF02E413}"/>
    <cellStyle name="Comma 976 2 2" xfId="4312" xr:uid="{7C3B9926-B424-4DE9-995E-C9FF064E4F36}"/>
    <cellStyle name="Comma 976 3" xfId="3282" xr:uid="{20CC8A91-9BD8-403D-88EC-7DBFB1B7F001}"/>
    <cellStyle name="Comma 976 4" xfId="5408" xr:uid="{647D964B-A8D8-42EF-BFBB-1052DEABB499}"/>
    <cellStyle name="Comma 977" xfId="1217" xr:uid="{C4F943AE-2686-41FC-B662-1BBFCA56E22C}"/>
    <cellStyle name="Comma 977 2" xfId="2255" xr:uid="{82385BD3-68B8-4611-B106-3EA4AC21F02B}"/>
    <cellStyle name="Comma 977 2 2" xfId="4313" xr:uid="{161F4015-ED09-4302-915F-565D6CFDEB66}"/>
    <cellStyle name="Comma 977 3" xfId="3283" xr:uid="{8C139476-B68D-4514-B09C-89A79A98B5FC}"/>
    <cellStyle name="Comma 977 4" xfId="5409" xr:uid="{3871CD35-2B35-4F0E-982B-0E23BB4C5FF6}"/>
    <cellStyle name="Comma 978" xfId="1218" xr:uid="{66C62767-9605-4443-BCCB-F2804FB70EC3}"/>
    <cellStyle name="Comma 978 2" xfId="2256" xr:uid="{63C42075-BDE6-4993-B3A0-939171B73567}"/>
    <cellStyle name="Comma 978 2 2" xfId="4314" xr:uid="{0D792B02-E120-41AC-97A3-D23B99F02812}"/>
    <cellStyle name="Comma 978 3" xfId="3284" xr:uid="{652770DC-ACBB-4613-8B66-1E35EEB15380}"/>
    <cellStyle name="Comma 978 4" xfId="5410" xr:uid="{7806DD31-8964-414D-9F9B-28591F12877E}"/>
    <cellStyle name="Comma 979" xfId="1219" xr:uid="{B9B87945-91C3-4603-BF9B-4523B5F631C9}"/>
    <cellStyle name="Comma 979 2" xfId="2257" xr:uid="{66EE89C8-BCF3-429F-9E5D-71A47C105B58}"/>
    <cellStyle name="Comma 979 2 2" xfId="4315" xr:uid="{02EF9221-A943-416D-B362-3A9177BFDAC3}"/>
    <cellStyle name="Comma 979 3" xfId="3285" xr:uid="{672687EF-6CDC-45A7-ACF2-6730CDF35CEC}"/>
    <cellStyle name="Comma 979 4" xfId="5411" xr:uid="{2865038F-F893-4248-9C71-BAC5E9964009}"/>
    <cellStyle name="Comma 98" xfId="312" xr:uid="{43ED0963-DE8B-4B32-BF0E-E9BA9488A156}"/>
    <cellStyle name="Comma 98 2" xfId="1376" xr:uid="{E9D414BF-7BE7-4D43-9FBE-BEB706A91EC6}"/>
    <cellStyle name="Comma 98 2 2" xfId="3434" xr:uid="{59A5CFF9-E493-431D-8772-E93C16304094}"/>
    <cellStyle name="Comma 98 3" xfId="2404" xr:uid="{CCB4D262-D2E6-446E-8B9F-B4C07B916554}"/>
    <cellStyle name="Comma 98 4" xfId="4530" xr:uid="{7F983B73-D9A0-4E6A-9835-11216F9DCBB9}"/>
    <cellStyle name="Comma 980" xfId="1220" xr:uid="{9DF6E451-2101-4875-928B-6B4D9D3B43DB}"/>
    <cellStyle name="Comma 980 2" xfId="2258" xr:uid="{0EB82DD1-034F-4C6F-9644-6472E93D0F98}"/>
    <cellStyle name="Comma 980 2 2" xfId="4316" xr:uid="{4B4CB4EA-2B1F-4290-822F-A4E865DFB291}"/>
    <cellStyle name="Comma 980 3" xfId="3286" xr:uid="{CFBDE56B-53F6-407A-B3D7-1FB93B10C22A}"/>
    <cellStyle name="Comma 980 4" xfId="5412" xr:uid="{776BECF6-2864-4131-A4B0-E55222684644}"/>
    <cellStyle name="Comma 981" xfId="1221" xr:uid="{D4D5991E-A6EE-4C4E-80CC-53036801F7CD}"/>
    <cellStyle name="Comma 981 2" xfId="2259" xr:uid="{AA219770-5C8E-4DDE-A4F0-E59A709A3315}"/>
    <cellStyle name="Comma 981 2 2" xfId="4317" xr:uid="{75049718-419A-47BD-BBDA-EF9C26B424CC}"/>
    <cellStyle name="Comma 981 3" xfId="3287" xr:uid="{047A0674-7286-4907-A693-6893BAFE5495}"/>
    <cellStyle name="Comma 981 4" xfId="5413" xr:uid="{43CA5944-2139-491A-92F8-5A5CD7A18ABF}"/>
    <cellStyle name="Comma 982" xfId="1222" xr:uid="{F8DDC142-12F4-40B9-A1CA-22C2CB8ACBF2}"/>
    <cellStyle name="Comma 982 2" xfId="2260" xr:uid="{51421E3B-93BE-4740-A7AF-D9F7DC7FAA7E}"/>
    <cellStyle name="Comma 982 2 2" xfId="4318" xr:uid="{5F83FF4E-2535-4972-8F87-60043E689589}"/>
    <cellStyle name="Comma 982 3" xfId="3288" xr:uid="{F957D613-7746-4431-93C1-7EE66A1AE36C}"/>
    <cellStyle name="Comma 982 4" xfId="5414" xr:uid="{9F981549-0D9C-4EB6-A6B6-A59D1825EB02}"/>
    <cellStyle name="Comma 983" xfId="1223" xr:uid="{BF82384E-885E-4B82-87A9-81AEC6F32B24}"/>
    <cellStyle name="Comma 983 2" xfId="2261" xr:uid="{2C14A2F6-69BA-44EB-AD1E-CD6844508074}"/>
    <cellStyle name="Comma 983 2 2" xfId="4319" xr:uid="{41B7AE62-3628-49E7-A283-9FCB7DD27E1D}"/>
    <cellStyle name="Comma 983 3" xfId="3289" xr:uid="{9CB9BA4C-A00F-4180-8B81-FA3B8E26A857}"/>
    <cellStyle name="Comma 983 4" xfId="5415" xr:uid="{8DF99A7A-0619-440F-B903-790739CF039A}"/>
    <cellStyle name="Comma 984" xfId="1224" xr:uid="{87B7611C-15BE-4CB4-81F9-E5F615BE25EB}"/>
    <cellStyle name="Comma 984 2" xfId="2262" xr:uid="{37752F03-554D-4420-94E6-70415E015296}"/>
    <cellStyle name="Comma 984 2 2" xfId="4320" xr:uid="{E1CFACDD-79BC-466C-8A95-7C79BC56109D}"/>
    <cellStyle name="Comma 984 3" xfId="3290" xr:uid="{4648B2D1-904E-4FD1-A5F2-C4A9D58C42FF}"/>
    <cellStyle name="Comma 984 4" xfId="5416" xr:uid="{B0FADA91-F1B6-494B-ACF0-798646635AE4}"/>
    <cellStyle name="Comma 985" xfId="1225" xr:uid="{61ABBB55-F81C-46AF-86E6-ABD56070A81E}"/>
    <cellStyle name="Comma 985 2" xfId="2263" xr:uid="{F5AACA8F-9C5D-4AF7-A351-F12C43440045}"/>
    <cellStyle name="Comma 985 2 2" xfId="4321" xr:uid="{6BAB1F92-D779-4146-AFB6-C339A2983A8B}"/>
    <cellStyle name="Comma 985 3" xfId="3291" xr:uid="{5EF9F932-6B85-4516-88B1-9B1775ADBDA8}"/>
    <cellStyle name="Comma 985 4" xfId="5417" xr:uid="{F5B82ABE-4E83-4069-8DC2-E6CADBA07E17}"/>
    <cellStyle name="Comma 986" xfId="1226" xr:uid="{F696B58F-99D8-4494-8BB4-DC9ED244D438}"/>
    <cellStyle name="Comma 986 2" xfId="2264" xr:uid="{13350CED-02DE-420B-AF3A-70CED7C6C5E4}"/>
    <cellStyle name="Comma 986 2 2" xfId="4322" xr:uid="{0131C7C6-E31B-4A87-9E79-6903F725B814}"/>
    <cellStyle name="Comma 986 3" xfId="3292" xr:uid="{A2C872CF-0D27-4FD9-B704-B09A7958C1D8}"/>
    <cellStyle name="Comma 986 4" xfId="5418" xr:uid="{A46A9C3D-4897-42DA-99E6-391150227F79}"/>
    <cellStyle name="Comma 987" xfId="1227" xr:uid="{16AB7FA5-BFD3-4842-A895-5B1476014E65}"/>
    <cellStyle name="Comma 987 2" xfId="2265" xr:uid="{2C598F26-B32B-4008-AD39-6C74C471F368}"/>
    <cellStyle name="Comma 987 2 2" xfId="4323" xr:uid="{3D3D1247-588B-4F64-B72D-684BF7241BC9}"/>
    <cellStyle name="Comma 987 3" xfId="3293" xr:uid="{804CB876-8DE8-4B57-8FCD-68A35CE29609}"/>
    <cellStyle name="Comma 987 4" xfId="5419" xr:uid="{4330B5B8-E133-4519-A3CA-8DDF636A1BD9}"/>
    <cellStyle name="Comma 988" xfId="1228" xr:uid="{841719F4-3FF4-4B75-8D66-5146202DB81E}"/>
    <cellStyle name="Comma 988 2" xfId="2266" xr:uid="{BE45898E-697F-464A-BD9D-52E6DB8B572B}"/>
    <cellStyle name="Comma 988 2 2" xfId="4324" xr:uid="{8F5045BC-E821-4303-BF09-6DB6C9653C8D}"/>
    <cellStyle name="Comma 988 3" xfId="3294" xr:uid="{872C6370-560A-4638-80D8-0A2FBC99E071}"/>
    <cellStyle name="Comma 988 4" xfId="5420" xr:uid="{9FFB9993-D1EE-4DAA-A3C0-64E2FAAE1DED}"/>
    <cellStyle name="Comma 989" xfId="1230" xr:uid="{8FCC7E59-803E-41DC-ACF4-E01ACA5F0376}"/>
    <cellStyle name="Comma 989 2" xfId="2267" xr:uid="{2366227E-76D2-4DEC-B80F-C3F9867304AF}"/>
    <cellStyle name="Comma 989 2 2" xfId="4325" xr:uid="{D3DAFDDA-9FEC-4F96-A80A-CC5729BD9164}"/>
    <cellStyle name="Comma 989 3" xfId="3295" xr:uid="{89BDEFB9-01BC-4976-B286-3C16B4FAA066}"/>
    <cellStyle name="Comma 989 4" xfId="5421" xr:uid="{24949375-7373-4917-A11E-A28C7C79F3C8}"/>
    <cellStyle name="Comma 99" xfId="313" xr:uid="{201E4FA9-0BDB-4047-B072-8030200610B1}"/>
    <cellStyle name="Comma 99 2" xfId="1377" xr:uid="{DC8890A1-1CB6-4F7B-B01A-9CACB62D3E31}"/>
    <cellStyle name="Comma 99 2 2" xfId="3435" xr:uid="{1C880559-C095-408B-8598-F041F80354D1}"/>
    <cellStyle name="Comma 99 3" xfId="2405" xr:uid="{E89623A2-8BE4-4D31-BB1B-3803C06D218C}"/>
    <cellStyle name="Comma 99 4" xfId="4531" xr:uid="{2B265AE9-8272-459E-AB5F-22B0E57E1FFA}"/>
    <cellStyle name="Comma 990" xfId="1232" xr:uid="{4A012C29-FFA8-4080-97AA-728CAE116209}"/>
    <cellStyle name="Comma 990 2" xfId="2268" xr:uid="{0D293117-4C6F-45CB-8ED9-E45AD6D77E26}"/>
    <cellStyle name="Comma 990 2 2" xfId="4326" xr:uid="{622667C2-561F-4CCB-B4B2-38ACAAD63797}"/>
    <cellStyle name="Comma 990 3" xfId="3296" xr:uid="{D3EE5822-94D1-4772-869F-8354583EB241}"/>
    <cellStyle name="Comma 990 4" xfId="5422" xr:uid="{D9E685E6-4281-4E52-A40B-11B89FC3093B}"/>
    <cellStyle name="Comma 991" xfId="1234" xr:uid="{773C00B8-3073-4621-81F3-60F4021F7766}"/>
    <cellStyle name="Comma 991 2" xfId="2269" xr:uid="{34B06CEE-3927-4075-8186-40D15360743B}"/>
    <cellStyle name="Comma 991 2 2" xfId="4327" xr:uid="{18A45159-8E57-4A1F-AA70-E702453B56A5}"/>
    <cellStyle name="Comma 991 3" xfId="3297" xr:uid="{B024716C-1BDA-47E5-98FD-11D4D9FA21CC}"/>
    <cellStyle name="Comma 991 4" xfId="5423" xr:uid="{91F3ED3B-C516-4FD9-8333-AAC3F5ED9D3C}"/>
    <cellStyle name="Comma 992" xfId="1236" xr:uid="{05415D19-2112-4098-A2EF-C13509AE3375}"/>
    <cellStyle name="Comma 992 2" xfId="2270" xr:uid="{F34AB822-7909-474D-82D1-B4D47EC60A4E}"/>
    <cellStyle name="Comma 992 2 2" xfId="4328" xr:uid="{92B1299A-C78F-4EA6-BDD3-CAD8B240EC21}"/>
    <cellStyle name="Comma 992 3" xfId="3298" xr:uid="{6B98B0D9-65FC-4E02-8BB6-FCC3C49CFBB6}"/>
    <cellStyle name="Comma 992 4" xfId="5424" xr:uid="{37E57D50-A75E-4AC8-9CB5-85FB0B05AE52}"/>
    <cellStyle name="Comma 993" xfId="1238" xr:uid="{38AA1DAB-21F8-43D7-A930-B81CEA8D1B24}"/>
    <cellStyle name="Comma 993 2" xfId="2271" xr:uid="{3AA34257-8C65-4DF6-A999-5692C18DB32A}"/>
    <cellStyle name="Comma 993 2 2" xfId="4329" xr:uid="{A0494B45-43B4-4B2E-BCF1-E806421F581A}"/>
    <cellStyle name="Comma 993 3" xfId="3299" xr:uid="{A5A280F8-4889-4D36-821B-8F5000B0CFEE}"/>
    <cellStyle name="Comma 993 4" xfId="5425" xr:uid="{66674814-05F0-496D-AE46-00F8CBA3E536}"/>
    <cellStyle name="Comma 994" xfId="1239" xr:uid="{06A9BBD8-2741-40B4-9989-54DA27CF092A}"/>
    <cellStyle name="Comma 994 2" xfId="2272" xr:uid="{D18E1DC6-F672-4524-AE01-BE4F39D1DCDA}"/>
    <cellStyle name="Comma 994 2 2" xfId="4330" xr:uid="{7D2E8CC2-6583-46C5-8A92-6FECC3459742}"/>
    <cellStyle name="Comma 994 3" xfId="3300" xr:uid="{27BB52FE-DF16-4ABE-B387-45FD93DBA005}"/>
    <cellStyle name="Comma 994 4" xfId="5426" xr:uid="{0D8C5F28-B203-45DE-BA6C-B60F9763CB61}"/>
    <cellStyle name="Comma 995" xfId="1242" xr:uid="{D51EC0AB-8D09-4D1E-8EFE-DAB998B31C17}"/>
    <cellStyle name="Comma 995 2" xfId="2273" xr:uid="{6966AF1C-371B-475A-910E-99ED0072FB77}"/>
    <cellStyle name="Comma 995 2 2" xfId="4331" xr:uid="{BFA90685-1C8D-476C-BAD0-15553CBE3F73}"/>
    <cellStyle name="Comma 995 3" xfId="3301" xr:uid="{65BC7402-8737-4E1D-8DAA-8341E7C91063}"/>
    <cellStyle name="Comma 995 4" xfId="5427" xr:uid="{7E1A7F67-AB48-432B-9DC8-093CAAB57D22}"/>
    <cellStyle name="Comma 996" xfId="1244" xr:uid="{30EFFF73-2DC7-4311-A84E-46D89C2AD8B4}"/>
    <cellStyle name="Comma 996 2" xfId="2274" xr:uid="{A3FEC1A3-ED58-48A5-B576-51DD43678496}"/>
    <cellStyle name="Comma 996 2 2" xfId="4332" xr:uid="{C5EC8F95-D53E-41EC-A33F-9256186D233E}"/>
    <cellStyle name="Comma 996 3" xfId="3302" xr:uid="{53230806-4B18-40CF-9EC8-5AAE5B20E2DA}"/>
    <cellStyle name="Comma 996 4" xfId="5428" xr:uid="{9C467A77-2962-4F1E-A2A9-3EE819C8B580}"/>
    <cellStyle name="Comma 997" xfId="1245" xr:uid="{41DAD154-C8C6-4549-9F22-B89ABA6E1EBE}"/>
    <cellStyle name="Comma 997 2" xfId="2275" xr:uid="{D0307C78-8A08-45DC-922A-0EB3217D551F}"/>
    <cellStyle name="Comma 997 2 2" xfId="4333" xr:uid="{19748D8F-BC75-4BF4-8370-4B40CC7FFBD9}"/>
    <cellStyle name="Comma 997 3" xfId="3303" xr:uid="{C0190CE3-27C0-46F9-934B-94215C062450}"/>
    <cellStyle name="Comma 997 4" xfId="5429" xr:uid="{AC1754C0-F08D-4F16-81E2-447A09FA62CC}"/>
    <cellStyle name="Comma 998" xfId="1246" xr:uid="{39587E16-AAF2-49A7-8A53-6C6D075AC1C5}"/>
    <cellStyle name="Comma 998 2" xfId="2276" xr:uid="{A6B8DF47-CDFE-4B75-961F-B6EE5C62ACD1}"/>
    <cellStyle name="Comma 998 2 2" xfId="4334" xr:uid="{7B69611D-8756-4ECA-98C6-5B728FDB1FE0}"/>
    <cellStyle name="Comma 998 3" xfId="3304" xr:uid="{B910F37F-2338-4480-BD23-D2FB37CB4D6C}"/>
    <cellStyle name="Comma 998 4" xfId="5430" xr:uid="{4759EB24-1467-4CFD-A6AF-7C3706047957}"/>
    <cellStyle name="Comma 999" xfId="1247" xr:uid="{2434AB7A-27C0-4E21-9A01-30DAB9A57293}"/>
    <cellStyle name="Comma 999 2" xfId="2277" xr:uid="{76E5692C-56B2-4F7D-B6AB-4F1A26E18751}"/>
    <cellStyle name="Comma 999 2 2" xfId="4335" xr:uid="{9A4E1CD1-5AD9-4118-8A6B-A6C39D250E75}"/>
    <cellStyle name="Comma 999 3" xfId="3305" xr:uid="{CB218D1C-8714-4BE0-9F5C-C8E98BA22B84}"/>
    <cellStyle name="Comma 999 4" xfId="5431" xr:uid="{67BFC789-DF78-4F6E-946D-C9ACCFD0DDC1}"/>
    <cellStyle name="Comma0" xfId="76" xr:uid="{6E799D24-F531-45BD-8CF9-30C1405FC385}"/>
    <cellStyle name="Company" xfId="77" xr:uid="{9A652823-2DB7-4DCD-AE10-5011F0369CB2}"/>
    <cellStyle name="Crystal Report Data" xfId="78" xr:uid="{C0855377-C586-4900-8853-859A17429977}"/>
    <cellStyle name="Crystal Report Field" xfId="79" xr:uid="{0DC414D8-0BDE-4A9A-9660-31F5950D266A}"/>
    <cellStyle name="Currency0" xfId="80" xr:uid="{00A0503A-70D9-4FFB-98AF-EC0984913EAB}"/>
    <cellStyle name="CutHike" xfId="81" xr:uid="{6EF705EB-2515-4D0A-8157-5AC3A6BD8547}"/>
    <cellStyle name="Data1" xfId="82" xr:uid="{10D4BCB7-7C3F-47B1-B955-661509B5A6BC}"/>
    <cellStyle name="Data2" xfId="83" xr:uid="{B4C7A2FB-E81F-49A0-B81F-A59EF76975E6}"/>
    <cellStyle name="Date" xfId="84" xr:uid="{3EFFD2D6-ADD5-450E-8C9C-B16AFF6CB1C7}"/>
    <cellStyle name="Dezimal [0]_RESULTS" xfId="85" xr:uid="{9C2DD864-CABB-463E-B710-A0B3962B3461}"/>
    <cellStyle name="Dezimal_RESULTS" xfId="86" xr:uid="{C6EB6EB0-207A-48B8-8918-79DB8458D798}"/>
    <cellStyle name="Ênfase1" xfId="4392" xr:uid="{33B2A972-6C2E-4C63-8F88-097B96C80445}"/>
    <cellStyle name="Ênfase2" xfId="4393" xr:uid="{D1603CFF-2641-4C14-938F-E270ABEC53A0}"/>
    <cellStyle name="Ênfase3" xfId="4394" xr:uid="{6EC9ABCA-39CB-4220-8788-788A1EA3D7E4}"/>
    <cellStyle name="Ênfase4" xfId="4395" xr:uid="{F7D8D937-17FD-4B51-A471-32FB0FDDC381}"/>
    <cellStyle name="Ênfase5" xfId="4396" xr:uid="{6548B764-EF7D-4E87-AC40-BEF6884B0658}"/>
    <cellStyle name="Ênfase6" xfId="4397" xr:uid="{CCE33A77-A062-4009-97F4-18B5AB2E3708}"/>
    <cellStyle name="Entrada" xfId="7" xr:uid="{2B5746E3-4DF1-49E0-9306-DFD6322582B5}"/>
    <cellStyle name="Entrada 2" xfId="4398" xr:uid="{35D9E639-F676-4A02-AD51-ABA1B44C4447}"/>
    <cellStyle name="Estilo 1" xfId="93" xr:uid="{C2F3D50A-6F78-4404-953E-C32456C35573}"/>
    <cellStyle name="Euro" xfId="94" xr:uid="{911BCACF-3DAA-492D-AABD-2FBB1DAD6279}"/>
    <cellStyle name="Explanatory Text" xfId="179" builtinId="53" customBuiltin="1"/>
    <cellStyle name="Explanatory Text 2" xfId="95" xr:uid="{0FF7D198-63A7-452C-96CF-61E4EA7EE8B1}"/>
    <cellStyle name="Fixed" xfId="96" xr:uid="{2E30ABCF-4F2B-4DA5-A8A8-872D8235B28F}"/>
    <cellStyle name="Footnote" xfId="97" xr:uid="{8F27072C-532C-44BA-8F97-2DD375D753CC}"/>
    <cellStyle name="Good" xfId="4358" builtinId="26" customBuiltin="1"/>
    <cellStyle name="Good 2" xfId="98" xr:uid="{2216409F-0C9E-45BD-BA6A-C9363901608F}"/>
    <cellStyle name="GWN Table Body" xfId="99" xr:uid="{F043E6B5-6C9E-46C1-8022-C30FAA1582AA}"/>
    <cellStyle name="GWN Table Header" xfId="100" xr:uid="{61E7310C-248A-4C1A-A450-B7D509C76C0D}"/>
    <cellStyle name="GWN Table Left Header" xfId="101" xr:uid="{528F47AC-6D44-4D40-A0EB-117E1394B775}"/>
    <cellStyle name="GWN Table Note" xfId="102" xr:uid="{4206F02C-495B-40C4-ABB4-A8F5E01B5781}"/>
    <cellStyle name="GWN Table Title" xfId="103" xr:uid="{22956D83-0CCE-42A0-83E3-639DF35F65D4}"/>
    <cellStyle name="Heading 1" xfId="184" builtinId="16" customBuiltin="1"/>
    <cellStyle name="Heading 1 2" xfId="104" xr:uid="{65F8B756-147A-45F9-9501-CD5489F5E747}"/>
    <cellStyle name="Heading 2" xfId="185" builtinId="17" customBuiltin="1"/>
    <cellStyle name="Heading 2 2" xfId="105" xr:uid="{9681122F-D263-4883-A9D5-4471E84B657E}"/>
    <cellStyle name="Heading 3" xfId="186" builtinId="18" customBuiltin="1"/>
    <cellStyle name="Heading 3 2" xfId="106" xr:uid="{626B0324-0851-4236-97C5-2E954B1FB70A}"/>
    <cellStyle name="Heading 4" xfId="187" builtinId="19" customBuiltin="1"/>
    <cellStyle name="Heading 4 2" xfId="107" xr:uid="{092B0FB6-FF47-42CD-9F17-A3329C007FFC}"/>
    <cellStyle name="Hyperlink 2" xfId="108" xr:uid="{698FF00C-77F1-4CF0-AE5B-8366C85289F1}"/>
    <cellStyle name="Incorreto" xfId="109" xr:uid="{1BF29C57-6398-4691-9B46-CB443F9B37C0}"/>
    <cellStyle name="Input" xfId="4359" builtinId="20" customBuiltin="1"/>
    <cellStyle name="Input 2" xfId="110" xr:uid="{021FB9AE-846D-4933-B5AC-2E95EA6E3F7B}"/>
    <cellStyle name="Item" xfId="111" xr:uid="{9FD6542C-6B2F-46A5-A49D-3E22A3CD8C16}"/>
    <cellStyle name="ItemTypeClass" xfId="112" xr:uid="{36FD69BB-6F1A-4AB3-91BB-AF1D33FBCE14}"/>
    <cellStyle name="Linked Cell" xfId="4360" builtinId="24" customBuiltin="1"/>
    <cellStyle name="Linked Cell 2" xfId="113" xr:uid="{1CCD2CEF-B881-41CB-8C1E-FFD60AEFF4E5}"/>
    <cellStyle name="Moeda [0]_PERSON2" xfId="4399" xr:uid="{6084ECB1-7AEB-4703-8991-9393C103D716}"/>
    <cellStyle name="Moeda_CDI PACTUAL- CLAUDIO" xfId="4400" xr:uid="{608BEDB2-0C67-4615-9322-BF5825D2B983}"/>
    <cellStyle name="Neutra" xfId="114" xr:uid="{6EAC82D1-0290-42A7-AA5C-680BE4C678D2}"/>
    <cellStyle name="Neutral" xfId="6" builtinId="28" customBuiltin="1"/>
    <cellStyle name="Neutral 2" xfId="115" xr:uid="{4984C95F-CD77-40C7-B24B-0D3DF294180A}"/>
    <cellStyle name="Normal" xfId="0" builtinId="0"/>
    <cellStyle name="Normal - Style1" xfId="116" xr:uid="{6CBB2C85-C1A4-49F7-9C12-D9F60D5EFCCE}"/>
    <cellStyle name="Normal 10" xfId="267" xr:uid="{3B930969-2BB3-4786-B841-25A9F5AE7500}"/>
    <cellStyle name="Normal 10 2" xfId="282" xr:uid="{A39B0175-31D2-438E-AA89-0AD9D48484DE}"/>
    <cellStyle name="Normal 11" xfId="283" xr:uid="{2417C1DF-683E-4558-BC3B-EA99BAB83C25}"/>
    <cellStyle name="Normal 11 2" xfId="316" xr:uid="{A2635729-60EB-4E3B-9F81-787B30E6E888}"/>
    <cellStyle name="Normal 11 3" xfId="368" xr:uid="{F8B8DA87-D0A0-4C4C-B10C-0F4F1EDC1E01}"/>
    <cellStyle name="Normal 12" xfId="284" xr:uid="{FE618A9F-CEA9-4F95-8B24-CE3CF6F7675B}"/>
    <cellStyle name="Normal 12 2" xfId="300" xr:uid="{45FF509B-EE8E-40E8-B0B3-D32CA330C2F2}"/>
    <cellStyle name="Normal 12 3" xfId="317" xr:uid="{9DBF763B-9DD5-4BD1-A045-2A1EEFCAE667}"/>
    <cellStyle name="Normal 13" xfId="318" xr:uid="{2DFFC263-7300-4EC8-9636-139FDB526824}"/>
    <cellStyle name="Normal 13 2" xfId="358" xr:uid="{65DDEDF0-5CE1-44D2-951B-5D03C4C0639F}"/>
    <cellStyle name="Normal 14" xfId="319" xr:uid="{659C44F5-A6C5-4830-AEE4-F995E996ED26}"/>
    <cellStyle name="Normal 14 2" xfId="359" xr:uid="{F0CA5039-7D7C-4C08-85C6-8A0A25C352AF}"/>
    <cellStyle name="Normal 15" xfId="320" xr:uid="{70749216-EF90-4D1F-9F17-F870ADED195F}"/>
    <cellStyle name="Normal 15 2" xfId="360" xr:uid="{4C94BD55-16C7-4CBA-A55E-08A91EBE2927}"/>
    <cellStyle name="Normal 16" xfId="380" xr:uid="{9CB5FD33-FFA7-42CB-B84C-87D83C48624A}"/>
    <cellStyle name="Normal 16 2" xfId="1229" xr:uid="{A054CFC8-A8E1-4DAC-9016-BB8E688EA0A2}"/>
    <cellStyle name="Normal 17" xfId="369" xr:uid="{5378B87C-BDCD-4556-A78C-659A6C05D4EF}"/>
    <cellStyle name="Normal 17 2" xfId="1231" xr:uid="{8923B701-9F34-42CE-B14B-C188D0A2AB05}"/>
    <cellStyle name="Normal 18" xfId="370" xr:uid="{9203FDB8-4FA6-4262-937C-ADDF3EC930B1}"/>
    <cellStyle name="Normal 18 2" xfId="1233" xr:uid="{AE3EA9D8-FBD7-4580-8B8E-41E61ABC2280}"/>
    <cellStyle name="Normal 19" xfId="381" xr:uid="{4A5F83A0-E0C0-42DA-8E04-D82774A3FB1A}"/>
    <cellStyle name="Normal 19 2" xfId="1235" xr:uid="{4EB3C161-798C-4807-A8A2-1EEC75470983}"/>
    <cellStyle name="Normal 194" xfId="286" xr:uid="{D75604EF-F8D0-423C-8921-E52F8E7D2A37}"/>
    <cellStyle name="Normal 2" xfId="117" xr:uid="{1723D63A-8C33-42C7-AAAB-555BC084F6C3}"/>
    <cellStyle name="Normal 2 11" xfId="118" xr:uid="{9784929F-E2D8-4C54-B8CB-40BD5DAE26C0}"/>
    <cellStyle name="Normal 2 2" xfId="119" xr:uid="{4804E576-9156-4DE7-A862-04B3A2116C3C}"/>
    <cellStyle name="Normal 2 2 2" xfId="225" xr:uid="{28825D2A-5450-4F35-A726-F725CABFE3B7}"/>
    <cellStyle name="Normal 2 3" xfId="120" xr:uid="{3AFBE575-7E78-406B-A3AB-BBA4F25C5562}"/>
    <cellStyle name="Normal 2 4" xfId="197" xr:uid="{929971C7-26A0-4C76-B57F-675ED88A3842}"/>
    <cellStyle name="Normal 2 5" xfId="224" xr:uid="{D220B6FA-9087-478B-8071-F8661964D1B6}"/>
    <cellStyle name="Normal 2 6" xfId="285" xr:uid="{23596ABA-6F71-4AB7-B4A6-1786C41A94F6}"/>
    <cellStyle name="Normal 20" xfId="1237" xr:uid="{1DAFB88B-591D-4B8B-9920-264BC544A5D4}"/>
    <cellStyle name="Normal 21" xfId="1240" xr:uid="{AAD4631B-4556-4659-878F-77B7AF74F583}"/>
    <cellStyle name="Normal 22" xfId="1241" xr:uid="{34BA1430-F1DC-4871-8DE1-02C7FA5F0AB2}"/>
    <cellStyle name="Normal 23" xfId="1243" xr:uid="{43BEF207-CC17-4B6E-B2DD-92161AE12203}"/>
    <cellStyle name="Normal 24" xfId="372" xr:uid="{0ACAF365-02AA-40E6-B023-DCD05D90ADA4}"/>
    <cellStyle name="Normal 25" xfId="371" xr:uid="{F83B230E-1487-4601-B457-E6CDBA39D6BC}"/>
    <cellStyle name="Normal 268" xfId="121" xr:uid="{B4A829F7-730E-4071-AB2B-415D706D1AF0}"/>
    <cellStyle name="Normal 3" xfId="122" xr:uid="{14E24121-8157-4EDD-9C8C-358F5ED2DF74}"/>
    <cellStyle name="Normal 3 2" xfId="227" xr:uid="{EF6128AC-2A42-449B-93AA-F5FC8ECF0A26}"/>
    <cellStyle name="Normal 3 3" xfId="226" xr:uid="{37406F78-4C49-4684-8790-8D590E167E5B}"/>
    <cellStyle name="Normal 31" xfId="374" xr:uid="{9CF3A4D3-AE2E-471B-8B40-122107ECBB6C}"/>
    <cellStyle name="Normal 32" xfId="373" xr:uid="{0C6B33D0-5905-4FEE-9440-E575139EA7AA}"/>
    <cellStyle name="Normal 39" xfId="377" xr:uid="{E05139CB-224F-4041-8DE0-6DD1E9011020}"/>
    <cellStyle name="Normal 4" xfId="123" xr:uid="{F9689918-0DBF-4B4F-87FD-EC2F8D965E4E}"/>
    <cellStyle name="Normal 4 2" xfId="124" xr:uid="{E663E536-2DA7-4923-BCBC-63B9F52C66BC}"/>
    <cellStyle name="Normal 42" xfId="376" xr:uid="{A28D969F-2E12-4CD4-BC77-0BB2B8A8DC70}"/>
    <cellStyle name="Normal 45" xfId="379" xr:uid="{23841322-4911-4B4A-B771-4A0C3FB34AEA}"/>
    <cellStyle name="Normal 46" xfId="378" xr:uid="{D20FCE35-1F92-4CDD-97A9-C10EE4E7A060}"/>
    <cellStyle name="Normal 5" xfId="125" xr:uid="{E1DEE5B6-BEC5-4EEF-BA01-3E3D8E9C57F6}"/>
    <cellStyle name="Normal 5 2" xfId="126" xr:uid="{3802802E-B57E-4F14-98B5-70F560504447}"/>
    <cellStyle name="Normal 5 3" xfId="228" xr:uid="{3CFF8EBA-9BC3-4DCB-AE20-C23D7F265410}"/>
    <cellStyle name="Normal 6" xfId="196" xr:uid="{5F48E433-92B9-4198-BC0B-A5973C859E06}"/>
    <cellStyle name="Normal 6 2" xfId="287" xr:uid="{07B6FFBD-1CF9-4356-BBFB-FF24D7F2F49E}"/>
    <cellStyle name="Normal 7" xfId="127" xr:uid="{D03F1DBC-571E-402A-8CA7-82721D18E17D}"/>
    <cellStyle name="Normal 8" xfId="232" xr:uid="{46A6B903-11AA-4A05-99ED-B9F72255F855}"/>
    <cellStyle name="Normal 8 2" xfId="258" xr:uid="{70FAD8E0-DB07-4CBF-A64B-597A2353EA1D}"/>
    <cellStyle name="Normal 8 3" xfId="278" xr:uid="{9F85E8E0-24F2-4602-A138-E76F90CDCDC5}"/>
    <cellStyle name="Normal 9" xfId="266" xr:uid="{59306BFF-E6C0-4B8C-9D04-8B495229B543}"/>
    <cellStyle name="Normal 9 2" xfId="281" xr:uid="{0DFEF053-A36B-4487-BA2D-AC1D69CB76D5}"/>
    <cellStyle name="Nota" xfId="11" xr:uid="{C6338A07-0A23-4312-92DD-B12961035702}"/>
    <cellStyle name="Nota 2" xfId="4401" xr:uid="{CD777A75-B138-4C85-8468-70055C202ED4}"/>
    <cellStyle name="Note" xfId="4363" builtinId="10" customBuiltin="1"/>
    <cellStyle name="Note 2" xfId="128" xr:uid="{B9AF3818-6A3D-4020-B764-D5C92F0A338A}"/>
    <cellStyle name="Notes" xfId="129" xr:uid="{A1BA0750-9D09-4E12-AE86-62D0B9D3C27A}"/>
    <cellStyle name="OT" xfId="130" xr:uid="{5D2D3250-436C-4A7F-8864-40BE31B4DB5E}"/>
    <cellStyle name="Output" xfId="140" builtinId="21" customBuiltin="1"/>
    <cellStyle name="Output 2" xfId="131" xr:uid="{3C827637-6694-40F4-AB01-F2204E61AB47}"/>
    <cellStyle name="Percent" xfId="1" builtinId="5"/>
    <cellStyle name="Percent 2" xfId="132" xr:uid="{3E570BB9-D0F4-498F-B5DC-2C7C72C17D2D}"/>
    <cellStyle name="Percent 2 2" xfId="133" xr:uid="{82B993B7-DA67-41F9-80BB-2A91E1BAD6FD}"/>
    <cellStyle name="Percent 3" xfId="229" xr:uid="{416BC693-4291-4772-852D-D7A3105EBA47}"/>
    <cellStyle name="Percent 4" xfId="230" xr:uid="{DC08FDEC-41AA-4386-A52F-0C6A46B830C8}"/>
    <cellStyle name="Percent 5" xfId="4420" xr:uid="{948F0733-19A3-4549-8EE6-D98BB2497B0E}"/>
    <cellStyle name="PercentChange" xfId="134" xr:uid="{5D62D87A-A6D0-4972-A5C4-EFA0FE45FDF9}"/>
    <cellStyle name="Prozent_HP PLotter_open" xfId="135" xr:uid="{3C258FBF-F297-4D80-A7F3-EB017C6A60FB}"/>
    <cellStyle name="RatioX" xfId="136" xr:uid="{676ACE23-3738-4780-8E3E-C1E2B8AC0D64}"/>
    <cellStyle name="RMIR Max Move" xfId="137" xr:uid="{106485D0-B082-454E-A2FD-D69EC94F5B66}"/>
    <cellStyle name="RMIR Size" xfId="138" xr:uid="{8CC1A847-E0A7-4A82-9C90-52D23674F4E4}"/>
    <cellStyle name="RMIR Unit" xfId="139" xr:uid="{5C91C2F2-F389-42DC-95CF-E855E8F7180E}"/>
    <cellStyle name="Saída" xfId="4402" xr:uid="{CCCBA8DA-66A9-4B27-B686-EC5ED5A54BAD}"/>
    <cellStyle name="SAPBEXaggData" xfId="141" xr:uid="{20D734D7-9233-4F28-88F5-794AA0C3AC15}"/>
    <cellStyle name="SAPBEXaggDataEmph" xfId="142" xr:uid="{2A7DE083-B1AB-46B1-AF30-7EAAD90BA260}"/>
    <cellStyle name="SAPBEXaggItem" xfId="143" xr:uid="{798D19C7-5C81-4F29-B1DF-BFE201DECD69}"/>
    <cellStyle name="SAPBEXchaText" xfId="144" xr:uid="{A5B71489-9C8E-4D0E-A35B-1C764ADEAEE5}"/>
    <cellStyle name="SAPBEXexcBad7" xfId="145" xr:uid="{0126A8AC-F05A-44AC-ADD5-CF536FECD1DE}"/>
    <cellStyle name="SAPBEXexcBad8" xfId="146" xr:uid="{020DBDC6-827F-4857-967D-12BEDA76AE0B}"/>
    <cellStyle name="SAPBEXexcBad9" xfId="147" xr:uid="{8725767A-8776-460A-91E6-EDF233A9E175}"/>
    <cellStyle name="SAPBEXexcCritical4" xfId="148" xr:uid="{174677E8-5838-40D8-9733-B24C8FC9A2CF}"/>
    <cellStyle name="SAPBEXexcCritical5" xfId="149" xr:uid="{FD40B471-1E6B-423B-8E5D-CB7717D92D73}"/>
    <cellStyle name="SAPBEXexcCritical6" xfId="150" xr:uid="{35D9727C-1941-4BE4-8695-AB7D63DD52A3}"/>
    <cellStyle name="SAPBEXexcGood1" xfId="151" xr:uid="{219FF065-2F15-453A-88AC-D9AB4C73B1AA}"/>
    <cellStyle name="SAPBEXexcGood2" xfId="152" xr:uid="{B39F4C1B-4D4E-4FA8-BD5F-EA46F76BDE20}"/>
    <cellStyle name="SAPBEXexcGood3" xfId="153" xr:uid="{8A43CDDE-4CAD-4B34-BECF-55CF979D2E39}"/>
    <cellStyle name="SAPBEXfilterDrill" xfId="154" xr:uid="{7B0B64CE-0FA5-4DAD-9133-473F518D6A8D}"/>
    <cellStyle name="SAPBEXfilterItem" xfId="155" xr:uid="{98FC7328-698A-4193-A6DE-A0E8B96270CB}"/>
    <cellStyle name="SAPBEXfilterText" xfId="156" xr:uid="{BCEC4EBA-64F4-4D68-A172-D65D3CBA66D9}"/>
    <cellStyle name="SAPBEXformats" xfId="157" xr:uid="{B72FA335-2A64-48D5-A16F-646BD0D24285}"/>
    <cellStyle name="SAPBEXheaderItem" xfId="158" xr:uid="{847B9D01-E4DF-467C-8EF9-250FF62977D6}"/>
    <cellStyle name="SAPBEXheaderText" xfId="159" xr:uid="{5A51A79E-941C-4021-92B8-34274BD7BD1B}"/>
    <cellStyle name="SAPBEXresData" xfId="160" xr:uid="{9E040078-E368-4EF6-8561-76CAA6CC38D3}"/>
    <cellStyle name="SAPBEXresDataEmph" xfId="161" xr:uid="{F829F2DD-68DE-4FA3-A65D-1E7E520AA26E}"/>
    <cellStyle name="SAPBEXresItem" xfId="162" xr:uid="{2ADD853D-F6E1-47C0-9D89-733EBD2EA3B3}"/>
    <cellStyle name="SAPBEXstdData" xfId="163" xr:uid="{80F0A9CA-9038-4802-8E8A-134FFB450F9B}"/>
    <cellStyle name="SAPBEXstdDataEmph" xfId="164" xr:uid="{247727F2-352A-4D66-9651-4DE805916813}"/>
    <cellStyle name="SAPBEXstdItem" xfId="165" xr:uid="{60C15634-337A-4D72-BF65-A7D91ACED33E}"/>
    <cellStyle name="SAPBEXtitle" xfId="166" xr:uid="{59F370A2-244A-4DAD-A8C7-C84D4954BE20}"/>
    <cellStyle name="SAPBEXundefined" xfId="167" xr:uid="{2AA96E92-E9F5-4609-BEFC-53C30EA6C32D}"/>
    <cellStyle name="ScripFactor" xfId="168" xr:uid="{1B943E7E-6A4E-40D6-AE2E-D6B7C0CD6950}"/>
    <cellStyle name="SectionHeading" xfId="169" xr:uid="{C14706FF-18FF-4769-823A-82A74736952D}"/>
    <cellStyle name="Separador de milhares [0]_PERSON2" xfId="4403" xr:uid="{7B287B8E-2AF6-4689-8CDA-937F09407B56}"/>
    <cellStyle name="Separador de milhares_CDI PACTUAL- CLAUDIO" xfId="4404" xr:uid="{7F9FCE6B-0073-4EF2-A827-4D27CEBA5CDF}"/>
    <cellStyle name="Spread" xfId="170" xr:uid="{45475724-0DFC-41DE-B967-D2C817430C29}"/>
    <cellStyle name="Spreads" xfId="171" xr:uid="{69132EED-8EB8-4047-AC6C-B99A454AE524}"/>
    <cellStyle name="Standaard_KKKKK" xfId="172" xr:uid="{6D54F394-6F04-4D47-A065-D788E4D0DCAD}"/>
    <cellStyle name="Standard_HP PLotter_open" xfId="173" xr:uid="{248DF778-DA23-4561-A217-3D8C2E700CDB}"/>
    <cellStyle name="Style 1" xfId="174" xr:uid="{A37FFB46-549E-4DCB-8C5B-69AD4E9F37D5}"/>
    <cellStyle name="Style 1 2" xfId="175" xr:uid="{004AEDC6-1622-40B7-9876-A89FE8AA4B8C}"/>
    <cellStyle name="Table Heading" xfId="176" xr:uid="{061D9209-4411-4BD8-9264-0E15D7311028}"/>
    <cellStyle name="Table Title" xfId="177" xr:uid="{CE61DF0A-FB99-49F4-B107-3CBB4C291822}"/>
    <cellStyle name="Table Units" xfId="178" xr:uid="{547958AE-53DD-485C-8275-A95B8886BA1C}"/>
    <cellStyle name="Texto de Aviso" xfId="10" xr:uid="{4125D5B1-F12B-4407-BF1A-146041173F44}"/>
    <cellStyle name="Texto de Aviso 2" xfId="4405" xr:uid="{4CE6ECB2-0434-481B-BDFC-EE7E8D4498B3}"/>
    <cellStyle name="Texto Explicativo" xfId="4406" xr:uid="{CB73BE47-996E-4C23-8922-33605F718C96}"/>
    <cellStyle name="Title" xfId="183" builtinId="15" customBuiltin="1"/>
    <cellStyle name="Title 2" xfId="180" xr:uid="{779216B2-66D2-4810-A929-56DB94BCBB82}"/>
    <cellStyle name="Title 2 2" xfId="181" xr:uid="{AD37327C-EA01-43DC-A5EF-DC7F36D7070F}"/>
    <cellStyle name="Titles" xfId="182" xr:uid="{0CF9AE79-F7BA-4413-8C1D-E0CBF88C35AB}"/>
    <cellStyle name="Título" xfId="4407" xr:uid="{83C7B909-FDDF-4786-8526-B354184596FE}"/>
    <cellStyle name="Título 1" xfId="4408" xr:uid="{36B3A3CD-5631-4041-A1EF-A03A3BCF1B8D}"/>
    <cellStyle name="Título 2" xfId="4409" xr:uid="{80B2F631-0225-457D-8F63-257A6161832B}"/>
    <cellStyle name="Título 3" xfId="4410" xr:uid="{08A60EDD-2491-4EB5-B083-4A56F9142F86}"/>
    <cellStyle name="Título 4" xfId="4411" xr:uid="{8D4AA849-4C5A-4103-BB15-444789C92E02}"/>
    <cellStyle name="Título_Data" xfId="4412" xr:uid="{2BDABDC0-7D70-4ADB-A649-15E2BC7A57EE}"/>
    <cellStyle name="Total" xfId="12" builtinId="25" customBuiltin="1"/>
    <cellStyle name="Total 2" xfId="188" xr:uid="{C67F556C-9414-4FC2-BC22-906B07CE7536}"/>
    <cellStyle name="UltimoRate" xfId="189" xr:uid="{CEC497E9-9CC3-403E-A757-98903F1E5EDC}"/>
    <cellStyle name="Vírgula" xfId="4413" xr:uid="{D8E66B37-2579-4EF8-97EB-42F1F7BE9266}"/>
    <cellStyle name="Vírgula 3" xfId="191" xr:uid="{6FC83F1B-A55B-4A8D-B560-C6DCD9DDBF5E}"/>
    <cellStyle name="Vírgula 3 2" xfId="1282" xr:uid="{C51A28FC-92F1-4CF7-B987-B8557BDF7EAE}"/>
    <cellStyle name="Vírgula 3 2 2" xfId="3340" xr:uid="{BC3BC18C-9E3E-4AE1-8DED-7F8946B1C6F0}"/>
    <cellStyle name="Vírgula 3 3" xfId="2310" xr:uid="{64AA42A3-494B-45AC-821A-85C0BECC6097}"/>
    <cellStyle name="Vírgula 3 4" xfId="4436" xr:uid="{B5BFB2B8-7105-4A82-8E26-E00C338EDE20}"/>
    <cellStyle name="Währung [0]_RESULTS" xfId="192" xr:uid="{7334A04D-DE34-4C83-A2A2-4FE8747907CA}"/>
    <cellStyle name="Währung_RESULTS" xfId="193" xr:uid="{74E2F173-CB01-437C-B2D5-BAA3BD79FABD}"/>
    <cellStyle name="Warning Text" xfId="4362" builtinId="11" customBuiltin="1"/>
    <cellStyle name="Warning Text 2" xfId="194" xr:uid="{9CA85F8E-1FD6-4350-9E41-606A6973E10D}"/>
  </cellStyles>
  <dxfs count="176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5" formatCode="d/m/yy;@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" formatCode="#,##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auto="1"/>
        </patternFill>
      </fill>
    </dxf>
    <dxf>
      <numFmt numFmtId="166" formatCode="#,##0_ ;[Red]\-#,##0\ "/>
    </dxf>
    <dxf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96" formatCode="0.00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numFmt numFmtId="166" formatCode="#,##0_ ;[Red]\-#,##0\ 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7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auto="1"/>
        </patternFill>
      </fill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</dxf>
    <dxf>
      <alignment wrapText="1"/>
    </dxf>
    <dxf>
      <alignment wrapText="1"/>
    </dxf>
    <dxf>
      <alignment horizontal="center"/>
    </dxf>
    <dxf>
      <alignment horizontal="center"/>
    </dxf>
    <dxf>
      <alignment vertical="center"/>
    </dxf>
    <dxf>
      <alignment vertical="center"/>
    </dxf>
    <dxf>
      <numFmt numFmtId="170" formatCode="#,##0.00_ ;[Red]\-#,##0.00\ 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numFmt numFmtId="14" formatCode="0.00%"/>
      <alignment vertical="center" wrapText="1"/>
    </dxf>
    <dxf>
      <font>
        <b/>
      </font>
      <numFmt numFmtId="170" formatCode="#,##0.00_ ;[Red]\-#,##0.00\ "/>
      <alignment horizontal="center" vertical="center" wrapText="1"/>
    </dxf>
    <dxf>
      <numFmt numFmtId="14" formatCode="0.00%"/>
    </dxf>
    <dxf>
      <numFmt numFmtId="14" formatCode="0.00%"/>
    </dxf>
    <dxf>
      <numFmt numFmtId="172" formatCode="0.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left"/>
    </dxf>
    <dxf>
      <alignment wrapText="1"/>
    </dxf>
    <dxf>
      <alignment vertical="center"/>
    </dxf>
    <dxf>
      <numFmt numFmtId="14" formatCode="0.00%"/>
    </dxf>
    <dxf>
      <numFmt numFmtId="14" formatCode="0.0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  <alignment horizontal="general" vertical="bottom" textRotation="0" wrapText="0" indent="0" justifyLastLine="0" shrinkToFit="0" readingOrder="0"/>
    </dxf>
    <dxf>
      <alignment wrapText="1"/>
    </dxf>
    <dxf>
      <numFmt numFmtId="0" formatCode="General"/>
      <alignment horizontal="general" vertical="bottom" textRotation="0" wrapText="0" indent="0" justifyLastLine="0" shrinkToFit="0" readingOrder="0"/>
    </dxf>
    <dxf>
      <numFmt numFmtId="172" formatCode="0.0%"/>
    </dxf>
    <dxf>
      <fill>
        <patternFill patternType="none">
          <bgColor auto="1"/>
        </patternFill>
      </fill>
    </dxf>
    <dxf>
      <numFmt numFmtId="14" formatCode="0.00%"/>
    </dxf>
    <dxf>
      <numFmt numFmtId="14" formatCode="0.00%"/>
      <alignment horizontal="general" vertical="bottom" textRotation="0" wrapText="0" indent="0" justifyLastLine="0" shrinkToFit="0" readingOrder="0"/>
    </dxf>
    <dxf>
      <numFmt numFmtId="14" formatCode="0.00%"/>
      <alignment horizontal="general" vertical="bottom" textRotation="0" wrapText="0" indent="0" justifyLastLine="0" shrinkToFit="0" readingOrder="0"/>
    </dxf>
  </dxfs>
  <tableStyles count="1" defaultTableStyle="TableStyleMedium2" defaultPivotStyle="PivotStyleLight16">
    <tableStyle name="Estilo de Tabela 1" pivot="0" count="0" xr9:uid="{DFC942C1-1C08-4C2E-861F-03FFABFBF541}"/>
  </tableStyles>
  <colors>
    <mruColors>
      <color rgb="FFF2F3CF"/>
      <color rgb="FFE5E79D"/>
      <color rgb="FFFEBBB4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>
        <v>382.02</v>
        <stp/>
        <stp>BDP|4064022148367835219|22</stp>
        <stp>SMH Equity</stp>
        <stp>LAST PRICE</stp>
        <tr r="I10" s="338"/>
        <tr r="I11" s="338"/>
        <tr r="I12" s="338"/>
      </tp>
      <tp t="s">
        <v>USD</v>
        <stp/>
        <stp>BDP|2490195519672700929|22</stp>
        <stp>MRVL US 03/20/26 P70 Equity</stp>
        <stp>QUOTED_CURRENCY_REALTIME</stp>
        <tr r="G13" s="2"/>
      </tp>
      <tp t="s">
        <v>#N/A Real Time</v>
        <stp/>
        <stp>BDP|9106857053131827566|22</stp>
        <stp>SPXW US 12/31/25 C6950 Index</stp>
        <stp>DELTA_MID_RT</stp>
        <tr r="W76" s="89"/>
      </tp>
      <tp>
        <v>0.45839697122573853</v>
        <stp/>
        <stp>BDP|16080044180315030458|22</stp>
        <stp>META US 04/17/26 C690 Equity</stp>
        <stp>DELTA_MID_RT</stp>
        <tr r="W85" s="89"/>
      </tp>
      <tp>
        <v>3.9</v>
        <stp/>
        <stp>BDP|6580988844141608170|22</stp>
        <stp>AVGO US 02/13/26 C330 Equity</stp>
        <stp>bid</stp>
        <tr r="K20" s="89"/>
        <tr r="P7" s="2"/>
      </tp>
      <tp>
        <v>4.25</v>
        <stp/>
        <stp>BDP|7161576793570117471|22</stp>
        <stp>AVGO US 02/13/26 C330 Equity</stp>
        <stp>ask</stp>
        <tr r="L20" s="89"/>
        <tr r="Q7" s="2"/>
      </tp>
      <tp>
        <v>6863</v>
        <stp/>
        <stp>BDP|12716372015876005190|22</stp>
        <stp>ESA index</stp>
        <stp>LAST_PRICE</stp>
        <tr r="AI1" s="1"/>
      </tp>
      <tp t="s">
        <v>#N/A Invalid Security</v>
        <stp/>
        <stp>BDP|3593915796088697469|22</stp>
        <stp xml:space="preserve"> Equity</stp>
        <stp>DELTA_MID_RT</stp>
        <tr r="W94" s="89"/>
        <tr r="W95" s="89"/>
      </tp>
      <tp t="s">
        <v>USD</v>
        <stp/>
        <stp>BDP|6756872842970625586|22</stp>
        <stp>NFLX US 05/15/26 C90 Equity</stp>
        <stp>QUOTED_CURRENCY_REALTIME</stp>
        <tr r="G10" s="2"/>
      </tp>
      <tp t="s">
        <v>#N/A Real Time</v>
        <stp/>
        <stp>BDP|3954062195024173589|22</stp>
        <stp>RTYWU5C3 2425 Index</stp>
        <stp>ask</stp>
        <tr r="L60" s="89"/>
      </tp>
      <tp>
        <v>540000</v>
        <stp/>
        <stp>BDP|16866508691273641435|22</stp>
        <stp>402340 KS Equity</stp>
        <stp>LAST_PRICE</stp>
        <tr r="C49" s="532"/>
        <tr r="I28" s="1"/>
        <tr r="I31" s="1"/>
      </tp>
      <tp>
        <v>-0.10511872917413712</v>
        <stp/>
        <stp>BDP|2162853239863021436|22</stp>
        <stp>TSM US 06/18/26 C380 Equity</stp>
        <stp>theta_mid_rt</stp>
        <tr r="AN25" s="2"/>
      </tp>
      <tp>
        <v>0.59051430225372314</v>
        <stp/>
        <stp>BDP|10012779820456568860|22</stp>
        <stp>META US 02/27/26 C660 Equity</stp>
        <stp>DELTA_MID_RT</stp>
        <tr r="W96" s="89"/>
      </tp>
      <tp>
        <v>25.35</v>
        <stp/>
        <stp>BDP|4238048935133024019|22</stp>
        <stp>AVGO US 06/18/26 C350 Equity</stp>
        <stp>mid</stp>
        <tr r="L5" s="2"/>
      </tp>
      <tp t="s">
        <v>#N/A Real Time</v>
        <stp/>
        <stp>BDP|5591909437626601776|22</stp>
        <stp>4EU5 Index</stp>
        <stp>LAST_PRICE</stp>
        <tr r="S52" s="89"/>
        <tr r="S53" s="89"/>
        <tr r="S54" s="89"/>
      </tp>
      <tp>
        <v>-0.17552317678928375</v>
        <stp/>
        <stp>BDP|12254022117667832387|22</stp>
        <stp>META US 07/17/26 C750 Equity</stp>
        <stp>THETA_MID_RT</stp>
        <tr r="G71" s="532"/>
      </tp>
      <tp>
        <v>269.41000000000003</v>
        <stp/>
        <stp>BDP|8377556565217717051|22</stp>
        <stp>WDC Equity</stp>
        <stp>LAST_PRICE</stp>
        <tr r="C37" s="532"/>
      </tp>
      <tp t="s">
        <v>#N/A Real Time</v>
        <stp/>
        <stp>BDP|2533983096932488351|22</stp>
        <stp>RTYWU5C3 2425 Index</stp>
        <stp>bid</stp>
        <tr r="K60" s="89"/>
      </tp>
      <tp>
        <v>0.17940622568130493</v>
        <stp/>
        <stp>BDP|14091170888152008254|22</stp>
        <stp>ASHR US 02/20/26 C35 Equity</stp>
        <stp>DELTA_MID_RT</stp>
        <tr r="F63" s="532"/>
        <tr r="AF4" s="2"/>
      </tp>
      <tp>
        <v>0.73540157079696655</v>
        <stp/>
        <stp>BDP|10111712063840980805|22</stp>
        <stp>AAPL US 04/17/26 C260 Equity</stp>
        <stp>DELTA_MID_RT</stp>
        <tr r="F74" s="532"/>
        <tr r="AF15" s="2"/>
      </tp>
      <tp t="s">
        <v>#N/A Invalid Security</v>
        <stp/>
        <stp>BDP|1374817111835072522|22</stp>
        <stp>GOOG US 02/06/26 P115 Equity</stp>
        <stp>ask</stp>
        <tr r="L31" s="89"/>
      </tp>
      <tp>
        <v>-0.23777511715888977</v>
        <stp/>
        <stp>BDP|17295184878350823401|22</stp>
        <stp>INTC US 07/17/26 P40 Equity</stp>
        <stp>DELTA_MID_RT</stp>
        <tr r="AF20" s="2"/>
        <tr r="W113" s="89"/>
      </tp>
      <tp>
        <v>0.49266603589057922</v>
        <stp/>
        <stp>BDP|13298101022063198194|22</stp>
        <stp>META US 07/17/26 C700 Equity</stp>
        <stp>DELTA_MID_RT</stp>
        <tr r="W14" s="89"/>
        <tr r="W87" s="89"/>
      </tp>
      <tp>
        <v>414.19</v>
        <stp/>
        <stp>BDP|274803756834169207|22</stp>
        <stp>MSFT EQUITY</stp>
        <stp>LAST_PRICE</stp>
        <tr r="C7" s="1"/>
      </tp>
      <tp>
        <v>1</v>
        <stp/>
        <stp>BDP|3001106615998442724|22</stp>
        <stp>USD Curncy</stp>
        <stp>LAST_PRICE</stp>
        <tr r="C58" s="532"/>
      </tp>
      <tp>
        <v>24761.5</v>
        <stp/>
        <stp>BDP|15202915405080361753|22</stp>
        <stp>NQA index</stp>
        <stp>LAST_PRICE</stp>
        <tr r="AG1" s="1"/>
      </tp>
      <tp>
        <v>-0.20887434482574463</v>
        <stp/>
        <stp>BDP|12625852508096869257|22</stp>
        <stp>NFLX US 05/15/26 P70 Equity</stp>
        <stp>DELTA_MID_RT</stp>
        <tr r="F70" s="532"/>
        <tr r="AF11" s="2"/>
      </tp>
      <tp>
        <v>1.2</v>
        <stp/>
        <stp>BDP|3112113890160595695|22</stp>
        <stp>GOOG US 02/06/26 P300 Equity</stp>
        <stp>ask</stp>
        <tr r="L30" s="89"/>
        <tr r="Q8" s="2"/>
      </tp>
      <tp>
        <v>4.6500000000000004</v>
        <stp/>
        <stp>BDP|6950483502123346657|22</stp>
        <stp>AVGO US 02/06/26 C315 Equity</stp>
        <stp>ask</stp>
        <tr r="Q6" s="2"/>
        <tr r="L19" s="89"/>
      </tp>
      <tp t="s">
        <v>USD</v>
        <stp/>
        <stp>BDP|6256704095836032074|22</stp>
        <stp>INTC US 07/17/26 C50 Equity</stp>
        <stp>QUOTED_CURRENCY_REALTIME</stp>
        <tr r="G19" s="2"/>
        <tr r="F112" s="89"/>
      </tp>
      <tp t="s">
        <v>USD</v>
        <stp/>
        <stp>BDP|11169663965640262458|22</stp>
        <stp>1OG6C 26000 Index</stp>
        <stp>QUOTED_CURRENCY_REALTIME</stp>
        <tr r="F69" s="89"/>
      </tp>
      <tp>
        <v>382.02</v>
        <stp/>
        <stp>BDP|7974191239869249641|22</stp>
        <stp>SMH Equity</stp>
        <stp>LAST_PRICE</stp>
        <tr r="C47" s="532"/>
      </tp>
      <tp>
        <v>200.19</v>
        <stp/>
        <stp>BDP|7192436358638044790|22</stp>
        <stp>AMD Equity</stp>
        <stp>LAST_PRICE</stp>
        <tr r="C5" s="532"/>
      </tp>
      <tp>
        <v>8</v>
        <stp/>
        <stp>BDP|5246680316890063223|22</stp>
        <stp>NVDA US 05/15/26 C200 Equity</stp>
        <stp>bid</stp>
        <tr r="P9" s="2"/>
      </tp>
      <tp>
        <v>33.799999999999997</v>
        <stp/>
        <stp>BDP|3590605343208203473|22</stp>
        <stp>META US 07/17/26 C750 Equity</stp>
        <stp>ask</stp>
        <tr r="Q12" s="2"/>
        <tr r="L13" s="89"/>
      </tp>
      <tp t="s">
        <v>#N/A Requesting Data...3022058170</v>
        <stp/>
        <stp>BDP|17013938858517156635</stp>
        <tr r="H78" s="532"/>
        <tr r="AR19" s="2"/>
      </tp>
      <tp t="s">
        <v>#N/A Requesting Data...4137483108</v>
        <stp/>
        <stp>BDP|13897144794545722466</stp>
        <tr r="K76" s="532"/>
        <tr r="C7" s="89"/>
        <tr r="D17" s="2"/>
      </tp>
      <tp t="s">
        <v>#N/A N/A</v>
        <stp/>
        <stp>BDP|10279292815169732005</stp>
        <tr r="AG28" s="1"/>
        <tr r="AG31" s="1"/>
      </tp>
      <tp t="s">
        <v>#N/A Requesting Data...4130127959</v>
        <stp/>
        <stp>BDP|15582332073698885344</stp>
        <tr r="G19" s="446"/>
      </tp>
      <tp t="s">
        <v>#N/A N/A</v>
        <stp/>
        <stp>BDP|18146375769712507536</stp>
        <tr r="E2" s="1"/>
      </tp>
      <tp t="s">
        <v>#N/A N/A</v>
        <stp/>
        <stp>BDP|13861516293945551079</stp>
        <tr r="I31" s="532"/>
      </tp>
      <tp t="s">
        <v>#N/A N/A</v>
        <stp/>
        <stp>BDP|10105494213746991999</stp>
        <tr r="K26" s="1"/>
      </tp>
      <tp t="s">
        <v>#N/A N/A</v>
        <stp/>
        <stp>BDP|12507559210174429894</stp>
        <tr r="I69" s="532"/>
      </tp>
      <tp t="s">
        <v>#N/A N/A</v>
        <stp/>
        <stp>BDP|16766590702451187809</stp>
        <tr r="M76" s="532"/>
      </tp>
      <tp t="s">
        <v>#N/A N/A</v>
        <stp/>
        <stp>BDP|14357467459887594841</stp>
        <tr r="D30" s="532"/>
      </tp>
      <tp>
        <v>544</v>
        <stp/>
        <stp>BDP|11303363706187383789|22</stp>
        <stp>2OG6P 25000 Index</stp>
        <stp>bid</stp>
        <tr r="K70" s="89"/>
      </tp>
      <tp t="s">
        <v>#N/A Requesting Data...2485170951</v>
        <stp/>
        <stp>BDP|10639276692284852548</stp>
        <tr r="F28" s="446"/>
      </tp>
      <tp t="s">
        <v>#N/A N/A</v>
        <stp/>
        <stp>BDP|12587905464756955178</stp>
        <tr r="M77" s="532"/>
      </tp>
      <tp t="s">
        <v>#N/A Requesting Data...3248258230</v>
        <stp/>
        <stp>BDP|10749518787913680498</stp>
        <tr r="G41" s="446"/>
      </tp>
      <tp t="s">
        <v>#N/A N/A</v>
        <stp/>
        <stp>BDP|16404545093364335419</stp>
        <tr r="D29" s="532"/>
      </tp>
      <tp t="s">
        <v>#N/A Requesting Data...3110556524</v>
        <stp/>
        <stp>BDP|10814365099347588739</stp>
        <tr r="AA23" s="2"/>
      </tp>
      <tp t="s">
        <v>#N/A Requesting Data...3471039991</v>
        <stp/>
        <stp>BDP|17859999151229570867</stp>
        <tr r="E8" s="89"/>
      </tp>
      <tp t="s">
        <v>#N/A Requesting Data...2720593006</v>
        <stp/>
        <stp>BDP|10145867011121078252</stp>
        <tr r="E14" s="89"/>
        <tr r="E87" s="89"/>
      </tp>
      <tp t="s">
        <v>#N/A N/A</v>
        <stp/>
        <stp>BDP|12363723043083315837</stp>
        <tr r="R76" s="89"/>
      </tp>
      <tp t="s">
        <v>#N/A N/A</v>
        <stp/>
        <stp>BDP|16757205954548058378</stp>
        <tr r="I48" s="532"/>
        <tr r="AI27" s="1"/>
        <tr r="AI30" s="1"/>
      </tp>
      <tp t="s">
        <v>#N/A Requesting Data...4061068462</v>
        <stp/>
        <stp>BDP|15240130704368843692</stp>
        <tr r="V70" s="89"/>
      </tp>
      <tp t="s">
        <v>#N/A Requesting Data...3249830279</v>
        <stp/>
        <stp>BDP|16761382649589718257</stp>
        <tr r="AB20" s="1"/>
        <tr r="F27" s="446"/>
      </tp>
      <tp t="s">
        <v>#N/A N/A</v>
        <stp/>
        <stp>BDP|10560430593062313514</stp>
        <tr r="AG43" s="1"/>
      </tp>
      <tp t="s">
        <v>#N/A N/A</v>
        <stp/>
        <stp>BDP|11300527522159659539</stp>
        <tr r="M73" s="532"/>
      </tp>
      <tp t="s">
        <v>#N/A N/A</v>
        <stp/>
        <stp>BDP|12493805886390160857</stp>
        <tr r="F5" s="532"/>
      </tp>
      <tp t="s">
        <v>#N/A N/A</v>
        <stp/>
        <stp>BDP|13546818454494181070</stp>
        <tr r="AC43" s="1"/>
      </tp>
      <tp t="s">
        <v>#N/A Requesting Data...3279225085</v>
        <stp/>
        <stp>BDP|18105484571828999972</stp>
        <tr r="T44" s="89"/>
      </tp>
      <tp t="s">
        <v>#N/A N/A</v>
        <stp/>
        <stp>BDH|13699900949925510135</stp>
        <tr r="AN11" s="338"/>
      </tp>
      <tp>
        <v>0.57466357946395874</v>
        <stp/>
        <stp>BDP|11754717216942473893|22</stp>
        <stp>INTC US 07/17/26 C50 Equity</stp>
        <stp>DELTA_MID_RT</stp>
        <tr r="F78" s="532"/>
        <tr r="AF19" s="2"/>
        <tr r="W112" s="89"/>
      </tp>
      <tp>
        <v>23.95</v>
        <stp/>
        <stp>BDP|4828129288805035374|22</stp>
        <stp>AAPL US 04/17/26 C260 Equity</stp>
        <stp>ask</stp>
        <tr r="Q15" s="2"/>
      </tp>
      <tp t="s">
        <v>#N/A N/A</v>
        <stp/>
        <stp>BDP|18093211168391553656</stp>
        <tr r="I65" s="532"/>
      </tp>
      <tp t="s">
        <v>#N/A Requesting Data...4285782573</v>
        <stp/>
        <stp>BDP|14708527546846978837</stp>
        <tr r="F22" s="446"/>
      </tp>
      <tp t="s">
        <v>#N/A N/A</v>
        <stp/>
        <stp>BDP|15418624165698223687</stp>
        <tr r="I75" s="532"/>
      </tp>
      <tp t="s">
        <v>#N/A Requesting Data...3527401239</v>
        <stp/>
        <stp>BDP|17382508591454336498</stp>
        <tr r="F10" s="446"/>
      </tp>
      <tp t="s">
        <v>#N/A N/A</v>
        <stp/>
        <stp>BDP|17953939637996030051</stp>
        <tr r="I50" s="532"/>
        <tr r="AI29" s="1"/>
        <tr r="AI32" s="1"/>
      </tp>
      <tp t="s">
        <v>#N/A Requesting Data...4202536378</v>
        <stp/>
        <stp>BDP|15393992280169008616</stp>
        <tr r="F24" s="446"/>
      </tp>
      <tp t="s">
        <v>#N/A N/A</v>
        <stp/>
        <stp>BDP|10033090956269654728</stp>
        <tr r="Q9" s="338"/>
      </tp>
      <tp t="s">
        <v>#N/A N/A</v>
        <stp/>
        <stp>BDP|17138275357209929235</stp>
        <tr r="I46" s="532"/>
      </tp>
      <tp t="s">
        <v>#N/A Requesting Data...3630644340</v>
        <stp/>
        <stp>BDP|10256865635189905931</stp>
        <tr r="AC24" s="1"/>
        <tr r="D26" s="446"/>
      </tp>
      <tp t="s">
        <v>#N/A N/A</v>
        <stp/>
        <stp>BDP|11904927780332847980</stp>
        <tr r="F55" s="532"/>
      </tp>
      <tp t="s">
        <v>#N/A N/A</v>
        <stp/>
        <stp>BDP|15319109960459527098</stp>
        <tr r="AC9" s="2"/>
      </tp>
      <tp t="s">
        <v>#N/A N/A</v>
        <stp/>
        <stp>BDP|13901536520886585916</stp>
        <tr r="F20" s="532"/>
      </tp>
      <tp t="s">
        <v>#N/A Requesting Data...3815836309</v>
        <stp/>
        <stp>BDP|12625403616855824991</stp>
        <tr r="AB46" s="1"/>
        <tr r="F15" s="446"/>
      </tp>
      <tp t="s">
        <v>#N/A N/A</v>
        <stp/>
        <stp>BDP|17304435603678483055</stp>
        <tr r="I68" s="532"/>
      </tp>
      <tp t="s">
        <v>#N/A N/A</v>
        <stp/>
        <stp>BDP|14721937436086146311</stp>
        <tr r="I67" s="532"/>
      </tp>
      <tp t="s">
        <v>#N/A N/A</v>
        <stp/>
        <stp>BDP|16303439252714596822</stp>
        <tr r="I76" s="532"/>
      </tp>
      <tp t="s">
        <v>#N/A N/A</v>
        <stp/>
        <stp>BDP|10090771019785843824</stp>
        <tr r="F8" s="532"/>
      </tp>
      <tp t="s">
        <v>#N/A Requesting Data...3516790576</v>
        <stp/>
        <stp>BDP|10865582194811567656</stp>
        <tr r="C86" s="89"/>
      </tp>
      <tp t="s">
        <v>#N/A Requesting Data...3170673875</v>
        <stp/>
        <stp>BDP|15688519024610633913</stp>
        <tr r="C19" s="2"/>
      </tp>
      <tp t="s">
        <v>#N/A Requesting Data...3105059596</v>
        <stp/>
        <stp>BDP|16354487536428919237</stp>
        <tr r="P12" s="338"/>
      </tp>
      <tp>
        <v>-4.6173460781574249E-2</v>
        <stp/>
        <stp>BDP|17433827713067070161|22</stp>
        <stp>MRVL US 03/20/26 P60 Equity</stp>
        <stp>THETA_MID_RT</stp>
        <tr r="G73" s="532"/>
      </tp>
      <tp>
        <v>55.3</v>
        <stp/>
        <stp>BDP|2336588298922456753|22</stp>
        <stp>MELI US 02/20/26 C2150 Equity</stp>
        <stp>ASK</stp>
        <tr r="E76" s="532"/>
      </tp>
      <tp t="s">
        <v>#N/A Requesting Data...3196604365</v>
        <stp/>
        <stp>BDP|16382697175628205742</stp>
        <tr r="K2" s="2"/>
        <tr r="J1" s="24"/>
      </tp>
      <tp t="s">
        <v>#N/A N/A</v>
        <stp/>
        <stp>BDP|14937138268702262990</stp>
        <tr r="H38" s="532"/>
      </tp>
      <tp t="s">
        <v>#N/A Requesting Data...2880072981</v>
        <stp/>
        <stp>BDP|15424437415758390085</stp>
        <tr r="C15" s="2"/>
      </tp>
      <tp t="s">
        <v>#N/A N/A</v>
        <stp/>
        <stp>BDP|12568958234819466988</stp>
        <tr r="I17" s="532"/>
        <tr r="AI22" s="1"/>
      </tp>
      <tp t="s">
        <v>#N/A N/A</v>
        <stp/>
        <stp>BDP|13058950411510880345</stp>
        <tr r="O74" s="532"/>
      </tp>
      <tp t="s">
        <v>#N/A N/A</v>
        <stp/>
        <stp>BDP|14534507482414865574</stp>
        <tr r="H27" s="532"/>
        <tr r="AF45" s="1"/>
      </tp>
      <tp t="s">
        <v>#N/A Requesting Data...4045551305</v>
        <stp/>
        <stp>BDP|11892165296548077932</stp>
        <tr r="J65" s="532"/>
        <tr r="AA6" s="2"/>
        <tr r="T19" s="89"/>
      </tp>
      <tp t="s">
        <v>#N/A Requesting Data...4182072874</v>
        <stp/>
        <stp>BDP|17652888866595306479</stp>
        <tr r="L66" s="532"/>
        <tr r="O20" s="89"/>
        <tr r="T7" s="2"/>
      </tp>
      <tp t="s">
        <v>#N/A N/A</v>
        <stp/>
        <stp>BDP|10581977719560200065</stp>
        <tr r="F21" s="532"/>
      </tp>
      <tp t="s">
        <v>#N/A N/A</v>
        <stp/>
        <stp>BDP|14349475688053402391</stp>
        <tr r="AV23" s="2"/>
      </tp>
      <tp t="s">
        <v>#N/A N/A</v>
        <stp/>
        <stp>BDP|18355353104331140221</stp>
        <tr r="E6" s="1"/>
      </tp>
      <tp t="s">
        <v>#N/A N/A</v>
        <stp/>
        <stp>BDP|15808701373659965426</stp>
        <tr r="J5" s="1"/>
      </tp>
      <tp t="s">
        <v>#N/A Requesting Data...3609896646</v>
        <stp/>
        <stp>BDP|14077436120512876887</stp>
        <tr r="AH11" s="338"/>
      </tp>
      <tp t="s">
        <v>#N/A Requesting Data...2452408458</v>
        <stp/>
        <stp>BDP|13175812915866643410</stp>
        <tr r="C69" s="89"/>
      </tp>
      <tp t="s">
        <v>#N/A N/A</v>
        <stp/>
        <stp>BDP|16611156080795484254</stp>
        <tr r="D35" s="532"/>
      </tp>
      <tp t="s">
        <v>#N/A N/A</v>
        <stp/>
        <stp>BDP|11209184266078842639</stp>
        <tr r="AC19" s="1"/>
      </tp>
      <tp t="s">
        <v>#N/A Requesting Data...4059479804</v>
        <stp/>
        <stp>BDP|14264052336898754717</stp>
        <tr r="T14" s="89"/>
        <tr r="T87" s="89"/>
      </tp>
      <tp t="s">
        <v>#N/A N/A</v>
        <stp/>
        <stp>BDP|13966483982004709336</stp>
        <tr r="O71" s="532"/>
      </tp>
      <tp t="s">
        <v>#N/A N/A</v>
        <stp/>
        <stp>BDP|12312804645696681068</stp>
        <tr r="H51" s="532"/>
        <tr r="AF33" s="1"/>
        <tr r="AF34" s="1"/>
      </tp>
      <tp t="s">
        <v>#N/A Requesting Data...2480795322</v>
        <stp/>
        <stp>BDP|17203212740478165145</stp>
        <tr r="Z111" s="89"/>
        <tr r="AA111" s="89"/>
      </tp>
      <tp>
        <v>0.33513808250427246</v>
        <stp/>
        <stp>BDP|10080332628046700882|22</stp>
        <stp>NVDA US 05/15/26 C200 Equity</stp>
        <stp>DELTA_MID_RT</stp>
        <tr r="F68" s="532"/>
        <tr r="AF9" s="2"/>
      </tp>
      <tp>
        <v>-1.2999356985092163</v>
        <stp/>
        <stp>BDP|10138370606279900527|22</stp>
        <stp>AVGO US 02/06/26 C315 Equity</stp>
        <stp>THETA_MID_RT</stp>
        <tr r="G65" s="532"/>
      </tp>
      <tp t="s">
        <v>#N/A N/A</v>
        <stp/>
        <stp>BDP|14228839741476914704</stp>
        <tr r="H29" s="532"/>
        <tr r="AF47" s="1"/>
      </tp>
      <tp t="s">
        <v>#N/A Requesting Data...2668830748</v>
        <stp/>
        <stp>BDP|10805141371719279674</stp>
        <tr r="E6" s="2"/>
      </tp>
      <tp t="s">
        <v>#N/A N/A</v>
        <stp/>
        <stp>BDP|10050387344396039869</stp>
        <tr r="G49" s="532"/>
      </tp>
      <tp t="s">
        <v>#N/A N/A</v>
        <stp/>
        <stp>BDP|12165614505958703581</stp>
        <tr r="M67" s="532"/>
      </tp>
      <tp t="s">
        <v>#N/A Requesting Data...3310415636</v>
        <stp/>
        <stp>BDP|10379287684220430311</stp>
        <tr r="F4" s="2"/>
      </tp>
      <tp t="s">
        <v>#N/A Requesting Data...3450986734</v>
        <stp/>
        <stp>BDP|15959271808308527692</stp>
        <tr r="V14" s="89"/>
        <tr r="V87" s="89"/>
      </tp>
      <tp t="s">
        <v>#N/A Requesting Data...2881277060</v>
        <stp/>
        <stp>BDP|10669609054893745987</stp>
        <tr r="L75" s="532"/>
        <tr r="O8" s="89"/>
        <tr r="T16" s="2"/>
      </tp>
      <tp t="s">
        <v>#N/A Requesting Data...3275357915</v>
        <stp/>
        <stp>BDP|15503790003338181325</stp>
        <tr r="J69" s="532"/>
        <tr r="AA10" s="2"/>
      </tp>
      <tp t="s">
        <v>#N/A Requesting Data...2677287362</v>
        <stp/>
        <stp>BDP|15338002105674870816</stp>
        <tr r="V31" s="89"/>
      </tp>
      <tp t="s">
        <v>#N/A Requesting Data...2889411571</v>
        <stp/>
        <stp>BDP|11079602305746428808</stp>
        <tr r="O104" s="89"/>
      </tp>
      <tp t="s">
        <v>#N/A N/A</v>
        <stp/>
        <stp>BDP|15611317985874735340</stp>
        <tr r="D6" s="532"/>
      </tp>
      <tp t="s">
        <v>#N/A N/A</v>
        <stp/>
        <stp>BDP|15676788515242812821</stp>
        <tr r="R69" s="89"/>
      </tp>
      <tp t="s">
        <v>#N/A N/A</v>
        <stp/>
        <stp>BDP|12459882849983379479</stp>
        <tr r="D19" s="532"/>
      </tp>
      <tp t="s">
        <v>#N/A N/A</v>
        <stp/>
        <stp>BDP|16255726580745299539</stp>
        <tr r="G52" s="532"/>
      </tp>
      <tp t="s">
        <v>#N/A N/A</v>
        <stp/>
        <stp>BDP|18279909896309755834</stp>
        <tr r="AG14" s="1"/>
      </tp>
      <tp t="s">
        <v>#N/A Requesting Data...2738710189</v>
        <stp/>
        <stp>BDP|12571041380342291138</stp>
        <tr r="F34" s="446"/>
      </tp>
      <tp t="s">
        <v>#N/A N/A</v>
        <stp/>
        <stp>BDP|14378960337990766762</stp>
        <tr r="K38" s="1"/>
      </tp>
      <tp t="s">
        <v>#N/A N/A</v>
        <stp/>
        <stp>BDP|18294824894201725105</stp>
        <tr r="AC18" s="2"/>
        <tr r="AC19" s="2"/>
        <tr r="AC20" s="2"/>
      </tp>
      <tp t="s">
        <v>#N/A Requesting Data...3392551128</v>
        <stp/>
        <stp>BDP|16648478878978208488</stp>
        <tr r="O94" s="89"/>
        <tr r="O95" s="89"/>
      </tp>
      <tp t="s">
        <v>#N/A Requesting Data...4257611428</v>
        <stp/>
        <stp>BDP|18096821285957052647</stp>
        <tr r="F18" s="446"/>
      </tp>
      <tp t="s">
        <v>#N/A Requesting Data...3680124746</v>
        <stp/>
        <stp>BDP|15656413080994607429</stp>
        <tr r="Z13" s="89"/>
        <tr r="AA13" s="89"/>
      </tp>
      <tp t="s">
        <v>#N/A Requesting Data...4284997576</v>
        <stp/>
        <stp>BDP|13020371554755200921</stp>
        <tr r="AD15" s="2"/>
      </tp>
      <tp t="s">
        <v>#N/A N/A</v>
        <stp/>
        <stp>BDP|12912684483811638411</stp>
        <tr r="L27" s="1"/>
        <tr r="L28" s="1"/>
        <tr r="L29" s="1"/>
        <tr r="L30" s="1"/>
        <tr r="L31" s="1"/>
        <tr r="L32" s="1"/>
      </tp>
      <tp t="s">
        <v>#N/A Requesting Data...4136305274</v>
        <stp/>
        <stp>BDP|16080473360335288805</stp>
        <tr r="H10" s="532"/>
        <tr r="AF24" s="1"/>
        <tr r="AF9" s="338"/>
      </tp>
      <tp t="s">
        <v>#N/A Requesting Data...2642730412</v>
        <stp/>
        <stp>BDP|10266278304482033950</stp>
        <tr r="H73" s="532"/>
        <tr r="AR14" s="2"/>
      </tp>
      <tp t="s">
        <v>#N/A Requesting Data...3759064631</v>
        <stp/>
        <stp>BDP|18082660766744672526</stp>
        <tr r="X10" s="338"/>
      </tp>
      <tp t="s">
        <v>#N/A N/A</v>
        <stp/>
        <stp>BDP|17620015100226350806</stp>
        <tr r="AG26" s="1"/>
      </tp>
      <tp t="s">
        <v>#N/A N/A</v>
        <stp/>
        <stp>BDH|10594215488306733562</stp>
        <tr r="AP10" s="338"/>
      </tp>
      <tp>
        <v>-0.72490501403808594</v>
        <stp/>
        <stp>BDP|11770976609395467592|22</stp>
        <stp>GOOG US 02/06/26 P300 Equity</stp>
        <stp>THETA_MID_RT</stp>
        <tr r="G67" s="532"/>
      </tp>
      <tp t="s">
        <v>#N/A N/A</v>
        <stp/>
        <stp>BDP|13769620610772564890</stp>
        <tr r="F37" s="532"/>
      </tp>
      <tp t="s">
        <v>#N/A Requesting Data...3849292333</v>
        <stp/>
        <stp>BDP|14539375968436522979</stp>
        <tr r="F20" s="2"/>
      </tp>
      <tp t="s">
        <v>#N/A Requesting Data...4167673068</v>
        <stp/>
        <stp>BDP|15816931278674113197</stp>
        <tr r="C4" s="2"/>
      </tp>
      <tp t="s">
        <v>#N/A N/A</v>
        <stp/>
        <stp>BDP|13057583830919073223</stp>
        <tr r="G4" s="532"/>
      </tp>
      <tp t="s">
        <v>#N/A N/A</v>
        <stp/>
        <stp>BDP|15466705637537159880</stp>
        <tr r="H12" s="532"/>
        <tr r="AF12" s="1"/>
      </tp>
      <tp t="s">
        <v>#N/A N/A</v>
        <stp/>
        <stp>BDP|14902852357240652727</stp>
        <tr r="J1" s="1"/>
      </tp>
      <tp t="s">
        <v>#N/A Requesting Data...2448318658</v>
        <stp/>
        <stp>BDP|17255225148738161764</stp>
        <tr r="E12" s="2"/>
      </tp>
      <tp t="s">
        <v>#N/A N/A</v>
        <stp/>
        <stp>BDP|15312608612344637897</stp>
        <tr r="D43" s="532"/>
      </tp>
      <tp t="s">
        <v>#N/A N/A</v>
        <stp/>
        <stp>BDP|12275710628808442116</stp>
        <tr r="D40" s="532"/>
      </tp>
      <tp t="s">
        <v>#N/A Requesting Data...3842760687</v>
        <stp/>
        <stp>BDP|11004855748816491574</stp>
        <tr r="Z61" s="89"/>
        <tr r="AA61" s="89"/>
      </tp>
      <tp t="s">
        <v>#N/A Requesting Data...2649331868</v>
        <stp/>
        <stp>BDP|16667635437085001829</stp>
        <tr r="Z30" s="89"/>
        <tr r="AA30" s="89"/>
      </tp>
      <tp t="s">
        <v>#N/A N/A</v>
        <stp/>
        <stp>BDP|14026845325197194708</stp>
        <tr r="AB35" s="1"/>
      </tp>
      <tp t="s">
        <v>#N/A N/A</v>
        <stp/>
        <stp>BDP|11480507435839519074</stp>
        <tr r="G51" s="532"/>
      </tp>
      <tp t="s">
        <v>#N/A N/A</v>
        <stp/>
        <stp>BDP|11330707094288641933</stp>
        <tr r="D34" s="532"/>
      </tp>
      <tp t="s">
        <v>#N/A N/A</v>
        <stp/>
        <stp>BDP|17800002198707011725</stp>
        <tr r="D22" s="532"/>
      </tp>
      <tp t="s">
        <v>#N/A Requesting Data...3139630319</v>
        <stp/>
        <stp>BDP|12254931781748441511</stp>
        <tr r="J63" s="532"/>
        <tr r="AA4" s="2"/>
      </tp>
      <tp t="s">
        <v>#N/A N/A</v>
        <stp/>
        <stp>BDP|16747972762296741126</stp>
        <tr r="H20" s="532"/>
        <tr r="AF35" s="1"/>
      </tp>
      <tp t="s">
        <v>#N/A N/A</v>
        <stp/>
        <stp>BDP|16966852497278566182</stp>
        <tr r="J6" s="1"/>
      </tp>
      <tp t="s">
        <v>#N/A N/A</v>
        <stp/>
        <stp>BDH|16783472039266835926</stp>
        <tr r="AU12" s="338"/>
        <tr r="AU11" s="338"/>
        <tr r="AU10" s="338"/>
      </tp>
      <tp>
        <v>-2.4584110826253891E-2</v>
        <stp/>
        <stp>BDP|11535277551752382035|22</stp>
        <stp>INTC US 07/17/26 C60 Equity</stp>
        <stp>THETA_MID_RT</stp>
        <tr r="G77" s="532"/>
      </tp>
      <tp>
        <v>0.42040565609931946</v>
        <stp/>
        <stp>BDP|18110796337974702583|22</stp>
        <stp>AVGO US 06/18/26 C350 Equity</stp>
        <stp>DELTA_MID_RT</stp>
        <tr r="F64" s="532"/>
        <tr r="AF5" s="2"/>
      </tp>
      <tp t="s">
        <v>#N/A N/A</v>
        <stp/>
        <stp>BDP|14736502366221001988</stp>
        <tr r="AG21" s="1"/>
      </tp>
      <tp t="s">
        <v>#N/A Requesting Data...2574317530</v>
        <stp/>
        <stp>BDP|10419386169832867846</stp>
        <tr r="D37" s="89"/>
      </tp>
      <tp t="s">
        <v>#N/A N/A</v>
        <stp/>
        <stp>BDP|12581032959989345145</stp>
        <tr r="F36" s="532"/>
      </tp>
      <tp t="s">
        <v>#N/A N/A</v>
        <stp/>
        <stp>BDP|13279860035901870618</stp>
        <tr r="I9" s="532"/>
      </tp>
      <tp t="s">
        <v>#N/A N/A</v>
        <stp/>
        <stp>BDP|11125292552139461053</stp>
        <tr r="AC16" s="1"/>
      </tp>
      <tp t="s">
        <v>#N/A Requesting Data...4067117518</v>
        <stp/>
        <stp>BDP|17125142134039291396</stp>
        <tr r="O43" s="89"/>
      </tp>
      <tp t="s">
        <v>#N/A N/A</v>
        <stp/>
        <stp>BDP|16654289781825367664</stp>
        <tr r="G6" s="532"/>
      </tp>
      <tp t="s">
        <v>#N/A N/A</v>
        <stp/>
        <stp>BDP|13719327490656774082</stp>
        <tr r="K42" s="1"/>
      </tp>
      <tp t="s">
        <v>#N/A N/A</v>
        <stp/>
        <stp>BDP|17859763374019755109</stp>
        <tr r="D17" s="532"/>
      </tp>
      <tp t="s">
        <v>#N/A N/A</v>
        <stp/>
        <stp>BDP|13777927499395889999</stp>
        <tr r="D2" s="532"/>
      </tp>
      <tp t="s">
        <v>#N/A N/A</v>
        <stp/>
        <stp>BDP|12067346968488625077</stp>
        <tr r="N9" s="1"/>
      </tp>
      <tp t="s">
        <v>#N/A Requesting Data...3628183039</v>
        <stp/>
        <stp>BDP|16409736918268434763</stp>
        <tr r="V8" s="89"/>
        <tr r="AD16" s="2"/>
      </tp>
      <tp t="s">
        <v>#N/A N/A</v>
        <stp/>
        <stp>BDP|16738013443094275987</stp>
        <tr r="N70" s="532"/>
      </tp>
      <tp t="s">
        <v>#N/A Requesting Data...3178557993</v>
        <stp/>
        <stp>BDP|10458872348380612322</stp>
        <tr r="D32" s="446"/>
      </tp>
      <tp t="s">
        <v>#N/A Requesting Data...4017638687</v>
        <stp/>
        <stp>BDP|11607763991426641696</stp>
        <tr r="O96" s="89"/>
      </tp>
      <tp t="s">
        <v>#N/A N/A</v>
        <stp/>
        <stp>BDP|12446616610012704839</stp>
        <tr r="H14" s="532"/>
        <tr r="AF14" s="1"/>
      </tp>
      <tp t="s">
        <v>#N/A N/A</v>
        <stp/>
        <stp>BDP|12917284443828342304</stp>
        <tr r="AC45" s="1"/>
      </tp>
      <tp t="s">
        <v>#N/A Requesting Data...3051698769</v>
        <stp/>
        <stp>BDP|15520885965692162698</stp>
        <tr r="P11" s="338"/>
      </tp>
      <tp t="s">
        <v>#N/A N/A</v>
        <stp/>
        <stp>BDP|18411820983824502305</stp>
        <tr r="E9" s="1"/>
      </tp>
      <tp t="s">
        <v>#N/A Requesting Data...2439784927</v>
        <stp/>
        <stp>BDP|10592246107754169947</stp>
        <tr r="AR20" s="2"/>
      </tp>
      <tp t="s">
        <v>#N/A N/A</v>
        <stp/>
        <stp>BDP|15088949515073653147</stp>
        <tr r="I20" s="532"/>
        <tr r="AI35" s="1"/>
      </tp>
      <tp t="s">
        <v>#N/A N/A</v>
        <stp/>
        <stp>BDP|11601018586462287402</stp>
        <tr r="I71" s="532"/>
      </tp>
      <tp t="s">
        <v>#N/A N/A</v>
        <stp/>
        <stp>BDP|15021078425701110914</stp>
        <tr r="I32" s="532"/>
      </tp>
      <tp t="s">
        <v>#N/A N/A</v>
        <stp/>
        <stp>BDP|13400157600295352875</stp>
        <tr r="AQ4" s="2"/>
      </tp>
      <tp t="s">
        <v>#N/A Requesting Data...3706039582</v>
        <stp/>
        <stp>BDP|16215701056853858886</stp>
        <tr r="C44" s="89"/>
      </tp>
      <tp t="s">
        <v>#N/A Requesting Data...3851774573</v>
        <stp/>
        <stp>BDP|10282731194108712961</stp>
        <tr r="X8" s="338"/>
      </tp>
      <tp t="s">
        <v>#N/A Requesting Data...3586229664</v>
        <stp/>
        <stp>BDP|11825565969849644458</stp>
        <tr r="G26" s="446"/>
      </tp>
      <tp t="s">
        <v>#N/A Requesting Data...2738095016</v>
        <stp/>
        <stp>BDP|12871173848491846983</stp>
        <tr r="D111" s="89"/>
      </tp>
      <tp t="s">
        <v>#N/A N/A</v>
        <stp/>
        <stp>BDP|17319932667383172412</stp>
        <tr r="H58" s="532"/>
      </tp>
      <tp t="s">
        <v>#N/A N/A</v>
        <stp/>
        <stp>BDP|13477200596854183354</stp>
        <tr r="R30" s="89"/>
        <tr r="AV8" s="2"/>
      </tp>
      <tp t="s">
        <v>#N/A N/A</v>
        <stp/>
        <stp>BDP|16224796646639821337</stp>
        <tr r="Q11" s="338"/>
      </tp>
      <tp t="s">
        <v>#N/A Requesting Data...2649077516</v>
        <stp/>
        <stp>BDP|10754652992714129477</stp>
        <tr r="E86" s="89"/>
      </tp>
      <tp t="s">
        <v>#N/A N/A</v>
        <stp/>
        <stp>BDP|13743925468151835237</stp>
        <tr r="H28" s="532"/>
        <tr r="AF46" s="1"/>
      </tp>
      <tp t="s">
        <v>#N/A N/A</v>
        <stp/>
        <stp>BDH|17958512895062135687</stp>
        <tr r="AN8" s="338"/>
      </tp>
      <tp t="s">
        <v>#N/A N/A</v>
        <stp/>
        <stp>BDH|13456744416282055811</stp>
        <tr r="AM10" s="338"/>
      </tp>
      <tp t="s">
        <v>USD</v>
        <stp/>
        <stp>BDP|9800175734147310091|22</stp>
        <stp>NFLX US 05/15/26 P70 Equity</stp>
        <stp>QUOTED_CURRENCY_REALTIME</stp>
        <tr r="G11" s="2"/>
      </tp>
      <tp>
        <v>10.95</v>
        <stp/>
        <stp>BDP|7680890729121353321|22</stp>
        <stp>AAPL US 04/17/26 C280 Equity</stp>
        <stp>bid</stp>
        <tr r="P16" s="2"/>
        <tr r="K8" s="89"/>
      </tp>
      <tp t="s">
        <v>#N/A N/A</v>
        <stp/>
        <stp>BDP|10896428050659000430</stp>
        <tr r="G29" s="532"/>
      </tp>
      <tp t="s">
        <v>#N/A N/A</v>
        <stp/>
        <stp>BDP|10863947952309750924</stp>
        <tr r="AF16" s="1"/>
      </tp>
      <tp t="s">
        <v>#N/A N/A</v>
        <stp/>
        <stp>BDP|14151613796081423680</stp>
        <tr r="I14" s="532"/>
        <tr r="AI14" s="1"/>
      </tp>
      <tp t="s">
        <v>#N/A N/A</v>
        <stp/>
        <stp>BDP|12176826910734668384</stp>
        <tr r="O63" s="532"/>
      </tp>
      <tp t="s">
        <v>#N/A Requesting Data...2778332154</v>
        <stp/>
        <stp>BDP|11028786820390522815</stp>
        <tr r="AK10" s="338"/>
        <tr r="AK11" s="338"/>
        <tr r="AK12" s="338"/>
      </tp>
      <tp t="s">
        <v>#N/A Requesting Data...2941563474</v>
        <stp/>
        <stp>BDP|15549933334837718499</stp>
        <tr r="AJ12" s="338"/>
      </tp>
      <tp t="s">
        <v>#N/A N/A</v>
        <stp/>
        <stp>BDP|16117806106654901613</stp>
        <tr r="Q8" s="338"/>
      </tp>
      <tp t="s">
        <v>#N/A Requesting Data...2699003997</v>
        <stp/>
        <stp>BDP|13021422978704305879</stp>
        <tr r="F33" s="446"/>
      </tp>
      <tp t="s">
        <v>#N/A N/A</v>
        <stp/>
        <stp>BDP|16521478898015424206</stp>
        <tr r="AV12" s="2"/>
        <tr r="R14" s="89"/>
        <tr r="R85" s="89"/>
        <tr r="R86" s="89"/>
        <tr r="R96" s="89"/>
        <tr r="R87" s="89"/>
        <tr r="R13" s="89"/>
      </tp>
      <tp t="s">
        <v>#N/A N/A</v>
        <stp/>
        <stp>BDP|12815991684968369783</stp>
        <tr r="D33" s="532"/>
      </tp>
      <tp t="s">
        <v>#N/A Requesting Data...2525366693</v>
        <stp/>
        <stp>BDP|16877024025140252836</stp>
        <tr r="F37" s="446"/>
      </tp>
      <tp t="s">
        <v>#N/A Requesting Data...3449407904</v>
        <stp/>
        <stp>BDP|10608928655856941660</stp>
        <tr r="C16" s="2"/>
      </tp>
      <tp t="s">
        <v>#N/A Requesting Data...4075299175</v>
        <stp/>
        <stp>BDP|16305130988474048795</stp>
        <tr r="C18" s="2"/>
      </tp>
      <tp t="s">
        <v>#N/A N/A</v>
        <stp/>
        <stp>BDP|10281815271105854697</stp>
        <tr r="K41" s="1"/>
      </tp>
      <tp t="s">
        <v>#N/A Requesting Data...2723270018</v>
        <stp/>
        <stp>BDP|13405037176711243908</stp>
        <tr r="E53" s="89"/>
      </tp>
      <tp t="s">
        <v>#N/A N/A</v>
        <stp/>
        <stp>BDP|13618474276469628524</stp>
        <tr r="F57" s="532"/>
      </tp>
      <tp t="s">
        <v>#N/A N/A</v>
        <stp/>
        <stp>BDP|14891582147959137043</stp>
        <tr r="M64" s="532"/>
      </tp>
      <tp t="s">
        <v>#N/A Requesting Data...3029161629</v>
        <stp/>
        <stp>BDP|14508373378954970866</stp>
        <tr r="K69" s="532"/>
        <tr r="D10" s="2"/>
      </tp>
      <tp t="s">
        <v>#N/A N/A</v>
        <stp/>
        <stp>BDP|11689502021272009822</stp>
        <tr r="D23" s="532"/>
      </tp>
      <tp t="s">
        <v>#N/A Requesting Data...2568750491</v>
        <stp/>
        <stp>BDP|14259965167551312659</stp>
        <tr r="F9" s="2"/>
      </tp>
      <tp t="s">
        <v>#N/A N/A</v>
        <stp/>
        <stp>BDP|12413850570425657438</stp>
        <tr r="K21" s="1"/>
      </tp>
      <tp t="s">
        <v>#N/A N/A</v>
        <stp/>
        <stp>BDP|13167269982776787363</stp>
        <tr r="F18" s="532"/>
      </tp>
      <tp t="s">
        <v>#N/A N/A</v>
        <stp/>
        <stp>BDP|11257477744385510802</stp>
        <tr r="F9" s="532"/>
      </tp>
      <tp t="s">
        <v>#N/A Requesting Data...3751920506</v>
        <stp/>
        <stp>BDP|14535010240339641566</stp>
        <tr r="J77" s="532"/>
        <tr r="T111" s="89"/>
        <tr r="AA18" s="2"/>
      </tp>
      <tp t="s">
        <v>#N/A N/A</v>
        <stp/>
        <stp>BDP|16474676671129789231</stp>
        <tr r="H46" s="532"/>
      </tp>
      <tp t="s">
        <v>#N/A Requesting Data...3025405090</v>
        <stp/>
        <stp>BDP|10667930917534298063</stp>
        <tr r="T104" s="89"/>
      </tp>
      <tp t="s">
        <v>#N/A Requesting Data...3457858263</v>
        <stp/>
        <stp>BDP|12603143287034451379</stp>
        <tr r="AC20" s="1"/>
        <tr r="D27" s="446"/>
      </tp>
      <tp t="s">
        <v>#N/A Requesting Data...2570205412</v>
        <stp/>
        <stp>BDP|10004210412887167840</stp>
        <tr r="D40" s="446"/>
      </tp>
      <tp t="s">
        <v>#N/A Requesting Data...3976742493</v>
        <stp/>
        <stp>BDP|11960982674731648253</stp>
        <tr r="C21" s="2"/>
      </tp>
      <tp>
        <v>199.68</v>
        <stp/>
        <stp>BDP|3487094481832510157|22</stp>
        <stp>SAP Equity</stp>
        <stp>LAST_PRICE</stp>
        <tr r="C39" s="532"/>
      </tp>
      <tp t="s">
        <v>#N/A Invalid Security</v>
        <stp/>
        <stp>BDP|11076688730849429560|22</stp>
        <stp xml:space="preserve"> Equity</stp>
        <stp>bid</stp>
        <tr r="P2" s="2"/>
        <tr r="K94" s="89"/>
        <tr r="K95" s="89"/>
      </tp>
      <tp>
        <v>42.95</v>
        <stp/>
        <stp>BDP|9943713837755143151|22</stp>
        <stp>MELI US 02/20/26 C2150 Equity</stp>
        <stp>MID</stp>
        <tr r="C76" s="532"/>
      </tp>
      <tp t="s">
        <v>#N/A N/A</v>
        <stp/>
        <stp>BDP|11315803309360171428</stp>
        <tr r="D9" s="532"/>
      </tp>
      <tp t="s">
        <v>#N/A Requesting Data...3670573742</v>
        <stp/>
        <stp>BDP|13209846733142548782</stp>
        <tr r="V103" s="89"/>
      </tp>
      <tp t="s">
        <v>#N/A Requesting Data...3283766889</v>
        <stp/>
        <stp>BDP|12514485676904256829</stp>
        <tr r="E76" s="89"/>
      </tp>
      <tp t="s">
        <v>#N/A N/A</v>
        <stp/>
        <stp>BDP|13594164286172898577</stp>
        <tr r="K13" s="1"/>
      </tp>
      <tp t="s">
        <v>#N/A Requesting Data...3775031973</v>
        <stp/>
        <stp>BDP|10028687100653384862</stp>
        <tr r="L64" s="532"/>
        <tr r="T5" s="2"/>
      </tp>
      <tp t="s">
        <v>#N/A N/A</v>
        <stp/>
        <stp>BDP|10831338585412516467</stp>
        <tr r="AB17" s="1"/>
      </tp>
      <tp t="s">
        <v>#N/A Requesting Data...2725017823</v>
        <stp/>
        <stp>BDP|15843140282036113720</stp>
        <tr r="G22" s="446"/>
      </tp>
      <tp t="s">
        <v>#N/A N/A</v>
        <stp/>
        <stp>BDP|14558665242342598989</stp>
        <tr r="O69" s="532"/>
      </tp>
      <tp t="s">
        <v>#N/A Requesting Data...3653345287</v>
        <stp/>
        <stp>BDP|11806079486756711218</stp>
        <tr r="D30" s="89"/>
      </tp>
      <tp t="s">
        <v>#N/A Requesting Data...2809258134</v>
        <stp/>
        <stp>BDP|17319342610009091197</stp>
        <tr r="G27" s="446"/>
      </tp>
      <tp t="s">
        <v>#N/A N/A</v>
        <stp/>
        <stp>BDP|11924439292996409721</stp>
        <tr r="AG40" s="1"/>
      </tp>
      <tp t="s">
        <v>#N/A N/A</v>
        <stp/>
        <stp>BDP|17016306093620879057</stp>
        <tr r="I43" s="532"/>
      </tp>
      <tp t="s">
        <v>#N/A Requesting Data...3936069081</v>
        <stp/>
        <stp>BDP|17117126346619137642</stp>
        <tr r="O31" s="89"/>
      </tp>
      <tp t="s">
        <v>#N/A N/A</v>
        <stp/>
        <stp>BDP|18096474274854136215</stp>
        <tr r="R37" s="89"/>
        <tr r="R43" s="89"/>
        <tr r="R102" s="89"/>
        <tr r="R103" s="89"/>
        <tr r="R104" s="89"/>
        <tr r="R36" s="89"/>
        <tr r="R44" s="89"/>
        <tr r="AV21" s="2"/>
        <tr r="AV22" s="2"/>
      </tp>
      <tp t="s">
        <v>#N/A Requesting Data...2563285435</v>
        <stp/>
        <stp>BDP|18074111082599132509</stp>
        <tr r="D112" s="89"/>
      </tp>
      <tp t="s">
        <v>#N/A N/A</v>
        <stp/>
        <stp>BDP|13929246011695854864</stp>
        <tr r="F42" s="532"/>
      </tp>
      <tp t="s">
        <v>#N/A Requesting Data...3750446830</v>
        <stp/>
        <stp>BDP|17245762396037753300</stp>
        <tr r="AD6" s="2"/>
        <tr r="V19" s="89"/>
      </tp>
      <tp t="s">
        <v>#N/A Requesting Data...2708148689</v>
        <stp/>
        <stp>BDP|16819233362409435685</stp>
        <tr r="AD23" s="2"/>
      </tp>
      <tp t="s">
        <v>#N/A N/A</v>
        <stp/>
        <stp>BDP|17629707524696622914</stp>
        <tr r="H55" s="532"/>
      </tp>
      <tp t="s">
        <v>#N/A N/A</v>
        <stp/>
        <stp>BDP|11804015925529096782</stp>
        <tr r="I26" s="532"/>
        <tr r="AI44" s="1"/>
      </tp>
      <tp t="s">
        <v>#N/A N/A</v>
        <stp/>
        <stp>BDP|10476670090364142661</stp>
        <tr r="K24" s="1"/>
      </tp>
      <tp t="s">
        <v>#N/A Requesting Data...3713159687</v>
        <stp/>
        <stp>BDP|14574759861540790819</stp>
        <tr r="S10" s="338"/>
      </tp>
      <tp t="s">
        <v>#N/A N/A</v>
        <stp/>
        <stp>BDP|18290000558847933748</stp>
        <tr r="O65" s="532"/>
      </tp>
      <tp t="s">
        <v>#N/A N/A</v>
        <stp/>
        <stp>BDP|15053027283910187068</stp>
        <tr r="D4" s="532"/>
      </tp>
      <tp t="s">
        <v>#N/A Requesting Data...2603129480</v>
        <stp/>
        <stp>BDP|11934537446469823426</stp>
        <tr r="E9" s="2"/>
      </tp>
      <tp>
        <v>605.75</v>
        <stp/>
        <stp>BDP|8629289523220789997|22</stp>
        <stp>QQQ Equity</stp>
        <stp>LAST PRICE</stp>
        <tr r="I9" s="338"/>
      </tp>
      <tp>
        <v>0.24856053292751312</v>
        <stp/>
        <stp>BDP|17727048575326274193|22</stp>
        <stp>AVGO US 02/13/26 C330 Equity</stp>
        <stp>DELTA_MID_RT</stp>
        <tr r="F66" s="532"/>
        <tr r="W20" s="89"/>
        <tr r="AF7" s="2"/>
      </tp>
      <tp>
        <v>52.1</v>
        <stp/>
        <stp>BDP|4911432985148125573|22</stp>
        <stp>META US 07/17/26 C700 Equity</stp>
        <stp>ask</stp>
        <tr r="L14" s="89"/>
        <tr r="L87" s="89"/>
      </tp>
      <tp t="s">
        <v>#N/A Requesting Data...2782811782</v>
        <stp/>
        <stp>BDP|12339741374220877028</stp>
        <tr r="F21" s="446"/>
      </tp>
      <tp t="s">
        <v>#N/A Requesting Data...3614588205</v>
        <stp/>
        <stp>BDP|15108137503044913212</stp>
        <tr r="T86" s="89"/>
      </tp>
      <tp t="s">
        <v>#N/A Requesting Data...3670320493</v>
        <stp/>
        <stp>BDP|15502369153710182196</stp>
        <tr r="V44" s="89"/>
      </tp>
      <tp t="s">
        <v>#N/A N/A</v>
        <stp/>
        <stp>BDP|12696799426543646677</stp>
        <tr r="G56" s="532"/>
      </tp>
      <tp t="s">
        <v>#N/A Requesting Data...3987396012</v>
        <stp/>
        <stp>BDP|12832425312094016130</stp>
        <tr r="K68" s="532"/>
        <tr r="D9" s="2"/>
      </tp>
      <tp t="s">
        <v>#N/A N/A</v>
        <stp/>
        <stp>BDP|16848172745796591757</stp>
        <tr r="J9" s="1"/>
      </tp>
      <tp t="s">
        <v>#N/A Requesting Data...3170532119</v>
        <stp/>
        <stp>BDP|16562634359111464613</stp>
        <tr r="H70" s="532"/>
        <tr r="AR11" s="2"/>
      </tp>
      <tp t="s">
        <v>#N/A Requesting Data...3812540600</v>
        <stp/>
        <stp>BDP|12394829048358209468</stp>
        <tr r="H69" s="532"/>
        <tr r="AR10" s="2"/>
      </tp>
      <tp t="s">
        <v>#N/A N/A</v>
        <stp/>
        <stp>BDP|15920463853830339621</stp>
        <tr r="H35" s="532"/>
      </tp>
      <tp t="s">
        <v>#N/A N/A</v>
        <stp/>
        <stp>BDP|11938464648021398296</stp>
        <tr r="D58" s="532"/>
      </tp>
      <tp t="s">
        <v>#N/A N/A</v>
        <stp/>
        <stp>BDP|17869311770143400201</stp>
        <tr r="D5" s="532"/>
      </tp>
      <tp t="s">
        <v>#N/A N/A</v>
        <stp/>
        <stp>BDP|16696225751701125289</stp>
        <tr r="D18" s="532"/>
      </tp>
      <tp t="s">
        <v>#N/A N/A</v>
        <stp/>
        <stp>BDP|15571587832455231410</stp>
        <tr r="AC29" s="1"/>
        <tr r="AC32" s="1"/>
      </tp>
      <tp t="s">
        <v>#N/A N/A</v>
        <stp/>
        <stp>BDP|12274481806484777070</stp>
        <tr r="J4" s="1"/>
      </tp>
      <tp t="s">
        <v>#N/A Requesting Data...4059534336</v>
        <stp/>
        <stp>BDP|17216633965664243193</stp>
        <tr r="L10" s="338"/>
        <tr r="J10" s="338"/>
        <tr r="L11" s="338"/>
        <tr r="J11" s="338"/>
        <tr r="L12" s="338"/>
        <tr r="J12" s="338"/>
      </tp>
      <tp t="s">
        <v>#N/A Requesting Data...3926390628</v>
        <stp/>
        <stp>BDP|14776745928063005042</stp>
        <tr r="T52" s="89"/>
      </tp>
      <tp t="s">
        <v>#N/A Requesting Data...3576949589</v>
        <stp/>
        <stp>BDP|16719292853193179031</stp>
        <tr r="T24" s="2"/>
      </tp>
      <tp t="s">
        <v>#N/A Requesting Data...2798892975</v>
        <stp/>
        <stp>BDP|13796779298948123776</stp>
        <tr r="C52" s="89"/>
      </tp>
      <tp t="s">
        <v>#N/A Requesting Data...4193737099</v>
        <stp/>
        <stp>BDP|13805405504302407767</stp>
        <tr r="Z113" s="89"/>
        <tr r="AA113" s="89"/>
      </tp>
      <tp t="s">
        <v>#N/A Requesting Data...2488627525</v>
        <stp/>
        <stp>BDP|14240882820984424808</stp>
        <tr r="V69" s="89"/>
      </tp>
      <tp t="s">
        <v>#N/A Requesting Data...3126277653</v>
        <stp/>
        <stp>BDP|13150872693841225199</stp>
        <tr r="H68" s="532"/>
        <tr r="AR9" s="2"/>
      </tp>
      <tp t="s">
        <v>#N/A Requesting Data...3103492246</v>
        <stp/>
        <stp>BDP|13698454327306550105</stp>
        <tr r="T96" s="89"/>
      </tp>
      <tp t="s">
        <v>#N/A Requesting Data...2665946069</v>
        <stp/>
        <stp>BDP|17193753013640317341</stp>
        <tr r="T113" s="89"/>
        <tr r="AA20" s="2"/>
      </tp>
      <tp t="s">
        <v>#N/A Requesting Data...2819419481</v>
        <stp/>
        <stp>BDP|17950909593432390797</stp>
        <tr r="G29" s="446"/>
      </tp>
      <tp t="s">
        <v>#N/A N/A</v>
        <stp/>
        <stp>BDP|16464673670092529762</stp>
        <tr r="AB52" s="89"/>
        <tr r="AB53" s="89"/>
        <tr r="AB54" s="89"/>
      </tp>
      <tp t="s">
        <v>#N/A N/A</v>
        <stp/>
        <stp>BDP|14469487026583988306</stp>
        <tr r="G35" s="532"/>
      </tp>
      <tp t="s">
        <v>#N/A N/A</v>
        <stp/>
        <stp>BDP|16665812118984554998</stp>
        <tr r="AC13" s="2"/>
        <tr r="AC14" s="2"/>
      </tp>
      <tp t="s">
        <v>#N/A Requesting Data...2581944258</v>
        <stp/>
        <stp>BDP|17190454425561690252</stp>
        <tr r="H74" s="532"/>
        <tr r="AR15" s="2"/>
      </tp>
      <tp t="s">
        <v>#N/A Requesting Data...2779096485</v>
        <stp/>
        <stp>BDP|12909617883408150686</stp>
        <tr r="F17" s="446"/>
      </tp>
      <tp t="s">
        <v>#N/A N/A</v>
        <stp/>
        <stp>BDP|12939623936604691199</stp>
        <tr r="O72" s="532"/>
      </tp>
      <tp t="s">
        <v>#N/A Requesting Data...2899066632</v>
        <stp/>
        <stp>BDP|14907590063523957686</stp>
        <tr r="D39" s="446"/>
      </tp>
      <tp t="s">
        <v>#N/A Requesting Data...4102268746</v>
        <stp/>
        <stp>BDP|15427086549125422631</stp>
        <tr r="F29" s="446"/>
      </tp>
      <tp t="s">
        <v>#N/A N/A</v>
        <stp/>
        <stp>BDP|15027893309117038857</stp>
        <tr r="K17" s="1"/>
      </tp>
      <tp t="s">
        <v>#N/A N/A</v>
        <stp/>
        <stp>BDP|17672588849165265111</stp>
        <tr r="G36" s="532"/>
      </tp>
      <tp t="s">
        <v>#N/A Requesting Data...3723780167</v>
        <stp/>
        <stp>BDP|14798833541272440858</stp>
        <tr r="L9" s="338"/>
        <tr r="H9" s="338"/>
      </tp>
      <tp t="s">
        <v>#N/A N/A</v>
        <stp/>
        <stp>BDP|10927803326481151998</stp>
        <tr r="F51" s="532"/>
      </tp>
      <tp t="s">
        <v>#N/A Requesting Data...3232487053</v>
        <stp/>
        <stp>BDP|16413518304228438920</stp>
        <tr r="Z37" s="89"/>
        <tr r="AA37" s="89"/>
      </tp>
      <tp t="s">
        <v>#N/A N/A</v>
        <stp/>
        <stp>BDP|17447943913214573912</stp>
        <tr r="AC24" s="2"/>
        <tr r="AC25" s="2"/>
      </tp>
      <tp t="s">
        <v>#N/A Requesting Data...4067037225</v>
        <stp/>
        <stp>BDP|10540491936722929740</stp>
        <tr r="F13" s="446"/>
      </tp>
      <tp t="s">
        <v>#N/A Requesting Data...3824426331</v>
        <stp/>
        <stp>BDP|12465228967747275351</stp>
        <tr r="F5" s="2"/>
      </tp>
      <tp t="s">
        <v>#N/A Requesting Data...4271855199</v>
        <stp/>
        <stp>BDP|15421502917490517308</stp>
        <tr r="E103" s="89"/>
      </tp>
      <tp>
        <v>120.26</v>
        <stp/>
        <stp>BDP|1868269163989593436|22</stp>
        <stp>EWY Equity</stp>
        <stp>LAST_PRICE</stp>
        <tr r="C20" s="532"/>
        <tr r="I35" s="1"/>
      </tp>
      <tp t="s">
        <v>#N/A N/A</v>
        <stp/>
        <stp>BDH|10490586338844365006</stp>
        <tr r="AM11" s="338"/>
      </tp>
      <tp>
        <v>28.35</v>
        <stp/>
        <stp>BDP|3322764634781769714|22</stp>
        <stp>META US 02/27/26 C660 Equity</stp>
        <stp>ask</stp>
        <tr r="L96" s="89"/>
      </tp>
      <tp t="s">
        <v>#N/A N/A</v>
        <stp/>
        <stp>BDP|15895214585768543406</stp>
        <tr r="AB21" s="1"/>
      </tp>
      <tp t="s">
        <v>#N/A N/A</v>
        <stp/>
        <stp>BDP|10046075559472154468</stp>
        <tr r="F6" s="532"/>
      </tp>
      <tp t="s">
        <v>#N/A N/A</v>
        <stp/>
        <stp>BDP|12506693576836787640</stp>
        <tr r="AC21" s="1"/>
      </tp>
      <tp t="s">
        <v>#N/A N/A</v>
        <stp/>
        <stp>BDP|12913717425274232066</stp>
        <tr r="AG27" s="1"/>
        <tr r="AG30" s="1"/>
      </tp>
      <tp t="s">
        <v>#N/A Requesting Data...3705112886</v>
        <stp/>
        <stp>BDP|10102679327761087681</stp>
        <tr r="E14" s="2"/>
      </tp>
      <tp t="s">
        <v>#N/A N/A</v>
        <stp/>
        <stp>BDP|16916588204673977342</stp>
        <tr r="H52" s="532"/>
        <tr r="AB70" s="89"/>
      </tp>
      <tp t="s">
        <v>#N/A Requesting Data...2782668078</v>
        <stp/>
        <stp>BDP|15551517866741817422</stp>
        <tr r="F7" s="2"/>
      </tp>
      <tp t="s">
        <v>#N/A Requesting Data...3735501170</v>
        <stp/>
        <stp>BDP|12659323579531227475</stp>
        <tr r="C53" s="89"/>
      </tp>
      <tp t="s">
        <v>#N/A N/A</v>
        <stp/>
        <stp>BDP|11928681486748964459</stp>
        <tr r="AV16" s="2"/>
        <tr r="R8" s="89"/>
        <tr r="AV15" s="2"/>
      </tp>
      <tp t="s">
        <v>#N/A Requesting Data...3025384120</v>
        <stp/>
        <stp>BDP|13685951603788859137</stp>
        <tr r="T54" s="89"/>
      </tp>
      <tp t="s">
        <v>#N/A Requesting Data...3630471331</v>
        <stp/>
        <stp>BDP|11567651966607858555</stp>
        <tr r="E20" s="89"/>
      </tp>
      <tp t="s">
        <v>#N/A Requesting Data...3588730767</v>
        <stp/>
        <stp>BDP|17790298348871348384</stp>
        <tr r="D20" s="89"/>
      </tp>
      <tp t="s">
        <v>#N/A Requesting Data...2660817366</v>
        <stp/>
        <stp>BDP|12197625641431851271</stp>
        <tr r="K72" s="532"/>
        <tr r="D13" s="2"/>
      </tp>
      <tp t="s">
        <v>#N/A N/A</v>
        <stp/>
        <stp>BDP|17940009811052116754</stp>
        <tr r="F39" s="532"/>
      </tp>
      <tp t="s">
        <v>#N/A Requesting Data...3446325445</v>
        <stp/>
        <stp>BDP|15919437567850131436</stp>
        <tr r="G28" s="446"/>
      </tp>
      <tp t="s">
        <v>#N/A N/A</v>
        <stp/>
        <stp>BDP|12988555714434708108</stp>
        <tr r="AV10" s="2"/>
        <tr r="AV11" s="2"/>
      </tp>
      <tp t="s">
        <v>#N/A N/A</v>
        <stp/>
        <stp>BDP|13934642593416417954</stp>
        <tr r="I30" s="532"/>
        <tr r="AI48" s="1"/>
      </tp>
      <tp t="s">
        <v>#N/A N/A</v>
        <stp/>
        <stp>BDP|17886377545156299560</stp>
        <tr r="F33" s="532"/>
      </tp>
      <tp t="s">
        <v>#N/A Requesting Data...3062851828</v>
        <stp/>
        <stp>BDP|17039732835313216359</stp>
        <tr r="G13" s="446"/>
      </tp>
      <tp t="s">
        <v>#N/A N/A</v>
        <stp/>
        <stp>BDP|11848586431027061306</stp>
        <tr r="K48" s="1"/>
      </tp>
      <tp t="s">
        <v>#N/A Requesting Data...4079648268</v>
        <stp/>
        <stp>BDP|10212284669224289309</stp>
        <tr r="G15" s="446"/>
      </tp>
      <tp t="s">
        <v>#N/A N/A</v>
        <stp/>
        <stp>BDP|14477773684938548023</stp>
        <tr r="I8" s="532"/>
        <tr r="AI26" s="1"/>
      </tp>
      <tp t="s">
        <v>#N/A Requesting Data...2986894199</v>
        <stp/>
        <stp>BDP|11933010124828542891</stp>
        <tr r="O37" s="89"/>
        <tr r="T22" s="2"/>
      </tp>
      <tp t="s">
        <v>#N/A Requesting Data...3729587676</v>
        <stp/>
        <stp>BDP|16139528108117140790</stp>
        <tr r="J71" s="532"/>
        <tr r="T13" s="89"/>
        <tr r="AA12" s="2"/>
      </tp>
      <tp t="s">
        <v>#N/A N/A</v>
        <stp/>
        <stp>BDP|12577068118946906617</stp>
        <tr r="H49" s="532"/>
        <tr r="AF28" s="1"/>
        <tr r="AF31" s="1"/>
      </tp>
      <tp t="s">
        <v>#N/A Requesting Data...3765072884</v>
        <stp/>
        <stp>BDP|16931852689404443127</stp>
        <tr r="AB15" s="1"/>
        <tr r="F23" s="446"/>
      </tp>
      <tp t="s">
        <v>#N/A Requesting Data...3811324282</v>
        <stp/>
        <stp>BDP|14461057417982680435</stp>
        <tr r="J72" s="532"/>
        <tr r="AA13" s="2"/>
      </tp>
      <tp>
        <v>0.55000000000000004</v>
        <stp/>
        <stp>BDP|17671933814978710772|22</stp>
        <stp>1OG6C 26000 Index</stp>
        <stp>bid</stp>
        <tr r="K69" s="89"/>
      </tp>
      <tp t="s">
        <v>#N/A Requesting Data...3941301941</v>
        <stp/>
        <stp>BDP|14468716151160495523</stp>
        <tr r="Z14" s="89"/>
        <tr r="AA14" s="89"/>
        <tr r="Z87" s="89"/>
        <tr r="AA87" s="89"/>
      </tp>
      <tp t="s">
        <v>#N/A N/A</v>
        <stp/>
        <stp>BDP|13509378225189300864</stp>
        <tr r="F50" s="532"/>
      </tp>
      <tp t="s">
        <v>#N/A N/A</v>
        <stp/>
        <stp>BDP|17214529260663576400</stp>
        <tr r="AC27" s="1"/>
        <tr r="AC30" s="1"/>
      </tp>
      <tp t="s">
        <v>#N/A Requesting Data...3752432141</v>
        <stp/>
        <stp>BDP|11488079128501837162</stp>
        <tr r="O14" s="89"/>
        <tr r="O87" s="89"/>
      </tp>
      <tp t="s">
        <v>#N/A N/A</v>
        <stp/>
        <stp>BDP|16066178257148215968</stp>
        <tr r="AV13" s="2"/>
        <tr r="AV14" s="2"/>
      </tp>
      <tp t="s">
        <v>#N/A N/A</v>
        <stp/>
        <stp>BDP|12718343677950174519</stp>
        <tr r="E7" s="1"/>
      </tp>
      <tp t="s">
        <v>#N/A N/A</v>
        <stp/>
        <stp>BDP|16082160216835192067</stp>
        <tr r="G7" s="532"/>
      </tp>
      <tp t="s">
        <v>#N/A Requesting Data...2936160395</v>
        <stp/>
        <stp>BDP|12144705418850616789</stp>
        <tr r="H76" s="532"/>
        <tr r="AR17" s="2"/>
      </tp>
      <tp t="s">
        <v>#N/A N/A</v>
        <stp/>
        <stp>BDP|14730076527710394522</stp>
        <tr r="N3" s="1"/>
      </tp>
      <tp t="s">
        <v>#N/A N/A</v>
        <stp/>
        <stp>BDH|12713997726918852260</stp>
        <tr r="AM12" s="338"/>
      </tp>
      <tp t="s">
        <v>#N/A N/A</v>
        <stp/>
        <stp>BDH|15032538805605071608</stp>
        <tr r="AR8" s="338"/>
      </tp>
      <tp>
        <v>3.25</v>
        <stp/>
        <stp>BDP|14088876280754203979|22</stp>
        <stp>1OG6C 26000 Index</stp>
        <stp>ask</stp>
        <tr r="L69" s="89"/>
      </tp>
      <tp>
        <v>-2.4672754108905792E-2</v>
        <stp/>
        <stp>BDP|12659408030437955931|22</stp>
        <stp>INTC US 07/17/26 C50 Equity</stp>
        <stp>THETA_MID_RT</stp>
        <tr r="G78" s="532"/>
      </tp>
      <tp>
        <v>-9.079037606716156E-2</v>
        <stp/>
        <stp>BDP|14602499783433890530|22</stp>
        <stp>GOOG US 02/06/26 P300 Equity</stp>
        <stp>DELTA_MID_RT</stp>
        <tr r="F67" s="532"/>
        <tr r="W30" s="89"/>
        <tr r="AF8" s="2"/>
      </tp>
      <tp>
        <v>30.6</v>
        <stp/>
        <stp>BDP|5730466403583300483|22</stp>
        <stp>MELI US 02/20/26 C2150 Equity</stp>
        <stp>BID</stp>
        <tr r="D76" s="532"/>
      </tp>
      <tp>
        <v>51.7</v>
        <stp/>
        <stp>BDP|3120711432826724576|22</stp>
        <stp>META US 07/17/26 C700 Equity</stp>
        <stp>bid</stp>
        <tr r="K14" s="89"/>
        <tr r="K87" s="89"/>
      </tp>
      <tp t="s">
        <v>#N/A N/A</v>
        <stp/>
        <stp>BDP|16634752858660747458</stp>
        <tr r="K43" s="1"/>
      </tp>
      <tp t="s">
        <v>#N/A N/A</v>
        <stp/>
        <stp>BDP|13564540922234351091</stp>
        <tr r="I54" s="532"/>
      </tp>
      <tp t="s">
        <v>#N/A N/A</v>
        <stp/>
        <stp>BDP|16611590573904783024</stp>
        <tr r="I66" s="532"/>
      </tp>
      <tp t="s">
        <v>#N/A Requesting Data...3416941573</v>
        <stp/>
        <stp>BDP|10384653628097195348</stp>
        <tr r="V9" s="338"/>
      </tp>
      <tp t="s">
        <v>#N/A N/A</v>
        <stp/>
        <stp>BDP|11475470498229993592</stp>
        <tr r="F43" s="532"/>
      </tp>
      <tp t="s">
        <v>#N/A Requesting Data...3346834188</v>
        <stp/>
        <stp>BDP|18157396268365948849</stp>
        <tr r="G32" s="446"/>
      </tp>
      <tp t="s">
        <v>#N/A N/A</v>
        <stp/>
        <stp>BDP|12452232405532861278</stp>
        <tr r="N71" s="532"/>
      </tp>
      <tp t="s">
        <v>#N/A N/A</v>
        <stp/>
        <stp>BDP|13494420775300616089</stp>
        <tr r="D47" s="532"/>
      </tp>
      <tp t="s">
        <v>#N/A N/A</v>
        <stp/>
        <stp>BDP|15252232179347107746</stp>
        <tr r="G13" s="532"/>
      </tp>
      <tp t="s">
        <v>#N/A Requesting Data...4242382069</v>
        <stp/>
        <stp>BDP|12322490716684467354</stp>
        <tr r="AD25" s="2"/>
      </tp>
      <tp t="s">
        <v>#N/A N/A</v>
        <stp/>
        <stp>BDP|17256352187725908945</stp>
        <tr r="F29" s="532"/>
      </tp>
      <tp t="s">
        <v>#N/A N/A</v>
        <stp/>
        <stp>BDP|15348708936705153486</stp>
        <tr r="N67" s="532"/>
      </tp>
      <tp t="s">
        <v>#N/A N/A</v>
        <stp/>
        <stp>BDP|11921469108316932314</stp>
        <tr r="AV17" s="2"/>
        <tr r="R7" s="89"/>
      </tp>
      <tp t="s">
        <v>#N/A Requesting Data...3814068863</v>
        <stp/>
        <stp>BDP|11850099902500446183</stp>
        <tr r="AR25" s="2"/>
      </tp>
      <tp t="s">
        <v>#N/A N/A</v>
        <stp/>
        <stp>BDP|13846974553487624841</stp>
        <tr r="AB102" s="89"/>
        <tr r="AB103" s="89"/>
        <tr r="AB104" s="89"/>
        <tr r="AB36" s="89"/>
        <tr r="AB37" s="89"/>
        <tr r="AB43" s="89"/>
        <tr r="AB44" s="89"/>
        <tr r="AQ21" s="2"/>
        <tr r="AQ22" s="2"/>
      </tp>
      <tp t="s">
        <v>#N/A N/A</v>
        <stp/>
        <stp>BDP|10893554211676791255</stp>
        <tr r="AC33" s="1"/>
        <tr r="AC34" s="1"/>
      </tp>
      <tp t="s">
        <v>#N/A N/A</v>
        <stp/>
        <stp>BDP|10098401800196776260</stp>
        <tr r="G28" s="532"/>
      </tp>
      <tp t="s">
        <v>#N/A Requesting Data...3690731199</v>
        <stp/>
        <stp>BDP|14667087596678820507</stp>
        <tr r="AI9" s="338"/>
      </tp>
      <tp t="s">
        <v>#N/A N/A</v>
        <stp/>
        <stp>BDP|14736375789817362891</stp>
        <tr r="AC2" s="1"/>
        <tr r="AD2" s="1"/>
      </tp>
      <tp t="s">
        <v>#N/A N/A</v>
        <stp/>
        <stp>BDP|16915999897423444512</stp>
        <tr r="AC15" s="1"/>
      </tp>
      <tp t="s">
        <v>#N/A Requesting Data...4278081893</v>
        <stp/>
        <stp>BDP|11184865175579332734</stp>
        <tr r="F12" s="446"/>
      </tp>
      <tp t="s">
        <v>#N/A N/A</v>
        <stp/>
        <stp>BDP|16647795119072066249</stp>
        <tr r="H26" s="532"/>
        <tr r="AF44" s="1"/>
      </tp>
      <tp t="s">
        <v>#N/A N/A</v>
        <stp/>
        <stp>BDP|10633791113720948675</stp>
        <tr r="AB44" s="1"/>
      </tp>
      <tp t="s">
        <v>#N/A N/A</v>
        <stp/>
        <stp>BDP|14646160180655233875</stp>
        <tr r="AC10" s="2"/>
        <tr r="AC11" s="2"/>
      </tp>
      <tp t="s">
        <v>#N/A N/A</v>
        <stp/>
        <stp>BDP|14721782818326063433</stp>
        <tr r="AC15" s="2"/>
        <tr r="AC16" s="2"/>
      </tp>
      <tp t="s">
        <v>#N/A Requesting Data...3929899350</v>
        <stp/>
        <stp>BDP|11542574144783666360</stp>
        <tr r="F41" s="446"/>
      </tp>
      <tp t="s">
        <v>#N/A Requesting Data...3937912313</v>
        <stp/>
        <stp>BDP|13345443953962599072</stp>
        <tr r="T37" s="89"/>
        <tr r="AA22" s="2"/>
      </tp>
      <tp>
        <v>83.84</v>
        <stp/>
        <stp>BDP|2399130969064853177|22</stp>
        <stp>IGV Equity</stp>
        <stp>LAST_PRICE</stp>
        <tr r="C19" s="532"/>
        <tr r="I25" s="1"/>
      </tp>
      <tp t="s">
        <v>#N/A N/A</v>
        <stp/>
        <stp>BDH|11444659333450077486</stp>
        <tr r="AU8" s="338"/>
      </tp>
      <tp t="s">
        <v>#N/A N/A</v>
        <stp/>
        <stp>BDH|18023340286312477186</stp>
        <tr r="AN12" s="338"/>
      </tp>
      <tp t="s">
        <v>USD</v>
        <stp/>
        <stp>BDP|2710784205974410109|22</stp>
        <stp>ASHR US 02/20/26 C35 Equity</stp>
        <stp>QUOTED_CURRENCY_REALTIME</stp>
        <tr r="G4" s="2"/>
      </tp>
      <tp t="s">
        <v>#N/A Real Time</v>
        <stp/>
        <stp>BDP|7488669990583969064|22</stp>
        <stp>SPXW US 12/31/25 C6950 Index</stp>
        <stp>ask</stp>
        <tr r="L76" s="89"/>
      </tp>
      <tp t="s">
        <v>#N/A Requesting Data...3782182170</v>
        <stp/>
        <stp>BDP|15656499554320397517</stp>
        <tr r="Z112" s="89"/>
        <tr r="AA112" s="89"/>
      </tp>
      <tp t="s">
        <v>#N/A N/A</v>
        <stp/>
        <stp>BDP|12437358704240471097</stp>
        <tr r="I77" s="532"/>
      </tp>
      <tp t="s">
        <v>#N/A N/A</v>
        <stp/>
        <stp>BDP|17827387499958788467</stp>
        <tr r="D39" s="532"/>
      </tp>
      <tp t="s">
        <v>#N/A Requesting Data...3322226225</v>
        <stp/>
        <stp>BDP|17750280324281015730</stp>
        <tr r="F15" s="2"/>
      </tp>
      <tp t="s">
        <v>#N/A Requesting Data...3168157611</v>
        <stp/>
        <stp>BDP|12055500611067822013</stp>
        <tr r="AJ8" s="338"/>
        <tr r="AH8" s="338"/>
      </tp>
      <tp t="s">
        <v>#N/A N/A</v>
        <stp/>
        <stp>BDP|11265502119766043209</stp>
        <tr r="I19" s="532"/>
        <tr r="AI25" s="1"/>
      </tp>
      <tp t="s">
        <v>#N/A N/A</v>
        <stp/>
        <stp>BDP|10827554593684445907</stp>
        <tr r="AG41" s="1"/>
      </tp>
      <tp t="s">
        <v>#N/A Requesting Data...4066143029</v>
        <stp/>
        <stp>BDP|10651894387614235500</stp>
        <tr r="V54" s="89"/>
      </tp>
      <tp t="s">
        <v>#N/A Requesting Data...4018865467</v>
        <stp/>
        <stp>BDP|10435868994421818135</stp>
        <tr r="C25" s="2"/>
      </tp>
      <tp t="s">
        <v>#N/A Requesting Data...2585631604</v>
        <stp/>
        <stp>BDP|18017376398746707540</stp>
        <tr r="G37" s="446"/>
      </tp>
      <tp t="s">
        <v>#N/A N/A</v>
        <stp/>
        <stp>BDP|17365785494690778868</stp>
        <tr r="E5" s="1"/>
      </tp>
      <tp t="s">
        <v>#N/A N/A</v>
        <stp/>
        <stp>BDP|15797485450435917089</stp>
        <tr r="AG29" s="1"/>
        <tr r="AG32" s="1"/>
      </tp>
      <tp t="s">
        <v>#N/A Requesting Data...3320455544</v>
        <stp/>
        <stp>BDP|15726327441682691128</stp>
        <tr r="E43" s="89"/>
      </tp>
      <tp t="s">
        <v>#N/A N/A</v>
        <stp/>
        <stp>BDP|10629460632567404161</stp>
        <tr r="H22" s="532"/>
        <tr r="AF37" s="1"/>
      </tp>
      <tp t="s">
        <v>#N/A N/A</v>
        <stp/>
        <stp>BDP|11658442792988593552</stp>
        <tr r="AC22" s="1"/>
      </tp>
      <tp t="s">
        <v>#N/A N/A</v>
        <stp/>
        <stp>BDP|16883746019451364057</stp>
        <tr r="Q10" s="338"/>
      </tp>
      <tp t="s">
        <v>#N/A N/A</v>
        <stp/>
        <stp>BDP|17287545230994742428</stp>
        <tr r="D20" s="532"/>
      </tp>
      <tp t="s">
        <v>#N/A N/A</v>
        <stp/>
        <stp>BDP|10036162177410701751</stp>
        <tr r="K28" s="1"/>
      </tp>
      <tp t="s">
        <v>#N/A N/A</v>
        <stp/>
        <stp>BDP|15698160403534380128</stp>
        <tr r="AB19" s="1"/>
      </tp>
      <tp t="s">
        <v>#N/A Requesting Data...2803872321</v>
        <stp/>
        <stp>BDP|11998355979195097173</stp>
        <tr r="T76" s="89"/>
      </tp>
      <tp t="s">
        <v>#N/A Requesting Data...4167333809</v>
        <stp/>
        <stp>BDP|16353514989043023996</stp>
        <tr r="AH11" s="338"/>
        <tr r="AJ11" s="338"/>
      </tp>
      <tp t="s">
        <v>#N/A Requesting Data...3535482927</v>
        <stp/>
        <stp>BDP|11157579934717202151</stp>
        <tr r="V52" s="89"/>
      </tp>
      <tp t="s">
        <v>#N/A Requesting Data...2589856200</v>
        <stp/>
        <stp>BDP|12276548317722131552</stp>
        <tr r="C70" s="89"/>
      </tp>
      <tp t="s">
        <v>#N/A N/A</v>
        <stp/>
        <stp>BDP|11770434777614400727</stp>
        <tr r="G50" s="532"/>
      </tp>
      <tp t="s">
        <v>#N/A N/A</v>
        <stp/>
        <stp>BDP|13858182494998309237</stp>
        <tr r="F40" s="532"/>
      </tp>
      <tp t="s">
        <v>#N/A N/A</v>
        <stp/>
        <stp>BDP|13765926207302587937</stp>
        <tr r="F19" s="532"/>
      </tp>
      <tp t="s">
        <v>#N/A N/A</v>
        <stp/>
        <stp>BDP|16301938465448635042</stp>
        <tr r="AG16" s="1"/>
      </tp>
      <tp t="s">
        <v>#N/A N/A</v>
        <stp/>
        <stp>BDP|14884761203286243483</stp>
        <tr r="I74" s="532"/>
      </tp>
      <tp t="s">
        <v>#N/A Requesting Data...3467145360</v>
        <stp/>
        <stp>BDP|12333730460741016377</stp>
        <tr r="C8" s="2"/>
      </tp>
      <tp t="s">
        <v>#N/A N/A</v>
        <stp/>
        <stp>BDP|16234829786825558246</stp>
        <tr r="H40" s="532"/>
      </tp>
      <tp t="s">
        <v>#N/A Requesting Data...3372842545</v>
        <stp/>
        <stp>BDP|10764751743486083471</stp>
        <tr r="E4" s="2"/>
      </tp>
      <tp t="s">
        <v>#N/A Requesting Data...3525244775</v>
        <stp/>
        <stp>BDP|14914589903223067341</stp>
        <tr r="AH8" s="338"/>
      </tp>
      <tp t="s">
        <v>#N/A N/A</v>
        <stp/>
        <stp>BDP|13555305563565118218</stp>
        <tr r="G47" s="532"/>
      </tp>
      <tp t="s">
        <v>#N/A N/A</v>
        <stp/>
        <stp>BDP|13561732224143710436</stp>
        <tr r="G30" s="532"/>
      </tp>
      <tp t="s">
        <v>#N/A Requesting Data...3455349232</v>
        <stp/>
        <stp>BDP|10297523734239490992</stp>
        <tr r="AB48" s="1"/>
        <tr r="F19" s="446"/>
      </tp>
      <tp t="s">
        <v>#N/A N/A</v>
        <stp/>
        <stp>BDP|13534980394766736373</stp>
        <tr r="AG45" s="1"/>
      </tp>
      <tp t="s">
        <v>#N/A Requesting Data...4264406900</v>
        <stp/>
        <stp>BDP|10811773521330276340</stp>
        <tr r="F42" s="446"/>
      </tp>
      <tp>
        <v>24761.5</v>
        <stp/>
        <stp>BDP|9834598325284437758|22</stp>
        <stp>2OH6 Index</stp>
        <stp>LAST_PRICE</stp>
        <tr r="S70" s="89"/>
        <tr r="C52" s="532"/>
      </tp>
      <tp t="s">
        <v>#N/A N/A</v>
        <stp/>
        <stp>BDP|10988333226743620474</stp>
        <tr r="G23" s="532"/>
      </tp>
      <tp t="s">
        <v>#N/A Requesting Data...2700641495</v>
        <stp/>
        <stp>BDP|15391181514731480268</stp>
        <tr r="L76" s="532"/>
        <tr r="O7" s="89"/>
        <tr r="T17" s="2"/>
      </tp>
      <tp t="s">
        <v>#N/A N/A</v>
        <stp/>
        <stp>BDP|13295681926322217334</stp>
        <tr r="AG25" s="1"/>
      </tp>
      <tp t="s">
        <v>#N/A Requesting Data...3915141072</v>
        <stp/>
        <stp>BDP|18269203655158880133</stp>
        <tr r="F39" s="446"/>
      </tp>
      <tp t="s">
        <v>#N/A N/A</v>
        <stp/>
        <stp>BDP|18427183771169881196</stp>
        <tr r="H39" s="532"/>
      </tp>
      <tp t="s">
        <v>#N/A Requesting Data...3901244772</v>
        <stp/>
        <stp>BDP|10439367344074999538</stp>
        <tr r="E13" s="89"/>
      </tp>
      <tp t="s">
        <v>#N/A N/A</v>
        <stp/>
        <stp>BDP|11498800248633339807</stp>
        <tr r="G55" s="532"/>
      </tp>
      <tp t="s">
        <v>#N/A N/A</v>
        <stp/>
        <stp>BDP|18428663362449664799</stp>
        <tr r="O66" s="532"/>
      </tp>
      <tp t="s">
        <v>#N/A N/A</v>
        <stp/>
        <stp>BDP|16451072388018612020</stp>
        <tr r="F24" s="532"/>
      </tp>
      <tp t="s">
        <v>#N/A N/A</v>
        <stp/>
        <stp>BDP|10799626579213180430</stp>
        <tr r="AC46" s="1"/>
      </tp>
      <tp t="s">
        <v>#N/A N/A</v>
        <stp/>
        <stp>BDP|10026543249623400473</stp>
        <tr r="AF18" s="1"/>
      </tp>
      <tp t="s">
        <v>#N/A N/A</v>
        <stp/>
        <stp>BDP|13639162762852624052</stp>
        <tr r="H21" s="532"/>
        <tr r="AF36" s="1"/>
      </tp>
      <tp t="s">
        <v>#N/A N/A</v>
        <stp/>
        <stp>BDP|12874389502611309613</stp>
        <tr r="G11" s="532"/>
      </tp>
      <tp t="s">
        <v>#N/A N/A</v>
        <stp/>
        <stp>BDP|11705357481259292510</stp>
        <tr r="I73" s="532"/>
      </tp>
      <tp t="s">
        <v>#N/A N/A</v>
        <stp/>
        <stp>BDP|17762885052518935442</stp>
        <tr r="F44" s="532"/>
      </tp>
      <tp t="s">
        <v>#N/A Requesting Data...3886028222</v>
        <stp/>
        <stp>BDP|17332669817360544646</stp>
        <tr r="C22" s="2"/>
      </tp>
      <tp t="s">
        <v>#N/A N/A</v>
        <stp/>
        <stp>BDP|13006709642914463255</stp>
        <tr r="F53" s="532"/>
      </tp>
      <tp t="s">
        <v>#N/A Requesting Data...3066677591</v>
        <stp/>
        <stp>BDP|18365939499897354990</stp>
        <tr r="D76" s="89"/>
      </tp>
      <tp t="s">
        <v>#N/A Requesting Data...2996526039</v>
        <stp/>
        <stp>BDP|11064610705050727104</stp>
        <tr r="V53" s="89"/>
      </tp>
      <tp t="s">
        <v>#N/A Requesting Data...3771048305</v>
        <stp/>
        <stp>BDP|11346506323885413513</stp>
        <tr r="E18" s="2"/>
      </tp>
      <tp t="s">
        <v>#N/A N/A</v>
        <stp/>
        <stp>BDP|12476419302303406374</stp>
        <tr r="I52" s="532"/>
      </tp>
      <tp t="s">
        <v>#N/A N/A</v>
        <stp/>
        <stp>BDP|12277673366437206358</stp>
        <tr r="D41" s="532"/>
      </tp>
      <tp t="s">
        <v>#N/A N/A</v>
        <stp/>
        <stp>BDH|15390724763217298566</stp>
        <tr r="AP11" s="338"/>
      </tp>
      <tp t="s">
        <v>USD</v>
        <stp/>
        <stp>BDP|2423561100599861373|22</stp>
        <stp>INTC US 07/17/26 P40 Equity</stp>
        <stp>QUOTED_CURRENCY_REALTIME</stp>
        <tr r="G20" s="2"/>
        <tr r="F113" s="89"/>
      </tp>
      <tp>
        <v>29.6</v>
        <stp/>
        <stp>BDP|5005092167591802286|22</stp>
        <stp>META US 04/17/26 C690 Equity</stp>
        <stp>bid</stp>
        <tr r="K85" s="89"/>
      </tp>
      <tp t="s">
        <v>#N/A Requesting Data...2913151192</v>
        <stp/>
        <stp>BDP|14531256854956960242</stp>
        <tr r="K78" s="532"/>
        <tr r="C112" s="89"/>
        <tr r="D19" s="2"/>
      </tp>
      <tp t="s">
        <v>#N/A Requesting Data...3995105740</v>
        <stp/>
        <stp>BDP|15108064142321968752</stp>
        <tr r="F21" s="2"/>
      </tp>
      <tp t="s">
        <v>#N/A N/A</v>
        <stp/>
        <stp>BDP|17370707244810639397</stp>
        <tr r="AC6" s="2"/>
        <tr r="AC5" s="2"/>
        <tr r="AC7" s="2"/>
      </tp>
      <tp t="s">
        <v>#N/A Requesting Data...3200806944</v>
        <stp/>
        <stp>BDP|14546342925643453186</stp>
        <tr r="L8" s="338"/>
        <tr r="J8" s="338"/>
      </tp>
      <tp t="s">
        <v>#N/A N/A</v>
        <stp/>
        <stp>BDP|13586532824015159687</stp>
        <tr r="G48" s="532"/>
      </tp>
      <tp t="s">
        <v>#N/A N/A</v>
        <stp/>
        <stp>BDP|15385928388727108439</stp>
        <tr r="K1" s="2"/>
      </tp>
      <tp t="s">
        <v>#N/A Requesting Data...3413150981</v>
        <stp/>
        <stp>BDP|15404493773766767722</stp>
        <tr r="G36" s="446"/>
      </tp>
      <tp t="s">
        <v>#N/A N/A</v>
        <stp/>
        <stp>BDP|18114698683463557242</stp>
        <tr r="H30" s="532"/>
        <tr r="AF48" s="1"/>
      </tp>
      <tp t="s">
        <v>#N/A Requesting Data...3679073400</v>
        <stp/>
        <stp>BDP|14627889356148517678</stp>
        <tr r="E111" s="89"/>
      </tp>
      <tp t="s">
        <v>#N/A Requesting Data...4243122398</v>
        <stp/>
        <stp>BDP|16560212626605006480</stp>
        <tr r="C7" s="2"/>
      </tp>
      <tp t="s">
        <v>#N/A N/A</v>
        <stp/>
        <stp>BDP|15180121453391393793</stp>
        <tr r="G40" s="532"/>
      </tp>
      <tp t="s">
        <v>#N/A N/A</v>
        <stp/>
        <stp>BDP|15877316074344375243</stp>
        <tr r="F31" s="532"/>
      </tp>
      <tp t="s">
        <v>#N/A N/A</v>
        <stp/>
        <stp>BDP|14556104661927858316</stp>
        <tr r="N6" s="1"/>
      </tp>
      <tp t="s">
        <v>#N/A Requesting Data...3142368634</v>
        <stp/>
        <stp>BDP|12341108167772818008</stp>
        <tr r="T11" s="338"/>
      </tp>
      <tp t="s">
        <v>#N/A N/A</v>
        <stp/>
        <stp>BDP|15208939515243021988</stp>
        <tr r="D31" s="532"/>
      </tp>
      <tp t="s">
        <v>#N/A N/A</v>
        <stp/>
        <stp>BDP|13243003914125922034</stp>
        <tr r="I44" s="532"/>
      </tp>
      <tp t="s">
        <v>#N/A N/A</v>
        <stp/>
        <stp>BDP|10242563823863889337</stp>
        <tr r="I56" s="532"/>
      </tp>
      <tp t="s">
        <v>#N/A Requesting Data...3157026208</v>
        <stp/>
        <stp>BDP|16190103000157320731</stp>
        <tr r="V60" s="89"/>
      </tp>
      <tp t="s">
        <v>#N/A N/A</v>
        <stp/>
        <stp>BDP|13209433012270341116</stp>
        <tr r="N74" s="532"/>
      </tp>
      <tp t="s">
        <v>#N/A Requesting Data...3090995826</v>
        <stp/>
        <stp>BDP|12052868717818962496</stp>
        <tr r="AI8" s="338"/>
      </tp>
      <tp t="s">
        <v>#N/A N/A</v>
        <stp/>
        <stp>BDP|14605168762492000638</stp>
        <tr r="K35" s="1"/>
      </tp>
      <tp t="s">
        <v>#N/A Requesting Data...3881012459</v>
        <stp/>
        <stp>BDP|12678050625094398357</stp>
        <tr r="AC39" s="1"/>
        <tr r="D35" s="446"/>
      </tp>
      <tp t="s">
        <v>#N/A N/A</v>
        <stp/>
        <stp>BDP|15892467527740846412</stp>
        <tr r="I58" s="532"/>
      </tp>
      <tp t="s">
        <v>#N/A Requesting Data...3420037582</v>
        <stp/>
        <stp>BDP|10174429034410523025</stp>
        <tr r="E5" s="2"/>
      </tp>
      <tp t="s">
        <v>#N/A N/A</v>
        <stp/>
        <stp>BDP|10990273738657018161</stp>
        <tr r="G58" s="532"/>
      </tp>
      <tp t="s">
        <v>#N/A Requesting Data...3966556973</v>
        <stp/>
        <stp>BDP|13691107662271159260</stp>
        <tr r="AR24" s="2"/>
      </tp>
      <tp t="s">
        <v>#N/A N/A</v>
        <stp/>
        <stp>BDP|14541260223906476575</stp>
        <tr r="K19" s="1"/>
      </tp>
      <tp t="s">
        <v>#N/A N/A</v>
        <stp/>
        <stp>BDP|13548034063303146173</stp>
        <tr r="AC21" s="2"/>
        <tr r="AC22" s="2"/>
      </tp>
      <tp t="s">
        <v>#N/A N/A</v>
        <stp/>
        <stp>BDP|10750845096897170167</stp>
        <tr r="G37" s="532"/>
      </tp>
      <tp t="s">
        <v>#N/A N/A</v>
        <stp/>
        <stp>BDP|12760762958325303288</stp>
        <tr r="K39" s="1"/>
      </tp>
      <tp t="s">
        <v>#N/A Requesting Data...3964381369</v>
        <stp/>
        <stp>BDP|16678311834407962683</stp>
        <tr r="V96" s="89"/>
      </tp>
      <tp t="s">
        <v>#N/A N/A</v>
        <stp/>
        <stp>BDP|17610933289947663688</stp>
        <tr r="K40" s="1"/>
      </tp>
      <tp t="s">
        <v>#N/A N/A</v>
        <stp/>
        <stp>BDP|12020891338657290965</stp>
        <tr r="K44" s="1"/>
      </tp>
      <tp t="s">
        <v>#N/A Requesting Data...3807290518</v>
        <stp/>
        <stp>BDP|17117535562106038540</stp>
        <tr r="X11" s="338"/>
      </tp>
      <tp t="s">
        <v>#N/A Requesting Data...4018489189</v>
        <stp/>
        <stp>BDP|11947265064485960753</stp>
        <tr r="U8" s="338"/>
      </tp>
      <tp t="s">
        <v>#N/A Requesting Data...4187566008</v>
        <stp/>
        <stp>BDP|16417427955559579911</stp>
        <tr r="Z103" s="89"/>
        <tr r="AA103" s="89"/>
      </tp>
      <tp t="s">
        <v>#N/A N/A</v>
        <stp/>
        <stp>BDP|13856641820218803820</stp>
        <tr r="AB13" s="1"/>
      </tp>
      <tp>
        <v>86.99</v>
        <stp/>
        <stp>BDP|2057497571936690391|22</stp>
        <stp>XLP Equity</stp>
        <stp>LAST_PRICE</stp>
        <tr r="C30" s="532"/>
        <tr r="I48" s="1"/>
      </tp>
      <tp>
        <v>33.58</v>
        <stp/>
        <stp>BDP|8316763994800088980|22</stp>
        <stp>META US 07/17/26 C750 Equity</stp>
        <stp>mid</stp>
        <tr r="L12" s="2"/>
      </tp>
      <tp t="s">
        <v>#N/A N/A</v>
        <stp/>
        <stp>BDP|12136399326041179666</stp>
        <tr r="AC44" s="1"/>
      </tp>
      <tp t="s">
        <v>#N/A N/A</v>
        <stp/>
        <stp>BDP|14359282660695781141</stp>
        <tr r="I28" s="532"/>
        <tr r="AI46" s="1"/>
      </tp>
      <tp t="s">
        <v>#N/A N/A</v>
        <stp/>
        <stp>BDP|12194689278231069699</stp>
        <tr r="I12" s="532"/>
        <tr r="AI12" s="1"/>
      </tp>
      <tp t="s">
        <v>#N/A Requesting Data...3631055944</v>
        <stp/>
        <stp>BDP|14321709566714449594</stp>
        <tr r="C6" s="2"/>
      </tp>
      <tp t="s">
        <v>#N/A Requesting Data...2983609245</v>
        <stp/>
        <stp>BDP|16851834935831563802</stp>
        <tr r="L68" s="532"/>
        <tr r="T9" s="2"/>
      </tp>
      <tp t="s">
        <v>#N/A N/A</v>
        <stp/>
        <stp>BDP|14652195261876415114</stp>
        <tr r="F7" s="532"/>
      </tp>
      <tp t="s">
        <v>#N/A N/A</v>
        <stp/>
        <stp>BDP|17891652082258068549</stp>
        <tr r="M63" s="532"/>
      </tp>
      <tp t="s">
        <v>#N/A N/A</v>
        <stp/>
        <stp>BDP|11144106828665772356</stp>
        <tr r="G46" s="532"/>
      </tp>
      <tp t="s">
        <v>#N/A Requesting Data...2828584769</v>
        <stp/>
        <stp>BDP|17303082674511603530</stp>
        <tr r="C96" s="89"/>
      </tp>
      <tp t="s">
        <v>#N/A N/A</v>
        <stp/>
        <stp>BDP|17958159524868336813</stp>
        <tr r="I49" s="532"/>
        <tr r="AI28" s="1"/>
        <tr r="AI31" s="1"/>
      </tp>
      <tp t="s">
        <v>#N/A Requesting Data...3923528602</v>
        <stp/>
        <stp>BDP|11697784175497336241</stp>
        <tr r="F11" s="2"/>
      </tp>
      <tp t="s">
        <v>#N/A Requesting Data...4291062803</v>
        <stp/>
        <stp>BDP|13362587002474685639</stp>
        <tr r="G33" s="446"/>
      </tp>
      <tp t="s">
        <v>#N/A N/A</v>
        <stp/>
        <stp>BDP|14737496804983530709</stp>
        <tr r="G32" s="532"/>
      </tp>
      <tp t="s">
        <v>#N/A N/A</v>
        <stp/>
        <stp>BDP|14006343299942798856</stp>
        <tr r="I7" s="532"/>
        <tr r="AI20" s="1"/>
      </tp>
      <tp t="s">
        <v>#N/A N/A</v>
        <stp/>
        <stp>BDP|14448228339802941380</stp>
        <tr r="G3" s="532"/>
      </tp>
      <tp t="s">
        <v>#N/A Requesting Data...3051541308</v>
        <stp/>
        <stp>BDP|12062717686630053994</stp>
        <tr r="V104" s="89"/>
      </tp>
      <tp>
        <v>24761.5</v>
        <stp/>
        <stp>BDP|5100640861095501669|22</stp>
        <stp>1OH6 Index</stp>
        <stp>LAST_PRICE</stp>
        <tr r="S69" s="89"/>
        <tr r="C53" s="532"/>
      </tp>
      <tp t="s">
        <v>#N/A Requesting Data...3580905417</v>
        <stp/>
        <stp>BDP|10930560316549062982</stp>
        <tr r="C76" s="89"/>
      </tp>
      <tp t="s">
        <v>#N/A N/A</v>
        <stp/>
        <stp>BDP|17624673723155105222</stp>
        <tr r="AB47" s="1"/>
      </tp>
      <tp t="s">
        <v>#N/A N/A</v>
        <stp/>
        <stp>BDP|14406440625767437102</stp>
        <tr r="J10" s="1"/>
      </tp>
      <tp t="s">
        <v>#N/A N/A</v>
        <stp/>
        <stp>BDP|12078319854252151241</stp>
        <tr r="G18" s="532"/>
      </tp>
      <tp t="s">
        <v>#N/A N/A</v>
        <stp/>
        <stp>BDP|15182522697718575514</stp>
        <tr r="D55" s="532"/>
      </tp>
      <tp t="s">
        <v>#N/A N/A</v>
        <stp/>
        <stp>BDP|10156748204686087528</stp>
        <tr r="F13" s="532"/>
      </tp>
      <tp t="s">
        <v>#N/A Requesting Data...3997721039</v>
        <stp/>
        <stp>BDP|14437871301241284935</stp>
        <tr r="AJ12" s="338"/>
      </tp>
      <tp t="s">
        <v>#N/A Requesting Data...4037372127</v>
        <stp/>
        <stp>BDP|11214745035248274920</stp>
        <tr r="V8" s="338"/>
      </tp>
      <tp t="s">
        <v>#N/A Requesting Data...3116781628</v>
        <stp/>
        <stp>BDP|12168490429210433067</stp>
        <tr r="T85" s="89"/>
      </tp>
      <tp t="s">
        <v>#N/A Requesting Data...3878264648</v>
        <stp/>
        <stp>BDP|11625676250200786659</stp>
        <tr r="T8" s="338"/>
      </tp>
      <tp t="s">
        <v>#N/A N/A</v>
        <stp/>
        <stp>BDP|18042899846108511886</stp>
        <tr r="AQ9" s="2"/>
      </tp>
      <tp t="s">
        <v>#N/A Requesting Data...3615770049</v>
        <stp/>
        <stp>BDP|14059396921424230587</stp>
        <tr r="H3" s="532"/>
        <tr r="AF41" s="1"/>
        <tr r="AF11" s="338"/>
      </tp>
      <tp t="s">
        <v>#N/A Requesting Data...3723404338</v>
        <stp/>
        <stp>BDP|12166373874230381241</stp>
        <tr r="C20" s="2"/>
      </tp>
      <tp t="s">
        <v>#N/A N/A</v>
        <stp/>
        <stp>BDP|12277335938377469189</stp>
        <tr r="D38" s="532"/>
      </tp>
      <tp t="s">
        <v>#N/A Requesting Data...3373990768</v>
        <stp/>
        <stp>BDP|14617450835291123623</stp>
        <tr r="Z7" s="89"/>
        <tr r="AA7" s="89"/>
      </tp>
      <tp t="s">
        <v>#N/A Requesting Data...3748925627</v>
        <stp/>
        <stp>BDP|17956776735294864366</stp>
        <tr r="E61" s="89"/>
      </tp>
      <tp t="s">
        <v>#N/A N/A</v>
        <stp/>
        <stp>BDP|14733172296271891991</stp>
        <tr r="I38" s="532"/>
      </tp>
      <tp t="s">
        <v>#N/A Requesting Data...3890451066</v>
        <stp/>
        <stp>BDP|14042234469680826459</stp>
        <tr r="H66" s="532"/>
        <tr r="AR7" s="2"/>
      </tp>
      <tp t="s">
        <v>#N/A Requesting Data...3313846489</v>
        <stp/>
        <stp>BDP|12672964110318587625</stp>
        <tr r="E21" s="2"/>
      </tp>
      <tp t="s">
        <v>#N/A Requesting Data...3716509894</v>
        <stp/>
        <stp>BDP|15196263184812581917</stp>
        <tr r="D31" s="89"/>
      </tp>
      <tp t="s">
        <v>#N/A Requesting Data...2885602173</v>
        <stp/>
        <stp>BDP|10337841861653211939</stp>
        <tr r="AB45" s="1"/>
        <tr r="F14" s="446"/>
      </tp>
      <tp t="s">
        <v>#N/A Requesting Data...3091654225</v>
        <stp/>
        <stp>BDP|17690914896262714118</stp>
        <tr r="T31" s="89"/>
      </tp>
      <tp t="s">
        <v>#N/A N/A</v>
        <stp/>
        <stp>BDP|11571700966797627327</stp>
        <tr r="H36" s="532"/>
      </tp>
      <tp t="s">
        <v>#N/A N/A</v>
        <stp/>
        <stp>BDP|12370547281383201820</stp>
        <tr r="AG20" s="1"/>
      </tp>
      <tp t="s">
        <v>#N/A N/A</v>
        <stp/>
        <stp>BDP|11243430201469561835</stp>
        <tr r="I2" s="532"/>
        <tr r="AI38" s="1"/>
      </tp>
      <tp t="s">
        <v>#N/A N/A</v>
        <stp/>
        <stp>BDH|14412120299819401152</stp>
        <tr r="AM8" s="338"/>
      </tp>
      <tp>
        <v>0.40669932961463928</v>
        <stp/>
        <stp>BDP|13606219202075101737|22</stp>
        <stp>INTC US 07/17/26 C60 Equity</stp>
        <stp>DELTA_MID_RT</stp>
        <tr r="F77" s="532"/>
        <tr r="AF18" s="2"/>
        <tr r="W111" s="89"/>
      </tp>
      <tp t="s">
        <v>#N/A Invalid Security</v>
        <stp/>
        <stp>BDP|17276935431976766163|22</stp>
        <stp xml:space="preserve"> Equity</stp>
        <stp>QUOTED_CURRENCY_REALTIME</stp>
        <tr r="F94" s="89"/>
        <tr r="F95" s="89"/>
      </tp>
      <tp>
        <v>33.35</v>
        <stp/>
        <stp>BDP|1435529279737285533|22</stp>
        <stp>META US 07/17/26 C750 Equity</stp>
        <stp>bid</stp>
        <tr r="P12" s="2"/>
        <tr r="K13" s="89"/>
      </tp>
      <tp>
        <v>28.05</v>
        <stp/>
        <stp>BDP|3455432218402996031|22</stp>
        <stp>META US 02/27/26 C660 Equity</stp>
        <stp>bid</stp>
        <tr r="K96" s="89"/>
      </tp>
      <tp>
        <v>11.05</v>
        <stp/>
        <stp>BDP|1560319554749533723|22</stp>
        <stp>AAPL US 04/17/26 C280 Equity</stp>
        <stp>mid</stp>
        <tr r="L16" s="2"/>
      </tp>
      <tp t="s">
        <v>#N/A Requesting Data...3123652858</v>
        <stp/>
        <stp>BDP|15314903583123967208</stp>
        <tr r="F17" s="2"/>
      </tp>
      <tp t="s">
        <v>#N/A N/A</v>
        <stp/>
        <stp>BDP|10976567873595722239</stp>
        <tr r="AV24" s="2"/>
        <tr r="AV25" s="2"/>
      </tp>
      <tp t="s">
        <v>#N/A Requesting Data...3541770838</v>
        <stp/>
        <stp>BDP|15688066863846340087</stp>
        <tr r="D28" s="446"/>
      </tp>
      <tp t="s">
        <v>#N/A Requesting Data...2780914070</v>
        <stp/>
        <stp>BDP|10174366559095309654</stp>
        <tr r="Z53" s="89"/>
        <tr r="AA53" s="89"/>
      </tp>
      <tp t="s">
        <v>#N/A N/A</v>
        <stp/>
        <stp>BDP|12893773650213544611</stp>
        <tr r="F52" s="532"/>
      </tp>
      <tp t="s">
        <v>#N/A Requesting Data...3431654891</v>
        <stp/>
        <stp>BDP|15767057305588506896</stp>
        <tr r="AH9" s="338"/>
      </tp>
      <tp t="s">
        <v>#N/A N/A</v>
        <stp/>
        <stp>BDP|12598914732268945550</stp>
        <tr r="E10" s="1"/>
      </tp>
      <tp t="s">
        <v>#N/A Requesting Data...4140605015</v>
        <stp/>
        <stp>BDP|10968744678995921066</stp>
        <tr r="C94" s="89"/>
        <tr r="C95" s="89"/>
      </tp>
      <tp t="s">
        <v>#N/A Requesting Data...3861524752</v>
        <stp/>
        <stp>BDP|12490577043850363694</stp>
        <tr r="C85" s="89"/>
      </tp>
      <tp t="s">
        <v>#N/A Requesting Data...4091120065</v>
        <stp/>
        <stp>BDP|15872646771885299421</stp>
        <tr r="F16" s="446"/>
      </tp>
      <tp t="s">
        <v>#N/A Requesting Data...3668791906</v>
        <stp/>
        <stp>BDP|13263289468687990577</stp>
        <tr r="AA20" s="89"/>
        <tr r="Z20" s="89"/>
      </tp>
      <tp t="s">
        <v>#N/A N/A</v>
        <stp/>
        <stp>BDP|17568823938001171827</stp>
        <tr r="F35" s="532"/>
      </tp>
      <tp t="s">
        <v>#N/A Requesting Data...3688927982</v>
        <stp/>
        <stp>BDP|12562295840812224313</stp>
        <tr r="C36" s="89"/>
        <tr r="D21" s="2"/>
      </tp>
      <tp t="s">
        <v>#N/A Requesting Data...3162843015</v>
        <stp/>
        <stp>BDP|14521485953094621461</stp>
        <tr r="L69" s="532"/>
        <tr r="T10" s="2"/>
      </tp>
      <tp t="s">
        <v>#N/A N/A</v>
        <stp/>
        <stp>BDP|15051140014688420859</stp>
        <tr r="AC12" s="1"/>
      </tp>
      <tp t="s">
        <v>#N/A Requesting Data...3616821121</v>
        <stp/>
        <stp>BDP|10649617194228048229</stp>
        <tr r="V111" s="89"/>
        <tr r="AD18" s="2"/>
      </tp>
      <tp t="s">
        <v>#N/A Requesting Data...3908514201</v>
        <stp/>
        <stp>BDP|16068368952433220674</stp>
        <tr r="D61" s="89"/>
      </tp>
      <tp t="s">
        <v>#N/A Requesting Data...2780738433</v>
        <stp/>
        <stp>BDP|17342615633087431051</stp>
        <tr r="H75" s="532"/>
        <tr r="AR16" s="2"/>
      </tp>
      <tp t="s">
        <v>#N/A N/A</v>
        <stp/>
        <stp>BDP|10378554916186339736</stp>
        <tr r="AC8" s="2"/>
      </tp>
      <tp t="s">
        <v>#N/A N/A</v>
        <stp/>
        <stp>BDP|17289014403731542359</stp>
        <tr r="AB111" s="89"/>
        <tr r="AB112" s="89"/>
        <tr r="AB113" s="89"/>
        <tr r="AQ18" s="2"/>
        <tr r="AQ19" s="2"/>
        <tr r="AQ20" s="2"/>
      </tp>
      <tp t="s">
        <v>#N/A N/A</v>
        <stp/>
        <stp>BDP|17524047003882937085</stp>
        <tr r="M65" s="532"/>
      </tp>
      <tp t="s">
        <v>#N/A Requesting Data...4206482204</v>
        <stp/>
        <stp>BDP|14342024613619901985</stp>
        <tr r="F32" s="446"/>
      </tp>
      <tp t="s">
        <v>#N/A Requesting Data...4233771626</v>
        <stp/>
        <stp>BDP|13450917922399223467</stp>
        <tr r="G34" s="446"/>
      </tp>
      <tp t="s">
        <v>#N/A N/A</v>
        <stp/>
        <stp>BDP|13484895990440966767</stp>
        <tr r="O77" s="532"/>
      </tp>
      <tp t="s">
        <v>#N/A N/A</v>
        <stp/>
        <stp>BDP|10603598986270914823</stp>
        <tr r="AC25" s="1"/>
      </tp>
      <tp t="s">
        <v>#N/A N/A</v>
        <stp/>
        <stp>BDP|10950062935451840709</stp>
        <tr r="G57" s="532"/>
      </tp>
      <tp t="s">
        <v>#N/A N/A</v>
        <stp/>
        <stp>BDP|12142735374617755031</stp>
        <tr r="AG13" s="1"/>
      </tp>
      <tp t="s">
        <v>#N/A N/A</v>
        <stp/>
        <stp>BDP|11197652175943798649</stp>
        <tr r="D16" s="532"/>
      </tp>
      <tp t="s">
        <v>#N/A Requesting Data...3461472816</v>
        <stp/>
        <stp>BDP|12129279820182595515</stp>
        <tr r="E112" s="89"/>
      </tp>
      <tp t="s">
        <v>#N/A N/A</v>
        <stp/>
        <stp>BDP|13582305430885760379</stp>
        <tr r="H33" s="532"/>
      </tp>
      <tp t="s">
        <v>#N/A Requesting Data...2744919218</v>
        <stp/>
        <stp>BDP|16326006333405026555</stp>
        <tr r="T69" s="89"/>
      </tp>
      <tp t="s">
        <v>#N/A N/A</v>
        <stp/>
        <stp>BDP|12145891854318901202</stp>
        <tr r="G19" s="532"/>
      </tp>
      <tp t="s">
        <v>#N/A N/A</v>
        <stp/>
        <stp>BDP|16337356577233138449</stp>
        <tr r="D57" s="532"/>
      </tp>
      <tp t="s">
        <v>#N/A N/A</v>
        <stp/>
        <stp>BDP|18269255641489268206</stp>
        <tr r="AC36" s="1"/>
      </tp>
      <tp t="s">
        <v>#N/A N/A</v>
        <stp/>
        <stp>BDP|15660791077340487089</stp>
        <tr r="E1" s="1"/>
      </tp>
      <tp t="s">
        <v>#N/A Requesting Data...2927290701</v>
        <stp/>
        <stp>BDP|17271244710975447452</stp>
        <tr r="AK9" s="338"/>
      </tp>
      <tp t="s">
        <v>#N/A N/A</v>
        <stp/>
        <stp>BDP|10139321650242131157</stp>
        <tr r="F56" s="532"/>
      </tp>
      <tp t="s">
        <v>#N/A Requesting Data...2709384844</v>
        <stp/>
        <stp>BDP|10671335204882257452</stp>
        <tr r="J76" s="532"/>
        <tr r="T7" s="89"/>
        <tr r="AA17" s="2"/>
      </tp>
      <tp t="s">
        <v>#N/A N/A</v>
        <stp/>
        <stp>BDP|14505061934744038618</stp>
        <tr r="AB2" s="1"/>
      </tp>
      <tp t="s">
        <v>#N/A N/A</v>
        <stp/>
        <stp>BDP|12600267054266034627</stp>
        <tr r="F3" s="532"/>
      </tp>
      <tp t="s">
        <v>#N/A Requesting Data...3538727661</v>
        <stp/>
        <stp>BDP|11370170641465778442</stp>
        <tr r="O85" s="89"/>
      </tp>
    </main>
    <main first="bofaddin.rtdserver">
      <tp>
        <v>260.52</v>
        <stp/>
        <stp>BDP|7062867511992634566|22</stp>
        <stp>IWM EQUITY</stp>
        <stp>LAST_PRICE</stp>
        <tr r="L8" s="1"/>
      </tp>
      <tp>
        <v>33.479999999999997</v>
        <stp/>
        <stp>BDP|16778716474861008512|22</stp>
        <stp>ASHR US Equity</stp>
        <stp>LAST_PRICE</stp>
        <tr r="Z4" s="2"/>
      </tp>
      <tp>
        <v>-0.23003534972667694</v>
        <stp/>
        <stp>BDP|5821611825401672102|22</stp>
        <stp>QQQ US 02/06/26 P595 Equity</stp>
        <stp>DELTA_MID_RT</stp>
        <tr r="W43" s="89"/>
      </tp>
      <tp t="s">
        <v>USD</v>
        <stp/>
        <stp>BDP|9273807267583160426|22</stp>
        <stp>GOOG US 02/06/26 P300 Equity</stp>
        <stp>QUOTED_CURRENCY_REALTIME</stp>
        <tr r="F30" s="89"/>
        <tr r="G8" s="2"/>
      </tp>
      <tp>
        <v>161100</v>
        <stp/>
        <stp>BDP|2801672589713003233|22</stp>
        <stp>005930 KS Equity</stp>
        <stp>LAST_PRICE</stp>
        <tr r="C50" s="532"/>
        <tr r="I29" s="1"/>
        <tr r="I32" s="1"/>
      </tp>
      <tp>
        <v>842000</v>
        <stp/>
        <stp>BDP|5584348829070198606|22</stp>
        <stp>000660 KP Equity</stp>
        <stp>LAST_PRICE</stp>
        <tr r="C48" s="532"/>
        <tr r="I27" s="1"/>
        <tr r="I30" s="1"/>
      </tp>
      <tp>
        <v>200.19</v>
        <stp/>
        <stp>BDP|8139972387614957050|22</stp>
        <stp>AMD EQUITY</stp>
        <stp>LAST_PRICE</stp>
        <tr r="C4" s="1"/>
      </tp>
      <tp>
        <v>1.17</v>
        <stp/>
        <stp>BDP|8758800537496961451|22</stp>
        <stp>GOOG US 02/06/26 P300 Equity</stp>
        <stp>BID</stp>
        <tr r="D67" s="532"/>
      </tp>
      <tp>
        <v>4.3</v>
        <stp/>
        <stp>BDP|8028167710087271328|22</stp>
        <stp>AVGO US 02/06/26 C315 Equity</stp>
        <stp>BID</stp>
        <tr r="D65" s="532"/>
      </tp>
      <tp>
        <v>297.60000000000002</v>
        <stp/>
        <stp>BDP|497348669375754624|22</stp>
        <stp>AMAT Equity</stp>
        <stp>LAST_PRICE</stp>
        <tr r="C34" s="532"/>
      </tp>
      <tp>
        <v>-1.8882811069488525E-2</v>
        <stp/>
        <stp>BDP|16828695075002840217|22</stp>
        <stp>INTC US 07/17/26 P40 Equity</stp>
        <stp>theta_mid_rt</stp>
        <tr r="AN20" s="2"/>
      </tp>
      <tp t="s">
        <v>#N/A Real Time</v>
        <stp/>
        <stp>BDP|8671606719947634072|22</stp>
        <stp>4EM5P    6025 Index</stp>
        <stp>DELTA_MID_RT</stp>
        <tr r="W53" s="89"/>
      </tp>
      <tp>
        <v>-0.33583325147628784</v>
        <stp/>
        <stp>BDP|1852356257343713250|22</stp>
        <stp>QQQ US 02/06/26 P600 Equity</stp>
        <stp>DELTA_MID_RT</stp>
        <tr r="W36" s="89"/>
        <tr r="AF21" s="2"/>
      </tp>
      <tp>
        <v>9.539920836687088E-3</v>
        <stp/>
        <stp>BDP|2686469546627559019|22</stp>
        <stp>QQQ US 02/06/26 C640 Equity</stp>
        <stp>DELTA_MID_RT</stp>
        <tr r="W102" s="89"/>
      </tp>
      <tp t="s">
        <v>#N/A Real Time</v>
        <stp/>
        <stp>BDP|11820070012775282534|22</stp>
        <stp>RTYWU5C3 2500 Index</stp>
        <stp>ask</stp>
        <tr r="L61" s="89"/>
      </tp>
      <tp>
        <v>308.05</v>
        <stp/>
        <stp>BDP|17019897193923426340|22</stp>
        <stp>AVGO US Equity</stp>
        <stp>LAST_PRICE</stp>
        <tr r="Z6" s="2"/>
        <tr r="S19" s="89"/>
        <tr r="Z5" s="2"/>
        <tr r="S20" s="89"/>
        <tr r="Z7" s="2"/>
      </tp>
      <tp t="s">
        <v>#N/A Real Time</v>
        <stp/>
        <stp>BDP|16831399122066681226|22</stp>
        <stp>RTYWU5C3 2500 Index</stp>
        <stp>bid</stp>
        <tr r="K61" s="89"/>
      </tp>
      <tp>
        <v>382.02</v>
        <stp/>
        <stp>BDP|5033619958928963959|22</stp>
        <stp>SMH EQUITY</stp>
        <stp>LAST_PRICE</stp>
        <tr r="L3" s="1"/>
      </tp>
      <tp>
        <v>-8.5966259241104126E-2</v>
        <stp/>
        <stp>BDP|17204206709522420966|22</stp>
        <stp>AAPL US 04/17/26 C280 Equity</stp>
        <stp>theta_mid_rt</stp>
        <tr r="AN16" s="2"/>
      </tp>
      <tp>
        <v>-9.5624625682830811E-2</v>
        <stp/>
        <stp>BDP|3750972307763569111|22</stp>
        <stp>QQQ US 02/06/26 P585 Equity</stp>
        <stp>DELTA_MID_RT</stp>
        <tr r="W37" s="89"/>
        <tr r="AF22" s="2"/>
      </tp>
      <tp>
        <v>-7.8847058117389679E-2</v>
        <stp/>
        <stp>BDP|12394711501428764022|22</stp>
        <stp>AAPL US 04/17/26 C260 Equity</stp>
        <stp>theta_mid_rt</stp>
        <tr r="AN15" s="2"/>
      </tp>
      <tp t="s">
        <v>#N/A Real Time</v>
        <stp/>
        <stp>BDP|9893971634581157776|22</stp>
        <stp>RTYWU5C3 2425 Index</stp>
        <stp>DELTA_MID_RT</stp>
        <tr r="W60" s="89"/>
      </tp>
      <tp t="s">
        <v>USD</v>
        <stp/>
        <stp>BDP|13018755027784620529|22</stp>
        <stp>1OG6C 26000 INDEX</stp>
        <stp>QUOTED_CURRENCY_REALTIME</stp>
        <tr r="G23" s="2"/>
      </tp>
      <tp>
        <v>8.1</v>
        <stp/>
        <stp>BDP|3865458017416713465|22</stp>
        <stp>NVDA US 05/15/26 C200 Equity</stp>
        <stp>ASK</stp>
        <tr r="E68" s="532"/>
      </tp>
      <tp t="s">
        <v>#N/A Real Time</v>
        <stp/>
        <stp>BDP|2501457664342157633|22</stp>
        <stp>4EM5C    6300 Index</stp>
        <stp>DELTA_MID_RT</stp>
        <tr r="W52" s="89"/>
      </tp>
      <tp>
        <v>24761.5</v>
        <stp/>
        <stp>BDP|15621475834069929149|22</stp>
        <stp>NQA INDEX</stp>
        <stp>LAST_PRICE</stp>
        <tr r="I18" s="1"/>
      </tp>
      <tp>
        <v>325.74</v>
        <stp/>
        <stp>BDP|5454315708850008901|22</stp>
        <stp>TSM EQUITY</stp>
        <stp>LAST_PRICE</stp>
        <tr r="C3" s="1"/>
      </tp>
      <tp>
        <v>-1</v>
        <stp/>
        <stp>BDP|4097278365440757822|22</stp>
        <stp>QQQ US 02/06/26 P624 Equity</stp>
        <stp>DELTA_MID_RT</stp>
        <tr r="W104" s="89"/>
      </tp>
      <tp t="s">
        <v>USD</v>
        <stp/>
        <stp>BDP|2430132797707671505|22</stp>
        <stp>NVDA US 05/15/26 C200 Equity</stp>
        <stp>QUOTED_CURRENCY_REALTIME</stp>
        <tr r="G9" s="2"/>
      </tp>
      <tp>
        <v>25.1</v>
        <stp/>
        <stp>BDP|2993013286088946204|22</stp>
        <stp>AVGO US 06/18/26 C350 Equity</stp>
        <stp>BID</stp>
        <tr r="D64" s="532"/>
      </tp>
      <tp>
        <v>-0.14079232513904572</v>
        <stp/>
        <stp>BDP|6611012676051570|22</stp>
        <stp>AVGO US 06/18/26 C350 Equity</stp>
        <stp>THETA_MID_RT</stp>
        <tr r="G64" s="532"/>
      </tp>
      <tp t="s">
        <v>#N/A Real Time</v>
        <stp/>
        <stp>BDP|5618054662935339575|22</stp>
        <stp>4EM5P    5800 Index</stp>
        <stp>DELTA_MID_RT</stp>
        <tr r="W54" s="89"/>
      </tp>
      <tp t="s">
        <v>#N/A Real Time</v>
        <stp/>
        <stp>BDP|3644211716247599726|22</stp>
        <stp>RTYWU5C3 2500 Index</stp>
        <stp>DELTA_MID_RT</stp>
        <tr r="W61" s="89"/>
      </tp>
      <tp t="s">
        <v>USD</v>
        <stp/>
        <stp>BDP|7501026932121023555|22</stp>
        <stp>AVGO US 02/13/26 C330 Equity</stp>
        <stp>QUOTED_CURRENCY_REALTIME</stp>
        <tr r="F20" s="89"/>
        <tr r="G7" s="2"/>
      </tp>
      <tp t="s">
        <v>USD</v>
        <stp/>
        <stp>BDP|12401159505908896742|22</stp>
        <stp>MELI US 02/20/26 C2150 Equity</stp>
        <stp>QUOTED_CURRENCY_REALTIME</stp>
        <tr r="F7" s="89"/>
        <tr r="G17" s="2"/>
      </tp>
      <tp>
        <v>269.41000000000003</v>
        <stp/>
        <stp>BDP|4895281984520079725|22</stp>
        <stp>WDC EQUITY</stp>
        <stp>LAST_PRICE</stp>
        <tr r="H7" s="1"/>
      </tp>
      <tp>
        <v>-2.8517793864011765E-2</v>
        <stp/>
        <stp>BDP|11687415304317098980|22</stp>
        <stp>NFLX US 05/15/26 C90 Equity</stp>
        <stp>theta_mid_rt</stp>
        <tr r="AN10" s="2"/>
      </tp>
      <tp t="s">
        <v>#N/A Real Time</v>
        <stp/>
        <stp>BDP|14239316141835558447|22</stp>
        <stp>4EM5P    6025 Index</stp>
        <stp>QUOTED_CURRENCY_REALTIME</stp>
        <tr r="F53" s="89"/>
      </tp>
      <tp t="s">
        <v>USD</v>
        <stp/>
        <stp>BDP|7738847520517229982|22</stp>
        <stp>META US 07/17/26 C670 Equity</stp>
        <stp>QUOTED_CURRENCY_REALTIME</stp>
        <tr r="F86" s="89"/>
      </tp>
      <tp t="s">
        <v>USD</v>
        <stp/>
        <stp>BDP|5183346410322862647|22</stp>
        <stp>AAPL US 04/17/26 C260 Equity</stp>
        <stp>QUOTED_CURRENCY_REALTIME</stp>
        <tr r="G15" s="2"/>
      </tp>
      <tp t="s">
        <v>USD</v>
        <stp/>
        <stp>BDP|5793744081546209980|22</stp>
        <stp>META US 04/17/26 C690 Equity</stp>
        <stp>QUOTED_CURRENCY_REALTIME</stp>
        <tr r="F85" s="89"/>
      </tp>
      <tp t="s">
        <v>#N/A Invalid Security</v>
        <stp/>
        <stp>BDP|4149584775528543730|22</stp>
        <stp xml:space="preserve"> Equity</stp>
        <stp>ask</stp>
        <tr r="Q2" s="2"/>
        <tr r="L94" s="89"/>
        <tr r="L95" s="89"/>
      </tp>
      <tp>
        <v>379.4</v>
        <stp/>
        <stp>BDP|12429311880057526361|22</stp>
        <stp>MU EQUITY</stp>
        <stp>LAST_PRICE</stp>
        <tr r="H2" s="1"/>
      </tp>
      <tp t="s">
        <v>USD</v>
        <stp/>
        <stp>BDP|16838689156039068432|22</stp>
        <stp>QQQ US 02/06/26 P600 Equity</stp>
        <stp>QUOTED_CURRENCY_REALTIME</stp>
        <tr r="F36" s="89"/>
        <tr r="G21" s="2"/>
      </tp>
      <tp t="s">
        <v>USD</v>
        <stp/>
        <stp>BDP|9373829889527232263|22</stp>
        <stp>META US 07/17/26 C750 Equity</stp>
        <stp>QUOTED_CURRENCY_REALTIME</stp>
        <tr r="G12" s="2"/>
        <tr r="F13" s="89"/>
      </tp>
      <tp t="s">
        <v>#N/A Real Time</v>
        <stp/>
        <stp>BDP|14971432828971535518|22</stp>
        <stp>RTYWU5C3 2500 Index</stp>
        <stp>QUOTED_CURRENCY_REALTIME</stp>
        <tr r="F61" s="89"/>
      </tp>
      <tp>
        <v>-2.4584110826253891E-2</v>
        <stp/>
        <stp>BDP|18355121389053073684|22</stp>
        <stp>INTC US 07/17/26 C60 Equity</stp>
        <stp>theta_mid_rt</stp>
        <tr r="AN18" s="2"/>
      </tp>
      <tp>
        <v>48.6</v>
        <stp/>
        <stp>BDP|15280641543212915371|22</stp>
        <stp>INTC US Equity</stp>
        <stp>LAST_PRICE</stp>
        <tr r="Z18" s="2"/>
        <tr r="Z19" s="2"/>
        <tr r="Z20" s="2"/>
        <tr r="S111" s="89"/>
        <tr r="S112" s="89"/>
        <tr r="S113" s="89"/>
      </tp>
      <tp>
        <v>-7.0080108940601349E-2</v>
        <stp/>
        <stp>BDP|16456111785153391042|22</stp>
        <stp>MRVL US 03/20/26 P70 Equity</stp>
        <stp>theta_mid_rt</stp>
        <tr r="AN13" s="2"/>
      </tp>
      <tp t="s">
        <v>USD</v>
        <stp/>
        <stp>BDP|15790829845725470611|22</stp>
        <stp>QQQ US 02/06/26 C634 Equity</stp>
        <stp>QUOTED_CURRENCY_REALTIME</stp>
        <tr r="F103" s="89"/>
      </tp>
      <tp t="s">
        <v>USD</v>
        <stp/>
        <stp>BDP|14404821170130534219|22</stp>
        <stp>QQQ US 02/06/26 P580 Equity</stp>
        <stp>QUOTED_CURRENCY_REALTIME</stp>
        <tr r="F44" s="89"/>
      </tp>
      <tp>
        <v>1.9</v>
        <stp/>
        <stp>BDP|15940356934723959800|22</stp>
        <stp>1OG6C 26000 INDEX</stp>
        <stp>mid</stp>
        <tr r="L23" s="2"/>
      </tp>
      <tp>
        <v>111.07</v>
        <stp/>
        <stp>BDP|5743631822536954954|22</stp>
        <stp>NOW EQUITY</stp>
        <stp>LAST_PRICE</stp>
        <tr r="H10" s="1"/>
      </tp>
      <tp>
        <v>605.75</v>
        <stp/>
        <stp>BDP|360499996244621952|22</stp>
        <stp>QQQ US Equity</stp>
        <stp>LAST_PRICE</stp>
        <tr r="S37" s="89"/>
        <tr r="S43" s="89"/>
        <tr r="S102" s="89"/>
        <tr r="S103" s="89"/>
        <tr r="S104" s="89"/>
        <tr r="S36" s="89"/>
        <tr r="S44" s="89"/>
        <tr r="Z21" s="2"/>
        <tr r="Z22" s="2"/>
      </tp>
      <tp>
        <v>668.99</v>
        <stp/>
        <stp>BDP|12884552599081678750|22</stp>
        <stp>META US Equity</stp>
        <stp>LAST_PRICE</stp>
        <tr r="Z12" s="2"/>
        <tr r="S14" s="89"/>
        <tr r="S85" s="89"/>
        <tr r="S86" s="89"/>
        <tr r="S96" s="89"/>
        <tr r="S87" s="89"/>
        <tr r="S13" s="89"/>
      </tp>
      <tp t="s">
        <v>#N/A Requesting Data...</v>
        <stp/>
        <stp>BDP|2950961083823308900|22</stp>
        <stp>-2,50953914728879 Index</stp>
        <stp>mid</stp>
        <tr r="L1" s="2"/>
      </tp>
      <tp>
        <v>-2.4672754108905792E-2</v>
        <stp/>
        <stp>BDP|17856461713270669920|22</stp>
        <stp>INTC US 07/17/26 C50 Equity</stp>
        <stp>theta_mid_rt</stp>
        <tr r="AN19" s="2"/>
      </tp>
      <tp>
        <v>-4.6173460781574249E-2</v>
        <stp/>
        <stp>BDP|10014400757682207201|22</stp>
        <stp>MRVL US 03/20/26 P60 Equity</stp>
        <stp>theta_mid_rt</stp>
        <tr r="AN14" s="2"/>
      </tp>
      <tp>
        <v>-1.2999356985092163</v>
        <stp/>
        <stp>BDP|10278973647965196302|22</stp>
        <stp>AVGO US 02/06/26 C315 Equity</stp>
        <stp>theta_mid_rt</stp>
        <tr r="AN6" s="2"/>
      </tp>
      <tp>
        <v>3.25</v>
        <stp/>
        <stp>BDP|16772891587225832569|22</stp>
        <stp>1OG6C 26000 INDEX</stp>
        <stp>ask</stp>
        <tr r="Q23" s="2"/>
      </tp>
      <tp>
        <v>83.84</v>
        <stp/>
        <stp>BDP|2213699979188169021|22</stp>
        <stp>IGV EQUITY</stp>
        <stp>LAST_PRICE</stp>
        <tr r="L2" s="1"/>
      </tp>
      <tp>
        <v>-0.72490501403808594</v>
        <stp/>
        <stp>BDP|16617642049071100779|22</stp>
        <stp>GOOG US 02/06/26 P300 Equity</stp>
        <stp>theta_mid_rt</stp>
        <tr r="AN8" s="2"/>
      </tp>
      <tp>
        <v>23.4</v>
        <stp/>
        <stp>BDP|7315378809970527099|22</stp>
        <stp>AAPL US 04/17/26 C260 Equity</stp>
        <stp>BID</stp>
        <tr r="D74" s="532"/>
      </tp>
      <tp>
        <v>81.16</v>
        <stp/>
        <stp>BDP|224343272968290990|22</stp>
        <stp>CSCO Equity</stp>
        <stp>LAST_PRICE</stp>
        <tr r="C22" s="532"/>
        <tr r="I37" s="1"/>
      </tp>
      <tp t="s">
        <v>USD</v>
        <stp/>
        <stp>BDP|11467795818627236233|22</stp>
        <stp>QQQ US 02/06/26 C640 Equity</stp>
        <stp>QUOTED_CURRENCY_REALTIME</stp>
        <tr r="F102" s="89"/>
      </tp>
      <tp t="s">
        <v>USD</v>
        <stp/>
        <stp>BDP|8551146402332547609|22</stp>
        <stp>META US 07/17/26 C700 Equity</stp>
        <stp>QUOTED_CURRENCY_REALTIME</stp>
        <tr r="F14" s="89"/>
        <tr r="F87" s="89"/>
      </tp>
      <tp>
        <v>0.55000000000000004</v>
        <stp/>
        <stp>BDP|14746072603058243579|22</stp>
        <stp>1OG6C 26000 INDEX</stp>
        <stp>bid</stp>
        <tr r="P23" s="2"/>
      </tp>
      <tp>
        <v>-0.45607683062553406</v>
        <stp/>
        <stp>BDP|17419465540794523313|22</stp>
        <stp>AVGO US 02/13/26 C330 Equity</stp>
        <stp>theta_mid_rt</stp>
        <tr r="AN7" s="2"/>
      </tp>
      <tp t="s">
        <v>#N/A Invalid Security</v>
        <stp/>
        <stp>BDP|7846864529941089881|22</stp>
        <stp xml:space="preserve"> Equity</stp>
        <stp>mid</stp>
        <tr r="L2" s="2"/>
      </tp>
      <tp>
        <v>605.75</v>
        <stp/>
        <stp>BDP|2689810960265066336|22</stp>
        <stp>QQQ EQUITY</stp>
        <stp>LAST_PRICE</stp>
        <tr r="L6" s="1"/>
      </tp>
      <tp>
        <v>-7.2926461696624756E-2</v>
        <stp/>
        <stp>BDP|11554504603472673655|22</stp>
        <stp>NVDA US 05/15/26 C200 Equity</stp>
        <stp>theta_mid_rt</stp>
        <tr r="AN9" s="2"/>
      </tp>
      <tp t="s">
        <v>#N/A Requesting Data...3324841510</v>
        <stp/>
        <stp>BDP|3970119255888163378</stp>
        <tr r="L11" s="338"/>
        <tr r="H11" s="338"/>
      </tp>
      <tp t="s">
        <v>#N/A N/A</v>
        <stp/>
        <stp>BDP|1780817128230709721</stp>
        <tr r="AC40" s="1"/>
      </tp>
      <tp t="s">
        <v>#N/A N/A</v>
        <stp/>
        <stp>BDP|7926176562935375944</stp>
        <tr r="D21" s="532"/>
      </tp>
      <tp t="s">
        <v>#N/A N/A</v>
        <stp/>
        <stp>BDP|2105583382473424071</stp>
        <tr r="N69" s="532"/>
      </tp>
      <tp t="s">
        <v>#N/A Requesting Data...2842937916</v>
        <stp/>
        <stp>BDP|6875767680954769102</stp>
        <tr r="H64" s="532"/>
        <tr r="AR5" s="2"/>
      </tp>
      <tp t="s">
        <v>#N/A Requesting Data...3958173489</v>
        <stp/>
        <stp>BDP|2103729829803079837</stp>
        <tr r="T43" s="89"/>
      </tp>
      <tp t="s">
        <v>#N/A N/A</v>
        <stp/>
        <stp>BDP|7500005297250850236</stp>
        <tr r="N1" s="1"/>
      </tp>
      <tp t="s">
        <v>#N/A Requesting Data...3131195916</v>
        <stp/>
        <stp>BDP|7828562231434179977</stp>
        <tr r="G30" s="446"/>
      </tp>
      <tp t="s">
        <v>#N/A N/A</v>
        <stp/>
        <stp>BDP|4963441776899217208</stp>
        <tr r="AG23" s="1"/>
      </tp>
      <tp t="s">
        <v>#N/A N/A</v>
        <stp/>
        <stp>BDP|8367283627072476679</stp>
        <tr r="AC38" s="1"/>
      </tp>
      <tp t="s">
        <v>#N/A N/A</v>
        <stp/>
        <stp>BDP|4596394917382492801</stp>
        <tr r="H11" s="532"/>
        <tr r="AF10" s="1"/>
      </tp>
      <tp t="s">
        <v>#N/A N/A</v>
        <stp/>
        <stp>BDP|8267476373493896423</stp>
        <tr r="N2" s="1"/>
      </tp>
      <tp t="s">
        <v>#N/A N/A</v>
        <stp/>
        <stp>BDP|8516059656837970637</stp>
        <tr r="D37" s="532"/>
      </tp>
      <tp t="s">
        <v>#N/A N/A</v>
        <stp/>
        <stp>BDP|3706862758965763732</stp>
        <tr r="G54" s="532"/>
      </tp>
      <tp t="s">
        <v>#N/A Requesting Data...4133357099</v>
        <stp/>
        <stp>BDP|4738998939235389797</stp>
        <tr r="F8" s="446"/>
      </tp>
      <tp t="s">
        <v>#N/A N/A</v>
        <stp/>
        <stp>BDP|5580113800851198970</stp>
        <tr r="J3" s="1"/>
      </tp>
      <tp t="s">
        <v>#N/A N/A</v>
        <stp/>
        <stp>BDP|5357847351561143559</stp>
        <tr r="AG22" s="1"/>
      </tp>
      <tp t="s">
        <v>#N/A N/A</v>
        <stp/>
        <stp>BDP|2282995976142786289</stp>
        <tr r="AV6" s="2"/>
        <tr r="R19" s="89"/>
        <tr r="R20" s="89"/>
        <tr r="AV5" s="2"/>
        <tr r="AV7" s="2"/>
      </tp>
      <tp t="s">
        <v>#N/A N/A</v>
        <stp/>
        <stp>BDP|8370148836023021531</stp>
        <tr r="H24" s="532"/>
        <tr r="AF42" s="1"/>
      </tp>
      <tp t="s">
        <v>#N/A Requesting Data...4022380070</v>
        <stp/>
        <stp>BDP|1367410484473609226</stp>
        <tr r="AK8" s="338"/>
        <tr r="AI8" s="338"/>
      </tp>
      <tp t="s">
        <v>#N/A N/A</v>
        <stp/>
        <stp>BDP|9075064179067822549</stp>
        <tr r="M74" s="532"/>
      </tp>
      <tp t="s">
        <v>#N/A N/A</v>
        <stp/>
        <stp>BDP|3305717386224673419</stp>
        <tr r="H31" s="532"/>
      </tp>
      <tp t="s">
        <v>#N/A Requesting Data...3117378031</v>
        <stp/>
        <stp>BDP|6304588193007204199</stp>
        <tr r="K23" s="2"/>
      </tp>
      <tp t="s">
        <v>#N/A N/A</v>
        <stp/>
        <stp>BDP|2737330982055463026</stp>
        <tr r="AG42" s="1"/>
      </tp>
      <tp t="s">
        <v>#N/A Requesting Data...3562429701</v>
        <stp/>
        <stp>BDP|3098041072779459130</stp>
        <tr r="E85" s="89"/>
      </tp>
      <tp t="s">
        <v>#N/A Requesting Data...3669347178</v>
        <stp/>
        <stp>BDP|4670123577217166936</stp>
        <tr r="K71" s="532"/>
        <tr r="C13" s="89"/>
        <tr r="D12" s="2"/>
      </tp>
      <tp t="s">
        <v>#N/A Requesting Data...3305171248</v>
        <stp/>
        <stp>BDP|5489377534060375922</stp>
        <tr r="T61" s="89"/>
      </tp>
      <tp t="s">
        <v>#N/A N/A</v>
        <stp/>
        <stp>BDP|8029031397814481963</stp>
        <tr r="H57" s="532"/>
      </tp>
      <tp t="s">
        <v>#N/A Requesting Data...3631869814</v>
        <stp/>
        <stp>BDP|3262255082576563363</stp>
        <tr r="AD10" s="2"/>
      </tp>
      <tp t="s">
        <v>#N/A Requesting Data...3022398269</v>
        <stp/>
        <stp>BDP|9515949913399601436</stp>
        <tr r="G25" s="446"/>
      </tp>
      <tp t="s">
        <v>#N/A N/A</v>
        <stp/>
        <stp>BDP|8741582538805034727</stp>
        <tr r="I78" s="532"/>
      </tp>
      <tp t="s">
        <v>#N/A Requesting Data...3020899679</v>
        <stp/>
        <stp>BDP|8438357318146538099</stp>
        <tr r="J70" s="532"/>
        <tr r="AA11" s="2"/>
      </tp>
      <tp>
        <v>0.34412029385566711</v>
        <stp/>
        <stp>BDP|1548409391739816515|22</stp>
        <stp>NFLX US 05/15/26 C90 Equity</stp>
        <stp>DELTA_MID_RT</stp>
        <tr r="F69" s="532"/>
        <tr r="AF10" s="2"/>
      </tp>
      <tp>
        <v>584.54999999999995</v>
        <stp/>
        <stp>BDP|3981944549231547641|22</stp>
        <stp>SNDK Equity</stp>
        <stp>LAST_PRICE</stp>
        <tr r="C31" s="532"/>
      </tp>
      <tp t="s">
        <v>#N/A Requesting Data...4199657654</v>
        <stp/>
        <stp>BDP|6204028408889825288</stp>
        <tr r="L67" s="532"/>
        <tr r="O30" s="89"/>
        <tr r="T8" s="2"/>
      </tp>
      <tp t="s">
        <v>#N/A Requesting Data...3228784587</v>
        <stp/>
        <stp>BDP|3337761684491833019</stp>
        <tr r="F44" s="446"/>
      </tp>
      <tp t="s">
        <v>#N/A Requesting Data...3135026949</v>
        <stp/>
        <stp>BDP|4245700180187394193</stp>
        <tr r="E60" s="89"/>
      </tp>
      <tp t="s">
        <v>#N/A N/A</v>
        <stp/>
        <stp>BDP|9699474378527567053</stp>
        <tr r="AC35" s="1"/>
      </tp>
      <tp t="s">
        <v>#N/A Requesting Data...4186475136</v>
        <stp/>
        <stp>BDP|7819915198188826275</stp>
        <tr r="K65" s="532"/>
        <tr r="D6" s="2"/>
        <tr r="C19" s="89"/>
      </tp>
      <tp t="s">
        <v>#N/A N/A</v>
        <stp/>
        <stp>BDP|6354811170286959255</stp>
        <tr r="AB23" s="1"/>
      </tp>
      <tp t="s">
        <v>#N/A N/A</v>
        <stp/>
        <stp>BDH|1767625234548760184</stp>
        <tr r="AS8" s="338"/>
      </tp>
      <tp t="s">
        <v>#N/A Requesting Data...4172644511</v>
        <stp/>
        <stp>BDP|3776304145571559887</stp>
        <tr r="E31" s="89"/>
      </tp>
      <tp t="s">
        <v>#N/A N/A</v>
        <stp/>
        <stp>BDH|8849753397012497911</stp>
        <tr r="AR9" s="338"/>
      </tp>
      <tp t="s">
        <v>#N/A Requesting Data...3640715011</v>
        <stp/>
        <stp>BDP|4958570254160242959</stp>
        <tr r="T9" s="338"/>
      </tp>
      <tp t="s">
        <v>#N/A Requesting Data...2893902047</v>
        <stp/>
        <stp>BDP|8546570959465252042</stp>
        <tr r="D14" s="89"/>
      </tp>
      <tp t="s">
        <v>#N/A N/A</v>
        <stp/>
        <stp>BDP|8822702176695077037</stp>
        <tr r="AG33" s="1"/>
        <tr r="AG34" s="1"/>
      </tp>
      <tp t="s">
        <v>#N/A Requesting Data...3841060281</v>
        <stp/>
        <stp>BDP|7223883239641187000</stp>
        <tr r="G16" s="446"/>
      </tp>
      <tp t="s">
        <v>#N/A Requesting Data...2839944098</v>
        <stp/>
        <stp>BDP|5114854945934215018</stp>
        <tr r="V85" s="89"/>
      </tp>
      <tp t="s">
        <v>#N/A Requesting Data...3508707151</v>
        <stp/>
        <stp>BDP|1598659997744367766</stp>
        <tr r="E104" s="89"/>
      </tp>
      <tp t="s">
        <v>#N/A N/A</v>
        <stp/>
        <stp>BDP|6959399984186721602</stp>
        <tr r="AB16" s="1"/>
      </tp>
      <tp t="s">
        <v>#N/A Requesting Data...3434434872</v>
        <stp/>
        <stp>BDP|8023230975554206472</stp>
        <tr r="U9" s="338"/>
      </tp>
      <tp t="s">
        <v>#N/A Requesting Data...3032670264</v>
        <stp/>
        <stp>BDP|2832828567039648888</stp>
        <tr r="K63" s="532"/>
        <tr r="D4" s="2"/>
      </tp>
      <tp t="s">
        <v>#N/A N/A</v>
        <stp/>
        <stp>BDP|2124055975341416963</stp>
        <tr r="G10" s="532"/>
      </tp>
      <tp t="s">
        <v>#N/A Requesting Data...3136363804</v>
        <stp/>
        <stp>BDP|1449141764908407306</stp>
        <tr r="F11" s="446"/>
      </tp>
      <tp t="s">
        <v>#N/A N/A</v>
        <stp/>
        <stp>BDP|5929218717938888375</stp>
        <tr r="D24" s="532"/>
      </tp>
      <tp t="s">
        <v>#N/A N/A</v>
        <stp/>
        <stp>BDP|7832081285386522401</stp>
        <tr r="N63" s="532"/>
      </tp>
      <tp t="s">
        <v>#N/A N/A</v>
        <stp/>
        <stp>BDP|8840098927283470439</stp>
        <tr r="H53" s="532"/>
        <tr r="AB69" s="89"/>
      </tp>
      <tp t="s">
        <v>#N/A Requesting Data...3831441696</v>
        <stp/>
        <stp>BDP|7951947862590616582</stp>
        <tr r="H4" s="532"/>
        <tr r="AF39" s="1"/>
        <tr r="AF10" s="338"/>
      </tp>
      <tp t="s">
        <v>#N/A N/A</v>
        <stp/>
        <stp>BDP|6929506499077161005</stp>
        <tr r="D44" s="532"/>
      </tp>
      <tp t="s">
        <v>#N/A Requesting Data...3497843694</v>
        <stp/>
        <stp>BDP|9891481019803044282</stp>
        <tr r="G23" s="446"/>
      </tp>
      <tp t="s">
        <v>#N/A N/A</v>
        <stp/>
        <stp>BDP|5039823577942244515</stp>
        <tr r="D8" s="532"/>
      </tp>
      <tp t="s">
        <v>#N/A Requesting Data...4193511662</v>
        <stp/>
        <stp>BDP|4140538680732569611</stp>
        <tr r="V86" s="89"/>
      </tp>
      <tp t="s">
        <v>#N/A Requesting Data...3671492297</v>
        <stp/>
        <stp>BDP|4483024190569292927</stp>
        <tr r="O36" s="89"/>
        <tr r="T21" s="2"/>
      </tp>
      <tp t="s">
        <v>#N/A N/A</v>
        <stp/>
        <stp>BDP|6637192993582339191</stp>
        <tr r="F14" s="532"/>
      </tp>
      <tp t="s">
        <v>#N/A Requesting Data...3879660542</v>
        <stp/>
        <stp>BDP|7612533417436704812</stp>
        <tr r="AJ10" s="338"/>
      </tp>
      <tp t="s">
        <v>#N/A Requesting Data...4049843047</v>
        <stp/>
        <stp>BDP|9574059420494792234</stp>
        <tr r="L9" s="338"/>
        <tr r="J9" s="338"/>
      </tp>
      <tp t="s">
        <v>#N/A Requesting Data...2876977127</v>
        <stp/>
        <stp>BDP|3007975292676340821</stp>
        <tr r="G24" s="446"/>
      </tp>
      <tp t="s">
        <v>#N/A N/A</v>
        <stp/>
        <stp>BDH|2189541290200901389</stp>
        <tr r="AM9" s="338"/>
      </tp>
      <tp>
        <v>29.1</v>
        <stp/>
        <stp>BDP|10089550128122679017|22</stp>
        <stp>TSM US 06/18/26 C340 Equity</stp>
        <stp>ask</stp>
        <tr r="Q24" s="2"/>
      </tp>
      <tp>
        <v>42.95</v>
        <stp/>
        <stp>BDP|15067057014722889479|22</stp>
        <stp>MELI US 02/20/26 C2150 Equity</stp>
        <stp>mid</stp>
        <tr r="L17" s="2"/>
      </tp>
      <tp>
        <v>0.09</v>
        <stp/>
        <stp>BDP|15647805313047322533|22</stp>
        <stp>QQQ US 02/06/26 C634 Equity</stp>
        <stp>ask</stp>
        <tr r="L103" s="89"/>
      </tp>
      <tp>
        <v>-0.36003792285919189</v>
        <stp/>
        <stp>BDP|3431413272118379814|22</stp>
        <stp>MRVL US 03/20/26 P70 Equity</stp>
        <stp>DELTA_MID_RT</stp>
        <tr r="F72" s="532"/>
        <tr r="AF13" s="2"/>
      </tp>
      <tp>
        <v>55.3</v>
        <stp/>
        <stp>BDP|12458786615321879337|22</stp>
        <stp>MELI US 02/20/26 C2150 Equity</stp>
        <stp>ask</stp>
        <tr r="L7" s="89"/>
        <tr r="Q17" s="2"/>
      </tp>
      <tp t="s">
        <v>#N/A Requesting Data...3519090759</v>
        <stp/>
        <stp>BDP|5266989866390412427</stp>
        <tr r="D38" s="446"/>
      </tp>
      <tp t="s">
        <v>#N/A N/A</v>
        <stp/>
        <stp>BDP|9953953927438208420</stp>
        <tr r="G8" s="532"/>
      </tp>
      <tp t="s">
        <v>#N/A Requesting Data...3654003235</v>
        <stp/>
        <stp>BDP|1529618684855229495</stp>
        <tr r="E113" s="89"/>
      </tp>
      <tp t="s">
        <v>#N/A N/A</v>
        <stp/>
        <stp>BDP|8452001835880289581</stp>
        <tr r="AB37" s="1"/>
      </tp>
      <tp t="s">
        <v>#N/A N/A</v>
        <stp/>
        <stp>BDP|9584609349563679622</stp>
        <tr r="I57" s="532"/>
      </tp>
      <tp t="s">
        <v>#N/A Requesting Data...2893821081</v>
        <stp/>
        <stp>BDP|6865956502756622717</stp>
        <tr r="AH12" s="338"/>
        <tr r="AJ12" s="338"/>
      </tp>
      <tp t="s">
        <v>#N/A Requesting Data...3498970517</v>
        <stp/>
        <stp>BDP|2379295593121097618</stp>
        <tr r="D44" s="446"/>
      </tp>
      <tp t="s">
        <v>#N/A N/A</v>
        <stp/>
        <stp>BDP|8965407205950449215</stp>
        <tr r="G20" s="532"/>
      </tp>
      <tp t="s">
        <v>#N/A N/A</v>
        <stp/>
        <stp>BDP|4256200989088598871</stp>
        <tr r="F11" s="532"/>
      </tp>
      <tp t="s">
        <v>#N/A N/A</v>
        <stp/>
        <stp>BDP|2976860847993231344</stp>
        <tr r="F4" s="532"/>
      </tp>
      <tp t="s">
        <v>#N/A Requesting Data...3955045903</v>
        <stp/>
        <stp>BDP|8800614714481507068</stp>
        <tr r="V113" s="89"/>
        <tr r="AD20" s="2"/>
      </tp>
      <tp t="s">
        <v>#N/A Requesting Data...4058205661</v>
        <stp/>
        <stp>BDP|8758571697009183387</stp>
        <tr r="D36" s="89"/>
      </tp>
      <tp t="s">
        <v>#N/A N/A</v>
        <stp/>
        <stp>BDP|8652134909283667445</stp>
        <tr r="O73" s="532"/>
      </tp>
      <tp t="s">
        <v>#N/A Requesting Data...3677992705</v>
        <stp/>
        <stp>BDP|4921802853610075745</stp>
        <tr r="E22" s="2"/>
      </tp>
      <tp t="s">
        <v>#N/A N/A</v>
        <stp/>
        <stp>BDP|9707270071972987077</stp>
        <tr r="G34" s="532"/>
      </tp>
      <tp t="s">
        <v>#N/A N/A</v>
        <stp/>
        <stp>BDP|8927803377951233812</stp>
        <tr r="AB76" s="89"/>
      </tp>
      <tp t="s">
        <v>#N/A Requesting Data...3503010376</v>
        <stp/>
        <stp>BDP|3634566470506988994</stp>
        <tr r="E11" s="2"/>
      </tp>
      <tp t="s">
        <v>#N/A N/A</v>
        <stp/>
        <stp>BDP|5232238900868855192</stp>
        <tr r="I64" s="532"/>
      </tp>
      <tp t="s">
        <v>#N/A N/A</v>
        <stp/>
        <stp>BDP|3371525191180530157</stp>
        <tr r="G22" s="532"/>
      </tp>
      <tp t="s">
        <v>#N/A Requesting Data...3610734052</v>
        <stp/>
        <stp>BDP|2292616657717420814</stp>
        <tr r="AF8" s="338"/>
      </tp>
      <tp t="s">
        <v>#N/A N/A</v>
        <stp/>
        <stp>BDP|1704402293557704529</stp>
        <tr r="N7" s="1"/>
      </tp>
      <tp t="s">
        <v>#N/A Requesting Data...3074068858</v>
        <stp/>
        <stp>BDP|9537171844222621012</stp>
        <tr r="V37" s="89"/>
        <tr r="AD22" s="2"/>
      </tp>
      <tp t="s">
        <v>#N/A Requesting Data...3530669879</v>
        <stp/>
        <stp>BDP|5193721434947414826</stp>
        <tr r="E7" s="2"/>
      </tp>
      <tp t="s">
        <v>#N/A N/A</v>
        <stp/>
        <stp>BDP|1216818231257323370</stp>
        <tr r="G12" s="532"/>
      </tp>
      <tp t="s">
        <v>#N/A Requesting Data...3959164564</v>
        <stp/>
        <stp>BDP|5623416671028593055</stp>
        <tr r="AI9" s="338"/>
        <tr r="AK9" s="338"/>
      </tp>
      <tp t="s">
        <v>#N/A Requesting Data...3651373303</v>
        <stp/>
        <stp>BDP|2473258193504563317</stp>
        <tr r="E30" s="89"/>
      </tp>
      <tp t="s">
        <v>#N/A N/A</v>
        <stp/>
        <stp>BDP|2236853665153115154</stp>
        <tr r="I47" s="532"/>
      </tp>
      <tp t="s">
        <v>#N/A N/A</v>
        <stp/>
        <stp>BDP|9937167503812223495</stp>
        <tr r="G27" s="532"/>
      </tp>
      <tp t="s">
        <v>#N/A Requesting Data...3068875224</v>
        <stp/>
        <stp>BDP|2644203280360986688</stp>
        <tr r="AB39" s="1"/>
        <tr r="F35" s="446"/>
      </tp>
      <tp t="s">
        <v>#N/A N/A</v>
        <stp/>
        <stp>BDP|6525354487694847782</stp>
        <tr r="D15" s="532"/>
      </tp>
      <tp t="s">
        <v>#N/A N/A</v>
        <stp/>
        <stp>BDP|2377801165946064428</stp>
        <tr r="I34" s="532"/>
      </tp>
      <tp t="s">
        <v>#N/A Requesting Data...3455366237</v>
        <stp/>
        <stp>BDP|5169428530989303546</stp>
        <tr r="E7" s="89"/>
      </tp>
      <tp t="s">
        <v>#N/A N/A</v>
        <stp/>
        <stp>BDP|8414954756323651951</stp>
        <tr r="M70" s="532"/>
      </tp>
      <tp t="s">
        <v>#N/A N/A</v>
        <stp/>
        <stp>BDP|7411159911051264872</stp>
        <tr r="H37" s="532"/>
      </tp>
      <tp t="s">
        <v>#N/A Requesting Data...3033566728</v>
        <stp/>
        <stp>BDP|8687464372741494432</stp>
        <tr r="D8" s="89"/>
      </tp>
      <tp t="s">
        <v>#N/A N/A</v>
        <stp/>
        <stp>BDH|4767602485472744601</stp>
        <tr r="AN9" s="338"/>
      </tp>
      <tp>
        <v>19.45</v>
        <stp/>
        <stp>BDP|1056906607050736285|22</stp>
        <stp>CPNG Equity</stp>
        <stp>LAST PRICE</stp>
        <tr r="L7" s="446"/>
      </tp>
      <tp>
        <v>0.46</v>
        <stp/>
        <stp>BDP|100945462122790227|22</stp>
        <stp>QQQ US 02/06/26 P580 Equity</stp>
        <stp>ask</stp>
        <tr r="L44" s="89"/>
      </tp>
      <tp>
        <v>325.74</v>
        <stp/>
        <stp>BDP|10734773146792366841|22</stp>
        <stp>TSM US Equity</stp>
        <stp>LAST_PRICE</stp>
        <tr r="Z24" s="2"/>
        <tr r="Z25" s="2"/>
      </tp>
      <tp t="s">
        <v>#N/A Requesting Data...3337690241</v>
        <stp/>
        <stp>BDP|3786323124408946521</stp>
        <tr r="D45" s="446"/>
      </tp>
      <tp t="s">
        <v>#N/A N/A</v>
        <stp/>
        <stp>BDP|6089175237563311894</stp>
        <tr r="G41" s="532"/>
      </tp>
      <tp t="s">
        <v>#N/A Requesting Data...3157787561</v>
        <stp/>
        <stp>BDP|9444713149694755115</stp>
        <tr r="D19" s="89"/>
      </tp>
      <tp t="s">
        <v>#N/A Requesting Data...3519320672</v>
        <stp/>
        <stp>BDP|6216675641052897975</stp>
        <tr r="F23" s="2"/>
      </tp>
      <tp t="s">
        <v>#N/A N/A</v>
        <stp/>
        <stp>BDP|2806504826139638334</stp>
        <tr r="AG39" s="1"/>
      </tp>
      <tp t="s">
        <v>#N/A Requesting Data...3428623658</v>
        <stp/>
        <stp>BDP|4784976331940308190</stp>
        <tr r="Z60" s="89"/>
        <tr r="AA60" s="89"/>
      </tp>
      <tp t="s">
        <v>#N/A N/A</v>
        <stp/>
        <stp>BDP|8119275495638947437</stp>
        <tr r="I25" s="532"/>
        <tr r="AI43" s="1"/>
      </tp>
      <tp t="s">
        <v>#N/A N/A</v>
        <stp/>
        <stp>BDP|2300970273743875018</stp>
        <tr r="G17" s="532"/>
      </tp>
      <tp t="s">
        <v>#N/A N/A</v>
        <stp/>
        <stp>BDP|1290965778952246200</stp>
        <tr r="F49" s="532"/>
      </tp>
      <tp t="s">
        <v>#N/A Requesting Data...2890674161</v>
        <stp/>
        <stp>BDP|2842170687233636700</stp>
        <tr r="AH10" s="338"/>
      </tp>
      <tp t="s">
        <v>#N/A N/A</v>
        <stp/>
        <stp>BDH|1888492574385966822</stp>
        <tr r="AS9" s="338"/>
      </tp>
      <tp t="s">
        <v>#N/A N/A</v>
        <stp/>
        <stp>BDP|4869589199183306457</stp>
        <tr r="K14" s="1"/>
      </tp>
      <tp t="s">
        <v>#N/A N/A</v>
        <stp/>
        <stp>BDP|7952717157178061208</stp>
        <tr r="I45" s="532"/>
      </tp>
      <tp t="s">
        <v>#N/A N/A</v>
        <stp/>
        <stp>BDP|9489384675400623204</stp>
        <tr r="D7" s="532"/>
      </tp>
      <tp t="s">
        <v>#N/A Requesting Data...3251458365</v>
        <stp/>
        <stp>BDP|6268649388386345129</stp>
        <tr r="D60" s="89"/>
      </tp>
      <tp t="s">
        <v>#N/A Requesting Data...3213371758</v>
        <stp/>
        <stp>BDP|7576730522755872830</stp>
        <tr r="F38" s="446"/>
      </tp>
      <tp t="s">
        <v>#N/A N/A</v>
        <stp/>
        <stp>BDP|4511290661908043710</stp>
        <tr r="AB29" s="1"/>
        <tr r="AB32" s="1"/>
      </tp>
      <tp t="s">
        <v>#N/A N/A</v>
        <stp/>
        <stp>BDP|3243919885914808926</stp>
        <tr r="AB14" s="1"/>
      </tp>
      <tp t="s">
        <v>#N/A Requesting Data...3031361747</v>
        <stp/>
        <stp>BDP|9539667201337640785</stp>
        <tr r="U12" s="338"/>
      </tp>
      <tp t="s">
        <v>#N/A Requesting Data...3503278560</v>
        <stp/>
        <stp>BDP|7446900777882759491</stp>
        <tr r="H15" s="532"/>
        <tr r="AF15" s="1"/>
        <tr r="AG9" s="338"/>
      </tp>
      <tp t="s">
        <v>#N/A N/A</v>
        <stp/>
        <stp>BDP|8782158116286979106</stp>
        <tr r="AG48" s="1"/>
      </tp>
      <tp t="s">
        <v>#N/A Requesting Data...2981269404</v>
        <stp/>
        <stp>BDP|8082808686523364478</stp>
        <tr r="Z36" s="89"/>
        <tr r="AA36" s="89"/>
      </tp>
      <tp t="s">
        <v>#N/A N/A</v>
        <stp/>
        <stp>BDP|4893954918587661413</stp>
        <tr r="G39" s="532"/>
      </tp>
      <tp t="s">
        <v>#N/A Requesting Data...3935155384</v>
        <stp/>
        <stp>BDP|8622760163721094706</stp>
        <tr r="Z94" s="89"/>
        <tr r="Z95" s="89"/>
        <tr r="AA94" s="89"/>
        <tr r="AA95" s="89"/>
      </tp>
      <tp t="s">
        <v>#N/A Requesting Data...2929878877</v>
        <stp/>
        <stp>BDP|6981952152763597689</stp>
        <tr r="C10" s="2"/>
      </tp>
      <tp t="s">
        <v>#N/A Requesting Data...3362557256</v>
        <stp/>
        <stp>BDP|5576438787561382724</stp>
        <tr r="AJ9" s="338"/>
      </tp>
      <tp t="s">
        <v>#N/A Requesting Data...3105231297</v>
        <stp/>
        <stp>BDP|1371944730256623208</stp>
        <tr r="T53" s="89"/>
      </tp>
      <tp t="s">
        <v>#N/A Requesting Data...3298318643</v>
        <stp/>
        <stp>BDP|2475069015355307957</stp>
        <tr r="V94" s="89"/>
        <tr r="V95" s="89"/>
      </tp>
      <tp t="s">
        <v>#N/A Requesting Data...3391296307</v>
        <stp/>
        <stp>BDP|4400740005314471809</stp>
        <tr r="V30" s="89"/>
        <tr r="AD8" s="2"/>
      </tp>
      <tp t="s">
        <v>#N/A Requesting Data...3205480282</v>
        <stp/>
        <stp>BDP|9274343827420648768</stp>
        <tr r="G10" s="446"/>
      </tp>
      <tp t="s">
        <v>#N/A N/A</v>
        <stp/>
        <stp>BDP|7885394395273302161</stp>
        <tr r="D53" s="532"/>
      </tp>
      <tp t="s">
        <v>#N/A Requesting Data...3581978347</v>
        <stp/>
        <stp>BDP|1937197186723171466</stp>
        <tr r="F24" s="2"/>
      </tp>
      <tp t="s">
        <v>#N/A N/A</v>
        <stp/>
        <stp>BDP|7385638697900780713</stp>
        <tr r="AB36" s="1"/>
      </tp>
      <tp t="s">
        <v>#N/A Requesting Data...3972992413</v>
        <stp/>
        <stp>BDP|9728149439951510598</stp>
        <tr r="F13" s="2"/>
      </tp>
      <tp t="s">
        <v>#N/A Requesting Data...3354291214</v>
        <stp/>
        <stp>BDP|6317578591636076338</stp>
        <tr r="D54" s="89"/>
      </tp>
      <tp t="s">
        <v>#N/A Requesting Data...3381518880</v>
        <stp/>
        <stp>BDP|7135774786603363450</stp>
        <tr r="D13" s="89"/>
      </tp>
      <tp t="s">
        <v>#N/A Requesting Data...3290561042</v>
        <stp/>
        <stp>BDP|6970093451128790412</stp>
        <tr r="L71" s="532"/>
        <tr r="O13" s="89"/>
        <tr r="T12" s="2"/>
      </tp>
      <tp t="s">
        <v>#N/A N/A</v>
        <stp/>
        <stp>BDP|7185263421080695874</stp>
        <tr r="AG44" s="1"/>
      </tp>
      <tp t="s">
        <v>#N/A Requesting Data...3672444132</v>
        <stp/>
        <stp>BDP|6160662584120657700</stp>
        <tr r="G12" s="446"/>
      </tp>
      <tp>
        <v>276.49</v>
        <stp/>
        <stp>BDP|8055576064445977008|22</stp>
        <stp>AAPL US Equity</stp>
        <stp>LAST_PRICE</stp>
        <tr r="Z16" s="2"/>
        <tr r="S8" s="89"/>
        <tr r="Z15" s="2"/>
      </tp>
      <tp>
        <v>308.05</v>
        <stp/>
        <stp>BDP|6093066913446547993|22</stp>
        <stp>AVGO Equity</stp>
        <stp>LAST_PRICE</stp>
        <tr r="C2" s="532"/>
        <tr r="I38" s="1"/>
      </tp>
      <tp>
        <v>297.60000000000002</v>
        <stp/>
        <stp>BDP|18350845475156370580|22</stp>
        <stp>AMAT EQUITY</stp>
        <stp>LAST_PRICE</stp>
        <tr r="H4" s="1"/>
      </tp>
      <tp>
        <v>26.85</v>
        <stp/>
        <stp>BDP|14476957307763141828|22</stp>
        <stp>TSM US 06/18/26 C340 Equity</stp>
        <stp>bid</stp>
        <tr r="P24" s="2"/>
      </tp>
      <tp>
        <v>-0.15604214370250702</v>
        <stp/>
        <stp>BDP|2641201430782788314|22</stp>
        <stp>MRVL US 03/20/26 P60 Equity</stp>
        <stp>DELTA_MID_RT</stp>
        <tr r="F73" s="532"/>
        <tr r="AF14" s="2"/>
      </tp>
      <tp>
        <v>686.19</v>
        <stp/>
        <stp>BDP|11764468863197025710|22</stp>
        <stp>SPY EQUITY</stp>
        <stp>LAST_PRICE</stp>
        <tr r="L4" s="1"/>
      </tp>
      <tp t="s">
        <v>#N/A N/A</v>
        <stp/>
        <stp>BDP|2898694498747321222</stp>
        <tr r="E3" s="1"/>
      </tp>
      <tp t="s">
        <v>#N/A N/A</v>
        <stp/>
        <stp>BDP|5736901556837847610</stp>
        <tr r="O67" s="532"/>
      </tp>
      <tp t="s">
        <v>#N/A N/A</v>
        <stp/>
        <stp>BDP|1250021387730721181</stp>
        <tr r="O76" s="532"/>
      </tp>
      <tp t="s">
        <v>#N/A Requesting Data...2936070002</v>
        <stp/>
        <stp>BDP|5243108903155082997</stp>
        <tr r="T36" s="89"/>
        <tr r="AA21" s="2"/>
      </tp>
      <tp t="s">
        <v>#N/A Requesting Data...3279186932</v>
        <stp/>
        <stp>BDP|8642535078653361179</stp>
        <tr r="T70" s="89"/>
      </tp>
      <tp t="s">
        <v>#N/A N/A</v>
        <stp/>
        <stp>BDH|9345342529216694616</stp>
        <tr r="AP12" s="338"/>
      </tp>
      <tp t="s">
        <v>#N/A Requesting Data...3608788353</v>
        <stp/>
        <stp>BDP|8181382277382115633</stp>
        <tr r="AA70" s="89"/>
        <tr r="Z70" s="89"/>
      </tp>
      <tp t="s">
        <v>#N/A N/A</v>
        <stp/>
        <stp>BDP|1829149592841783057</stp>
        <tr r="N77" s="532"/>
      </tp>
      <tp t="s">
        <v>#N/A Requesting Data...3751330905</v>
        <stp/>
        <stp>BDP|7099656161528162789</stp>
        <tr r="E19" s="2"/>
      </tp>
      <tp t="s">
        <v>#N/A Requesting Data...3930015914</v>
        <stp/>
        <stp>BDP|9541693808182769518</stp>
        <tr r="D29" s="446"/>
      </tp>
      <tp t="s">
        <v>#N/A N/A</v>
        <stp/>
        <stp>BDP|4088796183165826605</stp>
        <tr r="J8" s="1"/>
      </tp>
      <tp t="s">
        <v>#N/A N/A</v>
        <stp/>
        <stp>BDP|7202422086643163051</stp>
        <tr r="G44" s="532"/>
      </tp>
      <tp t="s">
        <v>#N/A Requesting Data...3108554456</v>
        <stp/>
        <stp>BDP|6024155984106720147</stp>
        <tr r="D25" s="2"/>
      </tp>
      <tp t="s">
        <v>#N/A Requesting Data...3005932004</v>
        <stp/>
        <stp>BDP|6839173327418343594</stp>
        <tr r="F7" s="446"/>
      </tp>
      <tp t="s">
        <v>#N/A Requesting Data...4185003673</v>
        <stp/>
        <stp>BDP|4132209046743413934</stp>
        <tr r="Z102" s="89"/>
        <tr r="AA102" s="89"/>
      </tp>
      <tp t="s">
        <v>#N/A N/A</v>
        <stp/>
        <stp>BDP|5098111893277025237</stp>
        <tr r="I41" s="532"/>
      </tp>
      <tp t="s">
        <v>#N/A Requesting Data...3046986583</v>
        <stp/>
        <stp>BDP|3746009638598604087</stp>
        <tr r="Z52" s="89"/>
        <tr r="AA52" s="89"/>
      </tp>
      <tp t="s">
        <v>#N/A Requesting Data...3554166999</v>
        <stp/>
        <stp>BDP|7027987678572062314</stp>
        <tr r="AC41" s="1"/>
        <tr r="D36" s="446"/>
      </tp>
      <tp t="s">
        <v>#N/A Requesting Data...3310354676</v>
        <stp/>
        <stp>BDP|2739243071518004749</stp>
        <tr r="E54" s="89"/>
      </tp>
      <tp t="s">
        <v>#N/A N/A</v>
        <stp/>
        <stp>BDP|9400997768466424874</stp>
        <tr r="AV18" s="2"/>
        <tr r="AV19" s="2"/>
        <tr r="AV20" s="2"/>
        <tr r="R111" s="89"/>
        <tr r="R112" s="89"/>
        <tr r="R113" s="89"/>
      </tp>
      <tp t="s">
        <v>#N/A N/A</v>
        <stp/>
        <stp>BDP|3058456019137969925</stp>
        <tr r="D52" s="532"/>
      </tp>
      <tp t="s">
        <v>#N/A Requesting Data...3132637055</v>
        <stp/>
        <stp>BDP|9700577072422456111</stp>
        <tr r="C14" s="2"/>
      </tp>
      <tp t="s">
        <v>#N/A Requesting Data...3099503980</v>
        <stp/>
        <stp>BDP|7729357933776037950</stp>
        <tr r="F14" s="2"/>
      </tp>
      <tp t="s">
        <v>#N/A Requesting Data...3523800064</v>
        <stp/>
        <stp>BDP|9450040674965070308</stp>
        <tr r="E25" s="2"/>
      </tp>
      <tp t="s">
        <v>#N/A Requesting Data...3643489850</v>
        <stp/>
        <stp>BDP|4792778569079970441</stp>
        <tr r="H65" s="532"/>
        <tr r="AR6" s="2"/>
      </tp>
      <tp>
        <v>23.67</v>
        <stp/>
        <stp>BDP|10321974960198697342|22</stp>
        <stp>AAPL US 04/17/26 C260 Equity</stp>
        <stp>mid</stp>
        <tr r="L15" s="2"/>
      </tp>
      <tp>
        <v>1339.13</v>
        <stp/>
        <stp>BDP|8896736343607632012|22</stp>
        <stp>ASML Equity</stp>
        <stp>LAST_PRICE</stp>
        <tr r="C33" s="532"/>
      </tp>
      <tp t="s">
        <v>#N/A Requesting Data...3864723221</v>
        <stp/>
        <stp>BDP|8987440124962161522</stp>
        <tr r="E16" s="2"/>
      </tp>
      <tp t="s">
        <v>#N/A N/A</v>
        <stp/>
        <stp>BDP|4478407769949481635</stp>
        <tr r="K25" s="1"/>
      </tp>
      <tp t="s">
        <v>#N/A N/A</v>
        <stp/>
        <stp>BDP|8216086740142059705</stp>
        <tr r="D36" s="532"/>
      </tp>
      <tp t="s">
        <v>#N/A Requesting Data...4060452527</v>
        <stp/>
        <stp>BDP|9788785317823069539</stp>
        <tr r="C61" s="89"/>
      </tp>
      <tp t="s">
        <v>#N/A N/A</v>
        <stp/>
        <stp>BDP|2140692618999367584</stp>
        <tr r="F25" s="532"/>
      </tp>
      <tp t="s">
        <v>#N/A N/A</v>
        <stp/>
        <stp>BDP|6439491793934169661</stp>
        <tr r="AB30" s="89"/>
        <tr r="AQ8" s="2"/>
      </tp>
      <tp t="s">
        <v>#N/A N/A</v>
        <stp/>
        <stp>BDP|1510545957440694898</stp>
        <tr r="AB33" s="1"/>
        <tr r="AB34" s="1"/>
      </tp>
      <tp t="s">
        <v>#N/A N/A</v>
        <stp/>
        <stp>BDP|3348586807669706624</stp>
        <tr r="F47" s="532"/>
      </tp>
      <tp t="s">
        <v>#N/A Requesting Data...3313742981</v>
        <stp/>
        <stp>BDP|2257884823860585153</stp>
        <tr r="C60" s="89"/>
      </tp>
      <tp t="s">
        <v>#N/A Requesting Data...4019859313</v>
        <stp/>
        <stp>BDP|2463897743725982291</stp>
        <tr r="F20" s="446"/>
      </tp>
      <tp t="s">
        <v>#N/A N/A</v>
        <stp/>
        <stp>BDP|8207706352447744484</stp>
        <tr r="AG37" s="1"/>
      </tp>
      <tp t="s">
        <v>#N/A Requesting Data...3101627427</v>
        <stp/>
        <stp>BDP|1654355529258739113</stp>
        <tr r="E69" s="89"/>
      </tp>
      <tp t="s">
        <v>#N/A Requesting Data...3255544148</v>
        <stp/>
        <stp>BDP|8914050044192113754</stp>
        <tr r="E70" s="89"/>
      </tp>
      <tp t="s">
        <v>#N/A N/A</v>
        <stp/>
        <stp>BDP|9533105059152441658</stp>
        <tr r="F12" s="532"/>
      </tp>
      <tp t="s">
        <v>#N/A N/A</v>
        <stp/>
        <stp>BDP|9887014763094705206</stp>
        <tr r="K46" s="1"/>
      </tp>
      <tp t="s">
        <v>#N/A N/A</v>
        <stp/>
        <stp>BDP|3087266777367014837</stp>
        <tr r="I42" s="532"/>
      </tp>
      <tp t="s">
        <v>#N/A Requesting Data...3731838710</v>
        <stp/>
        <stp>BDP|3411193788855096676</stp>
        <tr r="AA25" s="2"/>
      </tp>
      <tp t="s">
        <v>#N/A N/A</v>
        <stp/>
        <stp>BDP|4598221086363030411</stp>
        <tr r="F2" s="532"/>
      </tp>
      <tp t="s">
        <v>#N/A N/A</v>
        <stp/>
        <stp>BDP|6378357062248789232</stp>
        <tr r="D51" s="532"/>
      </tp>
      <tp t="s">
        <v>#N/A N/A</v>
        <stp/>
        <stp>BDP|5991696502472233803</stp>
        <tr r="R52" s="89"/>
        <tr r="R53" s="89"/>
        <tr r="R54" s="89"/>
      </tp>
      <tp t="s">
        <v>#N/A Requesting Data...3444569691</v>
        <stp/>
        <stp>BDP|2048477006706491956</stp>
        <tr r="X9" s="338"/>
      </tp>
      <tp t="s">
        <v>#N/A Requesting Data...4207818271</v>
        <stp/>
        <stp>BDP|8193756994096264929</stp>
        <tr r="AA69" s="89"/>
        <tr r="Z69" s="89"/>
      </tp>
      <tp t="s">
        <v>#N/A Requesting Data...3612818033</v>
        <stp/>
        <stp>BDP|7156909774566786639</stp>
        <tr r="E23" s="2"/>
      </tp>
      <tp t="s">
        <v>#N/A Requesting Data...3764044371</v>
        <stp/>
        <stp>BDP|8993500628312049404</stp>
        <tr r="E96" s="89"/>
      </tp>
      <tp t="s">
        <v>#N/A N/A</v>
        <stp/>
        <stp>BDP|8044101931770030378</stp>
        <tr r="I35" s="532"/>
      </tp>
      <tp t="s">
        <v>#N/A N/A</v>
        <stp/>
        <stp>BDP|4613553594989765876</stp>
        <tr r="K27" s="1"/>
      </tp>
      <tp t="s">
        <v>#N/A Requesting Data...4207949219</v>
        <stp/>
        <stp>BDP|8690033388548820123</stp>
        <tr r="AJ11" s="338"/>
      </tp>
      <tp t="s">
        <v>#N/A N/A</v>
        <stp/>
        <stp>BDP|6030602782245774415</stp>
        <tr r="F45" s="532"/>
      </tp>
      <tp t="s">
        <v>#N/A N/A</v>
        <stp/>
        <stp>BDP|3403815407864403634</stp>
        <tr r="I37" s="532"/>
      </tp>
      <tp t="s">
        <v>#N/A Requesting Data...4087186446</v>
        <stp/>
        <stp>BDP|9280288157897826002</stp>
        <tr r="C54" s="89"/>
      </tp>
      <tp t="s">
        <v>#N/A Requesting Data...3168285350</v>
        <stp/>
        <stp>BDP|6141864573737095712</stp>
        <tr r="T94" s="89"/>
        <tr r="T95" s="89"/>
      </tp>
      <tp t="s">
        <v>#N/A N/A</v>
        <stp/>
        <stp>BDP|8508395004434515685</stp>
        <tr r="AQ10" s="2"/>
        <tr r="AQ11" s="2"/>
      </tp>
      <tp>
        <v>29.95</v>
        <stp/>
        <stp>BDP|14111141271769378618|22</stp>
        <stp>META US 04/17/26 C690 Equity</stp>
        <stp>ask</stp>
        <tr r="L85" s="89"/>
      </tp>
      <tp t="s">
        <v>#N/A Real Time</v>
        <stp/>
        <stp>BDP|11293148887699984855|22</stp>
        <stp>4EM5P    5800 Index</stp>
        <stp>bid</stp>
        <tr r="K54" s="89"/>
      </tp>
      <tp t="s">
        <v>#N/A Requesting Data...3991299065</v>
        <stp/>
        <stp>BDP|7230833674217968563</stp>
        <tr r="S12" s="338"/>
      </tp>
      <tp>
        <v>0</v>
        <stp/>
        <stp>BDP|15372453587272939267|22</stp>
        <stp>1OG6C 26000 INDEX</stp>
        <stp>theta_mid_rt</stp>
        <tr r="AN23" s="2"/>
      </tp>
      <tp t="s">
        <v>#N/A N/A</v>
        <stp/>
        <stp>BDP|3603190722478324251</stp>
        <tr r="I3" s="532"/>
        <tr r="AI41" s="1"/>
      </tp>
      <tp t="s">
        <v>#N/A N/A</v>
        <stp/>
        <stp>BDP|4133700392765005583</stp>
        <tr r="D12" s="532"/>
      </tp>
      <tp t="s">
        <v>#N/A N/A</v>
        <stp/>
        <stp>BDP|6392840872006556586</stp>
        <tr r="E8" s="1"/>
      </tp>
      <tp t="s">
        <v>#N/A Requesting Data...3304961783</v>
        <stp/>
        <stp>BDP|3146823963096909173</stp>
        <tr r="K75" s="532"/>
        <tr r="C8" s="89"/>
        <tr r="D16" s="2"/>
      </tp>
      <tp t="s">
        <v>#N/A Requesting Data...3948890195</v>
        <stp/>
        <stp>BDP|7854648163084132909</stp>
        <tr r="D43" s="89"/>
      </tp>
      <tp t="s">
        <v>#N/A N/A</v>
        <stp/>
        <stp>BDP|2382458668849101304</stp>
        <tr r="K12" s="1"/>
      </tp>
      <tp t="s">
        <v>#N/A N/A</v>
        <stp/>
        <stp>BDP|3271990383928035073</stp>
        <tr r="N10" s="1"/>
      </tp>
      <tp t="s">
        <v>#N/A N/A</v>
        <stp/>
        <stp>BDP|3334176288649815980</stp>
        <tr r="N76" s="532"/>
      </tp>
      <tp t="s">
        <v>#N/A N/A</v>
        <stp/>
        <stp>BDP|9460117149005196300</stp>
        <tr r="G33" s="532"/>
      </tp>
      <tp t="s">
        <v>#N/A Requesting Data...4278875804</v>
        <stp/>
        <stp>BDP|2322958882768230140</stp>
        <tr r="E94" s="89"/>
        <tr r="E95" s="89"/>
      </tp>
      <tp t="s">
        <v>#N/A N/A</v>
        <stp/>
        <stp>BDP|6310164690724411011</stp>
        <tr r="J7" s="1"/>
      </tp>
      <tp t="s">
        <v>#N/A N/A</v>
        <stp/>
        <stp>BDP|6834122784097772294</stp>
        <tr r="AG17" s="1"/>
      </tp>
      <tp t="s">
        <v>#N/A N/A</v>
        <stp/>
        <stp>BDP|8582278211013363216</stp>
        <tr r="I15" s="532"/>
        <tr r="AI15" s="1"/>
      </tp>
      <tp t="s">
        <v>#N/A Requesting Data...3314032501</v>
        <stp/>
        <stp>BDP|9965794027725386324</stp>
        <tr r="AB24" s="1"/>
        <tr r="F26" s="446"/>
      </tp>
      <tp t="s">
        <v>#N/A N/A</v>
        <stp/>
        <stp>BDP|1317302183469233942</stp>
        <tr r="L33" s="1"/>
        <tr r="L34" s="1"/>
      </tp>
      <tp t="s">
        <v>#N/A N/A</v>
        <stp/>
        <stp>BDP|3885846074322660492</stp>
        <tr r="AG47" s="1"/>
      </tp>
      <tp t="s">
        <v>#N/A N/A</v>
        <stp/>
        <stp>BDP|5460883815573810569</stp>
        <tr r="G25" s="532"/>
      </tp>
      <tp t="s">
        <v>#N/A Requesting Data...3771786858</v>
        <stp/>
        <stp>BDP|3546240833528077058</stp>
        <tr r="F16" s="2"/>
      </tp>
      <tp t="s">
        <v>#N/A N/A</v>
        <stp/>
        <stp>BDP|3860095588139768892</stp>
        <tr r="AC18" s="1"/>
      </tp>
      <tp t="s">
        <v>#N/A N/A</v>
        <stp/>
        <stp>BDP|1405110875495333871</stp>
        <tr r="O64" s="532"/>
      </tp>
      <tp t="s">
        <v>#N/A N/A</v>
        <stp/>
        <stp>BDP|2140911238616808459</stp>
        <tr r="AB13" s="89"/>
        <tr r="AB14" s="89"/>
        <tr r="AB85" s="89"/>
        <tr r="AB86" s="89"/>
        <tr r="AB87" s="89"/>
        <tr r="AB96" s="89"/>
        <tr r="AQ12" s="2"/>
      </tp>
      <tp>
        <v>146.66999999999999</v>
        <stp/>
        <stp>BDP|8912163270729674168|22</stp>
        <stp>ORCL Equity</stp>
        <stp>LAST_PRICE</stp>
        <tr r="C11" s="532"/>
      </tp>
      <tp t="s">
        <v>#N/A Real Time</v>
        <stp/>
        <stp>BDP|11422101846013417478|22</stp>
        <stp>SPXW US 12/31/25 C6950 Index</stp>
        <stp>bid</stp>
        <tr r="K76" s="89"/>
      </tp>
      <tp>
        <v>27.98</v>
        <stp/>
        <stp>BDP|12794319931511644694|22</stp>
        <stp>TSM US 06/18/26 C340 Equity</stp>
        <stp>mid</stp>
        <tr r="L24" s="2"/>
      </tp>
      <tp t="s">
        <v>#N/A Requesting Data...4282678644</v>
        <stp/>
        <stp>BDP|8370638112663958713</stp>
        <tr r="C102" s="89"/>
      </tp>
      <tp t="s">
        <v>#N/A N/A</v>
        <stp/>
        <stp>BDP|2305416414039564588</stp>
        <tr r="G53" s="532"/>
      </tp>
      <tp t="s">
        <v>#N/A Requesting Data...3995551909</v>
        <stp/>
        <stp>BDP|4926041887351657654</stp>
        <tr r="D53" s="89"/>
      </tp>
      <tp t="s">
        <v>#N/A Requesting Data...3143224697</v>
        <stp/>
        <stp>BDP|4502789287684003446</stp>
        <tr r="H71" s="532"/>
        <tr r="AR12" s="2"/>
      </tp>
      <tp t="s">
        <v>#N/A N/A</v>
        <stp/>
        <stp>BDP|9866940913692641877</stp>
        <tr r="H6" s="532"/>
        <tr r="AF21" s="1"/>
      </tp>
      <tp t="s">
        <v>#N/A Requesting Data...3908343453</v>
        <stp/>
        <stp>BDP|8737954890503872047</stp>
        <tr r="D33" s="446"/>
      </tp>
      <tp t="s">
        <v>#N/A Requesting Data...3934428302</v>
        <stp/>
        <stp>BDP|2112788937098040510</stp>
        <tr r="AJ9" s="338"/>
        <tr r="AH9" s="338"/>
      </tp>
      <tp t="s">
        <v>#N/A Requesting Data...3509857877</v>
        <stp/>
        <stp>BDP|7001248851652159998</stp>
        <tr r="T10" s="338"/>
      </tp>
      <tp t="s">
        <v>#N/A Requesting Data...3325101252</v>
        <stp/>
        <stp>BDP|9495447526942096644</stp>
        <tr r="AD14" s="2"/>
      </tp>
      <tp t="s">
        <v>#N/A Requesting Data...3867429529</v>
        <stp/>
        <stp>BDP|8877503375972789382</stp>
        <tr r="E10" s="2"/>
      </tp>
      <tp t="s">
        <v>#N/A N/A</v>
        <stp/>
        <stp>BDP|2220703499371845606</stp>
        <tr r="AV9" s="2"/>
      </tp>
      <tp t="s">
        <v>#N/A Requesting Data...3361407397</v>
        <stp/>
        <stp>BDP|9615961074615640914</stp>
        <tr r="AK10" s="338"/>
        <tr r="AK11" s="338"/>
        <tr r="AK12" s="338"/>
      </tp>
      <tp t="s">
        <v>#N/A N/A</v>
        <stp/>
        <stp>BDH|4729579267154210860</stp>
        <tr r="AS10" s="338"/>
        <tr r="AS11" s="338"/>
        <tr r="AS12" s="338"/>
      </tp>
      <tp t="s">
        <v>#N/A Requesting Data...3811942989</v>
        <stp/>
        <stp>BDP|6241611932378988086</stp>
        <tr r="G42" s="446"/>
      </tp>
      <tp t="s">
        <v>#N/A Requesting Data...4148456288</v>
        <stp/>
        <stp>BDP|6296263756973290900</stp>
        <tr r="F18" s="2"/>
      </tp>
      <tp t="s">
        <v>#N/A Requesting Data...3421574748</v>
        <stp/>
        <stp>BDP|7985659615982817917</stp>
        <tr r="V12" s="338"/>
      </tp>
      <tp t="s">
        <v>#N/A N/A</v>
        <stp/>
        <stp>BDP|5754823904696158007</stp>
        <tr r="F32" s="532"/>
      </tp>
      <tp t="s">
        <v>#N/A Requesting Data...3971773095</v>
        <stp/>
        <stp>BDP|2612160096671704068</stp>
        <tr r="D31" s="446"/>
      </tp>
      <tp t="s">
        <v>#N/A Requesting Data...3488784001</v>
        <stp/>
        <stp>BDP|2268545091931148418</stp>
        <tr r="L77" s="532"/>
        <tr r="O111" s="89"/>
        <tr r="T18" s="2"/>
      </tp>
      <tp t="s">
        <v>#N/A Requesting Data...3850141832</v>
        <stp/>
        <stp>BDP|6048392586087350188</stp>
        <tr r="F10" s="2"/>
      </tp>
      <tp t="s">
        <v>#N/A Requesting Data...4230639453</v>
        <stp/>
        <stp>BDP|9318183699928316256</stp>
        <tr r="D43" s="446"/>
      </tp>
      <tp t="s">
        <v>#N/A Requesting Data...4271669594</v>
        <stp/>
        <stp>BDP|2130704157473529871</stp>
        <tr r="C13" s="2"/>
      </tp>
      <tp t="s">
        <v>#N/A Requesting Data...3457460523</v>
        <stp/>
        <stp>BDP|8633363721614159645</stp>
        <tr r="G8" s="446"/>
      </tp>
      <tp>
        <v>0.77</v>
        <stp/>
        <stp>BDP|790348202506851259|22</stp>
        <stp>QQQ US 02/06/26 P585 Equity</stp>
        <stp>ask</stp>
        <tr r="L37" s="89"/>
        <tr r="Q22" s="2"/>
      </tp>
      <tp>
        <v>73.73</v>
        <stp/>
        <stp>BDP|2279876738225149449|22</stp>
        <stp>MRVL US Equity</stp>
        <stp>LAST_PRICE</stp>
        <tr r="Z13" s="2"/>
        <tr r="Z14" s="2"/>
      </tp>
      <tp>
        <v>-2.8517793864011765E-2</v>
        <stp/>
        <stp>BDP|8053614676103178004|22</stp>
        <stp>NFLX US 05/15/26 C90 Equity</stp>
        <stp>THETA_MID_RT</stp>
        <tr r="G69" s="532"/>
      </tp>
      <tp>
        <v>-7.0080108940601349E-2</v>
        <stp/>
        <stp>BDP|2162211590883831161|22</stp>
        <stp>MRVL US 03/20/26 P70 Equity</stp>
        <stp>THETA_MID_RT</stp>
        <tr r="G72" s="532"/>
      </tp>
      <tp t="s">
        <v>USD</v>
        <stp/>
        <stp>BDP|12022496232123920905|22</stp>
        <stp>AAPL US 04/17/26 C280 Equity</stp>
        <stp>QUOTED_CURRENCY_REALTIME</stp>
        <tr r="G16" s="2"/>
        <tr r="F8" s="89"/>
      </tp>
      <tp t="s">
        <v>#N/A N/A</v>
        <stp/>
        <stp>BDP|9669031297401111598</stp>
        <tr r="AG36" s="1"/>
      </tp>
      <tp t="s">
        <v>#N/A Requesting Data...3708054012</v>
        <stp/>
        <stp>BDP|6568774920137939014</stp>
        <tr r="F6" s="2"/>
      </tp>
      <tp t="s">
        <v>#N/A Requesting Data...3340862787</v>
        <stp/>
        <stp>BDP|1551378073680367197</stp>
        <tr r="V43" s="89"/>
      </tp>
      <tp t="s">
        <v>#N/A N/A</v>
        <stp/>
        <stp>BDP|4449199824360687344</stp>
        <tr r="AC23" s="2"/>
      </tp>
      <tp t="s">
        <v>#N/A N/A</v>
        <stp/>
        <stp>BDP|5687056514403894346</stp>
        <tr r="G43" s="532"/>
      </tp>
      <tp t="s">
        <v>#N/A N/A</v>
        <stp/>
        <stp>BDP|4283940605309327082</stp>
        <tr r="AV4" s="2"/>
      </tp>
      <tp t="s">
        <v>#N/A Requesting Data...3137997524</v>
        <stp/>
        <stp>BDP|3958804124584137945</stp>
        <tr r="L78" s="532"/>
        <tr r="O112" s="89"/>
        <tr r="T19" s="2"/>
      </tp>
      <tp t="s">
        <v>#N/A N/A</v>
        <stp/>
        <stp>BDP|4966659791349467604</stp>
        <tr r="H42" s="532"/>
      </tp>
      <tp t="s">
        <v>#N/A Requesting Data...3280423019</v>
        <stp/>
        <stp>BDP|2906346500884364176</stp>
        <tr r="AJ8" s="338"/>
      </tp>
      <tp t="s">
        <v>#N/A Requesting Data...3414654460</v>
        <stp/>
        <stp>BDP|3419727698730200952</stp>
        <tr r="H63" s="532"/>
        <tr r="AR4" s="2"/>
      </tp>
      <tp t="s">
        <v>#N/A N/A</v>
        <stp/>
        <stp>BDP|1105691956700330633</stp>
        <tr r="AG38" s="1"/>
      </tp>
      <tp t="s">
        <v>#N/A Requesting Data...3023773750</v>
        <stp/>
        <stp>BDP|7494523709231730773</stp>
        <tr r="F31" s="446"/>
      </tp>
      <tp t="s">
        <v>#N/A N/A</v>
        <stp/>
        <stp>BDP|1454010772881939312</stp>
        <tr r="G26" s="532"/>
      </tp>
      <tp t="s">
        <v>#N/A N/A</v>
        <stp/>
        <stp>BDP|2743037479982482367</stp>
        <tr r="H25" s="532"/>
        <tr r="AF43" s="1"/>
      </tp>
      <tp t="s">
        <v>#N/A Requesting Data...3131961486</v>
        <stp/>
        <stp>BDP|4863575722475606243</stp>
        <tr r="Z31" s="89"/>
        <tr r="AA31" s="89"/>
      </tp>
      <tp t="s">
        <v>#N/A N/A</v>
        <stp/>
        <stp>BDP|1216030219616398274</stp>
        <tr r="G2" s="532"/>
      </tp>
      <tp t="s">
        <v>#N/A Requesting Data...4130217024</v>
        <stp/>
        <stp>BDP|5592689375484219475</stp>
        <tr r="T102" s="89"/>
      </tp>
      <tp t="s">
        <v>#N/A Requesting Data...3755299479</v>
        <stp/>
        <stp>BDP|9945382899790540700</stp>
        <tr r="Z54" s="89"/>
        <tr r="AA54" s="89"/>
      </tp>
      <tp t="s">
        <v>#N/A Requesting Data...3749697617</v>
        <stp/>
        <stp>BDP|9063402768959888626</stp>
        <tr r="J78" s="532"/>
        <tr r="T112" s="89"/>
        <tr r="AA19" s="2"/>
      </tp>
      <tp t="s">
        <v>#N/A Requesting Data...3205889957</v>
        <stp/>
        <stp>BDP|1615244074723761330</stp>
        <tr r="T12" s="338"/>
      </tp>
      <tp t="s">
        <v>#N/A N/A</v>
        <stp/>
        <stp>BDP|3383385936873680499</stp>
        <tr r="M78" s="532"/>
      </tp>
      <tp t="s">
        <v>#N/A N/A</v>
        <stp/>
        <stp>BDP|9388220856722747837</stp>
        <tr r="H54" s="532"/>
      </tp>
      <tp t="s">
        <v>#N/A N/A</v>
        <stp/>
        <stp>BDP|9265776239288952165</stp>
        <tr r="N73" s="532"/>
      </tp>
      <tp t="s">
        <v>#N/A Requesting Data...3612138014</v>
        <stp/>
        <stp>BDP|5790626169004593599</stp>
        <tr r="F40" s="446"/>
      </tp>
      <tp t="s">
        <v>#N/A N/A</v>
        <stp/>
        <stp>BDP|6166407815417111054</stp>
        <tr r="D56" s="532"/>
      </tp>
      <tp t="s">
        <v>#N/A N/A</v>
        <stp/>
        <stp>BDP|4394092918146104723</stp>
        <tr r="AI17" s="1"/>
      </tp>
      <tp t="s">
        <v>#N/A N/A</v>
        <stp/>
        <stp>BDP|7599424229276827376</stp>
        <tr r="H45" s="532"/>
      </tp>
      <tp t="s">
        <v>#N/A N/A</v>
        <stp/>
        <stp>BDP|5177333853422420541</stp>
        <tr r="I5" s="532"/>
      </tp>
      <tp t="s">
        <v>#N/A N/A</v>
        <stp/>
        <stp>BDP|6940186872470420463</stp>
        <tr r="I23" s="532"/>
        <tr r="AI40" s="1"/>
      </tp>
      <tp t="s">
        <v>#N/A Requesting Data...3754048928</v>
        <stp/>
        <stp>BDP|5028796441871860363</stp>
        <tr r="K64" s="532"/>
        <tr r="D5" s="2"/>
      </tp>
      <tp t="s">
        <v>#N/A Requesting Data...4123761410</v>
        <stp/>
        <stp>BDP|5440482774885960773</stp>
        <tr r="AH12" s="338"/>
      </tp>
      <tp t="s">
        <v>#N/A Requesting Data...3019911963</v>
        <stp/>
        <stp>BDP|2357040805921494704</stp>
        <tr r="AJ9" s="338"/>
      </tp>
      <tp t="s">
        <v>#N/A Requesting Data...3297560170</v>
        <stp/>
        <stp>BDP|8103428543709687520</stp>
        <tr r="G5" s="446"/>
        <tr r="G6" s="446"/>
      </tp>
      <tp t="s">
        <v>#N/A Requesting Data...3284137937</v>
        <stp/>
        <stp>BDP|5430094244624859152</stp>
        <tr r="D34" s="446"/>
      </tp>
      <tp t="s">
        <v>#N/A N/A</v>
        <stp/>
        <stp>BDP|4500964458409639588</stp>
        <tr r="K47" s="1"/>
      </tp>
      <tp t="s">
        <v>#N/A Requesting Data...4091952099</v>
        <stp/>
        <stp>BDP|7007213395359878194</stp>
        <tr r="C12" s="2"/>
      </tp>
      <tp>
        <v>379.4</v>
        <stp/>
        <stp>BDP|9834987927344721714|22</stp>
        <stp>MU Equity</stp>
        <stp>LAST_PRICE</stp>
        <tr r="C32" s="532"/>
      </tp>
      <tp>
        <v>668.99</v>
        <stp/>
        <stp>BDP|3807768373389777345|22</stp>
        <stp>META Equity</stp>
        <stp>LAST_PRICE</stp>
        <tr r="C10" s="532"/>
        <tr r="I24" s="1"/>
      </tp>
      <tp>
        <v>101.97</v>
        <stp/>
        <stp>BDP|4389152314038046903|22</stp>
        <stp>QQQE Equity</stp>
        <stp>LAST_PRICE</stp>
        <tr r="C42" s="532"/>
      </tp>
      <tp>
        <v>98.7</v>
        <stp/>
        <stp>BDP|11512636158714040679|22</stp>
        <stp>GDX EQUITY</stp>
        <stp>LAST_PRICE</stp>
        <tr r="L10" s="1"/>
      </tp>
      <tp t="s">
        <v>USD</v>
        <stp/>
        <stp>BDP|15724339035979194733|22</stp>
        <stp>META US 02/27/26 C660 Equity</stp>
        <stp>QUOTED_CURRENCY_REALTIME</stp>
        <tr r="F96" s="89"/>
      </tp>
      <tp t="s">
        <v>#N/A Requesting Data...4096669640</v>
        <stp/>
        <stp>BDP|9005897765572380053</stp>
        <tr r="E13" s="2"/>
      </tp>
      <tp t="s">
        <v>#N/A N/A</v>
        <stp/>
        <stp>BDP|2935461966306109320</stp>
        <tr r="AC28" s="1"/>
        <tr r="AC31" s="1"/>
      </tp>
      <tp t="s">
        <v>#N/A N/A</v>
        <stp/>
        <stp>BDP|8707273890642329492</stp>
        <tr r="H9" s="532"/>
      </tp>
      <tp t="s">
        <v>#N/A N/A</v>
        <stp/>
        <stp>BDP|2824666575383672569</stp>
        <tr r="K34" s="1"/>
      </tp>
      <tp t="s">
        <v>#N/A Requesting Data...3219953558</v>
        <stp/>
        <stp>BDP|4780459414043985746</stp>
        <tr r="S9" s="338"/>
      </tp>
      <tp t="s">
        <v>#N/A Requesting Data...4124636598</v>
        <stp/>
        <stp>BDP|3715220583989463590</stp>
        <tr r="AB26" s="1"/>
        <tr r="F30" s="446"/>
      </tp>
      <tp t="s">
        <v>#N/A Requesting Data...3956945021</v>
        <stp/>
        <stp>BDP|3983744460122577503</stp>
        <tr r="H2" s="532"/>
        <tr r="AF38" s="1"/>
        <tr r="AF12" s="338"/>
      </tp>
      <tp t="s">
        <v>#N/A N/A</v>
        <stp/>
        <stp>BDP|3051431949301095732</stp>
        <tr r="AB43" s="1"/>
      </tp>
      <tp t="s">
        <v>#N/A N/A</v>
        <stp/>
        <stp>BDP|5495084662117026179</stp>
        <tr r="D45" s="532"/>
      </tp>
      <tp t="s">
        <v>#N/A Requesting Data...3777332834</v>
        <stp/>
        <stp>BDP|9260849128942358439</stp>
        <tr r="V13" s="89"/>
        <tr r="AD12" s="2"/>
      </tp>
      <tp t="s">
        <v>#N/A N/A</v>
        <stp/>
        <stp>BDP|1071396022310529501</stp>
        <tr r="H50" s="532"/>
        <tr r="AF29" s="1"/>
        <tr r="AF32" s="1"/>
      </tp>
      <tp t="s">
        <v>#N/A Requesting Data...3752692536</v>
        <stp/>
        <stp>BDP|2636595951407112010</stp>
        <tr r="D41" s="446"/>
      </tp>
      <tp t="s">
        <v>#N/A Requesting Data...3247034105</v>
        <stp/>
        <stp>BDP|6525006869707181227</stp>
        <tr r="H47" s="532"/>
        <tr r="AG10" s="338"/>
        <tr r="AG11" s="338"/>
        <tr r="AG12" s="338"/>
      </tp>
      <tp t="s">
        <v>#N/A Requesting Data...3578988512</v>
        <stp/>
        <stp>BDP|3125515205664863726</stp>
        <tr r="C37" s="89"/>
        <tr r="D22" s="2"/>
      </tp>
      <tp t="s">
        <v>#N/A N/A</v>
        <stp/>
        <stp>BDP|5500406408225008111</stp>
        <tr r="AF17" s="1"/>
      </tp>
      <tp t="s">
        <v>#N/A Requesting Data...3079918415</v>
        <stp/>
        <stp>BDP|8161895482119328448</stp>
        <tr r="K77" s="532"/>
        <tr r="C111" s="89"/>
        <tr r="D18" s="2"/>
      </tp>
      <tp t="s">
        <v>#N/A N/A</v>
        <stp/>
        <stp>BDP|9013794581472367164</stp>
        <tr r="M69" s="532"/>
      </tp>
      <tp t="s">
        <v>#N/A Requesting Data...3251479706</v>
        <stp/>
        <stp>BDP|4175505667196201468</stp>
        <tr r="D70" s="89"/>
      </tp>
      <tp t="s">
        <v>#N/A N/A</v>
        <stp/>
        <stp>BDH|5396540138980898652</stp>
        <tr r="AP9" s="338"/>
      </tp>
      <tp t="s">
        <v>#N/A N/A</v>
        <stp/>
        <stp>BDP|2713730707859236922</stp>
        <tr r="D11" s="532"/>
      </tp>
      <tp t="s">
        <v>#N/A Requesting Data...3065481654</v>
        <stp/>
        <stp>BDP|4927495145270521132</stp>
        <tr r="E17" s="2"/>
      </tp>
      <tp t="s">
        <v>#N/A N/A</v>
        <stp/>
        <stp>BDP|5049499548360709058</stp>
        <tr r="G21" s="532"/>
      </tp>
      <tp t="s">
        <v>#N/A Requesting Data...3940804162</v>
        <stp/>
        <stp>BDP|5133852355808281539</stp>
        <tr r="AD13" s="2"/>
      </tp>
      <tp t="s">
        <v>#N/A N/A</v>
        <stp/>
        <stp>BDP|9525835047501594141</stp>
        <tr r="AG19" s="1"/>
      </tp>
      <tp t="s">
        <v>#N/A N/A</v>
        <stp/>
        <stp>BDP|7874371861531677689</stp>
        <tr r="G5" s="532"/>
      </tp>
      <tp t="s">
        <v>#N/A N/A</v>
        <stp/>
        <stp>BDP|6695752411146080338</stp>
        <tr r="AG35" s="1"/>
      </tp>
      <tp t="s">
        <v>#N/A Requesting Data...3074815793</v>
        <stp/>
        <stp>BDP|6176285783729955051</stp>
        <tr r="E44" s="89"/>
      </tp>
      <tp t="s">
        <v>#N/A N/A</v>
        <stp/>
        <stp>BDP|3531766210442590208</stp>
        <tr r="H17" s="532"/>
        <tr r="AF22" s="1"/>
      </tp>
      <tp t="s">
        <v>#N/A Requesting Data...3776632358</v>
        <stp/>
        <stp>BDP|4147460135970660630</stp>
        <tr r="O103" s="89"/>
      </tp>
      <tp t="s">
        <v>#N/A N/A</v>
        <stp/>
        <stp>BDP|3342722702878250968</stp>
        <tr r="F48" s="532"/>
      </tp>
      <tp t="s">
        <v>#N/A N/A</v>
        <stp/>
        <stp>BDP|8627744419858747384</stp>
        <tr r="K29" s="1"/>
      </tp>
      <tp t="s">
        <v>#N/A Requesting Data...3694639387</v>
        <stp/>
        <stp>BDP|7460910680203620073</stp>
        <tr r="E24" s="2"/>
      </tp>
      <tp t="s">
        <v>#N/A N/A</v>
        <stp/>
        <stp>BDP|6232956390600658350</stp>
        <tr r="D32" s="532"/>
      </tp>
      <tp>
        <v>65.8</v>
        <stp/>
        <stp>BDP|10509480426370688750|22</stp>
        <stp>META US 07/17/26 C670 Equity</stp>
        <stp>bid</stp>
        <tr r="K86" s="89"/>
      </tp>
      <tp>
        <v>23.4</v>
        <stp/>
        <stp>BDP|11530430480112839969|22</stp>
        <stp>AAPL US 04/17/26 C260 Equity</stp>
        <stp>bid</stp>
        <tr r="P15" s="2"/>
      </tp>
      <tp t="s">
        <v>USD</v>
        <stp/>
        <stp>BDP|397487976034915571|22</stp>
        <stp>TSM US 06/18/26 C380 Equity</stp>
        <stp>QUOTED_CURRENCY_REALTIME</stp>
        <tr r="G25" s="2"/>
      </tp>
      <tp>
        <v>11.15</v>
        <stp/>
        <stp>BDP|17651095983942963831|22</stp>
        <stp>AAPL US 04/17/26 C280 Equity</stp>
        <stp>ask</stp>
        <tr r="Q16" s="2"/>
        <tr r="L8" s="89"/>
      </tp>
      <tp t="s">
        <v>#N/A N/A</v>
        <stp/>
        <stp>BDP|1952409716362731026</stp>
        <tr r="AC17" s="1"/>
      </tp>
      <tp t="s">
        <v>#N/A Requesting Data...3400092015</v>
        <stp/>
        <stp>BDP|7188757863485888551</stp>
        <tr r="G39" s="446"/>
      </tp>
      <tp t="s">
        <v>#N/A N/A</v>
        <stp/>
        <stp>BDP|7422247533576110683</stp>
        <tr r="I29" s="532"/>
        <tr r="AI47" s="1"/>
      </tp>
      <tp t="s">
        <v>#N/A Requesting Data...4198376772</v>
        <stp/>
        <stp>BDP|7978267068122812754</stp>
        <tr r="C9" s="2"/>
      </tp>
      <tp t="s">
        <v>#N/A N/A</v>
        <stp/>
        <stp>BDH|9493884406270480743</stp>
        <tr r="AR10" s="338"/>
        <tr r="AR11" s="338"/>
        <tr r="AR12" s="338"/>
      </tp>
      <tp t="s">
        <v>#N/A Requesting Data...3609883111</v>
        <stp/>
        <stp>BDP|4646626558147768607</stp>
        <tr r="T60" s="89"/>
      </tp>
      <tp t="s">
        <v>#N/A N/A</v>
        <stp/>
        <stp>BDP|4924185643674933335</stp>
        <tr r="M66" s="532"/>
      </tp>
      <tp t="s">
        <v>#N/A N/A</v>
        <stp/>
        <stp>BDP|1658103089397436930</stp>
        <tr r="I53" s="532"/>
      </tp>
      <tp t="s">
        <v>#N/A N/A</v>
        <stp/>
        <stp>BDP|1399697873366095012</stp>
        <tr r="G24" s="532"/>
      </tp>
      <tp t="s">
        <v>#N/A Requesting Data...3919571769</v>
        <stp/>
        <stp>BDP|1754575979255457051</stp>
        <tr r="G14" s="446"/>
      </tp>
      <tp t="s">
        <v>#N/A Requesting Data...3921382998</v>
        <stp/>
        <stp>BDP|6095484704072209604</stp>
        <tr r="AJ10" s="338"/>
      </tp>
      <tp t="s">
        <v>#N/A Requesting Data...4237639858</v>
        <stp/>
        <stp>BDP|6921540255739678909</stp>
        <tr r="AK8" s="338"/>
      </tp>
      <tp t="s">
        <v>#N/A Requesting Data...4013681445</v>
        <stp/>
        <stp>BDP|6647458260250823259</stp>
        <tr r="AD11" s="2"/>
      </tp>
      <tp t="s">
        <v>#N/A Requesting Data...3913286257</v>
        <stp/>
        <stp>BDP|5836174453674625345</stp>
        <tr r="V10" s="338"/>
      </tp>
      <tp t="s">
        <v>#N/A Requesting Data...4250621237</v>
        <stp/>
        <stp>BDP|6914181187250139988</stp>
        <tr r="J64" s="532"/>
        <tr r="AA5" s="2"/>
      </tp>
      <tp t="s">
        <v>#N/A Requesting Data...3503012013</v>
        <stp/>
        <stp>BDP|3930578222146831483</stp>
        <tr r="G43" s="446"/>
      </tp>
      <tp t="s">
        <v>#N/A Requesting Data...3993832640</v>
        <stp/>
        <stp>BDP|6968868093520481149</stp>
        <tr r="E37" s="89"/>
      </tp>
      <tp t="s">
        <v>#N/A N/A</v>
        <stp/>
        <stp>BDP|8403728728339567278</stp>
        <tr r="AC48" s="1"/>
      </tp>
      <tp t="s">
        <v>#N/A N/A</v>
        <stp/>
        <stp>BDP|7214439758295548509</stp>
        <tr r="F17" s="532"/>
      </tp>
      <tp t="s">
        <v>#N/A Requesting Data...4092004719</v>
        <stp/>
        <stp>BDP|3166087990788095446</stp>
        <tr r="G21" s="446"/>
      </tp>
      <tp t="s">
        <v>#N/A N/A</v>
        <stp/>
        <stp>BDP|6439251290132958955</stp>
        <tr r="AG46" s="1"/>
      </tp>
      <tp t="s">
        <v>#N/A N/A</v>
        <stp/>
        <stp>BDP|1482037708117190035</stp>
        <tr r="N68" s="532"/>
      </tp>
      <tp t="s">
        <v>#N/A Requesting Data...3829074868</v>
        <stp/>
        <stp>BDP|1790328446412835262</stp>
        <tr r="J67" s="532"/>
        <tr r="T30" s="89"/>
        <tr r="AA8" s="2"/>
      </tp>
      <tp t="s">
        <v>#N/A N/A</v>
        <stp/>
        <stp>BDP|4148348666006447154</stp>
        <tr r="H16" s="532"/>
        <tr r="AF19" s="1"/>
      </tp>
      <tp t="s">
        <v>#N/A N/A</v>
        <stp/>
        <stp>BDP|9114674186030624147</stp>
        <tr r="AB18" s="1"/>
      </tp>
      <tp t="s">
        <v>#N/A Requesting Data...3547502565</v>
        <stp/>
        <stp>BDP|3531676896459233342</stp>
        <tr r="G35" s="446"/>
      </tp>
      <tp t="s">
        <v>#N/A N/A</v>
        <stp/>
        <stp>BDP|2631124764376490574</stp>
        <tr r="AI18" s="1"/>
      </tp>
      <tp t="s">
        <v>#N/A N/A</v>
        <stp/>
        <stp>BDP|5629641216982419633</stp>
        <tr r="I11" s="532"/>
      </tp>
      <tp t="s">
        <v>#N/A N/A</v>
        <stp/>
        <stp>BDP|6492591601201677497</stp>
        <tr r="D3" s="532"/>
      </tp>
      <tp t="s">
        <v>#N/A N/A</v>
        <stp/>
        <stp>BDP|9347168096696080104</stp>
        <tr r="D10" s="532"/>
      </tp>
      <tp t="s">
        <v>#N/A Requesting Data...4007781816</v>
        <stp/>
        <stp>BDP|5023379335197141408</stp>
        <tr r="O113" s="89"/>
        <tr r="T20" s="2"/>
      </tp>
      <tp t="s">
        <v>#N/A N/A</v>
        <stp/>
        <stp>BDP|5681827533229472132</stp>
        <tr r="AB28" s="1"/>
        <tr r="AB31" s="1"/>
      </tp>
      <tp t="s">
        <v>#N/A N/A</v>
        <stp/>
        <stp>BDP|4914714974892501095</stp>
        <tr r="D28" s="532"/>
      </tp>
      <tp t="s">
        <v>#N/A Requesting Data...3730278680</v>
        <stp/>
        <stp>BDP|5205861990736541413</stp>
        <tr r="E15" s="2"/>
      </tp>
      <tp t="s">
        <v>#N/A N/A</v>
        <stp/>
        <stp>BDP|3400335775448774956</stp>
        <tr r="H34" s="532"/>
      </tp>
      <tp t="s">
        <v>#N/A Requesting Data...3570323915</v>
        <stp/>
        <stp>BDP|1183356610207551274</stp>
        <tr r="T25" s="2"/>
      </tp>
      <tp t="s">
        <v>#N/A Requesting Data...4078686987</v>
        <stp/>
        <stp>BDP|7024465816144052067</stp>
        <tr r="K74" s="532"/>
        <tr r="D15" s="2"/>
      </tp>
      <tp t="s">
        <v>#N/A N/A</v>
        <stp/>
        <stp>BDP|2201522800328469937</stp>
        <tr r="F15" s="532"/>
      </tp>
      <tp t="s">
        <v>#N/A N/A</v>
        <stp/>
        <stp>BDP|4645900595724651626</stp>
        <tr r="Q12" s="338"/>
      </tp>
      <tp t="s">
        <v>#N/A Requesting Data...3882060740</v>
        <stp/>
        <stp>BDP|5039887386546055596</stp>
        <tr r="J74" s="532"/>
        <tr r="AA15" s="2"/>
      </tp>
      <tp t="s">
        <v>#N/A Requesting Data...3274648305</v>
        <stp/>
        <stp>BDP|8099019377399093020</stp>
        <tr r="AA19" s="89"/>
        <tr r="Z19" s="89"/>
      </tp>
      <tp t="s">
        <v>#N/A Requesting Data...3514456259</v>
        <stp/>
        <stp>BDP|8885961869603230210</stp>
        <tr r="AK8" s="338"/>
      </tp>
      <tp t="s">
        <v>#N/A Requesting Data...3849517713</v>
        <stp/>
        <stp>BDP|5018086030232967252</stp>
        <tr r="J68" s="532"/>
        <tr r="AA9" s="2"/>
      </tp>
      <tp t="s">
        <v>#N/A N/A</v>
        <stp/>
        <stp>BDP|6779014741741353519</stp>
        <tr r="I36" s="532"/>
      </tp>
      <tp t="s">
        <v>#N/A N/A</v>
        <stp/>
        <stp>BDP|8761612700098490073</stp>
        <tr r="G45" s="532"/>
      </tp>
      <tp t="s">
        <v>#N/A N/A</v>
        <stp/>
        <stp>BDP|1772751390731486839</stp>
        <tr r="I22" s="532"/>
        <tr r="AI37" s="1"/>
      </tp>
      <tp t="s">
        <v>#N/A N/A</v>
        <stp/>
        <stp>BDP|3256176262240474260</stp>
        <tr r="E4" s="1"/>
      </tp>
      <tp t="s">
        <v>#N/A Requesting Data...3169713005</v>
        <stp/>
        <stp>BDP|7214956164048318650</stp>
        <tr r="U10" s="338"/>
      </tp>
      <tp>
        <v>668.99</v>
        <stp/>
        <stp>BDP|8831218337912200139|22</stp>
        <stp>META Equity</stp>
        <stp>LAST PRICE</stp>
        <tr r="G9" s="338"/>
      </tp>
      <tp t="s">
        <v>#N/A Real Time</v>
        <stp/>
        <stp>BDP|15837909666438988840|22</stp>
        <stp>4EM5P    5800 Index</stp>
        <stp>ask</stp>
        <tr r="L54" s="89"/>
      </tp>
      <tp t="s">
        <v>USD</v>
        <stp/>
        <stp>BDP|989677972426117411|22</stp>
        <stp>2OG6P 25000 Index</stp>
        <stp>QUOTED_CURRENCY_REALTIME</stp>
        <tr r="F70" s="89"/>
      </tp>
      <tp>
        <v>-0.14079232513904572</v>
        <stp/>
        <stp>BDP|8795046347241444117|22</stp>
        <stp>AVGO US 06/18/26 C350 Equity</stp>
        <stp>theta_mid_rt</stp>
        <tr r="AN5" s="2"/>
      </tp>
      <tp t="s">
        <v>#N/A N/A</v>
        <stp/>
        <stp>BDP|9699795985330940197</stp>
        <tr r="D13" s="532"/>
      </tp>
      <tp t="s">
        <v>#N/A Requesting Data...3596207694</v>
        <stp/>
        <stp>BDP|4283425441594897730</stp>
        <tr r="Z85" s="89"/>
        <tr r="AA85" s="89"/>
      </tp>
      <tp t="s">
        <v>#N/A Requesting Data...3144075132</v>
        <stp/>
        <stp>BDP|4245799967772009077</stp>
        <tr r="D37" s="446"/>
      </tp>
      <tp t="s">
        <v>#N/A Requesting Data...3216180207</v>
        <stp/>
        <stp>BDP|4758516714777806016</stp>
        <tr r="H72" s="532"/>
        <tr r="AR13" s="2"/>
      </tp>
      <tp t="s">
        <v>#N/A N/A</v>
        <stp/>
        <stp>BDP|8581806157327893527</stp>
        <tr r="H56" s="532"/>
      </tp>
      <tp t="s">
        <v>#N/A N/A</v>
        <stp/>
        <stp>BDP|4680688303897746229</stp>
        <tr r="I55" s="532"/>
      </tp>
      <tp t="s">
        <v>#N/A N/A</v>
        <stp/>
        <stp>BDP|7156185906827354649</stp>
        <tr r="I13" s="532"/>
        <tr r="AI13" s="1"/>
      </tp>
      <tp t="s">
        <v>#N/A N/A</v>
        <stp/>
        <stp>BDP|1778124433560908471</stp>
        <tr r="I39" s="532"/>
      </tp>
      <tp t="s">
        <v>#N/A N/A</v>
        <stp/>
        <stp>BDP|7177790717323383551</stp>
        <tr r="F58" s="532"/>
      </tp>
      <tp t="s">
        <v>#N/A N/A</v>
        <stp/>
        <stp>BDP|6577894425722203925</stp>
        <tr r="I24" s="532"/>
        <tr r="AI42" s="1"/>
      </tp>
      <tp t="s">
        <v>#N/A N/A</v>
        <stp/>
        <stp>BDP|5947737455944304421</stp>
        <tr r="AB42" s="1"/>
      </tp>
      <tp t="s">
        <v>#N/A Requesting Data...3264935952</v>
        <stp/>
        <stp>BDP|1092378379464484650</stp>
        <tr r="G9" s="446"/>
      </tp>
      <tp t="s">
        <v>#N/A N/A</v>
        <stp/>
        <stp>BDH|9931847909580864633</stp>
        <tr r="AU9" s="338"/>
      </tp>
      <tp t="s">
        <v>#N/A Requesting Data...3508164363</v>
        <stp/>
        <stp>BDP|7675645627431897518</stp>
        <tr r="C24" s="2"/>
      </tp>
      <tp t="s">
        <v>#N/A Requesting Data...3189586856</v>
        <stp/>
        <stp>BDP|3706549500372914371</stp>
        <tr r="E52" s="89"/>
      </tp>
      <tp t="s">
        <v>#N/A N/A</v>
        <stp/>
        <stp>BDP|5312075309057886586</stp>
        <tr r="I27" s="532"/>
        <tr r="AI45" s="1"/>
      </tp>
      <tp t="s">
        <v>#N/A Requesting Data...3722727082</v>
        <stp/>
        <stp>BDP|1287193847504467758</stp>
        <tr r="D69" s="89"/>
      </tp>
      <tp t="s">
        <v>#N/A Requesting Data...3460783702</v>
        <stp/>
        <stp>BDP|2787535871500884705</stp>
        <tr r="S11" s="338"/>
      </tp>
      <tp t="s">
        <v>#N/A N/A</v>
        <stp/>
        <stp>BDP|7341491708322758684</stp>
        <tr r="AB60" s="89"/>
        <tr r="AB61" s="89"/>
      </tp>
      <tp t="s">
        <v>#N/A Requesting Data...4103144694</v>
        <stp/>
        <stp>BDP|9340297150798850129</stp>
        <tr r="E102" s="89"/>
      </tp>
      <tp t="s">
        <v>#N/A Requesting Data...3430576160</v>
        <stp/>
        <stp>BDP|9683098287681113793</stp>
        <tr r="C14" s="89"/>
        <tr r="C87" s="89"/>
      </tp>
      <tp t="s">
        <v>#N/A Requesting Data...3376395644</v>
        <stp/>
        <stp>BDP|7474449057554053566</stp>
        <tr r="AR23" s="2"/>
      </tp>
      <tp t="s">
        <v>#N/A N/A</v>
        <stp/>
        <stp>BDP|7492273715422617114</stp>
        <tr r="D27" s="532"/>
      </tp>
      <tp t="s">
        <v>#N/A N/A</v>
        <stp/>
        <stp>BDP|6362624963838148922</stp>
        <tr r="H8" s="532"/>
        <tr r="AF26" s="1"/>
      </tp>
      <tp t="s">
        <v>#N/A N/A</v>
        <stp/>
        <stp>BDP|1441507930893172343</stp>
        <tr r="O70" s="532"/>
      </tp>
      <tp t="s">
        <v>#N/A Requesting Data...3494662157</v>
        <stp/>
        <stp>BDP|2907663611126652497</stp>
        <tr r="D52" s="89"/>
      </tp>
      <tp t="s">
        <v>#N/A N/A</v>
        <stp/>
        <stp>BDP|5447413907492272417</stp>
        <tr r="H43" s="532"/>
      </tp>
      <tp t="s">
        <v>#N/A Requesting Data...4033471116</v>
        <stp/>
        <stp>BDP|4545516306737359105</stp>
        <tr r="L65" s="532"/>
        <tr r="T6" s="2"/>
        <tr r="O19" s="89"/>
      </tp>
      <tp t="s">
        <v>#N/A N/A</v>
        <stp/>
        <stp>BDP|5298841900959720378</stp>
        <tr r="G14" s="532"/>
      </tp>
      <tp t="s">
        <v>#N/A Requesting Data...4199826663</v>
        <stp/>
        <stp>BDP|4445164765726738268</stp>
        <tr r="Z86" s="89"/>
        <tr r="AA86" s="89"/>
      </tp>
      <tp t="s">
        <v>#N/A Requesting Data...4278877737</v>
        <stp/>
        <stp>BDP|1776687918603536244</stp>
        <tr r="V112" s="89"/>
        <tr r="AD19" s="2"/>
      </tp>
      <tp t="s">
        <v>#N/A Requesting Data...3954806844</v>
        <stp/>
        <stp>BDP|7057279456164256342</stp>
        <tr r="S8" s="338"/>
      </tp>
      <tp t="s">
        <v>#N/A Requesting Data...3930528266</v>
        <stp/>
        <stp>BDP|8524642481018198968</stp>
        <tr r="Z43" s="89"/>
        <tr r="AA43" s="89"/>
      </tp>
      <tp t="s">
        <v>#N/A N/A</v>
        <stp/>
        <stp>BDP|6242342073403423660</stp>
        <tr r="F46" s="532"/>
      </tp>
      <tp t="s">
        <v>#N/A Requesting Data...3235344464</v>
        <stp/>
        <stp>BDP|7034052966182144450</stp>
        <tr r="G7" s="446"/>
      </tp>
      <tp t="s">
        <v>#N/A Requesting Data...3613469458</v>
        <stp/>
        <stp>BDP|2027401203994540526</stp>
        <tr r="Z104" s="89"/>
        <tr r="AA104" s="89"/>
      </tp>
      <tp t="s">
        <v>#N/A Requesting Data...3768314044</v>
        <stp/>
        <stp>BDP|1685711720524577765</stp>
        <tr r="L73" s="532"/>
        <tr r="T14" s="2"/>
      </tp>
      <tp t="s">
        <v>#N/A Requesting Data...3667610890</v>
        <stp/>
        <stp>BDP|4375402103807111045</stp>
        <tr r="H77" s="532"/>
        <tr r="AR18" s="2"/>
      </tp>
      <tp t="s">
        <v>#N/A Requesting Data...3541222786</v>
        <stp/>
        <stp>BDP|1636158366620394139</stp>
        <tr r="V76" s="89"/>
      </tp>
      <tp t="s">
        <v>#N/A Requesting Data...3137549630</v>
        <stp/>
        <stp>BDP|7130911573469165773</stp>
        <tr r="AD5" s="2"/>
      </tp>
      <tp>
        <v>232.99</v>
        <stp/>
        <stp>BDP|4344863504285541564|22</stp>
        <stp>AMZN Equity</stp>
        <stp>LAST_PRICE</stp>
        <tr r="C6" s="532"/>
        <tr r="I21" s="1"/>
      </tp>
      <tp t="s">
        <v>#N/A Requesting Data...3599548372</v>
        <stp/>
        <stp>BDP|9478381283761550308</stp>
        <tr r="AD24" s="2"/>
      </tp>
      <tp t="s">
        <v>#N/A Requesting Data...3236704245</v>
        <stp/>
        <stp>BDP|9045538132518316786</stp>
        <tr r="E8" s="2"/>
      </tp>
      <tp t="s">
        <v>#N/A Requesting Data...3301388360</v>
        <stp/>
        <stp>BDP|3454753217493992655</stp>
        <tr r="AB41" s="1"/>
        <tr r="F36" s="446"/>
      </tp>
      <tp t="s">
        <v>#N/A N/A</v>
        <stp/>
        <stp>BDP|8148908707662517398</stp>
        <tr r="AG24" s="1"/>
      </tp>
      <tp t="s">
        <v>#N/A Requesting Data...3667423032</v>
        <stp/>
        <stp>BDP|6955622269271151797</stp>
        <tr r="L63" s="532"/>
        <tr r="T4" s="2"/>
      </tp>
      <tp t="s">
        <v>#N/A N/A</v>
        <stp/>
        <stp>BDP|5641282350897599510</stp>
        <tr r="D14" s="532"/>
      </tp>
      <tp t="s">
        <v>#N/A Requesting Data...3623249428</v>
        <stp/>
        <stp>BDP|4719935720519999653</stp>
        <tr r="K67" s="532"/>
        <tr r="C30" s="89"/>
        <tr r="D8" s="2"/>
      </tp>
      <tp t="s">
        <v>#N/A Requesting Data...3657029662</v>
        <stp/>
        <stp>BDP|2073373381748750195</stp>
        <tr r="F25" s="446"/>
      </tp>
      <tp t="s">
        <v>#N/A N/A</v>
        <stp/>
        <stp>BDP|1045785293507743859</stp>
        <tr r="N64" s="532"/>
      </tp>
      <tp t="s">
        <v>#N/A N/A</v>
        <stp/>
        <stp>BDP|5508729427063936303</stp>
        <tr r="AB40" s="1"/>
      </tp>
      <tp t="s">
        <v>#N/A Requesting Data...3668326043</v>
        <stp/>
        <stp>BDP|5247577618786009732</stp>
        <tr r="D113" s="89"/>
      </tp>
      <tp t="s">
        <v>#N/A N/A</v>
        <stp/>
        <stp>BDP|3814614879190956260</stp>
        <tr r="I18" s="532"/>
        <tr r="AI23" s="1"/>
      </tp>
      <tp t="s">
        <v>#N/A Requesting Data...3579577507</v>
        <stp/>
        <stp>BDP|5959149956824211564</stp>
        <tr r="G38" s="446"/>
      </tp>
      <tp t="s">
        <v>#N/A N/A</v>
        <stp/>
        <stp>BDP|5985897994186917216</stp>
        <tr r="I63" s="532"/>
      </tp>
      <tp t="s">
        <v>#N/A Requesting Data...3773365910</v>
        <stp/>
        <stp>BDP|5381969730908949709</stp>
        <tr r="AD4" s="2"/>
      </tp>
      <tp t="s">
        <v>#N/A Requesting Data...3473254006</v>
        <stp/>
        <stp>BDP|9733097685151622010</stp>
        <tr r="L74" s="532"/>
        <tr r="T15" s="2"/>
      </tp>
      <tp t="s">
        <v>#N/A N/A</v>
        <stp/>
        <stp>BDP|3318326534943065085</stp>
        <tr r="D50" s="532"/>
      </tp>
      <tp t="s">
        <v>#N/A N/A</v>
        <stp/>
        <stp>BDP|6809118251995947735</stp>
        <tr r="AG18" s="1"/>
      </tp>
      <tp t="s">
        <v>#N/A Requesting Data...3971436492</v>
        <stp/>
        <stp>BDP|4209126284524639902</stp>
        <tr r="AI10" s="338"/>
        <tr r="AI11" s="338"/>
        <tr r="AI12" s="338"/>
        <tr r="AK10" s="338"/>
        <tr r="AK11" s="338"/>
        <tr r="AK12" s="338"/>
      </tp>
      <tp t="s">
        <v>#N/A N/A</v>
        <stp/>
        <stp>BDP|3129387768385555361</stp>
        <tr r="AQ6" s="2"/>
        <tr r="AB19" s="89"/>
        <tr r="AB20" s="89"/>
        <tr r="AQ5" s="2"/>
        <tr r="AQ7" s="2"/>
      </tp>
      <tp t="s">
        <v>#N/A N/A</v>
        <stp/>
        <stp>BDP|2925650370332906175</stp>
        <tr r="I21" s="532"/>
        <tr r="AI36" s="1"/>
      </tp>
      <tp t="s">
        <v>#N/A Requesting Data...3869073275</v>
        <stp/>
        <stp>BDP|3960122539301296028</stp>
        <tr r="O86" s="89"/>
      </tp>
      <tp t="s">
        <v>#N/A Requesting Data...3745093695</v>
        <stp/>
        <stp>BDP|2469275853951470473</stp>
        <tr r="F19" s="2"/>
      </tp>
      <tp t="s">
        <v>#N/A Requesting Data...4180432172</v>
        <stp/>
        <stp>BDP|4552037620785435316</stp>
        <tr r="P9" s="338"/>
      </tp>
      <tp t="s">
        <v>#N/A N/A</v>
        <stp/>
        <stp>BDP|8177301223040694940</stp>
        <tr r="AB22" s="1"/>
      </tp>
      <tp t="s">
        <v>#N/A N/A</v>
        <stp/>
        <stp>BDP|7522224882638423511</stp>
        <tr r="H44" s="532"/>
      </tp>
      <tp t="s">
        <v>#N/A Requesting Data...3841299618</v>
        <stp/>
        <stp>BDP|5137251643354744701</stp>
        <tr r="L12" s="338"/>
        <tr r="H12" s="338"/>
      </tp>
      <tp t="s">
        <v>#N/A Requesting Data...4089492209</v>
        <stp/>
        <stp>BDP|6283111272633911397</stp>
        <tr r="AJ11" s="338"/>
      </tp>
      <tp t="s">
        <v>#N/A N/A</v>
        <stp/>
        <stp>BDP|5343138451696155716</stp>
        <tr r="M75" s="532"/>
      </tp>
      <tp t="s">
        <v>#N/A N/A</v>
        <stp/>
        <stp>BDP|4907785248742842505</stp>
        <tr r="I72" s="532"/>
      </tp>
      <tp t="s">
        <v>#N/A N/A</v>
        <stp/>
        <stp>BDP|9824416267343988868</stp>
        <tr r="I51" s="532"/>
        <tr r="AI33" s="1"/>
        <tr r="AI34" s="1"/>
      </tp>
      <tp t="s">
        <v>#N/A N/A</v>
        <stp/>
        <stp>BDP|6717330925032224525</stp>
        <tr r="D49" s="532"/>
      </tp>
      <tp t="s">
        <v>#N/A Requesting Data...3901378173</v>
        <stp/>
        <stp>BDP|1181800899621771193</stp>
        <tr r="V36" s="89"/>
        <tr r="AD21" s="2"/>
      </tp>
      <tp t="s">
        <v>#N/A Requesting Data...4141938997</v>
        <stp/>
        <stp>BDP|2847624409581566518</stp>
        <tr r="K70" s="532"/>
        <tr r="D11" s="2"/>
      </tp>
      <tp t="s">
        <v>#N/A Requesting Data...3417864625</v>
        <stp/>
        <stp>BDP|3586036471827725377</stp>
        <tr r="AR22" s="2"/>
      </tp>
      <tp t="s">
        <v>#N/A N/A</v>
        <stp/>
        <stp>BDP|1006835115128630075</stp>
        <tr r="AQ23" s="2"/>
      </tp>
      <tp t="s">
        <v>#N/A N/A</v>
        <stp/>
        <stp>BDP|6282885950023493890</stp>
        <tr r="M68" s="532"/>
      </tp>
      <tp t="s">
        <v>#N/A Requesting Data...3763505819</v>
        <stp/>
        <stp>BDP|7529226150318302830</stp>
        <tr r="O102" s="89"/>
      </tp>
      <tp>
        <v>1.07175437733531E-2</v>
        <stp/>
        <stp>BDP|15412285494780661870|22</stp>
        <stp>1OG6C 26000 Index</stp>
        <stp>DELTA_MID_RT</stp>
        <tr r="W69" s="89"/>
      </tp>
      <tp t="s">
        <v>#N/A N/A</v>
        <stp/>
        <stp>BDP|5075090710247937349</stp>
        <tr r="F30" s="532"/>
      </tp>
      <tp>
        <v>-1.2544488534331322E-2</v>
        <stp/>
        <stp>BDP|33683420123431158|22</stp>
        <stp>ASHR US 02/20/26 C35 Equity</stp>
        <stp>THETA_MID_RT</stp>
        <tr r="G63" s="532"/>
      </tp>
      <tp>
        <v>14.88</v>
        <stp/>
        <stp>BDP|13708122924811862625|22</stp>
        <stp>TSM US 06/18/26 C380 Equity</stp>
        <stp>mid</stp>
        <tr r="L25" s="2"/>
      </tp>
      <tp>
        <v>200.3</v>
        <stp/>
        <stp>BDP|17027429052585223577|22</stp>
        <stp>RSP EQUITY</stp>
        <stp>LAST_PRICE</stp>
        <tr r="L5" s="1"/>
      </tp>
      <tp t="s">
        <v>#N/A N/A</v>
        <stp/>
        <stp>BDP|9441671451828916306</stp>
        <tr r="H5" s="532"/>
      </tp>
      <tp t="s">
        <v>#N/A Requesting Data...3675702053</v>
        <stp/>
        <stp>BDP|4229187942781259116</stp>
        <tr r="AR21" s="2"/>
      </tp>
      <tp t="s">
        <v>#N/A N/A</v>
        <stp/>
        <stp>BDP|5768240660737925715</stp>
        <tr r="O75" s="532"/>
      </tp>
      <tp t="s">
        <v>#N/A N/A</v>
        <stp/>
        <stp>BDP|5889104764011396273</stp>
        <tr r="I4" s="532"/>
        <tr r="AI39" s="1"/>
      </tp>
      <tp t="s">
        <v>#N/A N/A</v>
        <stp/>
        <stp>BDP|5454271865655994565</stp>
        <tr r="N66" s="532"/>
      </tp>
      <tp t="s">
        <v>#N/A N/A</v>
        <stp/>
        <stp>BDP|3822618854061004023</stp>
        <tr r="F41" s="532"/>
      </tp>
      <tp t="s">
        <v>#N/A Requesting Data...4073795171</v>
        <stp/>
        <stp>BDP|8728351878839134440</stp>
        <tr r="AI10" s="338"/>
        <tr r="AI11" s="338"/>
        <tr r="AI12" s="338"/>
      </tp>
      <tp t="s">
        <v>#N/A Requesting Data...4288433593</v>
        <stp/>
        <stp>BDP|4347376869088623847</stp>
        <tr r="AK9" s="338"/>
      </tp>
      <tp t="s">
        <v>#N/A N/A</v>
        <stp/>
        <stp>BDP|5983849949660164896</stp>
        <tr r="F28" s="532"/>
      </tp>
      <tp t="s">
        <v>#N/A Requesting Data...4184765835</v>
        <stp/>
        <stp>BDP|6241899226908646569</stp>
        <tr r="D42" s="446"/>
      </tp>
      <tp t="s">
        <v>#N/A N/A</v>
        <stp/>
        <stp>BDP|6270526114126903508</stp>
        <tr r="AB8" s="89"/>
        <tr r="AQ15" s="2"/>
        <tr r="AQ16" s="2"/>
      </tp>
      <tp t="s">
        <v>#N/A Requesting Data...4021626191</v>
        <stp/>
        <stp>BDP|5183368778820171035</stp>
        <tr r="F45" s="446"/>
      </tp>
      <tp t="s">
        <v>#N/A Requesting Data...3718514705</v>
        <stp/>
        <stp>BDP|5678783394829319341</stp>
        <tr r="F25" s="2"/>
      </tp>
      <tp t="s">
        <v>#N/A Requesting Data...4008046436</v>
        <stp/>
        <stp>BDP|7731723300049141892</stp>
        <tr r="T103" s="89"/>
      </tp>
      <tp t="s">
        <v>#N/A N/A</v>
        <stp/>
        <stp>BDP|5223714776062803600</stp>
        <tr r="AC13" s="1"/>
      </tp>
      <tp t="s">
        <v>#N/A Requesting Data...3223229724</v>
        <stp/>
        <stp>BDP|3634455751272018107</stp>
        <tr r="G40" s="446"/>
      </tp>
      <tp t="s">
        <v>#N/A N/A</v>
        <stp/>
        <stp>BDP|9299015762239453779</stp>
        <tr r="R60" s="89"/>
        <tr r="R61" s="89"/>
      </tp>
      <tp t="s">
        <v>#N/A N/A</v>
        <stp/>
        <stp>BDH|9114030601311819998</stp>
        <tr r="AN10" s="338"/>
      </tp>
      <tp t="s">
        <v>#N/A Requesting Data...3816842443</v>
        <stp/>
        <stp>BDP|6015276416951622546</stp>
        <tr r="F8" s="2"/>
      </tp>
      <tp t="s">
        <v>#N/A N/A</v>
        <stp/>
        <stp>BDP|9633924773914414208</stp>
        <tr r="AC4" s="2"/>
      </tp>
      <tp t="s">
        <v>#N/A N/A</v>
        <stp/>
        <stp>BDP|5519740208882079196</stp>
        <tr r="N65" s="532"/>
      </tp>
      <tp t="s">
        <v>#N/A N/A</v>
        <stp/>
        <stp>BDP|9739406253298596110</stp>
        <tr r="I16" s="532"/>
        <tr r="AI19" s="1"/>
      </tp>
      <tp t="s">
        <v>#N/A N/A</v>
        <stp/>
        <stp>BDP|3039568774333242302</stp>
        <tr r="AI16" s="1"/>
      </tp>
      <tp t="s">
        <v>#N/A N/A</v>
        <stp/>
        <stp>BDP|1821230040030393694</stp>
        <tr r="AQ13" s="2"/>
        <tr r="AQ14" s="2"/>
      </tp>
      <tp t="s">
        <v>#N/A Requesting Data...3647715357</v>
        <stp/>
        <stp>BDP|6324014549174281781</stp>
        <tr r="L8" s="338"/>
        <tr r="H8" s="338"/>
      </tp>
      <tp t="s">
        <v>#N/A N/A</v>
        <stp/>
        <stp>BDP|8968284987484412739</stp>
        <tr r="AQ24" s="2"/>
        <tr r="AQ25" s="2"/>
      </tp>
      <tp t="s">
        <v>#N/A Requesting Data...4125723485</v>
        <stp/>
        <stp>BDP|7507667790171466811</stp>
        <tr r="V20" s="89"/>
        <tr r="AD7" s="2"/>
      </tp>
      <tp t="s">
        <v>#N/A Requesting Data...3627091861</v>
        <stp/>
        <stp>BDP|9939228331380883944</stp>
        <tr r="G11" s="446"/>
      </tp>
      <tp t="s">
        <v>#N/A Requesting Data...3203142163</v>
        <stp/>
        <stp>BDP|2267087599569280367</stp>
        <tr r="P10" s="338"/>
      </tp>
      <tp t="s">
        <v>#N/A N/A</v>
        <stp/>
        <stp>BDP|5843021883945783996</stp>
        <tr r="G38" s="532"/>
      </tp>
      <tp t="s">
        <v>#N/A N/A</v>
        <stp/>
        <stp>BDP|6196916285503766559</stp>
        <tr r="K20" s="1"/>
      </tp>
      <tp t="s">
        <v>#N/A N/A</v>
        <stp/>
        <stp>BDP|6497440232258298876</stp>
        <tr r="H13" s="532"/>
        <tr r="AF13" s="1"/>
      </tp>
      <tp t="s">
        <v>#N/A N/A</v>
        <stp/>
        <stp>BDP|5148836482872790607</stp>
        <tr r="F54" s="532"/>
      </tp>
      <tp t="s">
        <v>#N/A N/A</v>
        <stp/>
        <stp>BDP|4780672591313542907</stp>
        <tr r="G42" s="532"/>
      </tp>
      <tp t="s">
        <v>#N/A N/A</v>
        <stp/>
        <stp>BDP|4387077451867676775</stp>
        <tr r="K45" s="1"/>
      </tp>
      <tp t="s">
        <v>#N/A Requesting Data...3693422650</v>
        <stp/>
        <stp>BDP|4309165367065469727</stp>
        <tr r="E20" s="2"/>
      </tp>
      <tp t="s">
        <v>#N/A N/A</v>
        <stp/>
        <stp>BDP|4649265715200136604</stp>
        <tr r="G15" s="532"/>
      </tp>
      <tp t="s">
        <v>#N/A N/A</v>
        <stp/>
        <stp>BDP|3464940955357674969</stp>
        <tr r="F26" s="532"/>
      </tp>
      <tp t="s">
        <v>#N/A Requesting Data...4288915545</v>
        <stp/>
        <stp>BDP|7361061810540035705</stp>
        <tr r="J75" s="532"/>
        <tr r="T8" s="89"/>
        <tr r="AA16" s="2"/>
      </tp>
      <tp>
        <v>5</v>
        <stp/>
        <stp>BDP|118569511771704697|22</stp>
        <stp>INTC US 07/17/26 C60 Equity</stp>
        <stp>ask</stp>
        <tr r="Q18" s="2"/>
        <tr r="L111" s="89"/>
      </tp>
      <tp t="s">
        <v>#N/A Requesting Data...3216675680</v>
        <stp/>
        <stp>BDP|7860310106547363177</stp>
        <tr r="Z96" s="89"/>
        <tr r="AA96" s="89"/>
      </tp>
      <tp t="s">
        <v>#N/A N/A</v>
        <stp/>
        <stp>BDP|2976695557402406181</stp>
        <tr r="O68" s="532"/>
      </tp>
      <tp t="s">
        <v>#N/A N/A</v>
        <stp/>
        <stp>BDP|9787788683842488637</stp>
        <tr r="I40" s="532"/>
      </tp>
      <tp t="s">
        <v>#N/A Requesting Data...3672408383</v>
        <stp/>
        <stp>BDP|2721287269476965276</stp>
        <tr r="V11" s="338"/>
      </tp>
      <tp t="s">
        <v>#N/A Requesting Data...3751438601</v>
        <stp/>
        <stp>BDP|1927755561564288678</stp>
        <tr r="G45" s="446"/>
      </tp>
      <tp t="s">
        <v>#N/A Requesting Data...3358698054</v>
        <stp/>
        <stp>BDP|3284843281913962260</stp>
        <tr r="C5" s="2"/>
      </tp>
      <tp t="s">
        <v>#N/A Requesting Data...4011644019</v>
        <stp/>
        <stp>BDP|5728718823292467081</stp>
        <tr r="S6" s="2"/>
        <tr r="L12" s="1"/>
        <tr r="L13" s="1"/>
        <tr r="L14" s="1"/>
        <tr r="L16" s="1"/>
        <tr r="L17" s="1"/>
        <tr r="L15" s="1"/>
        <tr r="L18" s="1"/>
        <tr r="L19" s="1"/>
        <tr r="L20" s="1"/>
        <tr r="L21" s="1"/>
        <tr r="L22" s="1"/>
        <tr r="L23" s="1"/>
        <tr r="L24" s="1"/>
        <tr r="L25" s="1"/>
        <tr r="L26" s="1"/>
        <tr r="L35" s="1"/>
        <tr r="L36" s="1"/>
        <tr r="L37" s="1"/>
        <tr r="L38" s="1"/>
        <tr r="L39" s="1"/>
        <tr r="L40" s="1"/>
        <tr r="L41" s="1"/>
        <tr r="L42" s="1"/>
        <tr r="L43" s="1"/>
        <tr r="L44" s="1"/>
        <tr r="L45" s="1"/>
        <tr r="L46" s="1"/>
        <tr r="L47" s="1"/>
        <tr r="L48" s="1"/>
        <tr r="S4" s="2"/>
        <tr r="S5" s="2"/>
        <tr r="S9" s="2"/>
        <tr r="S10" s="2"/>
        <tr r="S11" s="2"/>
        <tr r="S12" s="2"/>
        <tr r="S13" s="2"/>
        <tr r="S14" s="2"/>
        <tr r="S15" s="2"/>
        <tr r="S16" s="2"/>
        <tr r="S18" s="2"/>
        <tr r="S19" s="2"/>
        <tr r="S20" s="2"/>
        <tr r="S24" s="2"/>
        <tr r="S25" s="2"/>
        <tr r="N7" s="89"/>
        <tr r="N8" s="89"/>
        <tr r="N13" s="89"/>
        <tr r="N14" s="89"/>
        <tr r="N19" s="89"/>
        <tr r="N20" s="89"/>
        <tr r="N30" s="89"/>
        <tr r="N36" s="89"/>
        <tr r="N37" s="89"/>
        <tr r="N43" s="89"/>
        <tr r="N44" s="89"/>
        <tr r="N70" s="89"/>
        <tr r="N85" s="89"/>
        <tr r="N86" s="89"/>
        <tr r="N87" s="89"/>
        <tr r="N96" s="89"/>
        <tr r="N102" s="89"/>
        <tr r="N103" s="89"/>
        <tr r="N104" s="89"/>
        <tr r="N111" s="89"/>
        <tr r="N112" s="89"/>
        <tr r="N113" s="89"/>
        <tr r="N69" s="89"/>
        <tr r="S23" s="2"/>
        <tr r="S17" s="2"/>
        <tr r="S7" s="2"/>
        <tr r="S21" s="2"/>
        <tr r="S22" s="2"/>
        <tr r="S8" s="2"/>
        <tr r="N76" s="89"/>
      </tp>
      <tp t="s">
        <v>#N/A Requesting Data...3651613135</v>
        <stp/>
        <stp>BDP|6326761665286984308</stp>
        <tr r="V7" s="89"/>
        <tr r="AD17" s="2"/>
      </tp>
      <tp t="s">
        <v>#N/A Requesting Data...3895796357</v>
        <stp/>
        <stp>BDP|3004009559840185419</stp>
        <tr r="L70" s="532"/>
        <tr r="T11" s="2"/>
      </tp>
      <tp t="s">
        <v>#N/A Requesting Data...3736130257</v>
        <stp/>
        <stp>BDP|4413248519100279551</stp>
        <tr r="AD9" s="2"/>
      </tp>
      <tp t="s">
        <v>#N/A Requesting Data...3183459055</v>
        <stp/>
        <stp>BDP|9919677548080032985</stp>
        <tr r="G44" s="446"/>
      </tp>
      <tp t="s">
        <v>#N/A N/A</v>
        <stp/>
        <stp>BDP|3289149679383755445</stp>
        <tr r="AC37" s="1"/>
      </tp>
      <tp t="s">
        <v>#N/A Requesting Data...4278240667</v>
        <stp/>
        <stp>BDP|7683552324941987339</stp>
        <tr r="C31" s="89"/>
      </tp>
      <tp t="s">
        <v>#N/A N/A</v>
        <stp/>
        <stp>BDP|2088065045254575041</stp>
        <tr r="M71" s="532"/>
      </tp>
      <tp t="s">
        <v>#N/A N/A</v>
        <stp/>
        <stp>BDP|6172070853435387447</stp>
        <tr r="AB38" s="1"/>
      </tp>
      <tp t="s">
        <v>#N/A Requesting Data...4176086312</v>
        <stp/>
        <stp>BDP|6839369026106397393</stp>
        <tr r="D44" s="89"/>
      </tp>
      <tp t="s">
        <v>#N/A Requesting Data...3756393665</v>
        <stp/>
        <stp>BDP|4636653477250550732</stp>
        <tr r="G31" s="446"/>
      </tp>
      <tp t="s">
        <v>#N/A N/A</v>
        <stp/>
        <stp>BDP|5714451203842663158</stp>
        <tr r="N8" s="1"/>
      </tp>
      <tp t="s">
        <v>#N/A Requesting Data...3381361797</v>
        <stp/>
        <stp>BDP|6639649066161548527</stp>
        <tr r="J73" s="532"/>
        <tr r="AA14" s="2"/>
      </tp>
      <tp t="s">
        <v>#N/A N/A</v>
        <stp/>
        <stp>BDP|7473967533909638641</stp>
        <tr r="F27" s="532"/>
      </tp>
      <tp t="s">
        <v>#N/A N/A</v>
        <stp/>
        <stp>BDP|7915315738065282011</stp>
        <tr r="D42" s="532"/>
      </tp>
      <tp t="s">
        <v>#N/A N/A</v>
        <stp/>
        <stp>BDP|1072712434731570608</stp>
        <tr r="I70" s="532"/>
      </tp>
      <tp t="s">
        <v>#N/A Requesting Data...3424652945</v>
        <stp/>
        <stp>BDP|2461221557186208139</stp>
        <tr r="C103" s="89"/>
      </tp>
      <tp t="s">
        <v>#N/A N/A</v>
        <stp/>
        <stp>BDP|8063366356299445552</stp>
        <tr r="K37" s="1"/>
      </tp>
      <tp t="s">
        <v>#N/A N/A</v>
        <stp/>
        <stp>BDP|2989786206545879295</stp>
        <tr r="D26" s="532"/>
      </tp>
      <tp t="s">
        <v>#N/A Requesting Data...3920968010</v>
        <stp/>
        <stp>BDP|3519061147724655148</stp>
        <tr r="AJ8" s="338"/>
      </tp>
      <tp t="s">
        <v>#N/A N/A</v>
        <stp/>
        <stp>BDP|2309639711854365356</stp>
        <tr r="F23" s="532"/>
      </tp>
      <tp t="s">
        <v>#N/A N/A</v>
        <stp/>
        <stp>BDP|6700173030707043172</stp>
        <tr r="G9" s="532"/>
      </tp>
      <tp t="s">
        <v>#N/A Requesting Data...4049514241</v>
        <stp/>
        <stp>BDP|3704402235085322359</stp>
        <tr r="Z8" s="89"/>
        <tr r="AA8" s="89"/>
      </tp>
      <tp t="s">
        <v>#N/A Requesting Data...4284677877</v>
        <stp/>
        <stp>BDP|2152595831413815556</stp>
        <tr r="O44" s="89"/>
      </tp>
      <tp t="s">
        <v>#N/A N/A</v>
        <stp/>
        <stp>BDP|5051594887793369993</stp>
        <tr r="F38" s="532"/>
      </tp>
      <tp t="s">
        <v>#N/A N/A</v>
        <stp/>
        <stp>BDP|3115553927704691203</stp>
        <tr r="D48" s="532"/>
      </tp>
      <tp>
        <v>-2.3214383125305176</v>
        <stp/>
        <stp>BDP|13654846654275774178|22</stp>
        <stp>MELI US 02/20/26 C2150 Equity</stp>
        <stp>theta_mid_rt</stp>
        <tr r="AN17" s="2"/>
      </tp>
      <tp t="s">
        <v>#N/A Real Time</v>
        <stp/>
        <stp>BDP|7002617886444187304|22</stp>
        <stp>RUWZ5 Index</stp>
        <stp>LAST_PRICE</stp>
        <tr r="S60" s="89"/>
        <tr r="S61" s="89"/>
      </tp>
      <tp>
        <v>24761.5</v>
        <stp/>
        <stp>BDP|14594273167499033517|22</stp>
        <stp>1OH6 INDEX</stp>
        <stp>LAST_PRICE</stp>
        <tr r="Z23" s="2"/>
      </tp>
      <tp t="s">
        <v>#N/A N/A</v>
        <stp/>
        <stp>BDP|4669365388388290407</stp>
        <tr r="N5" s="1"/>
      </tp>
      <tp t="s">
        <v>#N/A Requesting Data...3609873238</v>
        <stp/>
        <stp>BDP|2591422732557732191</stp>
        <tr r="L10" s="338"/>
        <tr r="H10" s="338"/>
      </tp>
      <tp t="s">
        <v>#N/A N/A</v>
        <stp/>
        <stp>BDP|2000559898458006561</stp>
        <tr r="K22" s="1"/>
      </tp>
      <tp t="s">
        <v>#N/A Requesting Data...3601648281</v>
        <stp/>
        <stp>BDP|2712182493701537812</stp>
        <tr r="J66" s="532"/>
        <tr r="T20" s="89"/>
        <tr r="AA7" s="2"/>
      </tp>
      <tp t="s">
        <v>#N/A N/A</v>
        <stp/>
        <stp>BDP|1367667392379881460</stp>
        <tr r="D25" s="532"/>
      </tp>
      <tp t="s">
        <v>#N/A N/A</v>
        <stp/>
        <stp>BDP|7115677759757668004</stp>
        <tr r="AC42" s="1"/>
      </tp>
      <tp t="s">
        <v>#N/A Requesting Data...4291382958</v>
        <stp/>
        <stp>BDP|3754293213215371607</stp>
        <tr r="F5" s="446"/>
        <tr r="F6" s="446"/>
      </tp>
      <tp t="s">
        <v>#N/A N/A</v>
        <stp/>
        <stp>BDP|2213180314153111209</stp>
        <tr r="H41" s="532"/>
      </tp>
      <tp t="s">
        <v>#N/A N/A</v>
        <stp/>
        <stp>BDP|9588206623063881918</stp>
        <tr r="H23" s="532"/>
        <tr r="AF40" s="1"/>
      </tp>
      <tp t="s">
        <v>#N/A Requesting Data...3920145473</v>
        <stp/>
        <stp>BDP|7961266924697349349</stp>
        <tr r="X12" s="338"/>
      </tp>
      <tp t="s">
        <v>#N/A Requesting Data...3764607136</v>
        <stp/>
        <stp>BDP|7777047645317887721</stp>
        <tr r="V61" s="89"/>
      </tp>
      <tp t="s">
        <v>#N/A Requesting Data...3767914494</v>
        <stp/>
        <stp>BDP|3087659918602596549</stp>
        <tr r="E19" s="89"/>
      </tp>
      <tp t="s">
        <v>#N/A Requesting Data...3800571806</v>
        <stp/>
        <stp>BDP|9068544027705070818</stp>
        <tr r="D23" s="2"/>
      </tp>
      <tp t="s">
        <v>#N/A N/A</v>
        <stp/>
        <stp>BDP|9803396527963782835</stp>
        <tr r="M72" s="532"/>
      </tp>
      <tp t="s">
        <v>#N/A Requesting Data...4283876562</v>
        <stp/>
        <stp>BDP|9309272719909877078</stp>
        <tr r="E36" s="89"/>
      </tp>
      <tp t="s">
        <v>#N/A N/A</v>
        <stp/>
        <stp>BDP|5563063607045589327</stp>
        <tr r="N75" s="532"/>
      </tp>
      <tp t="s">
        <v>#N/A Requesting Data...3241068403</v>
        <stp/>
        <stp>BDP|8020332285295353568</stp>
        <tr r="P8" s="338"/>
      </tp>
      <tp t="s">
        <v>#N/A N/A</v>
        <stp/>
        <stp>BDP|4014100058270923320</stp>
        <tr r="F34" s="532"/>
      </tp>
      <tp t="s">
        <v>#N/A Requesting Data...3258919044</v>
        <stp/>
        <stp>BDP|6376778446973934587</stp>
        <tr r="V102" s="89"/>
      </tp>
      <tp t="s">
        <v>#N/A Requesting Data...3564315137</v>
        <stp/>
        <stp>BDP|2434188206592879222</stp>
        <tr r="F12" s="2"/>
      </tp>
      <tp t="s">
        <v>#N/A Requesting Data...4061164340</v>
        <stp/>
        <stp>BDP|5888175656914033689</stp>
        <tr r="AA24" s="2"/>
      </tp>
      <tp t="s">
        <v>#N/A N/A</v>
        <stp/>
        <stp>BDP|4545853714869219701</stp>
        <tr r="N72" s="532"/>
      </tp>
      <tp t="s">
        <v>#N/A Requesting Data...3524320863</v>
        <stp/>
        <stp>BDP|6109913190467097261</stp>
        <tr r="H19" s="532"/>
        <tr r="AF25" s="1"/>
        <tr r="AG8" s="338"/>
      </tp>
      <tp t="s">
        <v>#N/A N/A</v>
        <stp/>
        <stp>BDP|6515604110606525460</stp>
        <tr r="AC47" s="1"/>
      </tp>
      <tp t="s">
        <v>#N/A Requesting Data...3377641942</v>
        <stp/>
        <stp>BDP|7972065628667005104</stp>
        <tr r="C104" s="89"/>
      </tp>
      <tp t="s">
        <v>#N/A N/A</v>
        <stp/>
        <stp>BDP|6281575064076017068</stp>
        <tr r="AC14" s="1"/>
      </tp>
      <tp t="s">
        <v>#N/A N/A</v>
        <stp/>
        <stp>BDP|4654118369046320697</stp>
        <tr r="I33" s="532"/>
      </tp>
      <tp t="s">
        <v>#N/A N/A</v>
        <stp/>
        <stp>BDP|1092128235816790641</stp>
        <tr r="G16" s="532"/>
      </tp>
      <tp t="s">
        <v>#N/A Requesting Data...3212731205</v>
        <stp/>
        <stp>BDP|8245865345547421013</stp>
        <tr r="AC26" s="1"/>
        <tr r="D30" s="446"/>
      </tp>
      <tp>
        <v>66.3</v>
        <stp/>
        <stp>BDP|18176311034118889492|22</stp>
        <stp>META US 07/17/26 C670 Equity</stp>
        <stp>ask</stp>
        <tr r="L86" s="89"/>
      </tp>
      <tp>
        <v>1.68</v>
        <stp/>
        <stp>BDP|17345654414559390667|22</stp>
        <stp>MRVL US 03/20/26 P60 Equity</stp>
        <stp>ask</stp>
        <tr r="Q14" s="2"/>
      </tp>
      <tp>
        <v>4.4800000000000004</v>
        <stp/>
        <stp>BDP|10120955462897415901|22</stp>
        <stp>AVGO US 02/06/26 C315 Equity</stp>
        <stp>mid</stp>
        <tr r="L6" s="2"/>
      </tp>
      <tp>
        <v>-2.4136116728186607E-2</v>
        <stp/>
        <stp>BDP|2122780112258270243|22</stp>
        <stp>NFLX US 05/15/26 P70 Equity</stp>
        <stp>THETA_MID_RT</stp>
        <tr r="G70" s="532"/>
      </tp>
      <tp>
        <v>24761.5</v>
        <stp/>
        <stp>BDP|6336356566907345204|22</stp>
        <stp>NQA Index</stp>
        <stp>LAST_PRICE</stp>
        <tr r="C54" s="532"/>
      </tp>
      <tp>
        <v>-0.11761514097452164</v>
        <stp/>
        <stp>BDP|12098786877158670568|22</stp>
        <stp>TSM US 06/18/26 C340 Equity</stp>
        <stp>theta_mid_rt</stp>
        <tr r="AN24" s="2"/>
      </tp>
      <tp>
        <v>8.4</v>
        <stp/>
        <stp>BDP|15563065055018194263|22</stp>
        <stp>INTC US 07/17/26 C50 Equity</stp>
        <stp>ask</stp>
        <tr r="Q19" s="2"/>
        <tr r="L112" s="89"/>
      </tp>
      <tp>
        <v>86.61</v>
        <stp/>
        <stp>BDP|8547520241916509834|22</stp>
        <stp>COPX Equity</stp>
        <stp>LAST_PRICE</stp>
        <tr r="C44" s="532"/>
      </tp>
      <tp>
        <v>-0.44041788578033447</v>
        <stp/>
        <stp>BDP|14984077363531151941|22</stp>
        <stp>QQQ US 02/06/26 P585 Equity</stp>
        <stp>theta_mid_rt</stp>
        <tr r="AN22" s="2"/>
      </tp>
      <tp>
        <v>4.68</v>
        <stp/>
        <stp>BDP|16635244585526588457|22</stp>
        <stp>MRVL US 03/20/26 P70 Equity</stp>
        <stp>mid</stp>
        <tr r="L13" s="2"/>
      </tp>
      <tp>
        <v>25.1</v>
        <stp/>
        <stp>BDP|17652529992752880187|22</stp>
        <stp>AVGO US 06/18/26 C350 Equity</stp>
        <stp>bid</stp>
        <tr r="P5" s="2"/>
      </tp>
      <tp>
        <v>4.7</v>
        <stp/>
        <stp>BDP|7649063924846556212|22</stp>
        <stp>INTC US 07/17/26 C60 Equity</stp>
        <stp>BID</stp>
        <tr r="D77" s="532"/>
      </tp>
      <tp>
        <v>0.72</v>
        <stp/>
        <stp>BDP|11933838472843012135|22</stp>
        <stp>QQQ US 02/06/26 P585 Equity</stp>
        <stp>bid</stp>
        <tr r="K37" s="89"/>
        <tr r="P22" s="2"/>
      </tp>
      <tp>
        <v>6863</v>
        <stp/>
        <stp>BDP|3623261812936282007|22</stp>
        <stp>ESA Index</stp>
        <stp>LAST_PRICE</stp>
        <tr r="C55" s="532"/>
      </tp>
      <tp>
        <v>0.15</v>
        <stp/>
        <stp>BDP|15901604230708554053|22</stp>
        <stp>ASHR US 02/20/26 C35 Equity</stp>
        <stp>mid</stp>
        <tr r="L4" s="2"/>
      </tp>
      <tp>
        <v>2052.7800000000002</v>
        <stp/>
        <stp>BDP|6616931875212323656|22</stp>
        <stp>MELI US Equity</stp>
        <stp>LAST_PRICE</stp>
        <tr r="Z17" s="2"/>
        <tr r="S7" s="89"/>
      </tp>
      <tp>
        <v>1307.22</v>
        <stp/>
        <stp>BDP|13350676150568078370|22</stp>
        <stp>KLAC EQUITY</stp>
        <stp>LAST_PRICE</stp>
        <tr r="H5" s="1"/>
      </tp>
      <tp>
        <v>-0.17552317678928375</v>
        <stp/>
        <stp>BDP|7815535696147585871|22</stp>
        <stp>META US 07/17/26 C750 Equity</stp>
        <stp>theta_mid_rt</stp>
        <tr r="AN12" s="2"/>
      </tp>
      <tp>
        <v>0.43</v>
        <stp/>
        <stp>BDP|10401383758437215542|22</stp>
        <stp>QQQ US 02/06/26 P580 Equity</stp>
        <stp>bid</stp>
        <tr r="K44" s="89"/>
      </tp>
      <tp t="s">
        <v>USD</v>
        <stp/>
        <stp>BDP|17653302790695790496|22</stp>
        <stp>AVGO US 02/06/26 C315 Equity</stp>
        <stp>QUOTED_CURRENCY_REALTIME</stp>
        <tr r="G6" s="2"/>
        <tr r="F19" s="89"/>
      </tp>
      <tp t="s">
        <v>USD</v>
        <stp/>
        <stp>BDP|14649358559893085324|22</stp>
        <stp>AVGO US 06/18/26 C350 Equity</stp>
        <stp>QUOTED_CURRENCY_REALTIME</stp>
        <tr r="G5" s="2"/>
      </tp>
      <tp>
        <v>4.75</v>
        <stp/>
        <stp>BDP|15925931344332195569|22</stp>
        <stp>MRVL US 03/20/26 P70 Equity</stp>
        <stp>ask</stp>
        <tr r="Q13" s="2"/>
      </tp>
      <tp>
        <v>80.16</v>
        <stp/>
        <stp>BDP|2401224757541047929|22</stp>
        <stp>NFLX Equity</stp>
        <stp>LAST_PRICE</stp>
        <tr r="C17" s="532"/>
        <tr r="I22" s="1"/>
      </tp>
      <tp>
        <v>14.25</v>
        <stp/>
        <stp>BDP|982929759879592273|22</stp>
        <stp>TSM US 06/18/26 C380 Equity</stp>
        <stp>bid</stp>
        <tr r="P25" s="2"/>
      </tp>
      <tp>
        <v>4.08</v>
        <stp/>
        <stp>BDP|15384331310664076701|22</stp>
        <stp>AVGO US 02/13/26 C330 Equity</stp>
        <stp>mid</stp>
        <tr r="L7" s="2"/>
      </tp>
      <tp>
        <v>1339.13</v>
        <stp/>
        <stp>BDP|12845263168978951663|22</stp>
        <stp>ASML EQUITY</stp>
        <stp>LAST_PRICE</stp>
        <tr r="H3" s="1"/>
      </tp>
      <tp>
        <v>15.53</v>
        <stp/>
        <stp>BDP|11917333202169015547|22</stp>
        <stp>QQQ US 02/06/26 P624 Equity</stp>
        <stp>bid</stp>
        <tr r="K104" s="89"/>
      </tp>
      <tp>
        <v>333.34</v>
        <stp/>
        <stp>BDP|2010687940946133293|22</stp>
        <stp>GOOG US Equity</stp>
        <stp>LAST_PRICE</stp>
        <tr r="S30" s="89"/>
        <tr r="Z8" s="2"/>
      </tp>
      <tp>
        <v>414.19</v>
        <stp/>
        <stp>BDP|1912830234697829517|22</stp>
        <stp>MSFT Equity</stp>
        <stp>LAST_PRICE</stp>
        <tr r="C8" s="532"/>
        <tr r="I26" s="1"/>
      </tp>
      <tp>
        <v>584.54999999999995</v>
        <stp/>
        <stp>BDP|16456740670778988606|22</stp>
        <stp>SNDK EQUITY</stp>
        <stp>LAST_PRICE</stp>
        <tr r="H1" s="1"/>
      </tp>
      <tp>
        <v>101.97</v>
        <stp/>
        <stp>BDP|11511261369815685982|22</stp>
        <stp>QQQE EQUITY</stp>
        <stp>LAST_PRICE</stp>
        <tr r="L7" s="1"/>
      </tp>
      <tp>
        <v>80.16</v>
        <stp/>
        <stp>BDP|8263106965958046051|22</stp>
        <stp>NFLX US Equity</stp>
        <stp>LAST_PRICE</stp>
        <tr r="Z10" s="2"/>
        <tr r="Z11" s="2"/>
      </tp>
      <tp>
        <v>4.8499999999999996</v>
        <stp/>
        <stp>BDP|2112437657388984920|22</stp>
        <stp>INTC US 07/17/26 C60 Equity</stp>
        <stp>MID</stp>
        <tr r="C77" s="532"/>
      </tp>
      <tp>
        <v>5</v>
        <stp/>
        <stp>BDP|3609306988038967742|22</stp>
        <stp>INTC US 07/17/26 C60 Equity</stp>
        <stp>ASK</stp>
        <tr r="E77" s="532"/>
      </tp>
      <tp t="s">
        <v>#N/A N/A</v>
        <stp/>
        <stp>BDP|62889616002568526</stp>
        <tr r="D54" s="532"/>
      </tp>
      <tp>
        <v>4.3</v>
        <stp/>
        <stp>BDP|16865955495417033748|22</stp>
        <stp>AVGO US 02/06/26 C315 Equity</stp>
        <stp>bid</stp>
        <tr r="P6" s="2"/>
        <tr r="K19" s="89"/>
      </tp>
      <tp>
        <v>3.28</v>
        <stp/>
        <stp>BDP|13120707178130364758|22</stp>
        <stp>NFLX US 05/15/26 C90 Equity</stp>
        <stp>mid</stp>
        <tr r="L10" s="2"/>
      </tp>
      <tp>
        <v>1.17</v>
        <stp/>
        <stp>BDP|11288185254188444143|22</stp>
        <stp>GOOG US 02/06/26 P300 Equity</stp>
        <stp>bid</stp>
        <tr r="K30" s="89"/>
        <tr r="P8" s="2"/>
      </tp>
      <tp>
        <v>276.49</v>
        <stp/>
        <stp>BDP|13852632459561529635|22</stp>
        <stp>AAPL EQUITY</stp>
        <stp>LAST_PRICE</stp>
        <tr r="C6" s="1"/>
      </tp>
      <tp>
        <v>3.28</v>
        <stp/>
        <stp>BDP|6012538053239133619|22</stp>
        <stp>NFLX US 05/15/26 C90 Equity</stp>
        <stp>MID</stp>
        <tr r="C69" s="532"/>
      </tp>
      <tp>
        <v>3.17</v>
        <stp/>
        <stp>BDP|18022641946742694423|22</stp>
        <stp>QQQ US 02/06/26 P600 Equity</stp>
        <stp>bid</stp>
        <tr r="K36" s="89"/>
        <tr r="P21" s="2"/>
      </tp>
      <tp>
        <v>2.19</v>
        <stp/>
        <stp>BDP|11644130666006175934|22</stp>
        <stp>NFLX US 05/15/26 P70 Equity</stp>
        <stp>mid</stp>
        <tr r="L11" s="2"/>
      </tp>
      <tp>
        <v>137.94999999999999</v>
        <stp/>
        <stp>BDP|7581686725725045071|22</stp>
        <stp>BIDU Equity</stp>
        <stp>LAST_PRICE</stp>
        <tr r="C13" s="532"/>
        <tr r="I13" s="1"/>
      </tp>
      <tp>
        <v>-0.97689223289489746</v>
        <stp/>
        <stp>BDP|10608519479857460451|22</stp>
        <stp>QQQ US 02/06/26 P600 Equity</stp>
        <stp>theta_mid_rt</stp>
        <tr r="AN21" s="2"/>
      </tp>
      <tp>
        <v>174.19</v>
        <stp/>
        <stp>BDP|2630581548609766860|22</stp>
        <stp>NVDA US Equity</stp>
        <stp>LAST_PRICE</stp>
        <tr r="Z9" s="2"/>
      </tp>
      <tp t="s">
        <v>USD</v>
        <stp/>
        <stp>BDP|16004856901519448852|22</stp>
        <stp>INTC US 07/17/26 C60 Equity</stp>
        <stp>QUOTED_CURRENCY_REALTIME</stp>
        <tr r="G18" s="2"/>
        <tr r="F111" s="89"/>
      </tp>
      <tp>
        <v>333.04</v>
        <stp/>
        <stp>BDP|7379094059985716684|22</stp>
        <stp>GOOGL EQUITY</stp>
        <stp>LAST_PRICE</stp>
        <tr r="C8" s="1"/>
      </tp>
      <tp>
        <v>25.6</v>
        <stp/>
        <stp>BDP|16021407028720881249|22</stp>
        <stp>AVGO US 06/18/26 C350 Equity</stp>
        <stp>ask</stp>
        <tr r="Q5" s="2"/>
      </tp>
      <tp>
        <v>170.15</v>
        <stp/>
        <stp>BDP|6290765801174780597|22</stp>
        <stp>WDAY Equity</stp>
        <stp>LAST PRICE</stp>
        <tr r="L10" s="446"/>
      </tp>
      <tp>
        <v>6882.72</v>
        <stp/>
        <stp>BDP|2596990609892593565|22</stp>
        <stp>SPX Index</stp>
        <stp>LAST_PRICE</stp>
        <tr r="S76" s="89"/>
      </tp>
      <tp>
        <v>1.68</v>
        <stp/>
        <stp>BDP|5129493248107590351|22</stp>
        <stp>MRVL US 03/20/26 P60 Equity</stp>
        <stp>ASK</stp>
        <tr r="E73" s="532"/>
      </tp>
      <tp>
        <v>8.4</v>
        <stp/>
        <stp>BDP|9218162362944427800|22</stp>
        <stp>INTC US 07/17/26 C50 Equity</stp>
        <stp>ASK</stp>
        <tr r="E78" s="532"/>
      </tp>
      <tp t="s">
        <v>USD</v>
        <stp/>
        <stp>BDP|16116909827799617111|22</stp>
        <stp>MRVL US 03/20/26 P60 Equity</stp>
        <stp>QUOTED_CURRENCY_REALTIME</stp>
        <tr r="G14" s="2"/>
      </tp>
      <tp>
        <v>0.04</v>
        <stp/>
        <stp>BDP|731019825521593680|22</stp>
        <stp>QQQ US 02/06/26 C640 Equity</stp>
        <stp>bid</stp>
        <tr r="K102" s="89"/>
      </tp>
      <tp>
        <v>8.07</v>
        <stp/>
        <stp>BDP|13492411471909401383|22</stp>
        <stp>INTC US 07/17/26 C50 Equity</stp>
        <stp>mid</stp>
        <tr r="L19" s="2"/>
      </tp>
      <tp>
        <v>333.04</v>
        <stp/>
        <stp>BDP|12462185708482889221|22</stp>
        <stp>GOOGL Equity</stp>
        <stp>LAST_PRICE</stp>
        <tr r="C9" s="532"/>
      </tp>
      <tp t="s">
        <v>#N/A Invalid Security</v>
        <stp/>
        <stp>BDP|96799141896724660|22</stp>
        <stp>GOOG US 02/06/26 P115 Equity</stp>
        <stp>QUOTED_CURRENCY_REALTIME</stp>
        <tr r="F31" s="89"/>
      </tp>
      <tp t="s">
        <v>#N/A Invalid Security</v>
        <stp/>
        <stp>BDP|15705843601562191630|22</stp>
        <stp>GOOG US 02/06/26 P115 Equity</stp>
        <stp>bid</stp>
        <tr r="K31" s="89"/>
      </tp>
      <tp>
        <v>8.0500000000000007</v>
        <stp/>
        <stp>BDP|10572433094613538553|22</stp>
        <stp>NVDA US 05/15/26 C200 Equity</stp>
        <stp>mid</stp>
        <tr r="L9" s="2"/>
      </tp>
      <tp>
        <v>8.07</v>
        <stp/>
        <stp>BDP|4857655376777761308|22</stp>
        <stp>INTC US 07/17/26 C50 Equity</stp>
        <stp>MID</stp>
        <tr r="C78" s="532"/>
      </tp>
      <tp>
        <v>232.99</v>
        <stp/>
        <stp>BDP|12911088506019095722|22</stp>
        <stp>AMZN EQUITY</stp>
        <stp>LAST_PRICE</stp>
        <tr r="C5" s="1"/>
      </tp>
      <tp>
        <v>1.59</v>
        <stp/>
        <stp>BDP|4927816178669361625|22</stp>
        <stp>MRVL US 03/20/26 P60 Equity</stp>
        <stp>MID</stp>
        <tr r="C73" s="532"/>
      </tp>
      <tp>
        <v>8.1</v>
        <stp/>
        <stp>BDP|15097796525407453303|22</stp>
        <stp>NVDA US 05/15/26 C200 Equity</stp>
        <stp>ask</stp>
        <tr r="Q9" s="2"/>
      </tp>
      <tp>
        <v>1.18</v>
        <stp/>
        <stp>BDP|11437732154552474476|22</stp>
        <stp>GOOG US 02/06/26 P300 Equity</stp>
        <stp>mid</stp>
        <tr r="L8" s="2"/>
      </tp>
      <tp>
        <v>1.59</v>
        <stp/>
        <stp>BDP|15976575646475181995|22</stp>
        <stp>MRVL US 03/20/26 P60 Equity</stp>
        <stp>mid</stp>
        <tr r="L14" s="2"/>
      </tp>
      <tp>
        <v>19.5</v>
        <stp/>
        <stp>BDP|12582220470592471290|22</stp>
        <stp>QQQ US 02/06/26 P624 Equity</stp>
        <stp>ask</stp>
        <tr r="L104" s="89"/>
      </tp>
      <tp>
        <v>5.2713999999999999</v>
        <stp/>
        <stp>BDP|10515480241315630363|22</stp>
        <stp>brl Curncy</stp>
        <stp>LAST_PRICE</stp>
        <tr r="AC3" s="1"/>
      </tp>
      <tp>
        <v>3.22</v>
        <stp/>
        <stp>BDP|17680147564778800914|22</stp>
        <stp>QQQ US 02/06/26 P600 Equity</stp>
        <stp>mid</stp>
        <tr r="L21" s="2"/>
      </tp>
      <tp>
        <v>174.19</v>
        <stp/>
        <stp>BDP|12910010818921564731|22</stp>
        <stp>NVDA EQUITY</stp>
        <stp>LAST_PRICE</stp>
        <tr r="C2" s="1"/>
      </tp>
      <tp>
        <v>2.19</v>
        <stp/>
        <stp>BDP|9415401413649670704|22</stp>
        <stp>NFLX US 05/15/26 P70 Equity</stp>
        <stp>MID</stp>
        <tr r="C70" s="532"/>
      </tp>
      <tp>
        <v>33.58</v>
        <stp/>
        <stp>BDP|16635971520818945293|22</stp>
        <stp>META US 07/17/26 C750 Equity</stp>
        <stp>MID</stp>
        <tr r="C71" s="532"/>
      </tp>
      <tp t="s">
        <v>#N/A Real Time</v>
        <stp/>
        <stp>BDP|2893526367884529171|22</stp>
        <stp>RTYWU5C3 2425 Index</stp>
        <stp>QUOTED_CURRENCY_REALTIME</stp>
        <tr r="F60" s="89"/>
      </tp>
      <tp>
        <v>1466.65</v>
        <stp/>
        <stp>BDP|16700228162686734898|22</stp>
        <stp>KRW Curncy</stp>
        <stp>LAST_PRICE</stp>
        <tr r="C56" s="532"/>
      </tp>
      <tp t="s">
        <v>#N/A N/A</v>
        <stp/>
        <stp>BDP|673479563892563506</stp>
        <tr r="AB7" s="89"/>
        <tr r="AQ17" s="2"/>
      </tp>
      <tp t="s">
        <v>#N/A Requesting Data...3930157420</v>
        <stp/>
        <stp>BDP|520527012585306457</stp>
        <tr r="G18" s="446"/>
      </tp>
      <tp t="s">
        <v>#N/A Invalid Security</v>
        <stp/>
        <stp>BDP|5879033100844063172|22</stp>
        <stp>GOOG US 02/06/26 P115 Equity</stp>
        <stp>DELTA_MID_RT</stp>
        <tr r="W31" s="89"/>
      </tp>
      <tp t="s">
        <v>USD</v>
        <stp/>
        <stp>BDP|2873543829658195407|22</stp>
        <stp>QQQ US 02/06/26 P595 Equity</stp>
        <stp>QUOTED_CURRENCY_REALTIME</stp>
        <tr r="F43" s="89"/>
      </tp>
      <tp>
        <v>0.06</v>
        <stp/>
        <stp>BDP|2672814698828873688|22</stp>
        <stp>QQQ US 02/06/26 C634 Equity</stp>
        <stp>bid</stp>
        <tr r="K103" s="89"/>
      </tp>
      <tp>
        <v>23.67</v>
        <stp/>
        <stp>BDP|11812508825166170177|22</stp>
        <stp>AAPL US 04/17/26 C260 Equity</stp>
        <stp>MID</stp>
        <tr r="C74" s="532"/>
      </tp>
      <tp>
        <v>152.69</v>
        <stp/>
        <stp>BDP|15031025441735979532|22</stp>
        <stp>RDDT Equity</stp>
        <stp>LAST PRICE</stp>
        <tr r="L11" s="446"/>
      </tp>
      <tp>
        <v>33.799999999999997</v>
        <stp/>
        <stp>BDP|17006697594325150783|22</stp>
        <stp>META US 07/17/26 C750 Equity</stp>
        <stp>ASK</stp>
        <tr r="E71" s="532"/>
      </tp>
      <tp>
        <v>-2.3214383125305176</v>
        <stp/>
        <stp>BDP|14718837448048015836|22</stp>
        <stp>MELI US 02/20/26 C2150 Equity</stp>
        <stp>THETA_MID_RT</stp>
        <tr r="G76" s="532"/>
      </tp>
      <tp t="s">
        <v>#N/A Requesting Data...3969700507</v>
        <stp/>
        <stp>BDP|608595985359488024</stp>
        <tr r="AH10" s="338"/>
        <tr r="AJ10" s="338"/>
      </tp>
      <tp t="s">
        <v>#N/A Requesting Data...3318907611</v>
        <stp/>
        <stp>BDP|544370451001842359</stp>
        <tr r="Z44" s="89"/>
        <tr r="AA44" s="89"/>
      </tp>
      <tp t="s">
        <v>#N/A Real Time</v>
        <stp/>
        <stp>BDP|6895042931085999518|22</stp>
        <stp>4EM5C    6300 Index</stp>
        <stp>QUOTED_CURRENCY_REALTIME</stp>
        <tr r="F52" s="89"/>
      </tp>
      <tp t="s">
        <v>#N/A Real Time</v>
        <stp/>
        <stp>BDP|8620530903588151104|22</stp>
        <stp>4EM5P    6025 Index</stp>
        <stp>bid</stp>
        <tr r="K53" s="89"/>
      </tp>
      <tp>
        <v>418.63</v>
        <stp/>
        <stp>BDP|432481419162495379|22</stp>
        <stp>STX EQUITY</stp>
        <stp>LAST_PRICE</stp>
        <tr r="H8" s="1"/>
      </tp>
      <tp t="s">
        <v>#N/A N/A</v>
        <stp/>
        <stp>BDH|509352026801312796</stp>
        <tr r="AP8" s="338"/>
      </tp>
      <tp t="s">
        <v>#N/A Requesting Data...4233263376</v>
        <stp/>
        <stp>BDP|686234847331911027</stp>
        <tr r="G17" s="446"/>
      </tp>
      <tp>
        <v>157.04</v>
        <stp/>
        <stp>BDP|13901040635221818358|22</stp>
        <stp>JPY Curncy</stp>
        <stp>LAST_PRICE</stp>
        <tr r="C57" s="532"/>
      </tp>
      <tp t="s">
        <v>#N/A Real Time</v>
        <stp/>
        <stp>BDP|6016398578845527243|22</stp>
        <stp>4EM5P    5800 Index</stp>
        <stp>QUOTED_CURRENCY_REALTIME</stp>
        <tr r="F54" s="89"/>
      </tp>
      <tp>
        <v>24761.5</v>
        <stp/>
        <stp>BDP|15657290940447254358|22</stp>
        <stp>2OH6 index</stp>
        <stp>LAST_PRICE</stp>
        <tr r="I16" s="1"/>
      </tp>
      <tp>
        <v>-7.2926461696624756E-2</v>
        <stp/>
        <stp>BDP|8577586879027805479|22</stp>
        <stp>NVDA US 05/15/26 C200 Equity</stp>
        <stp>THETA_MID_RT</stp>
        <tr r="G68" s="532"/>
      </tp>
      <tp t="s">
        <v>#N/A N/A</v>
        <stp/>
        <stp>BDP|703780504329627859</stp>
        <tr r="I10" s="532"/>
        <tr r="AI24" s="1"/>
      </tp>
      <tp t="s">
        <v>#N/A Requesting Data...4125362693</v>
        <stp/>
        <stp>BDP|845413000405593786</stp>
        <tr r="C43" s="89"/>
      </tp>
      <tp t="s">
        <v>#N/A Requesting Data...3632845318</v>
        <stp/>
        <stp>BDP|871712858363288768</stp>
        <tr r="C17" s="2"/>
      </tp>
      <tp t="s">
        <v>#N/A N/A</v>
        <stp/>
        <stp>BDP|685429430720763165</stp>
        <tr r="K36" s="1"/>
      </tp>
      <tp>
        <v>146.66999999999999</v>
        <stp/>
        <stp>BDP|7132801475716187902|22</stp>
        <stp>ORCL EQUITY</stp>
        <stp>LAST_PRICE</stp>
        <tr r="C10" s="1"/>
      </tp>
      <tp>
        <v>0.05</v>
        <stp/>
        <stp>BDP|8181328517322165599|22</stp>
        <stp>QQQ US 02/06/26 C640 Equity</stp>
        <stp>ask</stp>
        <tr r="L102" s="89"/>
      </tp>
      <tp t="s">
        <v>#N/A Requesting Data...3451522319</v>
        <stp/>
        <stp>BDP|930699410161740793</stp>
        <tr r="D24" s="2"/>
      </tp>
      <tp t="s">
        <v>#N/A N/A</v>
        <stp/>
        <stp>BDP|952863900688503158</stp>
        <tr r="K16" s="1"/>
      </tp>
      <tp>
        <v>30.6</v>
        <stp/>
        <stp>BDP|441980956100904834|22</stp>
        <stp>MELI US 02/20/26 C2150 Equity</stp>
        <stp>bid</stp>
        <tr r="K7" s="89"/>
        <tr r="P17" s="2"/>
      </tp>
      <tp>
        <v>11.05</v>
        <stp/>
        <stp>BDP|15328013059754877113|22</stp>
        <stp>AAPL US 04/17/26 C280 Equity</stp>
        <stp>MID</stp>
        <tr r="C75" s="532"/>
      </tp>
      <tp t="s">
        <v>#N/A N/A</v>
        <stp/>
        <stp>BDP|739245098392147969</stp>
        <tr r="AG15" s="1"/>
      </tp>
      <tp t="s">
        <v>#N/A Requesting Data...3943748214</v>
        <stp/>
        <stp>BDP|928729433616349248</stp>
        <tr r="F22" s="2"/>
      </tp>
      <tp>
        <v>418.63</v>
        <stp/>
        <stp>BDP|12231041210172556278|22</stp>
        <stp>STX Equity</stp>
        <stp>LAST_PRICE</stp>
        <tr r="C38" s="532"/>
      </tp>
      <tp t="s">
        <v>#N/A N/A</v>
        <stp/>
        <stp>BDP|798980087638306908</stp>
        <tr r="N4" s="1"/>
      </tp>
      <tp>
        <v>557</v>
        <stp/>
        <stp>BDP|4039017413295649492|22</stp>
        <stp>2OG6P 25000 Index</stp>
        <stp>ask</stp>
        <tr r="L70" s="89"/>
      </tp>
      <tp>
        <v>24761.5</v>
        <stp/>
        <stp>BDP|12359303092416965079|22</stp>
        <stp>1OH6 index</stp>
        <stp>LAST_PRICE</stp>
        <tr r="I17" s="1"/>
      </tp>
      <tp>
        <v>33.35</v>
        <stp/>
        <stp>BDP|15158995842773642501|22</stp>
        <stp>META US 07/17/26 C750 Equity</stp>
        <stp>BID</stp>
        <tr r="D71" s="532"/>
      </tp>
      <tp>
        <v>23.95</v>
        <stp/>
        <stp>BDP|10138802698843268818|22</stp>
        <stp>AAPL US 04/17/26 C260 Equity</stp>
        <stp>ASK</stp>
        <tr r="E74" s="532"/>
      </tp>
      <tp t="s">
        <v>#N/A N/A</v>
        <stp/>
        <stp>BDP|400489739133855744</stp>
        <tr r="H48" s="532"/>
        <tr r="AF27" s="1"/>
        <tr r="AF30" s="1"/>
      </tp>
      <tp t="s">
        <v>#N/A N/A</v>
        <stp/>
        <stp>BDP|128295106685337499</stp>
        <tr r="R70" s="89"/>
      </tp>
      <tp>
        <v>89.1</v>
        <stp/>
        <stp>BDP|6244681688337820540|22</stp>
        <stp>KBWB EQUITY</stp>
        <stp>LAST_PRICE</stp>
        <tr r="L1" s="1"/>
      </tp>
      <tp>
        <v>14.14</v>
        <stp/>
        <stp>BDP|11593899381746563402|22</stp>
        <stp>RIOT Equity</stp>
        <stp>LAST_PRICE</stp>
        <tr r="C25" s="532"/>
        <tr r="I43" s="1"/>
      </tp>
      <tp>
        <v>15.5</v>
        <stp/>
        <stp>BDP|7303697284640564666|22</stp>
        <stp>TSM US 06/18/26 C380 Equity</stp>
        <stp>ask</stp>
        <tr r="Q25" s="2"/>
      </tp>
      <tp t="s">
        <v>#N/A N/A</v>
        <stp/>
        <stp>BDP|450712038053400567</stp>
        <tr r="AG12" s="1"/>
      </tp>
      <tp>
        <v>605.75</v>
        <stp/>
        <stp>BDP|13846945124532688911|22</stp>
        <stp>QQQ Equity</stp>
        <stp>LAST_PRICE</stp>
        <tr r="C15" s="532"/>
        <tr r="I15" s="1"/>
      </tp>
      <tp t="s">
        <v>#N/A Requesting Data...3980885157</v>
        <stp/>
        <stp>BDP|310378113498032857</stp>
        <tr r="AB25" s="1"/>
        <tr r="F9" s="446"/>
      </tp>
      <tp t="s">
        <v>#N/A N/A</v>
        <stp/>
        <stp>BDP|315227216193372274</stp>
        <tr r="F16" s="532"/>
      </tp>
      <tp>
        <v>0.36670622229576111</v>
        <stp/>
        <stp>BDP|5244703239517212980|22</stp>
        <stp>AVGO US 02/06/26 C315 Equity</stp>
        <stp>DELTA_MID_RT</stp>
        <tr r="F65" s="532"/>
        <tr r="W19" s="89"/>
        <tr r="AF6" s="2"/>
      </tp>
      <tp>
        <v>6.9414999999999996</v>
        <stp/>
        <stp>BDP|294453488151020053|22</stp>
        <stp>cny Curncy</stp>
        <stp>LAST_PRICE</stp>
        <tr r="I50" s="54"/>
      </tp>
      <tp>
        <v>10.95</v>
        <stp/>
        <stp>BDP|12706728003066132416|22</stp>
        <stp>AAPL US 04/17/26 C280 Equity</stp>
        <stp>BID</stp>
        <tr r="D75" s="532"/>
      </tp>
      <tp t="s">
        <v>#N/A Real Time</v>
        <stp/>
        <stp>BDP|1989345149758854348|22</stp>
        <stp>4EM5P    6025 Index</stp>
        <stp>ask</stp>
        <tr r="L53" s="89"/>
      </tp>
      <tp t="s">
        <v>#N/A N/A</v>
        <stp/>
        <stp>BDP|894652130481491978</stp>
        <tr r="AC12" s="2"/>
      </tp>
      <tp t="s">
        <v>#N/A N/A</v>
        <stp/>
        <stp>BDP|433801043382591349</stp>
        <tr r="AC23" s="1"/>
      </tp>
      <tp>
        <v>686.19</v>
        <stp/>
        <stp>BDP|13189918054944550299|22</stp>
        <stp>SPY Equity</stp>
        <stp>LAST_PRICE</stp>
        <tr r="C46" s="532"/>
        <tr r="X3" s="1"/>
      </tp>
      <tp>
        <v>209.78</v>
        <stp/>
        <stp>BDP|15807109203690164288|22</stp>
        <stp>LRCX Equity</stp>
        <stp>LAST_PRICE</stp>
        <tr r="C36" s="532"/>
      </tp>
      <tp t="s">
        <v>#N/A N/A</v>
        <stp/>
        <stp>BDP|127253274771311898</stp>
        <tr r="H7" s="532"/>
        <tr r="AF20" s="1"/>
      </tp>
      <tp t="s">
        <v>#N/A N/A</v>
        <stp/>
        <stp>BDP|569421094581221000</stp>
        <tr r="H18" s="532"/>
        <tr r="AF23" s="1"/>
      </tp>
      <tp>
        <v>199.68</v>
        <stp/>
        <stp>BDP|200703832930302358|22</stp>
        <stp>SAP EQUITY</stp>
        <stp>LAST_PRICE</stp>
        <tr r="H9" s="1"/>
      </tp>
      <tp>
        <v>1.07175437733531E-2</v>
        <stp/>
        <stp>BDP|15919770887224714801|22</stp>
        <stp>1OG6C 26000 INDEX</stp>
        <stp>DELTA_MID_RT</stp>
        <tr r="AF23" s="2"/>
      </tp>
      <tp t="s">
        <v>#N/A N/A</v>
        <stp/>
        <stp>BDP|987924063845804559</stp>
        <tr r="J2" s="1"/>
      </tp>
      <tp>
        <v>668.99</v>
        <stp/>
        <stp>BDP|3305523752982270676|22</stp>
        <stp>META EQUITY</stp>
        <stp>LAST_PRICE</stp>
        <tr r="C9" s="1"/>
      </tp>
      <tp t="s">
        <v>USD</v>
        <stp/>
        <stp>BDP|7410468017423328155|22</stp>
        <stp>QQQ US 02/06/26 P624 Equity</stp>
        <stp>QUOTED_CURRENCY_REALTIME</stp>
        <tr r="F104" s="89"/>
      </tp>
      <tp>
        <v>200.3</v>
        <stp/>
        <stp>BDP|10381440186149181728|22</stp>
        <stp>RSP Equity</stp>
        <stp>LAST_PRICE</stp>
        <tr r="C41" s="532"/>
      </tp>
      <tp t="s">
        <v>#N/A N/A</v>
        <stp/>
        <stp>BDP|887987616640012698</stp>
        <tr r="AB12" s="1"/>
      </tp>
      <tp t="s">
        <v>#N/A N/A</v>
        <stp/>
        <stp>BDP|590385077963145929</stp>
        <tr r="AC17" s="2"/>
      </tp>
      <tp t="s">
        <v>#N/A Requesting Data...3566330726</v>
        <stp/>
        <stp>BDP|305146922705307837</stp>
        <tr r="C11" s="2"/>
      </tp>
      <tp>
        <v>33.479999999999997</v>
        <stp/>
        <stp>BDP|18329643987132492211|22</stp>
        <stp>ASHR Equity</stp>
        <stp>LAST_PRICE</stp>
        <tr r="C14" s="532"/>
        <tr r="I14" s="1"/>
      </tp>
      <tp>
        <v>-0.45607683062553406</v>
        <stp/>
        <stp>BDP|4190702326204157366|22</stp>
        <stp>AVGO US 02/13/26 C330 Equity</stp>
        <stp>THETA_MID_RT</stp>
        <tr r="G66" s="532"/>
      </tp>
      <tp>
        <v>0.34141087532043457</v>
        <stp/>
        <stp>BDP|12235820342709269713|22</stp>
        <stp>MELI US 02/20/26 C2150 Equity</stp>
        <stp>DELTA_MID_RT</stp>
        <tr r="F76" s="532"/>
        <tr r="W7" s="89"/>
        <tr r="AF17" s="2"/>
      </tp>
      <tp t="s">
        <v>#N/A Requesting Data...3738204734</v>
        <stp/>
        <stp>BDP|587467001215046880</stp>
        <tr r="H67" s="532"/>
        <tr r="AR8" s="2"/>
      </tp>
      <tp t="s">
        <v>#N/A N/A</v>
        <stp/>
        <stp>BDP|959940282569355193</stp>
        <tr r="G31" s="532"/>
      </tp>
      <tp t="s">
        <v>#N/A N/A</v>
        <stp/>
        <stp>BDP|757266498405781787</stp>
        <tr r="D46" s="532"/>
        <tr r="X3" s="1"/>
      </tp>
      <tp t="s">
        <v>#N/A Requesting Data...3834495092</v>
        <stp/>
        <stp>BDP|321567796020124549</stp>
        <tr r="F43" s="446"/>
      </tp>
      <tp t="s">
        <v>#N/A Requesting Data...4050031350</v>
        <stp/>
        <stp>BDP|748281786590893378</stp>
        <tr r="AA76" s="89"/>
        <tr r="Z76" s="89"/>
      </tp>
      <tp>
        <v>111.07</v>
        <stp/>
        <stp>BDP|11725623224796685959|22</stp>
        <stp>NOW Equity</stp>
        <stp>LAST_PRICE</stp>
        <tr r="C40" s="532"/>
      </tp>
      <tp t="s">
        <v>USD</v>
        <stp/>
        <stp>BDP|9164508951049581510|22</stp>
        <stp>QQQ US 02/06/26 P585 Equity</stp>
        <stp>QUOTED_CURRENCY_REALTIME</stp>
        <tr r="F37" s="89"/>
        <tr r="G22" s="2"/>
      </tp>
      <tp>
        <v>11.15</v>
        <stp/>
        <stp>BDP|12301145838765532465|22</stp>
        <stp>AAPL US 04/17/26 C280 Equity</stp>
        <stp>ASK</stp>
        <tr r="E75" s="532"/>
      </tp>
      <tp>
        <v>98.7</v>
        <stp/>
        <stp>BDP|12455594618882884319|22</stp>
        <stp>GDX Equity</stp>
        <stp>LAST_PRICE</stp>
        <tr r="C45" s="532"/>
      </tp>
      <tp t="s">
        <v>#N/A N/A</v>
        <stp/>
        <stp>BDP|782238306228995234</stp>
        <tr r="F22" s="532"/>
      </tp>
      <tp t="s">
        <v>#N/A Requesting Data...4100977623</v>
        <stp/>
        <stp>BDP|345620769730348823</stp>
        <tr r="G20" s="446"/>
      </tp>
      <tp t="s">
        <v>#N/A Requesting Data...4281536704</v>
        <stp/>
        <stp>BDP|493910466490440711</stp>
        <tr r="L72" s="532"/>
        <tr r="T13" s="2"/>
      </tp>
      <tp t="s">
        <v>#N/A N/A</v>
        <stp/>
        <stp>BDP|771655587750732627</stp>
        <tr r="I6" s="532"/>
        <tr r="AI21" s="1"/>
      </tp>
      <tp t="s">
        <v>#N/A N/A</v>
        <stp/>
        <stp>BDP|170286580157334597</stp>
        <tr r="F10" s="532"/>
      </tp>
      <tp t="s">
        <v>USD</v>
        <stp/>
        <stp>BDP|5876029209403858680|22</stp>
        <stp>TSM US 06/18/26 C340 Equity</stp>
        <stp>QUOTED_CURRENCY_REALTIME</stp>
        <tr r="G24" s="2"/>
      </tp>
      <tp>
        <v>83.84</v>
        <stp/>
        <stp>BDP|17908492883037311012|22</stp>
        <stp>IGV Equity</stp>
        <stp>LAST PRICE</stp>
        <tr r="I8" s="338"/>
      </tp>
      <tp t="s">
        <v>#N/A N/A</v>
        <stp/>
        <stp>BDP|410104351027872819</stp>
        <tr r="AB27" s="1"/>
        <tr r="AB30" s="1"/>
      </tp>
      <tp t="s">
        <v>#N/A Requesting Data...3558318487</v>
        <stp/>
        <stp>BDP|237201852408926413</stp>
        <tr r="U11" s="338"/>
      </tp>
      <tp t="s">
        <v>#N/A Requesting Data...3490961554</v>
        <stp/>
        <stp>BDP|158907810677526447</stp>
        <tr r="C113" s="89"/>
        <tr r="D20" s="2"/>
      </tp>
      <tp t="s">
        <v>#N/A N/A</v>
        <stp/>
        <stp>BDP|994170079165378851</stp>
        <tr r="H32" s="532"/>
      </tp>
      <tp t="s">
        <v>#N/A N/A</v>
        <stp/>
        <stp>BDP|315966408504131726</stp>
        <tr r="K15" s="1"/>
      </tp>
      <tp t="s">
        <v>#N/A Requesting Data...3771079571</v>
        <stp/>
        <stp>BDP|721330484650791132</stp>
        <tr r="K73" s="532"/>
        <tr r="D14" s="2"/>
      </tp>
      <tp t="s">
        <v>#N/A Requesting Data...3763496175</v>
        <stp/>
        <stp>BDP|795172657496902890</stp>
        <tr r="D7" s="89"/>
      </tp>
      <tp t="s">
        <v>#N/A Requesting Data...3772828211</v>
        <stp/>
        <stp>BDP|568047330031520830</stp>
        <tr r="K66" s="532"/>
        <tr r="C20" s="89"/>
        <tr r="D7" s="2"/>
      </tp>
      <tp>
        <v>308.05</v>
        <stp/>
        <stp>BDP|1725093802414075352|22</stp>
        <stp>AVGO EQUITY</stp>
        <stp>LAST_PRICE</stp>
        <tr r="C1" s="1"/>
      </tp>
      <tp t="s">
        <v>#N/A Real Time</v>
        <stp/>
        <stp>BDP|4540119519947445118|22</stp>
        <stp>4EM5C    6300 Index</stp>
        <stp>bid</stp>
        <tr r="K52" s="89"/>
      </tp>
      <tp>
        <v>7.75</v>
        <stp/>
        <stp>BDP|14749137995874343935|22</stp>
        <stp>INTC US 07/17/26 C50 Equity</stp>
        <stp>BID</stp>
        <tr r="D78" s="532"/>
      </tp>
      <tp>
        <v>1307.22</v>
        <stp/>
        <stp>BDP|16408601851562530125|22</stp>
        <stp>KLAC Equity</stp>
        <stp>LAST_PRICE</stp>
        <tr r="C35" s="532"/>
      </tp>
      <tp>
        <v>73.73</v>
        <stp/>
        <stp>BDP|14735743812855208855|22</stp>
        <stp>MRVL Equity</stp>
        <stp>LAST_PRICE</stp>
        <tr r="C24" s="532"/>
        <tr r="I42" s="1"/>
      </tp>
      <tp>
        <v>3.7</v>
        <stp/>
        <stp>BDP|2655392201055061554|22</stp>
        <stp>INTC US 07/17/26 P40 Equity</stp>
        <stp>ask</stp>
        <tr r="Q20" s="2"/>
        <tr r="L113" s="89"/>
      </tp>
      <tp>
        <v>1.2</v>
        <stp/>
        <stp>BDP|12691080778476292559|22</stp>
        <stp>GOOG US 02/06/26 P300 Equity</stp>
        <stp>ASK</stp>
        <tr r="E67" s="532"/>
      </tp>
      <tp>
        <v>174.19</v>
        <stp/>
        <stp>BDP|18083567340910719726|22</stp>
        <stp>NVDA Equity</stp>
        <stp>LAST PRICE</stp>
        <tr r="G11" s="338"/>
      </tp>
      <tp>
        <v>3.9</v>
        <stp/>
        <stp>BDP|17956955271722305423|22</stp>
        <stp>AVGO US 02/13/26 C330 Equity</stp>
        <stp>BID</stp>
        <tr r="D66" s="532"/>
      </tp>
      <tp>
        <v>8.0500000000000007</v>
        <stp/>
        <stp>BDP|18410629583342325322|22</stp>
        <stp>NVDA US 05/15/26 C200 Equity</stp>
        <stp>MID</stp>
        <tr r="C68" s="532"/>
      </tp>
      <tp>
        <v>17180</v>
        <stp/>
        <stp>BDP|942965762162618437|22</stp>
        <stp>3110 JT Equity</stp>
        <stp>LAST_PRICE</stp>
        <tr r="C51" s="532"/>
        <tr r="I34" s="1"/>
        <tr r="I33" s="1"/>
      </tp>
      <tp>
        <v>1.6434827819466591E-2</v>
        <stp/>
        <stp>BDP|11228334689169165730|22</stp>
        <stp>QQQ US 02/06/26 C634 Equity</stp>
        <stp>DELTA_MID_RT</stp>
        <tr r="W103" s="89"/>
      </tp>
      <tp>
        <v>2052.7800000000002</v>
        <stp/>
        <stp>BDP|16172479540595127650|22</stp>
        <stp>MELI Equity</stp>
        <stp>LAST_PRICE</stp>
        <tr r="C18" s="532"/>
        <tr r="I23" s="1"/>
      </tp>
      <tp>
        <v>2.0299999999999998</v>
        <stp/>
        <stp>BDP|4198991794791802947|22</stp>
        <stp>NFLX US 05/15/26 P70 Equity</stp>
        <stp>bid</stp>
        <tr r="P11" s="2"/>
      </tp>
      <tp>
        <v>3.35</v>
        <stp/>
        <stp>BDP|8949169944132404204|22</stp>
        <stp>NFLX US 05/15/26 C90 Equity</stp>
        <stp>ask</stp>
        <tr r="Q10" s="2"/>
      </tp>
      <tp>
        <v>25.35</v>
        <stp/>
        <stp>BDP|12757449485029174002|22</stp>
        <stp>AVGO US 06/18/26 C350 Equity</stp>
        <stp>MID</stp>
        <tr r="C64" s="532"/>
      </tp>
      <tp>
        <v>4.8499999999999996</v>
        <stp/>
        <stp>BDP|3366296364494691481|22</stp>
        <stp>INTC US 07/17/26 C60 Equity</stp>
        <stp>mid</stp>
        <tr r="L18" s="2"/>
      </tp>
      <tp>
        <v>174.19</v>
        <stp/>
        <stp>BDP|10556089213855348182|22</stp>
        <stp>NVDA Equity</stp>
        <stp>LAST_PRICE</stp>
        <tr r="C3" s="532"/>
        <tr r="I41" s="1"/>
      </tp>
      <tp t="s">
        <v>#N/A Real Time</v>
        <stp/>
        <stp>BDP|6503747290856300180|22</stp>
        <stp>4EM5C    6300 Index</stp>
        <stp>ask</stp>
        <tr r="L52" s="89"/>
      </tp>
      <tp>
        <v>3.2</v>
        <stp/>
        <stp>BDP|11392922543121247271|22</stp>
        <stp>NFLX US 05/15/26 C90 Equity</stp>
        <stp>BID</stp>
        <tr r="D69" s="532"/>
      </tp>
      <tp>
        <v>66.459999999999994</v>
        <stp/>
        <stp>BDP|12824948095476956285|22</stp>
        <stp>WMB Equity</stp>
        <stp>LAST_PRICE</stp>
        <tr r="C26" s="532"/>
        <tr r="I44" s="1"/>
      </tp>
      <tp>
        <v>53.96</v>
        <stp/>
        <stp>BDP|11210988692762470107|22</stp>
        <stp>XLF Equity</stp>
        <stp>LAST_PRICE</stp>
        <tr r="C27" s="532"/>
        <tr r="I45" s="1"/>
      </tp>
      <tp>
        <v>276.49</v>
        <stp/>
        <stp>BDP|17831911536214693857|22</stp>
        <stp>AAPL Equity</stp>
        <stp>LAST_PRICE</stp>
        <tr r="C7" s="532"/>
        <tr r="I20" s="1"/>
      </tp>
      <tp>
        <v>48.6</v>
        <stp/>
        <stp>BDP|10275830506276374754|22</stp>
        <stp>INTC Equity</stp>
        <stp>LAST_PRICE</stp>
        <tr r="C23" s="532"/>
        <tr r="I40" s="1"/>
      </tp>
      <tp>
        <v>-1.2544488534331322E-2</v>
        <stp/>
        <stp>BDP|5598166511208398697|22</stp>
        <stp>ASHR US 02/20/26 C35 Equity</stp>
        <stp>theta_mid_rt</stp>
        <tr r="AN4" s="2"/>
      </tp>
      <tp>
        <v>89.1</v>
        <stp/>
        <stp>BDP|16647003187596374852|22</stp>
        <stp>KBWB Equity</stp>
        <stp>LAST_PRICE</stp>
        <tr r="C28" s="532"/>
        <tr r="I46" s="1"/>
      </tp>
      <tp>
        <v>159.13999999999999</v>
        <stp/>
        <stp>BDP|16076910053857732698|22</stp>
        <stp>BABA Equity</stp>
        <stp>LAST_PRICE</stp>
        <tr r="C12" s="532"/>
        <tr r="I12" s="1"/>
      </tp>
      <tp>
        <v>3.45</v>
        <stp/>
        <stp>BDP|2917703585590040909|22</stp>
        <stp>INTC US 07/17/26 P40 Equity</stp>
        <stp>mid</stp>
        <tr r="L20" s="2"/>
      </tp>
      <tp>
        <v>3.2</v>
        <stp/>
        <stp>BDP|6431933654204043778|22</stp>
        <stp>INTC US 07/17/26 P40 Equity</stp>
        <stp>bid</stp>
        <tr r="P20" s="2"/>
        <tr r="K113" s="89"/>
      </tp>
      <tp>
        <v>3.35</v>
        <stp/>
        <stp>BDP|15332432305850693009|22</stp>
        <stp>NFLX US 05/15/26 C90 Equity</stp>
        <stp>ASK</stp>
        <tr r="E69" s="532"/>
      </tp>
      <tp>
        <v>8</v>
        <stp/>
        <stp>BDP|16540086886432624061|22</stp>
        <stp>NVDA US 05/15/26 C200 Equity</stp>
        <stp>BID</stp>
        <tr r="D68" s="532"/>
      </tp>
      <tp>
        <v>2.09</v>
        <stp/>
        <stp>BDP|1421677324805203086|22</stp>
        <stp>QQQ US 02/06/26 P595 Equity</stp>
        <stp>ask</stp>
        <tr r="L43" s="89"/>
      </tp>
      <tp t="s">
        <v>#N/A Real Time</v>
        <stp/>
        <stp>BDP|16732714406053690944|22</stp>
        <stp>KMU5 Index</stp>
        <stp>LAST PRICE</stp>
        <tr r="L13" s="446"/>
      </tp>
      <tp>
        <v>0.50154232978820801</v>
        <stp/>
        <stp>BDP|16687792746206833445|22</stp>
        <stp>TSM US 06/18/26 C340 Equity</stp>
        <stp>DELTA_MID_RT</stp>
        <tr r="AF24" s="2"/>
      </tp>
      <tp>
        <v>2.0299999999999998</v>
        <stp/>
        <stp>BDP|11488711703592661148|22</stp>
        <stp>NFLX US 05/15/26 P70 Equity</stp>
        <stp>BID</stp>
        <tr r="D70" s="532"/>
      </tp>
      <tp>
        <v>4.4800000000000004</v>
        <stp/>
        <stp>BDP|12525657158863455574|22</stp>
        <stp>AVGO US 02/06/26 C315 Equity</stp>
        <stp>MID</stp>
        <tr r="C65" s="532"/>
      </tp>
      <tp>
        <v>80.62</v>
        <stp/>
        <stp>BDP|11576966289528241643|22</stp>
        <stp>HOOD Equity</stp>
        <stp>LAST PRICE</stp>
        <tr r="L5" s="446"/>
        <tr r="L6" s="446"/>
      </tp>
      <tp>
        <v>3.28</v>
        <stp/>
        <stp>BDP|3441532621868103781|22</stp>
        <stp>QQQ US 02/06/26 P600 Equity</stp>
        <stp>ask</stp>
        <tr r="L36" s="89"/>
        <tr r="Q21" s="2"/>
      </tp>
      <tp>
        <v>465.54</v>
        <stp/>
        <stp>BDP|13530810646219131800|22</stp>
        <stp>LITE Equity</stp>
        <stp>LAST_PRICE</stp>
        <tr r="C21" s="532"/>
        <tr r="I36" s="1"/>
      </tp>
      <tp>
        <v>241.65</v>
        <stp/>
        <stp>BDP|13659659385475398852|22</stp>
        <stp>ACN Equity</stp>
        <stp>LAST PRICE</stp>
        <tr r="L8" s="446"/>
      </tp>
      <tp>
        <v>4.75</v>
        <stp/>
        <stp>BDP|16524474910884179446|22</stp>
        <stp>MRVL US 03/20/26 P70 Equity</stp>
        <stp>ASK</stp>
        <tr r="E72" s="532"/>
      </tp>
      <tp>
        <v>0.15</v>
        <stp/>
        <stp>BDP|16988668285100536908|22</stp>
        <stp>ASHR US 02/20/26 C35 Equity</stp>
        <stp>MID</stp>
        <tr r="C63" s="532"/>
      </tp>
      <tp>
        <v>1.49</v>
        <stp/>
        <stp>BDP|16199585495337321771|22</stp>
        <stp>MRVL US 03/20/26 P60 Equity</stp>
        <stp>BID</stp>
        <tr r="D73" s="532"/>
      </tp>
      <tp>
        <v>4.5999999999999996</v>
        <stp/>
        <stp>BDP|15913575661490043491|22</stp>
        <stp>MRVL US 03/20/26 P70 Equity</stp>
        <stp>BID</stp>
        <tr r="D72" s="532"/>
      </tp>
      <tp>
        <v>308.05</v>
        <stp/>
        <stp>BDP|17391786708796275229|22</stp>
        <stp>AVGO Equity</stp>
        <stp>LAST PRICE</stp>
        <tr r="G12" s="338"/>
      </tp>
      <tp>
        <v>260.52</v>
        <stp/>
        <stp>BDP|11002287934026403947|22</stp>
        <stp>IWM Equity</stp>
        <stp>LAST_PRICE</stp>
        <tr r="C43" s="532"/>
      </tp>
      <tp>
        <v>209.78</v>
        <stp/>
        <stp>BDP|4463437285265374374|22</stp>
        <stp>LRCX EQUITY</stp>
        <stp>LAST_PRICE</stp>
        <tr r="H6" s="1"/>
      </tp>
      <tp>
        <v>-2.4136116728186607E-2</v>
        <stp/>
        <stp>BDP|1880248133672197461|22</stp>
        <stp>NFLX US 05/15/26 P70 Equity</stp>
        <stp>theta_mid_rt</stp>
        <tr r="AN11" s="2"/>
      </tp>
      <tp>
        <v>7.75</v>
        <stp/>
        <stp>BDP|9317551536395983431|22</stp>
        <stp>INTC US 07/17/26 C50 Equity</stp>
        <stp>bid</stp>
        <tr r="P19" s="2"/>
        <tr r="K112" s="89"/>
      </tp>
      <tp>
        <v>1.49</v>
        <stp/>
        <stp>BDP|6215650409594363711|22</stp>
        <stp>MRVL US 03/20/26 P60 Equity</stp>
        <stp>bid</stp>
        <tr r="P14" s="2"/>
      </tp>
      <tp>
        <v>2.36</v>
        <stp/>
        <stp>BDP|8826778433184054251|22</stp>
        <stp>NFLX US 05/15/26 P70 Equity</stp>
        <stp>ask</stp>
        <tr r="Q11" s="2"/>
      </tp>
      <tp>
        <v>25.6</v>
        <stp/>
        <stp>BDP|13267347598051527897|22</stp>
        <stp>AVGO US 06/18/26 C350 Equity</stp>
        <stp>ASK</stp>
        <tr r="E64" s="532"/>
      </tp>
      <tp>
        <v>4.68</v>
        <stp/>
        <stp>BDP|12594040504683018483|22</stp>
        <stp>MRVL US 03/20/26 P70 Equity</stp>
        <stp>MID</stp>
        <tr r="C72" s="532"/>
      </tp>
      <tp>
        <v>86.61</v>
        <stp/>
        <stp>BDP|3517880411788471110|22</stp>
        <stp>COPX EQUITY</stp>
        <stp>LAST_PRICE</stp>
        <tr r="L9" s="1"/>
      </tp>
      <tp>
        <v>4.7</v>
        <stp/>
        <stp>BDP|8500678922565396001|22</stp>
        <stp>INTC US 07/17/26 C60 Equity</stp>
        <stp>bid</stp>
        <tr r="P18" s="2"/>
        <tr r="K111" s="89"/>
      </tp>
      <tp>
        <v>0.5700756311416626</v>
        <stp/>
        <stp>BDP|1115882164603689622|22</stp>
        <stp>META US 07/17/26 C670 Equity</stp>
        <stp>DELTA_MID_RT</stp>
        <tr r="W86" s="89"/>
      </tp>
      <tp>
        <v>0.75</v>
        <stp/>
        <stp>BDP|5504312635076076780|22</stp>
        <stp>QQQ US 02/06/26 P585 Equity</stp>
        <stp>mid</stp>
        <tr r="L22" s="2"/>
      </tp>
      <tp>
        <v>0.32467204332351685</v>
        <stp/>
        <stp>BDP|17478839230977938286|22</stp>
        <stp>TSM US 06/18/26 C380 Equity</stp>
        <stp>DELTA_MID_RT</stp>
        <tr r="AF25" s="2"/>
      </tp>
      <tp>
        <v>-7.8847058117389679E-2</v>
        <stp/>
        <stp>BDP|9116275157682065379|22</stp>
        <stp>AAPL US 04/17/26 C260 Equity</stp>
        <stp>THETA_MID_RT</stp>
        <tr r="G74" s="532"/>
      </tp>
      <tp>
        <v>0.36969476938247681</v>
        <stp/>
        <stp>BDP|7125100259003145731|22</stp>
        <stp>META US 07/17/26 C750 Equity</stp>
        <stp>DELTA_MID_RT</stp>
        <tr r="F71" s="532"/>
        <tr r="AF12" s="2"/>
        <tr r="W13" s="89"/>
      </tp>
      <tp>
        <v>0.49715507030487061</v>
        <stp/>
        <stp>BDP|9423536240340943551|22</stp>
        <stp>AAPL US 04/17/26 C280 Equity</stp>
        <stp>DELTA_MID_RT</stp>
        <tr r="F75" s="532"/>
        <tr r="AF16" s="2"/>
        <tr r="W8" s="89"/>
      </tp>
      <tp>
        <v>0.14000000000000001</v>
        <stp/>
        <stp>BDP|10908780365952999447|22</stp>
        <stp>ASHR US 02/20/26 C35 Equity</stp>
        <stp>BID</stp>
        <tr r="D63" s="532"/>
      </tp>
      <tp>
        <v>2.36</v>
        <stp/>
        <stp>BDP|17638137561355986676|22</stp>
        <stp>NFLX US 05/15/26 P70 Equity</stp>
        <stp>ASK</stp>
        <tr r="E70" s="532"/>
      </tp>
      <tp>
        <v>0.15</v>
        <stp/>
        <stp>BDP|17110414307764331835|22</stp>
        <stp>ASHR US 02/20/26 C35 Equity</stp>
        <stp>ASK</stp>
        <tr r="E63" s="532"/>
      </tp>
      <tp>
        <v>199.44</v>
        <stp/>
        <stp>BDP|18434337130911834676|22</stp>
        <stp>CRM Equity</stp>
        <stp>LAST PRICE</stp>
        <tr r="G8" s="338"/>
        <tr r="L9" s="446"/>
      </tp>
      <tp>
        <v>325.74</v>
        <stp/>
        <stp>BDP|13113113388917834281|22</stp>
        <stp>TSM Equity</stp>
        <stp>LAST_PRICE</stp>
        <tr r="C4" s="532"/>
        <tr r="I39" s="1"/>
      </tp>
      <tp>
        <v>333.34</v>
        <stp/>
        <stp>BDP|16760158171648826820|22</stp>
        <stp>GOOG Equity</stp>
        <stp>LAST_PRICE</stp>
        <tr r="C16" s="532"/>
        <tr r="I19" s="1"/>
      </tp>
      <tp>
        <v>0.14000000000000001</v>
        <stp/>
        <stp>BDP|9704315770915911503|22</stp>
        <stp>ASHR US 02/20/26 C35 Equity</stp>
        <stp>bid</stp>
        <tr r="P4" s="2"/>
      </tp>
      <tp>
        <v>2</v>
        <stp/>
        <stp>BDP|8193758840741325554|22</stp>
        <stp>QQQ US 02/06/26 P595 Equity</stp>
        <stp>bid</stp>
        <tr r="K43" s="89"/>
      </tp>
      <tp>
        <v>4.25</v>
        <stp/>
        <stp>BDP|10679417637805787233|22</stp>
        <stp>AVGO US 02/13/26 C330 Equity</stp>
        <stp>ASK</stp>
        <tr r="E66" s="532"/>
      </tp>
      <tp>
        <v>4.6500000000000004</v>
        <stp/>
        <stp>BDP|17444250346490903142|22</stp>
        <stp>AVGO US 02/06/26 C315 Equity</stp>
        <stp>ASK</stp>
        <tr r="E65" s="532"/>
      </tp>
      <tp>
        <v>1.18</v>
        <stp/>
        <stp>BDP|15815277351071798544|22</stp>
        <stp>GOOG US 02/06/26 P300 Equity</stp>
        <stp>MID</stp>
        <tr r="C67" s="532"/>
      </tp>
      <tp>
        <v>-5.9713643044233322E-2</v>
        <stp/>
        <stp>BDP|15260530361585390890|22</stp>
        <stp>QQQ US 02/06/26 P580 Equity</stp>
        <stp>DELTA_MID_RT</stp>
        <tr r="W44" s="89"/>
      </tp>
      <tp>
        <v>24.48</v>
        <stp/>
        <stp>BDP|12167170999494993919|22</stp>
        <stp>KHC Equity</stp>
        <stp>LAST_PRICE</stp>
        <tr r="C29" s="532"/>
        <tr r="I47" s="1"/>
      </tp>
      <tp>
        <v>5375</v>
        <stp/>
        <stp>BDP|18259571086573127790|22</stp>
        <stp>HCTA Index</stp>
        <stp>LAST PRICE</stp>
        <tr r="L12" s="446"/>
      </tp>
      <tp>
        <v>4.5999999999999996</v>
        <stp/>
        <stp>BDP|5295851568697877083|22</stp>
        <stp>MRVL US 03/20/26 P70 Equity</stp>
        <stp>bid</stp>
        <tr r="P13" s="2"/>
      </tp>
      <tp>
        <v>-8.5966259241104126E-2</v>
        <stp/>
        <stp>BDP|1447127281147571820|22</stp>
        <stp>AAPL US 04/17/26 C280 Equity</stp>
        <stp>THETA_MID_RT</stp>
        <tr r="G75" s="532"/>
      </tp>
      <tp>
        <v>-0.57974517345428467</v>
        <stp/>
        <stp>BDP|9405630070157806304|22</stp>
        <stp>2OG6P 25000 Index</stp>
        <stp>DELTA_MID_RT</stp>
        <tr r="W70" s="89"/>
      </tp>
      <tp>
        <v>3.2</v>
        <stp/>
        <stp>BDP|5541024631542138350|22</stp>
        <stp>NFLX US 05/15/26 C90 Equity</stp>
        <stp>bid</stp>
        <tr r="P10" s="2"/>
      </tp>
      <tp>
        <v>0.15</v>
        <stp/>
        <stp>BDP|8465872380432047250|22</stp>
        <stp>ASHR US 02/20/26 C35 Equity</stp>
        <stp>ask</stp>
        <tr r="Q4" s="2"/>
      </tp>
      <tp>
        <v>4.08</v>
        <stp/>
        <stp>BDP|14083897354101110603|22</stp>
        <stp>AVGO US 02/13/26 C330 Equity</stp>
        <stp>MID</stp>
        <tr r="C66" s="532"/>
      </tp>
      <tp>
        <v>325.74</v>
        <stp/>
        <stp>BDP|18226792745994375460|22</stp>
        <stp>TSM Equity</stp>
        <stp>LAST PRICE</stp>
        <tr r="G10" s="338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volatileDependencies" Target="volatileDependenci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'Master P&amp;L'!$B$12:$B$48</c:f>
              <c:strCache>
                <c:ptCount val="37"/>
                <c:pt idx="0">
                  <c:v>BABA</c:v>
                </c:pt>
                <c:pt idx="1">
                  <c:v>BIDU</c:v>
                </c:pt>
                <c:pt idx="2">
                  <c:v>ASHR</c:v>
                </c:pt>
                <c:pt idx="3">
                  <c:v>QQQ</c:v>
                </c:pt>
                <c:pt idx="4">
                  <c:v>2OH6</c:v>
                </c:pt>
                <c:pt idx="5">
                  <c:v>1OH6</c:v>
                </c:pt>
                <c:pt idx="6">
                  <c:v>NQA</c:v>
                </c:pt>
                <c:pt idx="7">
                  <c:v>GOOG</c:v>
                </c:pt>
                <c:pt idx="8">
                  <c:v>AAPL</c:v>
                </c:pt>
                <c:pt idx="9">
                  <c:v>AMZN</c:v>
                </c:pt>
                <c:pt idx="10">
                  <c:v>NFLX</c:v>
                </c:pt>
                <c:pt idx="11">
                  <c:v>MELI</c:v>
                </c:pt>
                <c:pt idx="12">
                  <c:v>META</c:v>
                </c:pt>
                <c:pt idx="13">
                  <c:v>IGV</c:v>
                </c:pt>
                <c:pt idx="14">
                  <c:v>MSFT</c:v>
                </c:pt>
                <c:pt idx="15">
                  <c:v>000660 KP</c:v>
                </c:pt>
                <c:pt idx="16">
                  <c:v>402340 KS</c:v>
                </c:pt>
                <c:pt idx="17">
                  <c:v>005930 KS</c:v>
                </c:pt>
                <c:pt idx="18">
                  <c:v>000660 KP</c:v>
                </c:pt>
                <c:pt idx="19">
                  <c:v>402340 KS</c:v>
                </c:pt>
                <c:pt idx="20">
                  <c:v>005930 KS</c:v>
                </c:pt>
                <c:pt idx="21">
                  <c:v>3110 JT</c:v>
                </c:pt>
                <c:pt idx="22">
                  <c:v>3110 JT</c:v>
                </c:pt>
                <c:pt idx="23">
                  <c:v>EWY</c:v>
                </c:pt>
                <c:pt idx="24">
                  <c:v>LITE</c:v>
                </c:pt>
                <c:pt idx="25">
                  <c:v>CSCO</c:v>
                </c:pt>
                <c:pt idx="26">
                  <c:v>AVGO</c:v>
                </c:pt>
                <c:pt idx="27">
                  <c:v>TSM</c:v>
                </c:pt>
                <c:pt idx="28">
                  <c:v>INTC</c:v>
                </c:pt>
                <c:pt idx="29">
                  <c:v>NVDA</c:v>
                </c:pt>
                <c:pt idx="30">
                  <c:v>MRVL</c:v>
                </c:pt>
                <c:pt idx="31">
                  <c:v>RIOT</c:v>
                </c:pt>
                <c:pt idx="32">
                  <c:v>WMB</c:v>
                </c:pt>
                <c:pt idx="33">
                  <c:v>XLF</c:v>
                </c:pt>
                <c:pt idx="34">
                  <c:v>KBWB</c:v>
                </c:pt>
                <c:pt idx="35">
                  <c:v>KHC</c:v>
                </c:pt>
                <c:pt idx="36">
                  <c:v>XLP</c:v>
                </c:pt>
              </c:strCache>
            </c:strRef>
          </c:cat>
          <c:val>
            <c:numRef>
              <c:f>'Master P&amp;L'!$J$12:$J$48</c:f>
              <c:numCache>
                <c:formatCode>0.00%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-9.5102853085592409E-3</c:v>
                </c:pt>
                <c:pt idx="5">
                  <c:v>-9.5102853085592409E-3</c:v>
                </c:pt>
                <c:pt idx="6">
                  <c:v>-1.9579505859993684E-2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-2.6440221386463514E-2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-6.4444444444444415E-2</c:v>
                </c:pt>
                <c:pt idx="16">
                  <c:v>-4.4247787610619427E-2</c:v>
                </c:pt>
                <c:pt idx="17">
                  <c:v>-4.1641879833432482E-2</c:v>
                </c:pt>
                <c:pt idx="18">
                  <c:v>-3.1784602661419359E-2</c:v>
                </c:pt>
                <c:pt idx="19">
                  <c:v>-2.5609508318949037E-2</c:v>
                </c:pt>
                <c:pt idx="20">
                  <c:v>-9.8303988828477573E-3</c:v>
                </c:pt>
                <c:pt idx="21">
                  <c:v>8.8079859072225375E-3</c:v>
                </c:pt>
                <c:pt idx="22">
                  <c:v>4.8200122025625403E-2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61-48D7-B77E-4B3B1E968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20"/>
        <c:axId val="1256224863"/>
        <c:axId val="1256221983"/>
      </c:barChart>
      <c:catAx>
        <c:axId val="12562248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1983"/>
        <c:crosses val="autoZero"/>
        <c:auto val="1"/>
        <c:lblAlgn val="ctr"/>
        <c:lblOffset val="100"/>
        <c:noMultiLvlLbl val="0"/>
      </c:catAx>
      <c:valAx>
        <c:axId val="12562219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4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chart" Target="../charts/chart1.xml"/><Relationship Id="rId4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5" Type="http://schemas.openxmlformats.org/officeDocument/2006/relationships/image" Target="../media/image12.png"/><Relationship Id="rId4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533400</xdr:colOff>
      <xdr:row>0</xdr:row>
      <xdr:rowOff>85725</xdr:rowOff>
    </xdr:from>
    <xdr:to>
      <xdr:col>44</xdr:col>
      <xdr:colOff>153113</xdr:colOff>
      <xdr:row>33</xdr:row>
      <xdr:rowOff>10406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E8FD97C-3122-B973-B094-027A270E7C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35925" y="85725"/>
          <a:ext cx="5106113" cy="631595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31</xdr:col>
      <xdr:colOff>104775</xdr:colOff>
      <xdr:row>3</xdr:row>
      <xdr:rowOff>95250</xdr:rowOff>
    </xdr:from>
    <xdr:to>
      <xdr:col>45</xdr:col>
      <xdr:colOff>572756</xdr:colOff>
      <xdr:row>29</xdr:row>
      <xdr:rowOff>172155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A0FC0BB-CDAC-F11B-06E6-FFB8CD97D7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106650" y="666750"/>
          <a:ext cx="9002381" cy="504895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25</xdr:row>
          <xdr:rowOff>180975</xdr:rowOff>
        </xdr:from>
        <xdr:to>
          <xdr:col>12</xdr:col>
          <xdr:colOff>247650</xdr:colOff>
          <xdr:row>29</xdr:row>
          <xdr:rowOff>66675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1</xdr:colOff>
      <xdr:row>12</xdr:row>
      <xdr:rowOff>0</xdr:rowOff>
    </xdr:from>
    <xdr:to>
      <xdr:col>46</xdr:col>
      <xdr:colOff>448236</xdr:colOff>
      <xdr:row>53</xdr:row>
      <xdr:rowOff>179294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29</xdr:col>
      <xdr:colOff>279239</xdr:colOff>
      <xdr:row>11</xdr:row>
      <xdr:rowOff>90489</xdr:rowOff>
    </xdr:from>
    <xdr:to>
      <xdr:col>36</xdr:col>
      <xdr:colOff>586857</xdr:colOff>
      <xdr:row>52</xdr:row>
      <xdr:rowOff>139376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AEE125B-7BFE-53C8-3539-CC3CDD713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910139" y="2351089"/>
          <a:ext cx="4587518" cy="8773787"/>
        </a:xfrm>
        <a:prstGeom prst="rect">
          <a:avLst/>
        </a:prstGeom>
      </xdr:spPr>
    </xdr:pic>
    <xdr:clientData/>
  </xdr:twoCellAnchor>
  <xdr:twoCellAnchor editAs="oneCell">
    <xdr:from>
      <xdr:col>20</xdr:col>
      <xdr:colOff>273051</xdr:colOff>
      <xdr:row>10</xdr:row>
      <xdr:rowOff>177799</xdr:rowOff>
    </xdr:from>
    <xdr:to>
      <xdr:col>28</xdr:col>
      <xdr:colOff>371979</xdr:colOff>
      <xdr:row>53</xdr:row>
      <xdr:rowOff>19589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2DC706A-1C2A-6D76-FEAE-58081DCDC4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192251" y="2235199"/>
          <a:ext cx="4289928" cy="8973090"/>
        </a:xfrm>
        <a:prstGeom prst="rect">
          <a:avLst/>
        </a:prstGeom>
      </xdr:spPr>
    </xdr:pic>
    <xdr:clientData/>
  </xdr:twoCellAnchor>
  <xdr:twoCellAnchor editAs="oneCell">
    <xdr:from>
      <xdr:col>13</xdr:col>
      <xdr:colOff>292100</xdr:colOff>
      <xdr:row>10</xdr:row>
      <xdr:rowOff>0</xdr:rowOff>
    </xdr:from>
    <xdr:to>
      <xdr:col>19</xdr:col>
      <xdr:colOff>781526</xdr:colOff>
      <xdr:row>53</xdr:row>
      <xdr:rowOff>182780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BEEC206-98FF-672E-46D5-0623204E6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588500" y="2057400"/>
          <a:ext cx="4324826" cy="931408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571500</xdr:colOff>
          <xdr:row>2</xdr:row>
          <xdr:rowOff>190500</xdr:rowOff>
        </xdr:from>
        <xdr:to>
          <xdr:col>37</xdr:col>
          <xdr:colOff>590550</xdr:colOff>
          <xdr:row>5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7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581025</xdr:colOff>
          <xdr:row>3</xdr:row>
          <xdr:rowOff>9525</xdr:rowOff>
        </xdr:from>
        <xdr:to>
          <xdr:col>41</xdr:col>
          <xdr:colOff>333375</xdr:colOff>
          <xdr:row>4</xdr:row>
          <xdr:rowOff>9525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7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Custodia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600075</xdr:colOff>
          <xdr:row>5</xdr:row>
          <xdr:rowOff>152400</xdr:rowOff>
        </xdr:from>
        <xdr:to>
          <xdr:col>42</xdr:col>
          <xdr:colOff>342900</xdr:colOff>
          <xdr:row>9</xdr:row>
          <xdr:rowOff>9525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7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Preços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228600</xdr:colOff>
          <xdr:row>0</xdr:row>
          <xdr:rowOff>76200</xdr:rowOff>
        </xdr:from>
        <xdr:to>
          <xdr:col>60</xdr:col>
          <xdr:colOff>514350</xdr:colOff>
          <xdr:row>2</xdr:row>
          <xdr:rowOff>257175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08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 Options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41</xdr:col>
      <xdr:colOff>273844</xdr:colOff>
      <xdr:row>11</xdr:row>
      <xdr:rowOff>166688</xdr:rowOff>
    </xdr:from>
    <xdr:to>
      <xdr:col>54</xdr:col>
      <xdr:colOff>447537</xdr:colOff>
      <xdr:row>47</xdr:row>
      <xdr:rowOff>167645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5FB3A1B-373C-C38D-EF65-9A3AC14E32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396157" y="2643188"/>
          <a:ext cx="8067536" cy="685895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A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104775</xdr:colOff>
          <xdr:row>2</xdr:row>
          <xdr:rowOff>180975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B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Input_One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292138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800BD2F-7F69-C788-46BA-DDA40731BA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0617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209550</xdr:colOff>
          <xdr:row>3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C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Input_Zenith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292139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BFB799C-CCD2-46FB-B32B-03C885250F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8332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D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276225</xdr:colOff>
      <xdr:row>1</xdr:row>
      <xdr:rowOff>76200</xdr:rowOff>
    </xdr:from>
    <xdr:to>
      <xdr:col>28</xdr:col>
      <xdr:colOff>49040</xdr:colOff>
      <xdr:row>31</xdr:row>
      <xdr:rowOff>787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86750" y="266700"/>
          <a:ext cx="10136015" cy="5639587"/>
        </a:xfrm>
        <a:prstGeom prst="rect">
          <a:avLst/>
        </a:prstGeom>
      </xdr:spPr>
    </xdr:pic>
    <xdr:clientData/>
  </xdr:twoCellAnchor>
  <xdr:twoCellAnchor editAs="oneCell">
    <xdr:from>
      <xdr:col>11</xdr:col>
      <xdr:colOff>295275</xdr:colOff>
      <xdr:row>34</xdr:row>
      <xdr:rowOff>95250</xdr:rowOff>
    </xdr:from>
    <xdr:to>
      <xdr:col>37</xdr:col>
      <xdr:colOff>516593</xdr:colOff>
      <xdr:row>46</xdr:row>
      <xdr:rowOff>19358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72525" y="6381750"/>
          <a:ext cx="16070918" cy="2210108"/>
        </a:xfrm>
        <a:prstGeom prst="rect">
          <a:avLst/>
        </a:prstGeom>
      </xdr:spPr>
    </xdr:pic>
    <xdr:clientData/>
  </xdr:twoCellAnchor>
  <xdr:twoCellAnchor editAs="oneCell">
    <xdr:from>
      <xdr:col>11</xdr:col>
      <xdr:colOff>171450</xdr:colOff>
      <xdr:row>48</xdr:row>
      <xdr:rowOff>0</xdr:rowOff>
    </xdr:from>
    <xdr:to>
      <xdr:col>27</xdr:col>
      <xdr:colOff>449075</xdr:colOff>
      <xdr:row>78</xdr:row>
      <xdr:rowOff>10324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648700" y="8953500"/>
          <a:ext cx="10031225" cy="5725324"/>
        </a:xfrm>
        <a:prstGeom prst="rect">
          <a:avLst/>
        </a:prstGeom>
      </xdr:spPr>
    </xdr:pic>
    <xdr:clientData/>
  </xdr:twoCellAnchor>
  <xdr:twoCellAnchor editAs="oneCell">
    <xdr:from>
      <xdr:col>28</xdr:col>
      <xdr:colOff>219075</xdr:colOff>
      <xdr:row>47</xdr:row>
      <xdr:rowOff>123825</xdr:rowOff>
    </xdr:from>
    <xdr:to>
      <xdr:col>37</xdr:col>
      <xdr:colOff>362736</xdr:colOff>
      <xdr:row>71</xdr:row>
      <xdr:rowOff>162568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059525" y="8886825"/>
          <a:ext cx="5630061" cy="4610743"/>
        </a:xfrm>
        <a:prstGeom prst="rect">
          <a:avLst/>
        </a:prstGeom>
      </xdr:spPr>
    </xdr:pic>
    <xdr:clientData/>
  </xdr:twoCellAnchor>
  <xdr:twoCellAnchor editAs="oneCell">
    <xdr:from>
      <xdr:col>0</xdr:col>
      <xdr:colOff>581025</xdr:colOff>
      <xdr:row>78</xdr:row>
      <xdr:rowOff>9525</xdr:rowOff>
    </xdr:from>
    <xdr:to>
      <xdr:col>9</xdr:col>
      <xdr:colOff>637373</xdr:colOff>
      <xdr:row>99</xdr:row>
      <xdr:rowOff>19727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AD9A0ED1-1F37-CBBF-AF90-35389C388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1025" y="14106525"/>
          <a:ext cx="7666823" cy="4010702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1</xdr:row>
          <xdr:rowOff>38100</xdr:rowOff>
        </xdr:from>
        <xdr:to>
          <xdr:col>14</xdr:col>
          <xdr:colOff>266700</xdr:colOff>
          <xdr:row>4</xdr:row>
          <xdr:rowOff>76200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  <a:ext uri="{FF2B5EF4-FFF2-40B4-BE49-F238E27FC236}">
                  <a16:creationId xmlns:a16="http://schemas.microsoft.com/office/drawing/2014/main" id="{00000000-0008-0000-1000-00000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Copiar Memoria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Grozdea" refreshedDate="46057.778080671298" createdVersion="8" refreshedVersion="8" minRefreshableVersion="3" recordCount="58" xr:uid="{C35D4399-4CEF-409A-AF8E-A02DC4C552E4}">
  <cacheSource type="worksheet">
    <worksheetSource name="Tabelad"/>
  </cacheSource>
  <cacheFields count="34">
    <cacheField name="Ticker" numFmtId="172">
      <sharedItems containsBlank="1" count="194">
        <s v="BABA"/>
        <s v="BIDU"/>
        <s v="ASHR"/>
        <s v="2OH6"/>
        <s v="1OH6"/>
        <s v="RSP"/>
        <s v="QQQ"/>
        <s v="NQA"/>
        <s v="GOOG"/>
        <s v="AAPL"/>
        <s v="AMZN"/>
        <s v="NFLX"/>
        <s v="MELI"/>
        <s v="META"/>
        <s v="IGV"/>
        <s v="MSFT"/>
        <s v="000660 KP"/>
        <s v="402340 KS"/>
        <s v="005930 KS"/>
        <s v="3110 JT"/>
        <s v="EWY"/>
        <s v="LITE"/>
        <s v="CSCO"/>
        <s v="AVGO"/>
        <s v="TSM"/>
        <s v="INTC"/>
        <s v="NVDA"/>
        <s v="AMD"/>
        <s v="MRVL"/>
        <s v="RIOT"/>
        <s v="WMB"/>
        <s v="XLF"/>
        <s v="KBWB"/>
        <s v="KHC"/>
        <s v="XLP"/>
        <s v="AKAM" u="1"/>
        <s v="402340 KP" u="1"/>
        <s v="005930 KP" u="1"/>
        <s v="GDX" u="1"/>
        <s v="300502 CH" u="1"/>
        <s v="NET" u="1"/>
        <s v="SNDK" u="1"/>
        <s v="COPX" u="1"/>
        <s v="000660 KS" u="1"/>
        <s v="KMH6" u="1"/>
        <s v="AMAT" u="1"/>
        <s v="GDX " u="1"/>
        <s v="QQQE" u="1"/>
        <s v="COHR" u="1"/>
        <s v="ASML NA" u="1"/>
        <s v="CEG" u="1"/>
        <s v="V" u="1"/>
        <s v="MA" u="1"/>
        <s v="SOXX" u="1"/>
        <s v="WBD" u="1"/>
        <s v="SMH" u="1"/>
        <s v="CRDO" u="1"/>
        <s v="PSKY" u="1"/>
        <s v="BE" u="1"/>
        <s v="CIEN" u="1"/>
        <s v="ANET" u="1"/>
        <m u="1"/>
        <s v="UBER" u="1"/>
        <s v="TTWO" u="1"/>
        <s v="GSENEPOW" u="1"/>
        <s v="LYSDY" u="1"/>
        <s v="MP" u="1"/>
        <s v="SHOP" u="1"/>
        <s v="ORCL" u="1"/>
        <s v="KWEB" u="1"/>
        <s v="BP" u="1"/>
        <s v="SHEL" u="1"/>
        <s v="TTE" u="1"/>
        <s v="GLD" u="1"/>
        <s v="DELL" u="1"/>
        <s v="FCX" u="1"/>
        <s v="COF" u="1"/>
        <s v="BRK/B" u="1"/>
        <s v="KKR" u="1"/>
        <s v="BX" u="1"/>
        <s v="CRWV" u="1"/>
        <s v="NBIS" u="1"/>
        <s v="SPGI" u="1"/>
        <s v="MCO" u="1"/>
        <s v="EBAY" u="1"/>
        <s v="HCTA" u="1"/>
        <s v="QNCZ5" u="1"/>
        <s v="SFTBY" u="1"/>
        <s v="SPY" u="1"/>
        <s v="XHB" u="1"/>
        <s v="NTSK" u="1"/>
        <s v="1EZ5" u="1"/>
        <s v="IWM" u="1"/>
        <s v="NOW" u="1"/>
        <s v="FIGR" u="1"/>
        <s v="ESA" u="1"/>
        <s v="KLAR" u="1"/>
        <s v="GCZ5" u="1"/>
        <s v="4EZ5" u="1"/>
        <s v="MSXXQE7 " u="1"/>
        <s v="CPNG" u="1"/>
        <s v="SCHW" u="1"/>
        <s v="XRT" u="1"/>
        <s v="EWT" u="1"/>
        <s v="KGC" u="1"/>
        <s v="NEM" u="1"/>
        <s v="AEM" u="1"/>
        <s v="PPRUY" u="1"/>
        <s v="CGSPRSPX" u="1"/>
        <s v="XLI" u="1"/>
        <s v="IMDU5" u="1"/>
        <s v="BKNG" u="1"/>
        <s v="AXP" u="1"/>
        <s v="COIN" u="1"/>
        <s v="QCOM" u="1"/>
        <s v="GSXUDEFS" u="1"/>
        <s v="GSXUCYCL" u="1"/>
        <s v="QHTU5" u="1"/>
        <s v="ADBE" u="1"/>
        <s v="WDAY" u="1"/>
        <s v="CRM" u="1"/>
        <s v="INTU" u="1"/>
        <s v="KRE" u="1"/>
        <s v="OMC" u="1"/>
        <s v="EXPE" u="1"/>
        <s v="CAT" u="1"/>
        <s v="URI" u="1"/>
        <s v="RTYA" u="1"/>
        <s v="PINS" u="1"/>
        <s v="ITB" u="1"/>
        <s v="FLY" u="1"/>
        <s v="APO" u="1"/>
        <s v="NTGR" u="1"/>
        <s v="TRIP" u="1"/>
        <s v="PUBGY" u="1"/>
        <s v="LVMUY" u="1"/>
        <s v="GSXUNPTC" u="1"/>
        <s v="GSPUCYDE Index" u="1"/>
        <s v="DHR" u="1"/>
        <s v="TMO" u="1"/>
        <s v="TXT" u="1"/>
        <s v="ILMN" u="1"/>
        <s v="MTD" u="1"/>
        <s v="1EU5" u="1"/>
        <s v="ARX" u="1"/>
        <s v="TEVA" u="1"/>
        <s v="GEO" u="1"/>
        <s v="CXW" u="1"/>
        <s v="ABNB" u="1"/>
        <s v="USB" u="1"/>
        <s v="TTD" u="1"/>
        <s v="WFC" u="1"/>
        <s v="MS" u="1"/>
        <s v="MU" u="1"/>
        <s v="APP" u="1"/>
        <s v="ASML" u="1"/>
        <s v="SMCI" u="1"/>
        <s v="RUWU5" u="1"/>
        <s v="GD" u="1"/>
        <s v="ACN" u="1"/>
        <s v="HOOD" u="1"/>
        <s v="MCD" u="1"/>
        <s v="ARCO" u="1"/>
        <s v="JETS" u="1"/>
        <s v="XOP" u="1"/>
        <s v="GCQ5" u="1"/>
        <s v="KMU5" u="1"/>
        <s v="3EU5" u="1"/>
        <s v="INOD" u="1"/>
        <s v="KER FP" u="1"/>
        <s v="MC FP" u="1"/>
        <s v="IMBM5" u="1"/>
        <s v="2330 TT" u="1"/>
        <s v="IWWM5" u="1"/>
        <s v="RDDT" u="1"/>
        <s v="2EM5" u="1"/>
        <s v="ESM5" u="1"/>
        <s v="1EM5" u="1"/>
        <s v="JOBY" u="1"/>
        <s v="GSTMTAIS" u="1"/>
        <s v="GCA" u="1"/>
        <s v="QNBM5" u="1"/>
        <s v="TEM" u="1"/>
        <s v="STX" u="1"/>
        <s v="BUD" u="1"/>
        <s v="HCTK5" u="1"/>
        <s v="XLV" u="1"/>
        <s v="3EM5" u="1"/>
        <s v="4OM5" u="1"/>
        <s v="JD" u="1"/>
        <s v="HLT" u="1"/>
        <s v="MAR" u="1"/>
        <s v="GOOGL" u="1"/>
        <s v="PLTR" u="1"/>
      </sharedItems>
    </cacheField>
    <cacheField name="Sector" numFmtId="0">
      <sharedItems containsBlank="1" count="27">
        <s v="China"/>
        <s v="Index"/>
        <s v="Internet/SW"/>
        <s v="Memory"/>
        <s v="Networking"/>
        <s v="Semis"/>
        <s v="Power "/>
        <s v="Pairs"/>
        <s v="Metals" u="1"/>
        <s v="Payts" u="1"/>
        <s v="Internet" u="1"/>
        <s v="Software" u="1"/>
        <s v="Spec Sits" u="1"/>
        <s v="Power" u="1"/>
        <s v="Media" u="1"/>
        <m u="1"/>
        <s v="Metal" u="1"/>
        <s v="Oil" u="1"/>
        <s v="Financials" u="1"/>
        <s v="IPO" u="1"/>
        <s v="Gold" u="1"/>
        <s v="Tech" u="1"/>
        <s v="Rare Earth" u="1"/>
        <s v="Fin Services" u="1"/>
        <s v="Korea" u="1"/>
        <s v="Travel" u="1"/>
        <s v="Semis/Hardware" u="1"/>
      </sharedItems>
    </cacheField>
    <cacheField name="Diretoria" numFmtId="0">
      <sharedItems containsNonDate="0" containsString="0" containsBlank="1"/>
    </cacheField>
    <cacheField name="Crncy" numFmtId="0">
      <sharedItems/>
    </cacheField>
    <cacheField name="Long / Short" numFmtId="0">
      <sharedItems/>
    </cacheField>
    <cacheField name="Qtdd " numFmtId="166">
      <sharedItems containsNonDate="0" containsString="0" containsBlank="1"/>
    </cacheField>
    <cacheField name="Qtt Shs" numFmtId="166">
      <sharedItems containsString="0" containsBlank="1" containsNumber="1" containsInteger="1" minValue="-155000" maxValue="155000"/>
    </cacheField>
    <cacheField name="Price Today" numFmtId="43">
      <sharedItems containsSemiMixedTypes="0" containsString="0" containsNumber="1" minValue="14.14" maxValue="900000"/>
    </cacheField>
    <cacheField name="% Chg" numFmtId="10">
      <sharedItems containsString="0" containsBlank="1" containsNumber="1" minValue="-0.12293537787513698" maxValue="6.9960928522178722E-2"/>
    </cacheField>
    <cacheField name="Price Yest" numFmtId="43">
      <sharedItems containsSemiMixedTypes="0" containsString="0" containsNumber="1" minValue="13.79" maxValue="907000"/>
    </cacheField>
    <cacheField name="FX" numFmtId="168">
      <sharedItems containsSemiMixedTypes="0" containsString="0" containsNumber="1" minValue="1" maxValue="1459.3"/>
    </cacheField>
    <cacheField name="Mult" numFmtId="166">
      <sharedItems containsSemiMixedTypes="0" containsString="0" containsNumber="1" containsInteger="1" minValue="1" maxValue="20"/>
    </cacheField>
    <cacheField name="D1 Exp USD" numFmtId="166">
      <sharedItems containsSemiMixedTypes="0" containsString="0" containsNumber="1" minValue="-52839150" maxValue="60387600"/>
    </cacheField>
    <cacheField name="D1 Exp %" numFmtId="196">
      <sharedItems containsString="0" containsBlank="1" containsNumber="1" minValue="-2.2051557265084915E-2" maxValue="2.5201779731525618E-2"/>
    </cacheField>
    <cacheField name="D1 P&amp;L bps" numFmtId="170">
      <sharedItems containsSemiMixedTypes="0" containsString="0" containsNumber="1" minValue="-0.64894553595320215" maxValue="0.82819870101167437"/>
    </cacheField>
    <cacheField name="Options Exp USD (delta adj)" numFmtId="166">
      <sharedItems containsString="0" containsBlank="1" containsNumber="1" minValue="-7275318.7537193298" maxValue="11838491.165801883"/>
    </cacheField>
    <cacheField name="Option Exp %" numFmtId="10">
      <sharedItems containsString="0" containsBlank="1" containsNumber="1" minValue="-3.0362355965110723E-3" maxValue="4.9406011617310662E-3"/>
    </cacheField>
    <cacheField name="Options P&amp;L bps" numFmtId="170">
      <sharedItems containsString="0" containsBlank="1" containsNumber="1" minValue="-1.5785125027659499" maxValue="0.25853821883433237"/>
    </cacheField>
    <cacheField name="Exp" numFmtId="166">
      <sharedItems containsSemiMixedTypes="0" containsString="0" containsNumber="1" minValue="-52839150" maxValue="60387600"/>
    </cacheField>
    <cacheField name="Exp %" numFmtId="173">
      <sharedItems containsString="0" containsBlank="1" containsNumber="1" minValue="-2.2051557265084915E-2" maxValue="2.5201779731525618E-2"/>
    </cacheField>
    <cacheField name="P&amp;L bps" numFmtId="170">
      <sharedItems containsSemiMixedTypes="0" containsString="0" containsNumber="1" minValue="-1.7346678341404027" maxValue="0.82819870101167437"/>
    </cacheField>
    <cacheField name="xx" numFmtId="166">
      <sharedItems containsSemiMixedTypes="0" containsString="0" containsNumber="1" minValue="1.1903921199054111" maxValue="42364.994801980196"/>
    </cacheField>
    <cacheField name="Ticker2" numFmtId="0">
      <sharedItems containsNonDate="0" containsString="0" containsBlank="1"/>
    </cacheField>
    <cacheField name="xx2" numFmtId="3">
      <sharedItems containsSemiMixedTypes="0" containsString="0" containsNumber="1" minValue="-54250" maxValue="54250"/>
    </cacheField>
    <cacheField name="Beta Adj" numFmtId="170">
      <sharedItems containsSemiMixedTypes="0" containsString="0" containsNumber="1" minValue="-2.0687664254856655" maxValue="2.3643044862693321"/>
    </cacheField>
    <cacheField name="Expo Beta Adj" numFmtId="10">
      <sharedItems containsMixedTypes="1" containsNumber="1" minValue="-1.2908234741431317E-2" maxValue="1.2908234741431317E-2"/>
    </cacheField>
    <cacheField name="Vol 10d" numFmtId="43">
      <sharedItems containsSemiMixedTypes="0" containsString="0" containsNumber="1" minValue="5.8328090928364666" maxValue="132.25797544839287"/>
    </cacheField>
    <cacheField name="Beta Adj2" numFmtId="43">
      <sharedItems containsMixedTypes="1" containsNumber="1" minValue="0.37148067355155945" maxValue="2.0447275638580322"/>
    </cacheField>
    <cacheField name="Daily P&amp;L" numFmtId="166">
      <sharedItems containsSemiMixedTypes="0" containsString="0" containsNumber="1" minValue="-145755.44309729469" maxValue="186016.33257442678"/>
    </cacheField>
    <cacheField name="VALUE" numFmtId="4">
      <sharedItems containsNonDate="0" containsString="0" containsBlank="1"/>
    </cacheField>
    <cacheField name="Report Date2" numFmtId="170">
      <sharedItems/>
    </cacheField>
    <cacheField name="Column3" numFmtId="10">
      <sharedItems containsMixedTypes="1" containsNumber="1" minValue="-2.0208629999999998E-2" maxValue="1.7696240000000002E-2"/>
    </cacheField>
    <cacheField name="Column4" numFmtId="170">
      <sharedItems containsMixedTypes="1" containsNumber="1" minValue="-0.13411044025646549" maxValue="0.34016091800149856"/>
    </cacheField>
    <cacheField name="Column5" numFmtId="195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8">
  <r>
    <x v="0"/>
    <x v="0"/>
    <m/>
    <s v="USD"/>
    <s v="Long"/>
    <m/>
    <n v="3378"/>
    <n v="159.13999999999999"/>
    <n v="-2.7558814543232613E-2"/>
    <n v="163.65"/>
    <n v="1"/>
    <n v="1"/>
    <n v="537574.91999999993"/>
    <n v="2.2434812317483231E-4"/>
    <n v="-6.3579869015866416E-2"/>
    <n v="0"/>
    <n v="0"/>
    <n v="0"/>
    <n v="537574.91999999993"/>
    <n v="2.2434812317483231E-4"/>
    <n v="-6.3579869015866416E-2"/>
    <n v="3764.239201332161"/>
    <m/>
    <n v="1182.3"/>
    <n v="3.7010171552607218E-2"/>
    <n v="1.927300207579101E-4"/>
    <n v="26.394816076988032"/>
    <n v="0.85906678438186646"/>
    <n v="-14280.261542848262"/>
    <m/>
    <s v="20/02/2026"/>
    <e v="#VALUE!"/>
    <e v="#VALUE!"/>
    <s v="12/06/2025"/>
  </r>
  <r>
    <x v="1"/>
    <x v="0"/>
    <m/>
    <s v="USD"/>
    <s v="Long"/>
    <m/>
    <n v="3510"/>
    <n v="137.94999999999999"/>
    <n v="-4.7701228772608184E-2"/>
    <n v="144.86000000000001"/>
    <n v="1"/>
    <n v="1"/>
    <n v="484204.49999999994"/>
    <n v="2.0207484904207973E-4"/>
    <n v="-0.10122052967602582"/>
    <n v="0"/>
    <n v="0"/>
    <n v="0"/>
    <n v="484204.49999999994"/>
    <n v="2.0207484904207973E-4"/>
    <n v="-0.10122052967602582"/>
    <n v="4342.4503552011602"/>
    <m/>
    <n v="1228.5"/>
    <n v="3.9688689480498231E-2"/>
    <n v="2.0904125273434632E-4"/>
    <n v="31.424941535190083"/>
    <n v="1.0344743728637695"/>
    <n v="-22734.485925388868"/>
    <m/>
    <s v="26/02/2026"/>
    <e v="#VALUE!"/>
    <e v="#VALUE!"/>
    <s v="#N/A Field Not Applicable"/>
  </r>
  <r>
    <x v="1"/>
    <x v="0"/>
    <m/>
    <s v="USD"/>
    <s v="Long"/>
    <m/>
    <n v="400"/>
    <n v="137.94999999999999"/>
    <m/>
    <n v="139.29"/>
    <n v="1"/>
    <n v="1"/>
    <n v="55179.999999999993"/>
    <n v="2.3028472825308231E-5"/>
    <n v="-2.2369085600516935E-3"/>
    <m/>
    <m/>
    <m/>
    <n v="55179.999999999993"/>
    <n v="2.3028472825308231E-5"/>
    <n v="-2.2369085600516935E-3"/>
    <n v="4342.4503552011602"/>
    <m/>
    <n v="139.99999999999997"/>
    <n v="4.522927576125154E-3"/>
    <n v="2.3822364983971092E-5"/>
    <n v="31.424941535190083"/>
    <n v="1.0344743728637695"/>
    <n v="-502.41750697854877"/>
    <m/>
    <s v="26/02/2026"/>
    <e v="#VALUE!"/>
    <e v="#VALUE!"/>
    <s v="#N/A Field Not Applicable"/>
  </r>
  <r>
    <x v="2"/>
    <x v="0"/>
    <m/>
    <s v="USD"/>
    <s v="Long"/>
    <m/>
    <m/>
    <n v="33.479999999999997"/>
    <n v="7.2202166064980755E-3"/>
    <n v="33.24"/>
    <n v="1"/>
    <n v="1"/>
    <n v="0"/>
    <n v="0"/>
    <n v="0"/>
    <n v="600652.04358100879"/>
    <n v="2.5067233169755561E-4"/>
    <n v="2.4884923440753749E-2"/>
    <n v="600652.04358100879"/>
    <n v="2.5067233169755561E-4"/>
    <n v="2.4884923440753749E-2"/>
    <n v="17892.50377837515"/>
    <m/>
    <n v="6279.2178988456717"/>
    <n v="2.0609341628205352E-2"/>
    <n v="2.8673629013172155E-4"/>
    <n v="13.154601619501397"/>
    <n v="1.1438689231872559"/>
    <n v="0"/>
    <m/>
    <s v="#N/A N/A"/>
    <n v="1.143193E-2"/>
    <n v="2.8656685489032368E-2"/>
    <s v="19/12/2025"/>
  </r>
  <r>
    <x v="3"/>
    <x v="1"/>
    <m/>
    <s v="USD"/>
    <s v="Short"/>
    <m/>
    <m/>
    <n v="25161.5"/>
    <n v="-1.1413641364136362E-2"/>
    <n v="25452"/>
    <n v="1"/>
    <n v="20"/>
    <n v="0"/>
    <n v="0"/>
    <n v="0"/>
    <n v="0"/>
    <n v="0"/>
    <n v="5.6340047687868933E-3"/>
    <n v="0"/>
    <n v="0"/>
    <n v="5.6340047687868933E-3"/>
    <n v="1.1903921199054111"/>
    <m/>
    <n v="0"/>
    <n v="0"/>
    <e v="#VALUE!"/>
    <n v="15.010396957397461"/>
    <s v="#N/A Field Not Applicable"/>
    <n v="0"/>
    <m/>
    <s v="#N/A Field Not Applicable"/>
    <e v="#VALUE!"/>
    <e v="#VALUE!"/>
    <s v="#N/A Field Not Applicable"/>
  </r>
  <r>
    <x v="4"/>
    <x v="1"/>
    <m/>
    <s v="USD"/>
    <s v="Short"/>
    <m/>
    <m/>
    <n v="25161.5"/>
    <n v="-1.1413641364136362E-2"/>
    <n v="25452"/>
    <n v="1"/>
    <n v="20"/>
    <n v="0"/>
    <n v="0"/>
    <n v="0"/>
    <n v="2706200.9397745132"/>
    <n v="1.1293888148137185E-3"/>
    <n v="-6.6664883093779215E-2"/>
    <n v="2706200.9397745132"/>
    <n v="1.1293888148137185E-3"/>
    <n v="-6.6664883093779215E-2"/>
    <n v="1.1903921199054111"/>
    <m/>
    <n v="37.643635272979736"/>
    <n v="0.10595359018499102"/>
    <e v="#VALUE!"/>
    <n v="15.010396957397461"/>
    <s v="#N/A Field Not Applicable"/>
    <n v="0"/>
    <m/>
    <s v="#N/A Field Not Applicable"/>
    <e v="#VALUE!"/>
    <e v="#VALUE!"/>
    <s v="#N/A Field Not Applicable"/>
  </r>
  <r>
    <x v="5"/>
    <x v="1"/>
    <m/>
    <s v="USD"/>
    <s v="Short"/>
    <m/>
    <n v="155000"/>
    <n v="200.3"/>
    <n v="2.4968789013746218E-4"/>
    <n v="200.25"/>
    <n v="1"/>
    <n v="1"/>
    <n v="31046500"/>
    <n v="1.2956750300306852E-2"/>
    <n v="3.2343360709709931E-2"/>
    <n v="0"/>
    <n v="0"/>
    <n v="0"/>
    <n v="31046500"/>
    <n v="1.2956750300306852E-2"/>
    <n v="3.2343360709709931E-2"/>
    <n v="2990.7190539191215"/>
    <m/>
    <n v="54250"/>
    <n v="0.47233906853275892"/>
    <n v="1.2908234741431317E-2"/>
    <n v="5.8328090928364666"/>
    <n v="0.99625557661056519"/>
    <n v="7264.4322370981872"/>
    <m/>
    <s v="#N/A N/A"/>
    <e v="#VALUE!"/>
    <e v="#VALUE!"/>
    <s v="22/12/2025"/>
  </r>
  <r>
    <x v="5"/>
    <x v="1"/>
    <m/>
    <s v="USD"/>
    <s v="Short"/>
    <m/>
    <n v="-155000"/>
    <n v="200.3"/>
    <n v="3.2362459546926292E-3"/>
    <n v="199.65387096774194"/>
    <n v="1"/>
    <n v="1"/>
    <n v="-31046500"/>
    <n v="-1.2956750300306852E-2"/>
    <n v="-0.41795968710667863"/>
    <n v="0"/>
    <n v="0"/>
    <n v="0"/>
    <n v="-31046500"/>
    <n v="-1.2956750300306852E-2"/>
    <n v="-0.41795968710667863"/>
    <n v="2990.7190539191215"/>
    <m/>
    <n v="-54250"/>
    <n v="-0.47233906853275892"/>
    <n v="-1.2908234741431317E-2"/>
    <n v="5.8328090928364666"/>
    <n v="0.99625557661056519"/>
    <n v="-93875.211425190777"/>
    <m/>
    <s v="#N/A N/A"/>
    <e v="#VALUE!"/>
    <e v="#VALUE!"/>
    <s v="22/12/2025"/>
  </r>
  <r>
    <x v="6"/>
    <x v="0"/>
    <m/>
    <s v="USD"/>
    <s v="Short"/>
    <m/>
    <m/>
    <n v="605.75"/>
    <n v="-1.7469019658729601E-2"/>
    <n v="616.52"/>
    <n v="1"/>
    <n v="1"/>
    <n v="0"/>
    <n v="0"/>
    <n v="0"/>
    <n v="-7275318.7537193298"/>
    <n v="-3.0362355965110723E-3"/>
    <n v="-3.7560031791912654E-2"/>
    <n v="-7275318.7537193298"/>
    <n v="-3.0362355965110723E-3"/>
    <n v="-3.7560031791912654E-2"/>
    <n v="988.92451754023944"/>
    <m/>
    <n v="-4203.650951385498"/>
    <n v="-0.34511395281585122"/>
    <n v="-3.0389643186258851E-3"/>
    <n v="18.186412317274481"/>
    <n v="1.0008987188339233"/>
    <n v="0"/>
    <m/>
    <s v="#N/A N/A"/>
    <n v="-2.7899040000000002E-3"/>
    <n v="8.4708058356486274E-2"/>
    <s v="22/12/2025"/>
  </r>
  <r>
    <x v="7"/>
    <x v="1"/>
    <m/>
    <s v="USD"/>
    <s v="Short"/>
    <m/>
    <n v="-105"/>
    <n v="25161.5"/>
    <n v="-3.7416851441242072E-3"/>
    <n v="25256"/>
    <n v="1"/>
    <n v="20"/>
    <n v="-52839150"/>
    <n v="-2.2051557265084915E-2"/>
    <n v="0.82819870101167437"/>
    <n v="0"/>
    <n v="0"/>
    <n v="0"/>
    <n v="-52839150"/>
    <n v="-2.2051557265084915E-2"/>
    <n v="0.82819870101167437"/>
    <n v="1.1903921199054111"/>
    <m/>
    <n v="-735"/>
    <n v="-2.0687664254856655"/>
    <e v="#VALUE!"/>
    <n v="15.010396957397461"/>
    <s v="#N/A Field Not Applicable"/>
    <n v="186016.33257442678"/>
    <m/>
    <s v="#N/A Field Not Applicable"/>
    <e v="#VALUE!"/>
    <e v="#VALUE!"/>
    <s v="#N/A Field Not Applicable"/>
  </r>
  <r>
    <x v="7"/>
    <x v="1"/>
    <m/>
    <s v="USD"/>
    <s v="Short"/>
    <m/>
    <n v="120"/>
    <n v="25161.5"/>
    <n v="2.026034796027476E-3"/>
    <n v="25110.625"/>
    <n v="1"/>
    <n v="20"/>
    <n v="60387600"/>
    <n v="2.5201779731525618E-2"/>
    <n v="0.50956443131028184"/>
    <n v="0"/>
    <n v="0"/>
    <n v="0"/>
    <n v="60387600"/>
    <n v="2.5201779731525618E-2"/>
    <n v="0.50956443131028184"/>
    <n v="1.1903921199054111"/>
    <m/>
    <n v="839.99999999999989"/>
    <n v="2.3643044862693321"/>
    <e v="#VALUE!"/>
    <n v="15.010396957397461"/>
    <s v="#N/A Field Not Applicable"/>
    <n v="114449.95821283702"/>
    <m/>
    <s v="#N/A Field Not Applicable"/>
    <e v="#VALUE!"/>
    <e v="#VALUE!"/>
    <s v="#N/A Field Not Applicable"/>
  </r>
  <r>
    <x v="7"/>
    <x v="1"/>
    <m/>
    <s v="USD"/>
    <s v="Short"/>
    <m/>
    <n v="-20"/>
    <n v="25161.5"/>
    <n v="-1.1413641364136362E-2"/>
    <n v="25452"/>
    <n v="1"/>
    <n v="20"/>
    <n v="-10064600"/>
    <n v="-4.2002966219209358E-3"/>
    <n v="0.48494174380225025"/>
    <n v="0"/>
    <n v="0"/>
    <n v="0"/>
    <n v="-10064600"/>
    <n v="-4.2002966219209358E-3"/>
    <n v="0.48494174380225025"/>
    <n v="1.1903921199054111"/>
    <m/>
    <n v="-139.99999999999997"/>
    <n v="-0.39405074771155529"/>
    <e v="#VALUE!"/>
    <n v="15.010396957397461"/>
    <s v="#N/A Field Not Applicable"/>
    <n v="108919.61625169258"/>
    <m/>
    <s v="#N/A Field Not Applicable"/>
    <e v="#VALUE!"/>
    <e v="#VALUE!"/>
    <s v="#N/A Field Not Applicable"/>
  </r>
  <r>
    <x v="8"/>
    <x v="2"/>
    <m/>
    <s v="USD"/>
    <s v="Long"/>
    <m/>
    <n v="14500"/>
    <n v="333.34"/>
    <n v="-2.1602582917522817E-2"/>
    <n v="340.7"/>
    <n v="1"/>
    <n v="1"/>
    <n v="4833430"/>
    <n v="2.0171531607109383E-3"/>
    <n v="-0.44537851031476977"/>
    <n v="-302631.57452791923"/>
    <n v="-1.2629835067228039E-4"/>
    <n v="0"/>
    <n v="4530798.4254720807"/>
    <n v="1.8908548100386579E-3"/>
    <n v="-0.44537851031476977"/>
    <n v="1797.087137757245"/>
    <m/>
    <n v="4757.2432018816471"/>
    <n v="0.24726386290185592"/>
    <n v="1.9454385785709009E-3"/>
    <n v="20.922927479285473"/>
    <n v="1.028867244720459"/>
    <n v="-100033.57527005726"/>
    <m/>
    <s v="04/02/2026"/>
    <n v="9.8620059999999996E-3"/>
    <n v="0.18647621481730106"/>
    <s v="09/03/2026"/>
  </r>
  <r>
    <x v="8"/>
    <x v="2"/>
    <m/>
    <s v="USD"/>
    <s v="Long"/>
    <m/>
    <n v="-7000"/>
    <n v="333.34"/>
    <m/>
    <n v="332.03"/>
    <n v="1"/>
    <n v="1"/>
    <n v="-2333380"/>
    <n v="-9.7379807758459099E-4"/>
    <n v="-3.8269499059093312E-2"/>
    <m/>
    <m/>
    <m/>
    <n v="-2333380"/>
    <n v="-9.7379807758459099E-4"/>
    <n v="-3.8269499059093312E-2"/>
    <n v="1797.087137757245"/>
    <m/>
    <n v="-2450"/>
    <n v="-0.12734191597981254"/>
    <n v="-1.0019089449985379E-3"/>
    <n v="20.922927479285473"/>
    <n v="1.028867244720459"/>
    <n v="-8595.4636921516576"/>
    <m/>
    <s v="04/02/2026"/>
    <n v="9.8620059999999996E-3"/>
    <n v="-9.603602483927702E-2"/>
    <s v="09/03/2026"/>
  </r>
  <r>
    <x v="8"/>
    <x v="2"/>
    <m/>
    <s v="USD"/>
    <s v="Long"/>
    <m/>
    <n v="7000"/>
    <n v="333.34"/>
    <m/>
    <n v="344.1"/>
    <n v="1"/>
    <n v="1"/>
    <n v="2333380"/>
    <n v="9.7379807758459099E-4"/>
    <n v="-0.31433573272965276"/>
    <m/>
    <m/>
    <m/>
    <n v="2333380"/>
    <n v="9.7379807758459099E-4"/>
    <n v="-0.31433573272965276"/>
    <n v="1797.087137757245"/>
    <m/>
    <n v="2450"/>
    <n v="0.12734191597981254"/>
    <n v="1.0019089449985379E-3"/>
    <n v="20.922927479285473"/>
    <n v="1.028867244720459"/>
    <n v="-70600.907883627544"/>
    <m/>
    <s v="04/02/2026"/>
    <n v="9.8620059999999996E-3"/>
    <n v="9.603602483927702E-2"/>
    <s v="09/03/2026"/>
  </r>
  <r>
    <x v="9"/>
    <x v="2"/>
    <m/>
    <s v="USD"/>
    <s v="Long"/>
    <m/>
    <n v="8500"/>
    <n v="276.49"/>
    <n v="2.6013062193854797E-2"/>
    <n v="269.48"/>
    <n v="1"/>
    <n v="1"/>
    <n v="2350165"/>
    <n v="9.8080302351378264E-4"/>
    <n v="0.24866827714679041"/>
    <n v="2305547.1222370854"/>
    <n v="9.6218248009975217E-4"/>
    <n v="0.25853821883433237"/>
    <n v="4655712.1222370854"/>
    <n v="1.9429855036135347E-3"/>
    <n v="0.50720649598112277"/>
    <n v="2166.5920159861116"/>
    <m/>
    <n v="5893.5196310281735"/>
    <n v="0.30617635177731894"/>
    <n v="2.0806330842527707E-3"/>
    <n v="25.212857323569065"/>
    <n v="1.0708433389663696"/>
    <n v="55851.767077083423"/>
    <m/>
    <s v="01/05/2026"/>
    <n v="1.057583E-2"/>
    <n v="0.20548684378681131"/>
    <s v="09/02/2026"/>
  </r>
  <r>
    <x v="9"/>
    <x v="2"/>
    <m/>
    <s v="USD"/>
    <s v="Long"/>
    <m/>
    <n v="-4395"/>
    <n v="276.49"/>
    <n v="5.6375936567978346E-3"/>
    <n v="274.94"/>
    <n v="1"/>
    <n v="1"/>
    <n v="-1215173.55"/>
    <n v="-5.0713285745212643E-4"/>
    <n v="-2.8429814063828773E-2"/>
    <m/>
    <m/>
    <m/>
    <n v="-1215173.55"/>
    <n v="-5.0713285745212643E-4"/>
    <n v="-2.8429814063828773E-2"/>
    <n v="2166.5920159861116"/>
    <m/>
    <n v="-1538.2499999999998"/>
    <n v="-7.9914177368964709E-2"/>
    <n v="-5.4305984237359105E-4"/>
    <n v="25.212857323569065"/>
    <n v="1.0708433389663696"/>
    <n v="-6385.435936407901"/>
    <m/>
    <s v="01/05/2026"/>
    <n v="1.057583E-2"/>
    <n v="-5.3633508878279217E-2"/>
    <s v="09/02/2026"/>
  </r>
  <r>
    <x v="10"/>
    <x v="2"/>
    <m/>
    <s v="USD"/>
    <s v="Long"/>
    <m/>
    <n v="14700"/>
    <n v="232.99"/>
    <n v="-2.3593998826586193E-2"/>
    <n v="238.62"/>
    <n v="1"/>
    <n v="1"/>
    <n v="3424953"/>
    <n v="1.4293482618422963E-3"/>
    <n v="-0.34538953234783126"/>
    <n v="0"/>
    <n v="0"/>
    <n v="0"/>
    <n v="3424953"/>
    <n v="1.4293482618422963E-3"/>
    <n v="-0.34538953234783126"/>
    <n v="2571.1018777629943"/>
    <m/>
    <n v="5145"/>
    <n v="0.24920465852025017"/>
    <n v="1.8146685678708048E-3"/>
    <n v="27.895752510201948"/>
    <n v="1.2695776224136353"/>
    <n v="-77575.700177334948"/>
    <m/>
    <s v="05/02/2026"/>
    <n v="5.4481980000000005E-4"/>
    <n v="7.7873723414726764E-3"/>
    <s v="#N/A Field Not Applicable"/>
  </r>
  <r>
    <x v="10"/>
    <x v="2"/>
    <m/>
    <s v="USD"/>
    <s v="Long"/>
    <m/>
    <n v="-2500"/>
    <n v="232.99"/>
    <n v="-3.4324451881406759E-4"/>
    <n v="233.07"/>
    <n v="1"/>
    <n v="1"/>
    <n v="-582475"/>
    <n v="-2.4308643908882592E-4"/>
    <n v="8.3466737315344888E-4"/>
    <m/>
    <m/>
    <m/>
    <n v="-582475"/>
    <n v="-2.4308643908882592E-4"/>
    <n v="8.3466737315344888E-4"/>
    <n v="2571.1018777629943"/>
    <m/>
    <n v="-875"/>
    <n v="-4.2381744646301053E-2"/>
    <n v="-3.0861710337938856E-4"/>
    <n v="27.895752510201948"/>
    <n v="1.2695776224136353"/>
    <n v="187.46921902180881"/>
    <m/>
    <s v="05/02/2026"/>
    <n v="5.4481980000000005E-4"/>
    <n v="-1.3243830512708634E-3"/>
    <s v="#N/A Field Not Applicable"/>
  </r>
  <r>
    <x v="11"/>
    <x v="2"/>
    <m/>
    <s v="USD"/>
    <s v="Short"/>
    <m/>
    <m/>
    <n v="80.16"/>
    <n v="2.7520640480360736E-3"/>
    <n v="79.94"/>
    <n v="1"/>
    <n v="1"/>
    <n v="0"/>
    <n v="0"/>
    <n v="0"/>
    <n v="-216826.30548477173"/>
    <n v="-9.0488921414788834E-5"/>
    <n v="-2.0866684328840653E-3"/>
    <n v="-216826.30548477173"/>
    <n v="-9.0488921414788834E-5"/>
    <n v="-2.0866684328840653E-3"/>
    <n v="7473.0666978542922"/>
    <m/>
    <n v="-946.7216432094574"/>
    <n v="-1.6110864244775622E-2"/>
    <n v="-9.9909151533744667E-5"/>
    <n v="28.486783120644127"/>
    <n v="1.104103684425354"/>
    <n v="0"/>
    <m/>
    <s v="17/04/2026"/>
    <n v="-3.7526619999999998E-4"/>
    <n v="3.3957433681426424E-4"/>
    <s v="#N/A Field Not Applicable"/>
  </r>
  <r>
    <x v="12"/>
    <x v="2"/>
    <m/>
    <s v="USD"/>
    <s v="Long"/>
    <m/>
    <n v="585"/>
    <n v="2052.7800000000002"/>
    <n v="-2.6440221386463514E-2"/>
    <n v="2108.5300000000002"/>
    <n v="1"/>
    <n v="1"/>
    <n v="1200876.3"/>
    <n v="5.0116613340171615E-4"/>
    <n v="-0.13610816520594352"/>
    <n v="2102524.249920845"/>
    <n v="8.7745419633660307E-4"/>
    <n v="1.0767209113681625E-2"/>
    <n v="3303400.5499208448"/>
    <n v="1.3786203297383192E-3"/>
    <n v="-0.1253409560922619"/>
    <n v="291.81939930240941"/>
    <m/>
    <n v="563.23141908645619"/>
    <n v="0.34834756800397215"/>
    <n v="1.3127375558220364E-3"/>
    <n v="40.428542709227941"/>
    <n v="0.95221108198165894"/>
    <n v="-30570.371209368659"/>
    <m/>
    <s v="24/02/2026"/>
    <n v="-5.5049360000000002E-3"/>
    <n v="-7.5892166835083444E-2"/>
    <s v="29/03/2018"/>
  </r>
  <r>
    <x v="13"/>
    <x v="2"/>
    <m/>
    <s v="USD"/>
    <s v="Long"/>
    <m/>
    <n v="4450"/>
    <n v="668.99"/>
    <n v="-3.2832152667341408E-2"/>
    <n v="691.7"/>
    <n v="1"/>
    <n v="1"/>
    <n v="2977005.5"/>
    <n v="1.242404680274432E-3"/>
    <n v="-0.42175533698608936"/>
    <n v="3338848.4008839726"/>
    <n v="1.3934139120619865E-3"/>
    <n v="-0.47297470033966005"/>
    <n v="6315853.9008839726"/>
    <n v="2.6358185923364185E-3"/>
    <n v="-0.89473003732574941"/>
    <n v="895.44092811551741"/>
    <m/>
    <n v="3304.3077853322025"/>
    <n v="1.0647150490513608"/>
    <n v="3.1192095897572118E-3"/>
    <n v="64.630550958066394"/>
    <n v="1.183393120765686"/>
    <n v="-94727.727698691422"/>
    <m/>
    <s v="30/04/2026"/>
    <e v="#VALUE!"/>
    <e v="#VALUE!"/>
    <s v="15/12/2025"/>
  </r>
  <r>
    <x v="13"/>
    <x v="2"/>
    <m/>
    <s v="USD"/>
    <s v="Long"/>
    <m/>
    <n v="2035"/>
    <n v="668"/>
    <m/>
    <n v="672.57"/>
    <n v="1"/>
    <n v="1"/>
    <n v="1359380"/>
    <m/>
    <n v="-3.8811824184800232E-2"/>
    <m/>
    <m/>
    <m/>
    <n v="1359380"/>
    <m/>
    <n v="-3.8811824184800232E-2"/>
    <n v="896.76800374251502"/>
    <m/>
    <n v="0"/>
    <n v="0"/>
    <n v="0"/>
    <n v="64.630550958066394"/>
    <n v="1.183393120765686"/>
    <n v="-8717.2718172111836"/>
    <m/>
    <s v="30/04/2026"/>
    <e v="#VALUE!"/>
    <e v="#VALUE!"/>
    <s v="15/12/2025"/>
  </r>
  <r>
    <x v="14"/>
    <x v="2"/>
    <m/>
    <s v="USD"/>
    <s v="Long"/>
    <m/>
    <n v="8500"/>
    <n v="83.84"/>
    <m/>
    <n v="83.8"/>
    <n v="1"/>
    <n v="1"/>
    <n v="712640"/>
    <n v="2.9740867840209604E-4"/>
    <n v="1.4189345343613672E-3"/>
    <m/>
    <m/>
    <m/>
    <n v="712640"/>
    <n v="2.9740867840209604E-4"/>
    <n v="1.4189345343613672E-3"/>
    <n v="7145.0504114980913"/>
    <m/>
    <n v="2975"/>
    <n v="6.5705623065891158E-2"/>
    <n v="2.9708260909294915E-4"/>
    <n v="35.348328592917397"/>
    <n v="0.99890363216400146"/>
    <n v="318.69767233718818"/>
    <m/>
    <s v="#N/A N/A"/>
    <n v="-1.862041E-2"/>
    <n v="-5.5378715294051736E-2"/>
    <s v="21/03/2024"/>
  </r>
  <r>
    <x v="14"/>
    <x v="2"/>
    <m/>
    <s v="USD"/>
    <s v="Long"/>
    <m/>
    <n v="-20000"/>
    <n v="83.84"/>
    <n v="-1.8152008431900679E-2"/>
    <n v="85.39"/>
    <n v="1"/>
    <n v="1"/>
    <n v="-1676800"/>
    <n v="-6.9978512565199073E-4"/>
    <n v="0.12937344283881005"/>
    <n v="0"/>
    <n v="0"/>
    <n v="0"/>
    <n v="-1676800"/>
    <n v="-6.9978512565199073E-4"/>
    <n v="0.12937344283881005"/>
    <n v="7145.0504114980913"/>
    <m/>
    <n v="-7000"/>
    <n v="-0.154601466037391"/>
    <n v="-6.9901790374811575E-4"/>
    <n v="35.348328592917397"/>
    <n v="0.99890363216400146"/>
    <n v="29057.728948386084"/>
    <m/>
    <s v="#N/A N/A"/>
    <n v="-1.862041E-2"/>
    <n v="0.13030285951541584"/>
    <s v="21/03/2024"/>
  </r>
  <r>
    <x v="15"/>
    <x v="2"/>
    <m/>
    <s v="USD"/>
    <s v="Long"/>
    <m/>
    <n v="1880"/>
    <n v="414.19"/>
    <n v="7.2469054740886829E-3"/>
    <n v="411.21"/>
    <n v="1"/>
    <n v="1"/>
    <n v="778677.2"/>
    <n v="3.2496822652930597E-4"/>
    <n v="2.3380702456779204E-2"/>
    <n v="0"/>
    <n v="0"/>
    <n v="0"/>
    <n v="778677.2"/>
    <n v="3.2496822652930597E-4"/>
    <n v="2.3380702456779204E-2"/>
    <n v="1446.2952425215483"/>
    <m/>
    <n v="657.99999999999989"/>
    <n v="0.13373639866445305"/>
    <n v="3.3081726938391634E-4"/>
    <n v="65.845895196719511"/>
    <n v="1.0179988145828247"/>
    <n v="5251.3877632399854"/>
    <m/>
    <s v="30/04/2026"/>
    <e v="#VALUE!"/>
    <e v="#VALUE!"/>
    <s v="19/02/2026"/>
  </r>
  <r>
    <x v="16"/>
    <x v="3"/>
    <m/>
    <s v="KRW"/>
    <s v="Long"/>
    <m/>
    <n v="1393"/>
    <n v="900000"/>
    <n v="-7.717750826901848E-3"/>
    <n v="907000"/>
    <n v="1459.3"/>
    <n v="1"/>
    <n v="859110.5324470636"/>
    <n v="3.58535765683097E-4"/>
    <n v="-2.7886115108685328E-2"/>
    <n v="0"/>
    <n v="0"/>
    <n v="0"/>
    <n v="859110.5324470636"/>
    <n v="3.58535765683097E-4"/>
    <n v="-2.7886115108685328E-2"/>
    <n v="971.31174441272231"/>
    <m/>
    <n v="0.33409854039608028"/>
    <n v="0.21247934212708341"/>
    <n v="5.9875257747617791E-4"/>
    <n v="94.820930000000004"/>
    <n v="1.669994"/>
    <n v="-6263.319244439188"/>
    <m/>
    <s v="23/04/2026"/>
    <e v="#VALUE!"/>
    <e v="#VALUE!"/>
    <s v="26/02/2026"/>
  </r>
  <r>
    <x v="17"/>
    <x v="3"/>
    <m/>
    <s v="KRW"/>
    <s v="Long"/>
    <m/>
    <n v="285"/>
    <n v="565000"/>
    <n v="1.618705035971213E-2"/>
    <n v="556000"/>
    <n v="1459.3"/>
    <n v="1"/>
    <n v="110344.00054820805"/>
    <n v="4.6050268540416921E-5"/>
    <n v="7.3354410064380947E-3"/>
    <n v="0"/>
    <n v="0"/>
    <n v="0"/>
    <n v="110344.00054820805"/>
    <n v="4.6050268540416921E-5"/>
    <n v="7.3354410064380947E-3"/>
    <n v="1547.2222477370797"/>
    <m/>
    <n v="6.8354690605084617E-2"/>
    <n v="3.0251687786584734E-2"/>
    <n v="9.1391132693968721E-5"/>
    <n v="105.1084"/>
    <n v="1.9845950000000001"/>
    <n v="1647.5657739705175"/>
    <m/>
    <s v="11/03/2026"/>
    <e v="#VALUE!"/>
    <e v="#VALUE!"/>
    <s v="#N/A N/A"/>
  </r>
  <r>
    <x v="17"/>
    <x v="3"/>
    <m/>
    <s v="KRW"/>
    <s v="Long"/>
    <m/>
    <n v="625"/>
    <n v="565000"/>
    <m/>
    <n v="566384"/>
    <n v="1459.3"/>
    <n v="1"/>
    <n v="241982.45734256151"/>
    <n v="1.0098743100968623E-4"/>
    <n v="-2.4737452126974467E-3"/>
    <n v="0"/>
    <n v="0"/>
    <n v="0"/>
    <n v="241982.45734256151"/>
    <n v="1.0098743100968623E-4"/>
    <n v="-2.4737452126974467E-3"/>
    <n v="1547.2222477370797"/>
    <m/>
    <n v="0.14990063729185227"/>
    <n v="6.634142058461566E-2"/>
    <n v="2.0041915064466826E-4"/>
    <n v="105.1084"/>
    <n v="1.9845950000000001"/>
    <n v="-555.61184970155841"/>
    <m/>
    <s v="11/03/2026"/>
    <e v="#VALUE!"/>
    <e v="#VALUE!"/>
    <s v="#N/A N/A"/>
  </r>
  <r>
    <x v="18"/>
    <x v="3"/>
    <m/>
    <s v="KRW"/>
    <s v="Long"/>
    <m/>
    <n v="6180"/>
    <n v="168100"/>
    <n v="3.5820895522387097E-3"/>
    <n v="167500"/>
    <n v="1459.3"/>
    <n v="1"/>
    <n v="711887.89145480713"/>
    <n v="2.9709479817022482E-4"/>
    <n v="1.0604216472464895E-2"/>
    <n v="0"/>
    <n v="0"/>
    <n v="0"/>
    <n v="711887.89145480713"/>
    <n v="2.9709479817022482E-4"/>
    <n v="1.0604216472464895E-2"/>
    <n v="5200.3603210675192"/>
    <m/>
    <n v="1.4822175015418353"/>
    <n v="0.13861219623422727"/>
    <n v="3.4644224414629913E-4"/>
    <n v="74.649410000000003"/>
    <n v="1.1660999999999999"/>
    <n v="2381.7442065819409"/>
    <m/>
    <s v="07/04/2026"/>
    <e v="#VALUE!"/>
    <e v="#VALUE!"/>
    <s v="29/12/2025"/>
  </r>
  <r>
    <x v="19"/>
    <x v="3"/>
    <m/>
    <s v="JPY"/>
    <s v="Long"/>
    <m/>
    <n v="1000"/>
    <n v="16390"/>
    <n v="3.918336292163338E-2"/>
    <n v="15772"/>
    <n v="156.91999999999999"/>
    <n v="1"/>
    <n v="104448.12643385165"/>
    <n v="4.3589721660679801E-5"/>
    <n v="1.6435904811653516E-2"/>
    <n v="0"/>
    <n v="0"/>
    <n v="0"/>
    <n v="104448.12643385165"/>
    <n v="4.3589721660679801E-5"/>
    <n v="1.6435904811653516E-2"/>
    <n v="5735.2970029517992"/>
    <m/>
    <n v="2.2304358908998214"/>
    <n v="2.1377726264550419E-2"/>
    <n v="5.7302176300696455E-5"/>
    <n v="78.468869999999995"/>
    <n v="1.3145800000000001"/>
    <n v="3691.5618581283734"/>
    <m/>
    <s v="05/02/2026"/>
    <e v="#VALUE!"/>
    <e v="#VALUE!"/>
    <s v="30/03/2026"/>
  </r>
  <r>
    <x v="20"/>
    <x v="3"/>
    <m/>
    <s v="USD"/>
    <s v="Long"/>
    <m/>
    <n v="38300"/>
    <n v="120.26"/>
    <n v="-3.2657657657657602E-2"/>
    <n v="124.32"/>
    <n v="1"/>
    <n v="1"/>
    <n v="4605958"/>
    <n v="1.9222214323579389E-3"/>
    <n v="-0.64894553595320215"/>
    <n v="0"/>
    <n v="0"/>
    <n v="0"/>
    <n v="4605958"/>
    <n v="1.9222214323579389E-3"/>
    <n v="-0.64894553595320215"/>
    <n v="4981.2159196740395"/>
    <m/>
    <n v="13404.999999999998"/>
    <n v="0.48845781189396392"/>
    <n v="1.7760895715907927E-3"/>
    <n v="40.657776771932916"/>
    <n v="0.92397761344909668"/>
    <n v="-145755.44309729469"/>
    <m/>
    <s v="#N/A N/A"/>
    <n v="1.7696240000000002E-2"/>
    <n v="0.34016091800149856"/>
    <s v="16/12/2025"/>
  </r>
  <r>
    <x v="20"/>
    <x v="3"/>
    <m/>
    <s v="USD"/>
    <s v="Long"/>
    <m/>
    <n v="11500"/>
    <n v="120.26"/>
    <m/>
    <n v="123.7"/>
    <n v="1"/>
    <n v="1"/>
    <n v="1382990"/>
    <n v="5.7716831519885896E-4"/>
    <n v="-0.16509720640978492"/>
    <m/>
    <m/>
    <m/>
    <n v="1382990"/>
    <n v="5.7716831519885896E-4"/>
    <n v="-0.16509720640978492"/>
    <n v="4981.2159196740395"/>
    <m/>
    <n v="4025"/>
    <n v="0.14666487824492389"/>
    <n v="5.3329060243587773E-4"/>
    <n v="40.657776771932916"/>
    <n v="0.92397761344909668"/>
    <n v="-37081.411522521135"/>
    <m/>
    <s v="#N/A N/A"/>
    <n v="1.7696240000000002E-2"/>
    <n v="0.10213709026154656"/>
    <s v="16/12/2025"/>
  </r>
  <r>
    <x v="20"/>
    <x v="3"/>
    <m/>
    <s v="USD"/>
    <s v="Long"/>
    <m/>
    <n v="-15100"/>
    <n v="120.26"/>
    <m/>
    <n v="126.11"/>
    <n v="1"/>
    <n v="1"/>
    <n v="-1815926"/>
    <n v="-7.5784709213067567E-4"/>
    <n v="0.36865171203762248"/>
    <m/>
    <m/>
    <m/>
    <n v="-1815926"/>
    <n v="-7.5784709213067567E-4"/>
    <n v="0.36865171203762248"/>
    <n v="4981.2159196740395"/>
    <m/>
    <n v="-5285"/>
    <n v="-0.19257736186942181"/>
    <n v="-7.002337475462394E-4"/>
    <n v="40.657776771932916"/>
    <n v="0.92397761344909668"/>
    <n v="82800.467311473782"/>
    <m/>
    <s v="#N/A N/A"/>
    <n v="1.7696240000000002E-2"/>
    <n v="-0.13411044025646549"/>
    <s v="16/12/2025"/>
  </r>
  <r>
    <x v="21"/>
    <x v="4"/>
    <m/>
    <s v="USD"/>
    <s v="Long"/>
    <m/>
    <n v="3600"/>
    <n v="465.54"/>
    <n v="6.9960928522178722E-2"/>
    <n v="435.1"/>
    <n v="1"/>
    <n v="1"/>
    <n v="1675944"/>
    <n v="6.9942788801628092E-4"/>
    <n v="0.45733094709832861"/>
    <n v="0"/>
    <n v="0"/>
    <n v="0"/>
    <n v="1675944"/>
    <n v="6.9942788801628092E-4"/>
    <n v="0.45733094709832861"/>
    <n v="1286.7659631825406"/>
    <m/>
    <n v="1259.9999999999998"/>
    <n v="0.34805588331764964"/>
    <n v="1.4301394815578986E-3"/>
    <n v="79.620704700192974"/>
    <n v="2.0447275638580322"/>
    <n v="102718.13448644988"/>
    <m/>
    <s v="06/05/2026"/>
    <e v="#VALUE!"/>
    <e v="#VALUE!"/>
    <s v="#N/A N/A"/>
  </r>
  <r>
    <x v="21"/>
    <x v="4"/>
    <m/>
    <s v="USD"/>
    <s v="Long"/>
    <m/>
    <n v="850"/>
    <n v="465.54"/>
    <m/>
    <n v="453"/>
    <n v="1"/>
    <n v="1"/>
    <n v="395709"/>
    <n v="1.6514269578162189E-4"/>
    <n v="4.4483597652221978E-2"/>
    <n v="0"/>
    <n v="0"/>
    <n v="0"/>
    <n v="395709"/>
    <n v="1.6514269578162189E-4"/>
    <n v="4.4483597652221978E-2"/>
    <n v="1286.7659631825406"/>
    <m/>
    <n v="297.5"/>
    <n v="8.2179861338889507E-2"/>
    <n v="3.3767182203450389E-4"/>
    <n v="79.620704700192974"/>
    <n v="2.0447275638580322"/>
    <n v="9991.1720277693039"/>
    <m/>
    <s v="06/05/2026"/>
    <e v="#VALUE!"/>
    <e v="#VALUE!"/>
    <s v="#N/A N/A"/>
  </r>
  <r>
    <x v="22"/>
    <x v="4"/>
    <m/>
    <s v="USD"/>
    <s v="Long"/>
    <m/>
    <n v="44721"/>
    <n v="81.16"/>
    <n v="-2.3462880519793061E-2"/>
    <n v="83.11"/>
    <n v="1"/>
    <n v="1"/>
    <n v="3629556.36"/>
    <n v="1.514736136357098E-3"/>
    <n v="-0.36393980604932796"/>
    <n v="0"/>
    <n v="0"/>
    <n v="0"/>
    <n v="3629556.36"/>
    <n v="1.514736136357098E-3"/>
    <n v="-0.36393980604932796"/>
    <n v="7380.988498028586"/>
    <m/>
    <n v="15652.349999999999"/>
    <n v="0.29656033434360635"/>
    <n v="1.4148415809778351E-3"/>
    <n v="31.325359154032089"/>
    <n v="0.934051513671875"/>
    <n v="-81742.156702790919"/>
    <m/>
    <s v="11/02/2026"/>
    <n v="1.0347740000000001E-2"/>
    <n v="0.156740957076278"/>
    <s v="02/01/2026"/>
  </r>
  <r>
    <x v="23"/>
    <x v="5"/>
    <m/>
    <s v="USD"/>
    <s v="Long"/>
    <m/>
    <m/>
    <n v="308.05"/>
    <n v="-3.8335466550120101E-2"/>
    <n v="320.33"/>
    <n v="1"/>
    <n v="1"/>
    <n v="0"/>
    <n v="0"/>
    <n v="0"/>
    <n v="3737758.3249300718"/>
    <n v="1.5598924612762195E-3"/>
    <n v="-0.27418823208096266"/>
    <n v="3737758.3249300718"/>
    <n v="1.5598924612762195E-3"/>
    <n v="-0.27418823208096266"/>
    <n v="1944.6227122220419"/>
    <m/>
    <n v="4246.7632323503494"/>
    <n v="0.32587296096576845"/>
    <n v="3.1663216885282701E-3"/>
    <n v="33.425171958241975"/>
    <n v="2.0298333168029785"/>
    <n v="0"/>
    <m/>
    <s v="04/03/2026"/>
    <n v="-6.1186640000000002E-3"/>
    <n v="-9.5444578466821986E-2"/>
    <s v="22/12/2025"/>
  </r>
  <r>
    <x v="23"/>
    <x v="5"/>
    <m/>
    <s v="USD"/>
    <s v="Long"/>
    <m/>
    <n v="7490"/>
    <n v="308.05"/>
    <m/>
    <n v="313.68"/>
    <n v="1"/>
    <n v="1"/>
    <n v="2307294.5"/>
    <n v="9.6291171970339161E-4"/>
    <n v="-0.17598419029151408"/>
    <m/>
    <m/>
    <m/>
    <n v="2307294.5"/>
    <n v="9.6291171970339161E-4"/>
    <n v="-0.17598419029151408"/>
    <n v="1944.6227122220419"/>
    <m/>
    <n v="2621.4999999999995"/>
    <n v="0.20115931132307727"/>
    <n v="1.9545502897939954E-3"/>
    <n v="33.425171958241975"/>
    <n v="2.0298333168029785"/>
    <n v="-39526.666280832578"/>
    <m/>
    <s v="04/03/2026"/>
    <n v="-6.1186640000000002E-3"/>
    <n v="-5.8917332745272333E-2"/>
    <s v="22/12/2025"/>
  </r>
  <r>
    <x v="23"/>
    <x v="5"/>
    <m/>
    <s v="USD"/>
    <s v="Long"/>
    <m/>
    <n v="-7490"/>
    <n v="308.05"/>
    <m/>
    <n v="308.51"/>
    <n v="1"/>
    <n v="1"/>
    <n v="-2307294.5"/>
    <n v="-9.6291171970339161E-4"/>
    <n v="1.4378814837316685E-2"/>
    <m/>
    <m/>
    <m/>
    <n v="-2307294.5"/>
    <n v="-9.6291171970339161E-4"/>
    <n v="1.4378814837316685E-2"/>
    <n v="1944.6227122220419"/>
    <m/>
    <n v="-2621.4999999999995"/>
    <n v="-0.20115931132307727"/>
    <n v="-1.9545502897939954E-3"/>
    <n v="33.425171958241975"/>
    <n v="2.0298333168029785"/>
    <n v="3229.5322360891992"/>
    <m/>
    <s v="04/03/2026"/>
    <n v="-6.1186640000000002E-3"/>
    <n v="5.8917332745272333E-2"/>
    <s v="22/12/2025"/>
  </r>
  <r>
    <x v="24"/>
    <x v="5"/>
    <m/>
    <s v="USD"/>
    <s v="Long"/>
    <m/>
    <n v="3738"/>
    <n v="325.74"/>
    <n v="-2.9813849590469066E-2"/>
    <n v="335.75"/>
    <n v="1"/>
    <n v="1"/>
    <n v="1217616.1200000001"/>
    <n v="5.0815222419494841E-4"/>
    <n v="-0.15615533137445289"/>
    <n v="11838491.165801883"/>
    <n v="4.9406011617310662E-3"/>
    <n v="-1.5785125027659499"/>
    <n v="13056107.285801884"/>
    <n v="5.4487533859260157E-3"/>
    <n v="-1.7346678341404027"/>
    <n v="1839.0158608092345"/>
    <m/>
    <n v="14028.481457698344"/>
    <n v="1.3657015125676841"/>
    <n v="7.9638534858994733E-3"/>
    <n v="40.103162417891902"/>
    <n v="1.4615918397903442"/>
    <n v="-35073.035032218184"/>
    <m/>
    <s v="17/04/2026"/>
    <e v="#VALUE!"/>
    <e v="#VALUE!"/>
    <s v="17/03/2026"/>
  </r>
  <r>
    <x v="24"/>
    <x v="5"/>
    <m/>
    <s v="USD"/>
    <s v="Long"/>
    <m/>
    <n v="-100"/>
    <n v="325.74"/>
    <m/>
    <n v="945.82"/>
    <n v="1"/>
    <n v="1"/>
    <n v="-32574"/>
    <n v="-1.3594227506552926E-5"/>
    <n v="0.2587802723725468"/>
    <m/>
    <m/>
    <m/>
    <n v="-32574"/>
    <n v="-1.3594227506552926E-5"/>
    <n v="0.2587802723725468"/>
    <n v="1839.0158608092345"/>
    <m/>
    <n v="-35"/>
    <n v="-3.4073219602566603E-3"/>
    <n v="-1.9869211991831196E-5"/>
    <n v="40.103162417891902"/>
    <n v="1.4615918397903442"/>
    <n v="58122.956665533173"/>
    <m/>
    <s v="17/04/2026"/>
    <e v="#VALUE!"/>
    <e v="#VALUE!"/>
    <s v="17/03/2026"/>
  </r>
  <r>
    <x v="25"/>
    <x v="5"/>
    <m/>
    <s v="USD"/>
    <s v="Long"/>
    <m/>
    <m/>
    <n v="48.6"/>
    <n v="-1.3197969543147225E-2"/>
    <n v="49.25"/>
    <n v="1"/>
    <n v="1"/>
    <n v="0"/>
    <n v="0"/>
    <n v="0"/>
    <n v="529333.41613411903"/>
    <n v="2.2090866598354722E-4"/>
    <n v="-3.2343360709700952E-3"/>
    <n v="529333.41613411903"/>
    <n v="2.2090866598354722E-4"/>
    <n v="-3.2343360709700952E-3"/>
    <n v="12325.947047325104"/>
    <m/>
    <n v="3812.0719268918028"/>
    <n v="0.18260583076243256"/>
    <n v="3.2532502940452033E-4"/>
    <n v="132.25797544839287"/>
    <n v="1.4726675748825073"/>
    <n v="0"/>
    <m/>
    <s v="24/04/2026"/>
    <e v="#VALUE!"/>
    <e v="#VALUE!"/>
    <s v="03/09/2024"/>
  </r>
  <r>
    <x v="25"/>
    <x v="5"/>
    <m/>
    <s v="USD"/>
    <s v="Long"/>
    <m/>
    <n v="1500"/>
    <n v="48.6"/>
    <m/>
    <n v="47.8"/>
    <n v="1"/>
    <n v="1"/>
    <n v="72900"/>
    <n v="3.0423625751449263E-5"/>
    <n v="5.0080042389217165E-3"/>
    <m/>
    <m/>
    <m/>
    <n v="72900"/>
    <n v="3.0423625751449263E-5"/>
    <n v="5.0080042389217165E-3"/>
    <n v="12325.947047325104"/>
    <m/>
    <n v="524.99999999999989"/>
    <n v="2.5148544673039185E-2"/>
    <n v="4.4803887154519786E-5"/>
    <n v="132.25797544839287"/>
    <n v="1.4726675748825073"/>
    <n v="1124.8153141310827"/>
    <m/>
    <s v="24/04/2026"/>
    <e v="#VALUE!"/>
    <e v="#VALUE!"/>
    <s v="03/09/2024"/>
  </r>
  <r>
    <x v="26"/>
    <x v="5"/>
    <m/>
    <s v="USD"/>
    <s v="Long"/>
    <m/>
    <n v="23027"/>
    <n v="174.19"/>
    <n v="-3.4102251303094189E-2"/>
    <n v="180.34"/>
    <n v="1"/>
    <n v="1"/>
    <n v="4011073.13"/>
    <n v="1.6739559364720739E-3"/>
    <n v="-0.59101148224945543"/>
    <n v="875665.5388712883"/>
    <n v="3.654447275454214E-4"/>
    <n v="-0.13302511259635738"/>
    <n v="4886738.6688712882"/>
    <n v="2.0394006640174953E-3"/>
    <n v="-0.72403659484581284"/>
    <n v="3439.0092800964467"/>
    <m/>
    <n v="9818.9249331474275"/>
    <n v="0.43067838665200942"/>
    <n v="3.7551871198037417E-3"/>
    <n v="33.78862382469557"/>
    <n v="1.8413189649581909"/>
    <n v="-132743.25147229363"/>
    <m/>
    <s v="25/02/2026"/>
    <n v="-4.935119E-3"/>
    <n v="-0.10064684965605357"/>
    <s v="04/12/2025"/>
  </r>
  <r>
    <x v="26"/>
    <x v="5"/>
    <m/>
    <s v="USD"/>
    <s v="Long"/>
    <m/>
    <n v="2000"/>
    <n v="174.19"/>
    <n v="-4.287184177432235E-3"/>
    <n v="174.94"/>
    <n v="1"/>
    <n v="1"/>
    <n v="348380"/>
    <n v="1.4539070972962817E-4"/>
    <n v="-6.2600052986521116E-3"/>
    <m/>
    <m/>
    <m/>
    <n v="348380"/>
    <n v="1.4539070972962817E-4"/>
    <n v="-6.2600052986521116E-3"/>
    <n v="3439.0092800964467"/>
    <m/>
    <n v="699.99999999999989"/>
    <n v="3.070344999162445E-2"/>
    <n v="2.6771067115389569E-4"/>
    <n v="33.78862382469557"/>
    <n v="1.8413189649581909"/>
    <n v="-1406.0191426638455"/>
    <m/>
    <s v="25/02/2026"/>
    <n v="-4.935119E-3"/>
    <n v="-7.1752045401017282E-3"/>
    <s v="04/12/2025"/>
  </r>
  <r>
    <x v="27"/>
    <x v="5"/>
    <m/>
    <s v="USD"/>
    <s v="Long"/>
    <m/>
    <n v="-2000"/>
    <n v="200.19"/>
    <n v="-0.12293537787513698"/>
    <n v="228.25"/>
    <n v="1"/>
    <n v="1"/>
    <n v="-400380"/>
    <n v="-1.6709206143162216E-4"/>
    <n v="0.23420766490690437"/>
    <n v="0"/>
    <n v="0"/>
    <n v="0"/>
    <n v="-400380"/>
    <n v="-1.6709206143162216E-4"/>
    <n v="0.23420766490690437"/>
    <n v="2992.3623882311804"/>
    <m/>
    <n v="-700"/>
    <n v="-0.11511561904108633"/>
    <n v="-2.617377542721004E-4"/>
    <n v="110.22964758927867"/>
    <n v="1.5664284229278564"/>
    <n v="52603.862857530017"/>
    <m/>
    <s v="06/05/2026"/>
    <e v="#VALUE!"/>
    <e v="#VALUE!"/>
    <s v="27/04/1995"/>
  </r>
  <r>
    <x v="27"/>
    <x v="5"/>
    <m/>
    <s v="USD"/>
    <s v="Long"/>
    <m/>
    <n v="2000"/>
    <n v="200.19"/>
    <n v="-3.7686872085756828E-2"/>
    <n v="208.03"/>
    <n v="1"/>
    <n v="1"/>
    <n v="400380"/>
    <n v="1.6709206143162216E-4"/>
    <n v="-6.543792205524343E-2"/>
    <n v="0"/>
    <n v="0"/>
    <n v="0"/>
    <n v="400380"/>
    <n v="1.6709206143162216E-4"/>
    <n v="-6.543792205524343E-2"/>
    <n v="2992.3623882311804"/>
    <m/>
    <n v="700"/>
    <n v="0.11511561904108633"/>
    <n v="2.617377542721004E-4"/>
    <n v="110.22964758927867"/>
    <n v="1.5664284229278564"/>
    <n v="-14697.586771312737"/>
    <m/>
    <s v="06/05/2026"/>
    <e v="#VALUE!"/>
    <e v="#VALUE!"/>
    <s v="27/04/1995"/>
  </r>
  <r>
    <x v="28"/>
    <x v="5"/>
    <m/>
    <s v="USD"/>
    <s v="Short"/>
    <m/>
    <m/>
    <n v="73.73"/>
    <n v="-2.3960815462006901E-2"/>
    <n v="75.540000000000006"/>
    <n v="1"/>
    <n v="1"/>
    <n v="0"/>
    <n v="0"/>
    <n v="0"/>
    <n v="-676827.39587500703"/>
    <n v="-2.8246287229669693E-4"/>
    <n v="7.2303061199431931E-2"/>
    <n v="-676827.39587500703"/>
    <n v="-2.8246287229669693E-4"/>
    <n v="7.2303061199431931E-2"/>
    <n v="8124.7935236674357"/>
    <m/>
    <n v="-3212.9335217177868"/>
    <n v="-6.5124456046768434E-2"/>
    <n v="-5.6066297897348731E-4"/>
    <n v="36.889495892890125"/>
    <n v="1.9849085807800293"/>
    <n v="0"/>
    <m/>
    <s v="05/03/2026"/>
    <n v="-5.6923529999999998E-3"/>
    <n v="1.6078783785067198E-2"/>
    <s v="09/01/2026"/>
  </r>
  <r>
    <x v="29"/>
    <x v="6"/>
    <m/>
    <s v="USD"/>
    <s v="Long"/>
    <m/>
    <n v="35500"/>
    <n v="14.14"/>
    <n v="-7.8226857887874757E-2"/>
    <n v="15.34"/>
    <n v="1"/>
    <n v="1"/>
    <n v="501970"/>
    <n v="2.0948899065096002E-4"/>
    <n v="-0.17778415048171986"/>
    <n v="0"/>
    <n v="0"/>
    <n v="0"/>
    <n v="501970"/>
    <n v="2.0948899065096002E-4"/>
    <n v="-0.17778415048171986"/>
    <n v="42364.994801980196"/>
    <m/>
    <n v="12424.999999999998"/>
    <n v="0.11231129324748737"/>
    <n v="4.253990976842991E-4"/>
    <n v="85.779242449730276"/>
    <n v="2.030651330947876"/>
    <n v="-39930.943651653186"/>
    <m/>
    <s v="24/02/2026"/>
    <n v="-2.0208629999999998E-2"/>
    <n v="-4.2334855011387104E-2"/>
    <s v="12/10/2017"/>
  </r>
  <r>
    <x v="29"/>
    <x v="6"/>
    <m/>
    <s v="USD"/>
    <s v="Long"/>
    <m/>
    <n v="3500"/>
    <n v="14.14"/>
    <m/>
    <n v="13.79"/>
    <n v="1"/>
    <n v="1"/>
    <n v="49490"/>
    <n v="2.0653844148686201E-5"/>
    <n v="5.1123376605659116E-3"/>
    <m/>
    <m/>
    <m/>
    <n v="49490"/>
    <n v="2.0653844148686201E-5"/>
    <n v="5.1123376605659116E-3"/>
    <n v="42364.994801980196"/>
    <m/>
    <n v="1225"/>
    <n v="1.1072944404681853E-2"/>
    <n v="4.1940756109719637E-5"/>
    <n v="85.779242449730276"/>
    <n v="2.030651330947876"/>
    <n v="1148.2489665088119"/>
    <m/>
    <s v="24/02/2026"/>
    <n v="-2.0208629999999998E-2"/>
    <n v="-4.1738589447846437E-3"/>
    <s v="12/10/2017"/>
  </r>
  <r>
    <x v="30"/>
    <x v="6"/>
    <m/>
    <s v="USD"/>
    <s v="Long"/>
    <m/>
    <n v="5500"/>
    <n v="66.650000000000006"/>
    <m/>
    <n v="65.930000000000007"/>
    <n v="1"/>
    <n v="1"/>
    <n v="366575.00000000006"/>
    <m/>
    <n v="1.6526413988441548E-2"/>
    <m/>
    <m/>
    <m/>
    <n v="366575.00000000006"/>
    <m/>
    <n v="1.6526413988441548E-2"/>
    <n v="8987.8623630907732"/>
    <m/>
    <n v="0"/>
    <n v="0"/>
    <n v="0"/>
    <n v="32.4738607919179"/>
    <n v="0.69100040197372437"/>
    <n v="3711.8905366325462"/>
    <m/>
    <s v="10/02/2026"/>
    <n v="3.7956520000000001E-3"/>
    <n v="5.8067439054610408E-3"/>
    <s v="13/03/2026"/>
  </r>
  <r>
    <x v="30"/>
    <x v="6"/>
    <m/>
    <s v="USD"/>
    <s v="Long"/>
    <m/>
    <n v="26000"/>
    <n v="66.459999999999994"/>
    <n v="-2.9781021897810289E-2"/>
    <n v="68.5"/>
    <n v="1"/>
    <n v="1"/>
    <n v="1727959.9999999998"/>
    <n v="7.2113591705726013E-4"/>
    <n v="-0.22135378736033934"/>
    <n v="0"/>
    <n v="0"/>
    <n v="0"/>
    <n v="1727959.9999999998"/>
    <n v="7.2113591705726013E-4"/>
    <n v="-0.22135378736033934"/>
    <n v="9013.5574255191113"/>
    <m/>
    <n v="9100"/>
    <n v="0.14636292114105948"/>
    <n v="4.9830520856425711E-4"/>
    <n v="32.4738607919179"/>
    <n v="0.69100040197372437"/>
    <n v="-49716.836884593729"/>
    <m/>
    <s v="10/02/2026"/>
    <n v="3.7956520000000001E-3"/>
    <n v="2.7371809858502235E-2"/>
    <s v="13/03/2026"/>
  </r>
  <r>
    <x v="31"/>
    <x v="7"/>
    <m/>
    <s v="USD"/>
    <s v="Long"/>
    <m/>
    <n v="23500"/>
    <n v="53.96"/>
    <n v="8.0328787595740359E-3"/>
    <n v="53.53"/>
    <n v="1"/>
    <n v="1"/>
    <n v="1268060"/>
    <n v="5.2920415460058648E-4"/>
    <n v="4.2171569028586361E-2"/>
    <n v="0"/>
    <n v="0"/>
    <n v="0"/>
    <n v="1268060"/>
    <n v="5.2920415460058648E-4"/>
    <n v="4.2171569028586361E-2"/>
    <n v="11101.575732023723"/>
    <m/>
    <n v="8225"/>
    <n v="4.9004413783153622E-2"/>
    <n v="5.2912775739246548E-4"/>
    <n v="14.816032975444616"/>
    <n v="0.999855637550354"/>
    <n v="9471.8822910787658"/>
    <m/>
    <s v="#N/A N/A"/>
    <n v="0"/>
    <n v="0"/>
    <s v="22/12/2025"/>
  </r>
  <r>
    <x v="32"/>
    <x v="7"/>
    <m/>
    <s v="USD"/>
    <s v="Long"/>
    <m/>
    <n v="15000"/>
    <n v="89.1"/>
    <n v="8.4889643463497144E-3"/>
    <n v="88.35"/>
    <n v="1"/>
    <n v="1"/>
    <n v="1336500"/>
    <n v="5.5776647210990316E-4"/>
    <n v="4.6950039739890835E-2"/>
    <n v="0"/>
    <n v="0"/>
    <n v="0"/>
    <n v="1336500"/>
    <n v="5.5776647210990316E-4"/>
    <n v="4.6950039739890835E-2"/>
    <n v="6723.2438439955113"/>
    <m/>
    <n v="5250"/>
    <n v="6.4794613499418327E-2"/>
    <n v="5.5560804305735572E-4"/>
    <n v="18.586879416918727"/>
    <n v="0.99613022804260254"/>
    <n v="10545.143569978842"/>
    <m/>
    <s v="#N/A N/A"/>
    <n v="3.3005440000000003E-3"/>
    <n v="1.8409327829235083E-2"/>
    <s v="22/12/2025"/>
  </r>
  <r>
    <x v="33"/>
    <x v="7"/>
    <m/>
    <s v="USD"/>
    <s v="Short"/>
    <m/>
    <n v="-11500"/>
    <n v="24.48"/>
    <n v="2.5555090071219144E-2"/>
    <n v="23.87"/>
    <n v="1"/>
    <n v="1"/>
    <n v="-281520"/>
    <n v="-1.1748777944510283E-4"/>
    <n v="-2.9275958113363015E-2"/>
    <n v="0"/>
    <n v="0"/>
    <n v="0"/>
    <n v="-281520"/>
    <n v="-1.1748777944510283E-4"/>
    <n v="-2.9275958113363015E-2"/>
    <n v="24470.630167483661"/>
    <m/>
    <n v="-4025"/>
    <n v="-1.9748268420145747E-2"/>
    <n v="-4.364443944234386E-5"/>
    <n v="26.894056234161162"/>
    <n v="0.37148067355155945"/>
    <n v="-6575.4828571912449"/>
    <m/>
    <s v="11/02/2026"/>
    <e v="#VALUE!"/>
    <e v="#VALUE!"/>
    <s v="28/11/2025"/>
  </r>
  <r>
    <x v="33"/>
    <x v="7"/>
    <m/>
    <s v="USD"/>
    <s v="Short"/>
    <m/>
    <n v="-1970"/>
    <n v="24.48"/>
    <m/>
    <n v="24.58"/>
    <n v="1"/>
    <n v="1"/>
    <n v="-48225.599999999999"/>
    <n v="-2.0126167435378486E-5"/>
    <n v="8.2214736255629311E-4"/>
    <m/>
    <m/>
    <m/>
    <n v="-48225.599999999999"/>
    <n v="-2.0126167435378486E-5"/>
    <n v="8.2214736255629311E-4"/>
    <n v="24470.630167483661"/>
    <m/>
    <n v="-689.5"/>
    <n v="-3.3829642424075758E-3"/>
    <n v="-7.476482234905862E-6"/>
    <n v="26.894056234161162"/>
    <n v="0.37148067355155945"/>
    <n v="184.65718073651445"/>
    <m/>
    <s v="11/02/2026"/>
    <e v="#VALUE!"/>
    <e v="#VALUE!"/>
    <s v="28/11/2025"/>
  </r>
  <r>
    <x v="34"/>
    <x v="7"/>
    <m/>
    <s v="USD"/>
    <s v="Short"/>
    <m/>
    <n v="-27500"/>
    <n v="86.99"/>
    <n v="1.3042971934319247E-2"/>
    <n v="85.87"/>
    <n v="1"/>
    <n v="1"/>
    <n v="-2392225"/>
    <n v="-9.9835607837120313E-4"/>
    <n v="-0.12853877546565556"/>
    <n v="0"/>
    <n v="0"/>
    <n v="0"/>
    <n v="-2392225"/>
    <n v="-9.9835607837120313E-4"/>
    <n v="-0.12853877546565556"/>
    <n v="6886.3205713300385"/>
    <m/>
    <n v="-9625"/>
    <n v="-9.3765675492480841E-2"/>
    <n v="-1.0012121599962775E-3"/>
    <n v="15.027211637027554"/>
    <n v="1.0028607845306396"/>
    <n v="-28870.259729364043"/>
    <m/>
    <s v="#N/A N/A"/>
    <n v="4.7746129999999996E-3"/>
    <n v="-4.7667639104201652E-2"/>
    <s v="22/12/20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1AA609-234C-461F-BF62-F80263F1BA3E}" name="Tabela dinâ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12:F56" firstHeaderRow="0" firstDataRow="1" firstDataCol="1"/>
  <pivotFields count="34">
    <pivotField axis="axisRow" showAll="0">
      <items count="195">
        <item m="1" x="191"/>
        <item m="1" x="187"/>
        <item m="1" x="167"/>
        <item x="9"/>
        <item m="1" x="148"/>
        <item x="2"/>
        <item m="1" x="111"/>
        <item m="1" x="77"/>
        <item m="1" x="113"/>
        <item m="1" x="95"/>
        <item m="1" x="124"/>
        <item m="1" x="38"/>
        <item m="1" x="192"/>
        <item m="1" x="185"/>
        <item m="1" x="190"/>
        <item x="14"/>
        <item m="1" x="163"/>
        <item m="1" x="65"/>
        <item m="1" x="52"/>
        <item x="13"/>
        <item m="1" x="66"/>
        <item x="15"/>
        <item m="1" x="105"/>
        <item m="1" x="132"/>
        <item x="26"/>
        <item m="1" x="193"/>
        <item x="5"/>
        <item m="1" x="53"/>
        <item m="1" x="88"/>
        <item x="24"/>
        <item m="1" x="63"/>
        <item m="1" x="62"/>
        <item m="1" x="51"/>
        <item x="31"/>
        <item x="34"/>
        <item m="1" x="189"/>
        <item m="1" x="188"/>
        <item m="1" x="61"/>
        <item x="32"/>
        <item m="1" x="179"/>
        <item m="1" x="55"/>
        <item x="6"/>
        <item m="1" x="70"/>
        <item m="1" x="71"/>
        <item m="1" x="72"/>
        <item m="1" x="80"/>
        <item m="1" x="76"/>
        <item m="1" x="89"/>
        <item m="1" x="186"/>
        <item m="1" x="102"/>
        <item m="1" x="145"/>
        <item m="1" x="129"/>
        <item m="1" x="73"/>
        <item m="1" x="177"/>
        <item m="1" x="127"/>
        <item m="1" x="183"/>
        <item m="1" x="122"/>
        <item m="1" x="184"/>
        <item m="1" x="173"/>
        <item m="1" x="182"/>
        <item m="1" x="178"/>
        <item x="10"/>
        <item m="1" x="180"/>
        <item m="1" x="181"/>
        <item m="1" x="165"/>
        <item m="1" x="176"/>
        <item m="1" x="108"/>
        <item m="1" x="153"/>
        <item x="23"/>
        <item m="1" x="151"/>
        <item m="1" x="160"/>
        <item m="1" x="85"/>
        <item m="1" x="100"/>
        <item m="1" x="166"/>
        <item m="1" x="68"/>
        <item m="1" x="159"/>
        <item m="1" x="175"/>
        <item m="1" x="174"/>
        <item m="1" x="119"/>
        <item m="1" x="120"/>
        <item x="20"/>
        <item x="27"/>
        <item m="1" x="172"/>
        <item m="1" x="43"/>
        <item m="1" x="170"/>
        <item m="1" x="169"/>
        <item m="1" x="135"/>
        <item m="1" x="107"/>
        <item m="1" x="168"/>
        <item m="1" x="171"/>
        <item x="28"/>
        <item m="1" x="161"/>
        <item m="1" x="118"/>
        <item x="7"/>
        <item m="1" x="103"/>
        <item m="1" x="164"/>
        <item m="1" x="78"/>
        <item m="1" x="128"/>
        <item m="1" x="162"/>
        <item m="1" x="74"/>
        <item m="1" x="146"/>
        <item m="1" x="147"/>
        <item m="1" x="133"/>
        <item m="1" x="79"/>
        <item m="1" x="158"/>
        <item m="1" x="114"/>
        <item m="1" x="157"/>
        <item m="1" x="155"/>
        <item m="1" x="156"/>
        <item m="1" x="154"/>
        <item m="1" x="150"/>
        <item m="1" x="92"/>
        <item m="1" x="45"/>
        <item m="1" x="152"/>
        <item m="1" x="149"/>
        <item m="1" x="131"/>
        <item x="11"/>
        <item m="1" x="138"/>
        <item m="1" x="139"/>
        <item m="1" x="82"/>
        <item m="1" x="142"/>
        <item m="1" x="134"/>
        <item m="1" x="123"/>
        <item m="1" x="136"/>
        <item m="1" x="144"/>
        <item m="1" x="141"/>
        <item m="1" x="143"/>
        <item m="1" x="109"/>
        <item m="1" x="87"/>
        <item m="1" x="140"/>
        <item m="1" x="99"/>
        <item m="1" x="137"/>
        <item m="1" x="115"/>
        <item m="1" x="116"/>
        <item x="17"/>
        <item m="1" x="83"/>
        <item m="1" x="125"/>
        <item m="1" x="69"/>
        <item m="1" x="110"/>
        <item m="1" x="101"/>
        <item m="1" x="104"/>
        <item m="1" x="106"/>
        <item m="1" x="84"/>
        <item m="1" x="126"/>
        <item m="1" x="130"/>
        <item m="1" x="121"/>
        <item m="1" x="112"/>
        <item m="1" x="47"/>
        <item m="1" x="117"/>
        <item m="1" x="93"/>
        <item m="1" x="98"/>
        <item m="1" x="81"/>
        <item m="1" x="42"/>
        <item m="1" x="91"/>
        <item m="1" x="97"/>
        <item m="1" x="96"/>
        <item m="1" x="94"/>
        <item m="1" x="90"/>
        <item m="1" x="86"/>
        <item m="1" x="75"/>
        <item m="1" x="67"/>
        <item m="1" x="64"/>
        <item m="1" x="56"/>
        <item x="21"/>
        <item m="1" x="54"/>
        <item m="1" x="57"/>
        <item m="1" x="48"/>
        <item m="1" x="60"/>
        <item m="1" x="58"/>
        <item x="29"/>
        <item m="1" x="59"/>
        <item m="1" x="46"/>
        <item x="1"/>
        <item x="0"/>
        <item x="8"/>
        <item m="1" x="50"/>
        <item x="4"/>
        <item m="1" x="44"/>
        <item m="1" x="49"/>
        <item x="16"/>
        <item x="33"/>
        <item m="1" x="41"/>
        <item x="25"/>
        <item x="22"/>
        <item m="1" x="35"/>
        <item m="1" x="40"/>
        <item m="1" x="39"/>
        <item x="18"/>
        <item m="1" x="36"/>
        <item m="1" x="37"/>
        <item x="3"/>
        <item x="30"/>
        <item x="19"/>
        <item x="12"/>
        <item t="default"/>
      </items>
    </pivotField>
    <pivotField axis="axisRow" showAll="0">
      <items count="28">
        <item x="0"/>
        <item m="1" x="18"/>
        <item x="1"/>
        <item m="1" x="10"/>
        <item sd="0" m="1" x="24"/>
        <item m="1" x="8"/>
        <item m="1" x="13"/>
        <item m="1" x="22"/>
        <item m="1" x="26"/>
        <item m="1" x="11"/>
        <item m="1" x="12"/>
        <item m="1" x="25"/>
        <item m="1" x="23"/>
        <item x="5"/>
        <item x="3"/>
        <item m="1" x="17"/>
        <item m="1" x="20"/>
        <item m="1" x="21"/>
        <item m="1" x="16"/>
        <item m="1" x="15"/>
        <item m="1" x="19"/>
        <item x="4"/>
        <item m="1" x="14"/>
        <item x="6"/>
        <item m="1" x="9"/>
        <item x="2"/>
        <item x="7"/>
        <item t="default"/>
      </items>
    </pivotField>
    <pivotField showAll="0"/>
    <pivotField showAll="0"/>
    <pivotField showAll="0"/>
    <pivotField showAll="0"/>
    <pivotField showAll="0"/>
    <pivotField numFmtId="43" showAll="0"/>
    <pivotField dataField="1" numFmtId="10" showAll="0"/>
    <pivotField numFmtId="43" showAll="0"/>
    <pivotField numFmtId="43" showAll="0"/>
    <pivotField numFmtId="166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numFmtId="170" showAll="0"/>
    <pivotField numFmtId="166" showAll="0"/>
    <pivotField showAll="0"/>
    <pivotField numFmtId="10" showAll="0"/>
    <pivotField numFmtId="43" showAll="0"/>
    <pivotField numFmtId="10" showAll="0"/>
    <pivotField numFmtId="43" showAll="0"/>
    <pivotField showAll="0"/>
    <pivotField showAll="0"/>
    <pivotField numFmtId="166" showAll="0"/>
    <pivotField showAll="0"/>
    <pivotField showAll="0"/>
    <pivotField showAll="0"/>
    <pivotField showAll="0"/>
  </pivotFields>
  <rowFields count="2">
    <field x="1"/>
    <field x="0"/>
  </rowFields>
  <rowItems count="44">
    <i>
      <x/>
    </i>
    <i r="1">
      <x v="5"/>
    </i>
    <i r="1">
      <x v="41"/>
    </i>
    <i r="1">
      <x v="172"/>
    </i>
    <i r="1">
      <x v="173"/>
    </i>
    <i>
      <x v="2"/>
    </i>
    <i r="1">
      <x v="26"/>
    </i>
    <i r="1">
      <x v="93"/>
    </i>
    <i r="1">
      <x v="176"/>
    </i>
    <i r="1">
      <x v="190"/>
    </i>
    <i>
      <x v="13"/>
    </i>
    <i r="1">
      <x v="24"/>
    </i>
    <i r="1">
      <x v="29"/>
    </i>
    <i r="1">
      <x v="68"/>
    </i>
    <i r="1">
      <x v="81"/>
    </i>
    <i r="1">
      <x v="90"/>
    </i>
    <i r="1">
      <x v="182"/>
    </i>
    <i>
      <x v="14"/>
    </i>
    <i r="1">
      <x v="80"/>
    </i>
    <i r="1">
      <x v="134"/>
    </i>
    <i r="1">
      <x v="179"/>
    </i>
    <i r="1">
      <x v="187"/>
    </i>
    <i r="1">
      <x v="192"/>
    </i>
    <i>
      <x v="21"/>
    </i>
    <i r="1">
      <x v="163"/>
    </i>
    <i r="1">
      <x v="183"/>
    </i>
    <i>
      <x v="23"/>
    </i>
    <i r="1">
      <x v="169"/>
    </i>
    <i r="1">
      <x v="191"/>
    </i>
    <i>
      <x v="25"/>
    </i>
    <i r="1">
      <x v="3"/>
    </i>
    <i r="1">
      <x v="15"/>
    </i>
    <i r="1">
      <x v="19"/>
    </i>
    <i r="1">
      <x v="21"/>
    </i>
    <i r="1">
      <x v="61"/>
    </i>
    <i r="1">
      <x v="116"/>
    </i>
    <i r="1">
      <x v="174"/>
    </i>
    <i r="1">
      <x v="193"/>
    </i>
    <i>
      <x v="26"/>
    </i>
    <i r="1">
      <x v="33"/>
    </i>
    <i r="1">
      <x v="34"/>
    </i>
    <i r="1">
      <x v="38"/>
    </i>
    <i r="1">
      <x v="18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of % Chg" fld="8" subtotal="average" baseField="1" baseItem="1" numFmtId="172"/>
    <dataField name="Sum of _x000a_P&amp;L bps" fld="20" baseField="0" baseItem="0" numFmtId="170"/>
    <dataField name="Sum of D1 Exp %" fld="13" baseField="1" baseItem="0" numFmtId="10"/>
    <dataField name="Sum of Option Exp %" fld="16" baseField="0" baseItem="0" numFmtId="10"/>
    <dataField name="Sum of Exp %" fld="19" baseField="0" baseItem="0" numFmtId="10"/>
  </dataFields>
  <formats count="42">
    <format dxfId="1767">
      <pivotArea outline="0" collapsedLevelsAreSubtotals="1" fieldPosition="0"/>
    </format>
    <format dxfId="1766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65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64">
      <pivotArea outline="0" collapsedLevelsAreSubtotals="1" fieldPosition="0"/>
    </format>
    <format dxfId="1763">
      <pivotArea dataOnly="0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62">
      <pivotArea outline="0" collapsedLevelsAreSubtotals="1" fieldPosition="0"/>
    </format>
    <format dxfId="1761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60">
      <pivotArea outline="0" collapsedLevelsAreSubtotals="1" fieldPosition="0"/>
    </format>
    <format dxfId="1759">
      <pivotArea type="all" dataOnly="0" outline="0" fieldPosition="0"/>
    </format>
    <format dxfId="1758">
      <pivotArea dataOnly="0" labelOnly="1" grandRow="1" outline="0" fieldPosition="0"/>
    </format>
    <format dxfId="1757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6">
      <pivotArea outline="0" collapsedLevelsAreSubtotals="1" fieldPosition="0">
        <references count="1">
          <reference field="4294967294" count="3" selected="0">
            <x v="2"/>
            <x v="3"/>
            <x v="4"/>
          </reference>
        </references>
      </pivotArea>
    </format>
    <format dxfId="1755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4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3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2">
      <pivotArea dataOnly="0" labelOnly="1" grandRow="1" outline="0" fieldPosition="0"/>
    </format>
    <format dxfId="1751">
      <pivotArea type="all" dataOnly="0" outline="0" fieldPosition="0"/>
    </format>
    <format dxfId="1750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49">
      <pivotArea type="all" dataOnly="0" outline="0" fieldPosition="0"/>
    </format>
    <format dxfId="1748">
      <pivotArea outline="0" collapsedLevelsAreSubtotals="1" fieldPosition="0"/>
    </format>
    <format dxfId="1747">
      <pivotArea dataOnly="0" labelOnly="1" grandRow="1" outline="0" fieldPosition="0"/>
    </format>
    <format dxfId="1746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45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744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1743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174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741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740">
      <pivotArea type="all" dataOnly="0" outline="0" fieldPosition="0"/>
    </format>
    <format dxfId="1739">
      <pivotArea outline="0" collapsedLevelsAreSubtotals="1" fieldPosition="0"/>
    </format>
    <format dxfId="1738">
      <pivotArea dataOnly="0" labelOnly="1" grandRow="1" outline="0" fieldPosition="0"/>
    </format>
    <format dxfId="1737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36">
      <pivotArea type="all" dataOnly="0" outline="0" fieldPosition="0"/>
    </format>
    <format dxfId="1735">
      <pivotArea outline="0" collapsedLevelsAreSubtotals="1" fieldPosition="0"/>
    </format>
    <format dxfId="1734">
      <pivotArea dataOnly="0" labelOnly="1" grandRow="1" outline="0" fieldPosition="0"/>
    </format>
    <format dxfId="173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3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731">
      <pivotArea field="1" type="button" dataOnly="0" labelOnly="1" outline="0" axis="axisRow" fieldPosition="0"/>
    </format>
    <format dxfId="173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29">
      <pivotArea field="1" type="button" dataOnly="0" labelOnly="1" outline="0" axis="axisRow" fieldPosition="0"/>
    </format>
    <format dxfId="172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27">
      <pivotArea field="1" type="button" dataOnly="0" labelOnly="1" outline="0" axis="axisRow" fieldPosition="0"/>
    </format>
    <format dxfId="172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onditionalFormats count="1">
    <conditionalFormat priority="3719">
      <pivotAreas count="1">
        <pivotArea type="data" outline="0" collapsedLevelsAreSubtotals="1" fieldPosition="0">
          <references count="1">
            <reference field="4294967294" count="1" selected="0">
              <x v="4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8A667B-27C2-4003-A53C-C52DE885F6F5}" name="Tabelad" displayName="Tabelad" ref="B11:AI48" totalsRowShown="0" headerRowDxfId="1725" dataDxfId="1723" headerRowBorderDxfId="1724" tableBorderDxfId="1722">
  <autoFilter ref="B11:AI48" xr:uid="{488A667B-27C2-4003-A53C-C52DE885F6F5}"/>
  <sortState xmlns:xlrd2="http://schemas.microsoft.com/office/spreadsheetml/2017/richdata2" ref="B12:AI48">
    <sortCondition ref="C11:C48"/>
  </sortState>
  <tableColumns count="34">
    <tableColumn id="1" xr3:uid="{C4869650-AB2A-4E52-A8FD-8FC4A1E9B450}" name="Ticker" dataDxfId="1721" totalsRowDxfId="1720"/>
    <tableColumn id="2" xr3:uid="{3392DCC0-4423-44FF-B70A-0E06289D8EEE}" name="Sector" dataDxfId="1719"/>
    <tableColumn id="29" xr3:uid="{7A835F51-8D98-481A-BCE1-CD91D7445A8F}" name="Diretoria" dataDxfId="1718"/>
    <tableColumn id="3" xr3:uid="{B1589ED3-B8E2-4F6B-B66F-D68F68C1ABA6}" name="Crncy" dataDxfId="1717"/>
    <tableColumn id="4" xr3:uid="{616D46BC-AC49-4393-8BDA-875BFB778D29}" name="Long / Short" dataDxfId="1716" totalsRowDxfId="1715">
      <calculatedColumnFormula>IF(T12&gt;0,"Long","Short")</calculatedColumnFormula>
    </tableColumn>
    <tableColumn id="33" xr3:uid="{F6985B5B-9203-43DA-8157-CAE6E92D0561}" name="Qtdd " dataDxfId="1714"/>
    <tableColumn id="5" xr3:uid="{9A4DCF38-5D0D-4646-8CF9-69904711743E}" name="Qtt Shs" dataDxfId="1713"/>
    <tableColumn id="6" xr3:uid="{BC11B5F3-DE4D-477B-AAED-C5AB103E9DA0}" name="Price Today" dataDxfId="1712" totalsRowDxfId="1711">
      <calculatedColumnFormula array="1">_xll.BDP(B12&amp;" Equity","LAST_PRICE")</calculatedColumnFormula>
    </tableColumn>
    <tableColumn id="7" xr3:uid="{704FFD7D-1208-4AA6-81A9-0E257F085F19}" name="% Chg" dataDxfId="1710" totalsRowDxfId="1709">
      <calculatedColumnFormula>I12/K12-1</calculatedColumnFormula>
    </tableColumn>
    <tableColumn id="8" xr3:uid="{E069BEAC-4A43-4F60-BD21-C3F1FDA777D4}" name="Price Yest" dataDxfId="1708" dataCellStyle="Comma">
      <calculatedColumnFormula>_xll.BDP(B12&amp;" equity","PX_YEST_CLOSE")</calculatedColumnFormula>
    </tableColumn>
    <tableColumn id="9" xr3:uid="{A2F51CF4-C965-4A1F-975F-FCDA401F7124}" name="FX" dataDxfId="1707">
      <calculatedColumnFormula>_xll.BDP(E12&amp;" Curncy","PX_LAST")</calculatedColumnFormula>
    </tableColumn>
    <tableColumn id="10" xr3:uid="{0525E66F-8EF5-4CCF-835F-559F3DAE7E58}" name="Mult" dataDxfId="1706" totalsRowDxfId="1705" dataCellStyle="Comma"/>
    <tableColumn id="11" xr3:uid="{8FC681CE-75F1-4027-AD99-551C42A97619}" name="D1 Exp USD" dataDxfId="1704">
      <calculatedColumnFormula>IFERROR(IF(((I12/L12)*H12*M12)&lt;&gt;0,((I12/L12)*H12*M12),0),"-")</calculatedColumnFormula>
    </tableColumn>
    <tableColumn id="12" xr3:uid="{BE55CED1-1EEB-46EA-A2E5-D244B7925B83}" name="D1 Exp %" dataDxfId="1703">
      <calculatedColumnFormula>IFERROR(IF(Tabelad[[#This Row],[D1 Exp USD]]&lt;&gt;0,N12/$AE$7,0),"-")</calculatedColumnFormula>
    </tableColumn>
    <tableColumn id="13" xr3:uid="{622A85AF-E726-48C1-A6C0-2A26A6E13A5C}" name="D1 P&amp;L bps" dataDxfId="1702">
      <calculatedColumnFormula>IFERROR(IF(Tabelad[[#This Row],[D1 Exp USD]]&lt;&gt;0,((I12-K12)/L12*M12*H12)/$AD$7*10000,0),"-")</calculatedColumnFormula>
    </tableColumn>
    <tableColumn id="14" xr3:uid="{3AD2A39A-5631-414C-9559-F6C81117B46E}" name="Options Exp USD (delta adj)" dataDxfId="1701" totalsRowDxfId="1700">
      <calculatedColumnFormula>IF(SUM(SUMIFS(Options!$AL$4:$AL$25, Options!$D$4:$D$25, B12), SUMIFS(Options!$AL$4:$AL$25, Options!$D$4:$D$25, B12 &amp; " US"))=0,0,SUM(SUMIFS(Options!$AL$4:$AL$25, Options!$D$4:$D$25, B12), SUMIFS(Options!$AL$4:$AL$25, Options!$D$4:$D$25, B12 &amp; " US")))</calculatedColumnFormula>
    </tableColumn>
    <tableColumn id="15" xr3:uid="{F6743957-5F8D-4443-94E6-3E6136CB024F}" name="Option Exp %" dataDxfId="1699" totalsRowDxfId="1698" dataCellStyle="Percent">
      <calculatedColumnFormula>Q12/$AE$7</calculatedColumnFormula>
    </tableColumn>
    <tableColumn id="16" xr3:uid="{48C8F341-ED13-4859-B6ED-AB346A494BEF}" name="Options P&amp;L bps" dataDxfId="1697" totalsRowDxfId="1696">
      <calculatedColumnFormula>IF(SUM(SUMIFS(Options!$AK$4:$AK$25, Options!$D$4:$D$25, B12), SUMIFS(Options!$AK$4:$AK$25, Options!$D$4:$D$25, B12 &amp; " US"))=0,0,SUM(SUMIFS(Options!$AK$4:$AK$25, Options!$D$4:$D$25, B12), SUMIFS(Options!AK$4:$AK$25, Options!$D$4:$D$25, B12 &amp; " US")))</calculatedColumnFormula>
    </tableColumn>
    <tableColumn id="17" xr3:uid="{4E94A772-CD12-4BE4-A04C-0E1B9CF86096}" name="Exp" dataDxfId="1695" totalsRowDxfId="1694">
      <calculatedColumnFormula>N12+Q12</calculatedColumnFormula>
    </tableColumn>
    <tableColumn id="18" xr3:uid="{56683745-C1CE-4341-A873-C851B97E4432}" name="Exp %" dataDxfId="1693" totalsRowDxfId="1692">
      <calculatedColumnFormula>T12/$AE$7</calculatedColumnFormula>
    </tableColumn>
    <tableColumn id="19" xr3:uid="{AD790890-4299-4C9E-A460-9342E2B4BE92}" name="P&amp;L bps" dataDxfId="1691" totalsRowDxfId="1690">
      <calculatedColumnFormula>P12+S12</calculatedColumnFormula>
    </tableColumn>
    <tableColumn id="20" xr3:uid="{A3132FF2-B491-42D2-B6D5-98FB024D0411}" name="xx" dataDxfId="1689" totalsRowDxfId="1688">
      <calculatedColumnFormula>$W$10/(I12/L12*M12)</calculatedColumnFormula>
    </tableColumn>
    <tableColumn id="21" xr3:uid="{68119C5E-24ED-4841-8DFC-985A70CC957B}" name="Ticker2" dataDxfId="1687" totalsRowDxfId="1686"/>
    <tableColumn id="22" xr3:uid="{EAB0ADAA-AF64-4574-AD5E-BAD2211681D1}" name="xx2" dataDxfId="1685" totalsRowDxfId="1684">
      <calculatedColumnFormula>Tabelad[[#This Row],[Exp %]]*$Y$10*$AD$7/Tabelad[[#This Row],[Price Today]]</calculatedColumnFormula>
    </tableColumn>
    <tableColumn id="23" xr3:uid="{160D9866-3FEF-4C23-ADDC-0615A4FD8D8A}" name="Beta Adj" dataDxfId="1683">
      <calculatedColumnFormula>Tabelad[[#This Row],[Vol 10d]]/16*Tabelad[[#This Row],[Exp %]]*100</calculatedColumnFormula>
    </tableColumn>
    <tableColumn id="27" xr3:uid="{5FC9F15D-E683-4C75-83A6-A027ED24C573}" name="Expo Beta Adj" dataDxfId="1682" totalsRowDxfId="1681">
      <calculatedColumnFormula>Tabelad[[#This Row],[Exp %]]*Tabelad[[#This Row],[Beta Adj2]]</calculatedColumnFormula>
    </tableColumn>
    <tableColumn id="24" xr3:uid="{02F0D998-EE72-4509-80A1-181D260811AE}" name="Vol 10d" dataDxfId="1680">
      <calculatedColumnFormula>_xll.BDP($B12&amp;" Equity","volatility_10d")</calculatedColumnFormula>
    </tableColumn>
    <tableColumn id="25" xr3:uid="{06753197-209B-42CE-8324-F5BF4E6BBC8C}" name="Beta Adj2" dataDxfId="1679" totalsRowDxfId="1678">
      <calculatedColumnFormula>_xll.BDP(B12&amp;" EQUITY","eqy_beta")</calculatedColumnFormula>
    </tableColumn>
    <tableColumn id="26" xr3:uid="{E0099784-2515-472D-A708-E950C7C1F961}" name="Daily P&amp;L" dataDxfId="1677" totalsRowDxfId="1676">
      <calculatedColumnFormula>Tabelad[[#This Row],[D1 P&amp;L bps]]*$AD$5/10000</calculatedColumnFormula>
    </tableColumn>
    <tableColumn id="28" xr3:uid="{E8C15306-AE60-46ED-BE32-1873B2B613BE}" name="VALUE" dataDxfId="1675" totalsRowDxfId="1674"/>
    <tableColumn id="30" xr3:uid="{3553EED7-0690-4464-BFF1-737C1D716FE2}" name="Report Date2" dataDxfId="1673" totalsRowDxfId="1672">
      <calculatedColumnFormula>_xll.BDP(B12&amp;" Equity","EXPECTED_REPORT_DT")</calculatedColumnFormula>
    </tableColumn>
    <tableColumn id="31" xr3:uid="{5102101F-2C4E-4C70-B272-6AB453BA1BFE}" name="Column3" dataDxfId="1671" totalsRowDxfId="1670">
      <calculatedColumnFormula>_xll.BDP(B12&amp;" Index","CHG_PCT_1D_PRE_FROM_REGULAR")/100</calculatedColumnFormula>
    </tableColumn>
    <tableColumn id="32" xr3:uid="{78144925-541C-4BB9-B1CE-5128912D0AEA}" name="Column4" dataDxfId="1669">
      <calculatedColumnFormula>(T12*AG12)/$AD$7*10000</calculatedColumnFormula>
    </tableColumn>
    <tableColumn id="34" xr3:uid="{F48AA587-E15F-424C-9278-DC54512DF635}" name="Column5" dataDxfId="1668">
      <calculatedColumnFormula>_xll.BDP(B12&amp;" Equity","DVD_EX_DT")</calculatedColumnFormula>
    </tableColumn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594F44-C7EB-4454-89DA-F08A9C91DB54}" name="Table2" displayName="Table2" ref="F3:G136" headerRowDxfId="1667" dataDxfId="1666" totalsRowBorderDxfId="1665">
  <autoFilter ref="F3:G136" xr:uid="{50594F44-C7EB-4454-89DA-F08A9C91DB54}"/>
  <tableColumns count="2">
    <tableColumn id="1" xr3:uid="{C2C1762E-B58F-491C-8249-F5F204F351C6}" name="De (Lote)" totalsRowFunction="count" dataDxfId="1664"/>
    <tableColumn id="2" xr3:uid="{2A11C67E-26BC-4BE0-826C-B31A77595F54}" name="Para (Ticker Daniel)" totalsRowFunction="count" dataDxfId="1663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8C65BD8-035C-46A7-B012-E0A9A6B3AD63}">
  <we:reference id="WA200009404" version="1.0.0.5" store="Omex" storeType="OMEX"/>
  <we:alternateReferences>
    <we:reference id="WA200009404" version="1.0.0.5" store="WA200009404" storeType="OMEX"/>
  </we:alternateReferences>
  <we:properties>
    <we:property name="Office.AutoShowTaskpaneWithDocument" value="true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93671-EE2A-4C09-89FB-D750136F995D}">
  <dimension ref="A2:U43"/>
  <sheetViews>
    <sheetView workbookViewId="0">
      <selection activeCell="H18" sqref="H18"/>
    </sheetView>
  </sheetViews>
  <sheetFormatPr defaultRowHeight="15"/>
  <cols>
    <col min="2" max="2" width="42.7109375" bestFit="1" customWidth="1"/>
    <col min="3" max="3" width="14.28515625" bestFit="1" customWidth="1"/>
    <col min="6" max="6" width="11.5703125" bestFit="1" customWidth="1"/>
    <col min="10" max="10" width="15.28515625" bestFit="1" customWidth="1"/>
    <col min="12" max="13" width="10.5703125" bestFit="1" customWidth="1"/>
    <col min="18" max="18" width="11.5703125" bestFit="1" customWidth="1"/>
  </cols>
  <sheetData>
    <row r="2" spans="2:12">
      <c r="B2" t="s">
        <v>686</v>
      </c>
    </row>
    <row r="3" spans="2:12">
      <c r="B3" t="s">
        <v>685</v>
      </c>
      <c r="F3">
        <f>0.01*1200000000</f>
        <v>12000000</v>
      </c>
    </row>
    <row r="4" spans="2:12">
      <c r="F4">
        <f>F3/13.92</f>
        <v>862068.96551724139</v>
      </c>
    </row>
    <row r="5" spans="2:12">
      <c r="C5" t="s">
        <v>674</v>
      </c>
      <c r="D5" t="s">
        <v>673</v>
      </c>
    </row>
    <row r="6" spans="2:12">
      <c r="B6" t="s">
        <v>667</v>
      </c>
      <c r="C6" s="325">
        <v>0.41</v>
      </c>
      <c r="D6" s="322">
        <f>C6^2</f>
        <v>0.16809999999999997</v>
      </c>
    </row>
    <row r="7" spans="2:12">
      <c r="B7" t="s">
        <v>665</v>
      </c>
      <c r="C7" s="325">
        <v>0.25</v>
      </c>
      <c r="D7" s="322">
        <f>C7^2</f>
        <v>6.25E-2</v>
      </c>
    </row>
    <row r="8" spans="2:12">
      <c r="B8" t="s">
        <v>663</v>
      </c>
      <c r="C8" s="320">
        <f>SQRT(D6+D7+2*C10)</f>
        <v>0.35791060336346558</v>
      </c>
    </row>
    <row r="9" spans="2:12">
      <c r="B9" t="s">
        <v>661</v>
      </c>
      <c r="C9" s="324">
        <v>-0.5</v>
      </c>
    </row>
    <row r="10" spans="2:12">
      <c r="B10" t="s">
        <v>659</v>
      </c>
      <c r="C10">
        <f>C9*C6*C7</f>
        <v>-5.1249999999999997E-2</v>
      </c>
    </row>
    <row r="12" spans="2:12">
      <c r="F12" s="331">
        <f>59/300</f>
        <v>0.19666666666666666</v>
      </c>
    </row>
    <row r="13" spans="2:12">
      <c r="C13" s="326"/>
    </row>
    <row r="14" spans="2:12">
      <c r="G14">
        <f>3500000/14.4</f>
        <v>243055.55555555556</v>
      </c>
      <c r="J14" s="330">
        <f>3%*9200000000</f>
        <v>276000000</v>
      </c>
    </row>
    <row r="15" spans="2:12">
      <c r="C15" t="s">
        <v>674</v>
      </c>
      <c r="D15" t="s">
        <v>673</v>
      </c>
      <c r="J15" s="329">
        <f>J14/5.19</f>
        <v>53179190.751445085</v>
      </c>
    </row>
    <row r="16" spans="2:12">
      <c r="B16" t="s">
        <v>684</v>
      </c>
      <c r="C16" s="325">
        <v>0.2</v>
      </c>
      <c r="D16" s="322">
        <f>C16^2</f>
        <v>4.0000000000000008E-2</v>
      </c>
      <c r="F16" s="326"/>
      <c r="J16" s="329">
        <f>J15/31.22</f>
        <v>1703369.3386113096</v>
      </c>
      <c r="K16" s="329">
        <f>J16/100</f>
        <v>17033.693386113096</v>
      </c>
      <c r="L16" s="329">
        <f>J16*1.65</f>
        <v>2810559.4087086609</v>
      </c>
    </row>
    <row r="17" spans="1:21">
      <c r="B17" t="s">
        <v>683</v>
      </c>
      <c r="C17" s="325">
        <v>0.11700000000000001</v>
      </c>
      <c r="D17" s="322">
        <f>C17^2</f>
        <v>1.3689000000000002E-2</v>
      </c>
      <c r="F17" s="193"/>
    </row>
    <row r="18" spans="1:21">
      <c r="B18" t="s">
        <v>663</v>
      </c>
      <c r="C18" s="320">
        <f>SQRT(D16+D17+2*C20)</f>
        <v>0.27932955446926844</v>
      </c>
      <c r="J18">
        <v>17000</v>
      </c>
      <c r="K18">
        <v>1.65</v>
      </c>
      <c r="L18" s="330">
        <f>J18*K18*100</f>
        <v>2805000</v>
      </c>
    </row>
    <row r="19" spans="1:21">
      <c r="B19" t="s">
        <v>661</v>
      </c>
      <c r="C19" s="324">
        <v>0.52</v>
      </c>
      <c r="J19">
        <f>J18*1.6</f>
        <v>27200</v>
      </c>
      <c r="K19">
        <v>0.59599999999999997</v>
      </c>
      <c r="L19" s="330">
        <f>J19*K19*100</f>
        <v>1621120</v>
      </c>
    </row>
    <row r="20" spans="1:21">
      <c r="B20" t="s">
        <v>659</v>
      </c>
      <c r="C20">
        <f>C19*C16*C17</f>
        <v>1.2168000000000002E-2</v>
      </c>
      <c r="L20" s="329">
        <f>L18-L19</f>
        <v>1183880</v>
      </c>
      <c r="M20" s="329">
        <f>L20*5.2</f>
        <v>6156176</v>
      </c>
      <c r="N20" s="328"/>
    </row>
    <row r="21" spans="1:21">
      <c r="C21" s="326"/>
    </row>
    <row r="23" spans="1:21">
      <c r="B23" t="s">
        <v>682</v>
      </c>
      <c r="U23">
        <f>0.89-0.24</f>
        <v>0.65</v>
      </c>
    </row>
    <row r="24" spans="1:21">
      <c r="C24" t="s">
        <v>674</v>
      </c>
      <c r="D24" t="s">
        <v>673</v>
      </c>
      <c r="U24">
        <f>U23/2</f>
        <v>0.32500000000000001</v>
      </c>
    </row>
    <row r="25" spans="1:21">
      <c r="A25" s="327">
        <v>0.82</v>
      </c>
      <c r="B25" t="s">
        <v>681</v>
      </c>
      <c r="C25" s="325">
        <v>0.3</v>
      </c>
      <c r="D25" s="322">
        <f>C25^2</f>
        <v>0.09</v>
      </c>
      <c r="I25" t="s">
        <v>680</v>
      </c>
      <c r="J25">
        <v>21</v>
      </c>
    </row>
    <row r="26" spans="1:21">
      <c r="A26">
        <f>1-A25</f>
        <v>0.18000000000000005</v>
      </c>
      <c r="B26" t="s">
        <v>679</v>
      </c>
      <c r="C26" s="325">
        <v>0.4</v>
      </c>
      <c r="D26" s="322">
        <f>C26^2</f>
        <v>0.16000000000000003</v>
      </c>
      <c r="I26" t="s">
        <v>678</v>
      </c>
      <c r="J26">
        <v>1</v>
      </c>
      <c r="R26" s="326"/>
    </row>
    <row r="27" spans="1:21">
      <c r="B27" t="s">
        <v>677</v>
      </c>
      <c r="C27" s="320">
        <f>SQRT(A25^2 * C25^2 + A26^2 * C26^2 + 2*A25*A26*C28*C25*C26)</f>
        <v>0.27627377725727065</v>
      </c>
      <c r="J27">
        <f>J25+J26</f>
        <v>22</v>
      </c>
      <c r="R27" s="17"/>
    </row>
    <row r="28" spans="1:21">
      <c r="B28" t="s">
        <v>676</v>
      </c>
      <c r="C28" s="324">
        <v>0.3</v>
      </c>
    </row>
    <row r="29" spans="1:21">
      <c r="B29" t="s">
        <v>675</v>
      </c>
      <c r="C29">
        <f>C28*C25*C26</f>
        <v>3.5999999999999997E-2</v>
      </c>
    </row>
    <row r="31" spans="1:21">
      <c r="C31" t="s">
        <v>674</v>
      </c>
      <c r="D31" t="s">
        <v>673</v>
      </c>
      <c r="F31" t="s">
        <v>672</v>
      </c>
      <c r="G31" t="s">
        <v>671</v>
      </c>
      <c r="H31" t="s">
        <v>670</v>
      </c>
      <c r="I31" t="s">
        <v>669</v>
      </c>
      <c r="J31" t="s">
        <v>668</v>
      </c>
    </row>
    <row r="32" spans="1:21">
      <c r="B32" t="s">
        <v>667</v>
      </c>
      <c r="C32" s="325">
        <v>0.25</v>
      </c>
      <c r="D32" s="322">
        <f>C32^2</f>
        <v>6.25E-2</v>
      </c>
      <c r="F32" s="323">
        <v>0.41370000000000001</v>
      </c>
      <c r="G32" s="323">
        <v>0.43680000000000002</v>
      </c>
      <c r="H32" s="323">
        <v>0.4698</v>
      </c>
      <c r="I32" s="323">
        <v>0.36620000000000003</v>
      </c>
      <c r="J32" s="323">
        <v>0.41830000000000001</v>
      </c>
      <c r="K32" t="s">
        <v>666</v>
      </c>
      <c r="Q32" s="42">
        <v>0.36620000000000003</v>
      </c>
    </row>
    <row r="33" spans="2:17">
      <c r="B33" t="s">
        <v>665</v>
      </c>
      <c r="C33" s="325">
        <v>0.122</v>
      </c>
      <c r="D33" s="322">
        <f>C33^2</f>
        <v>1.4884E-2</v>
      </c>
      <c r="E33">
        <f>200*1400</f>
        <v>280000</v>
      </c>
      <c r="F33" s="322">
        <f>F32*SQRT(22/252)</f>
        <v>0.12223528541300993</v>
      </c>
      <c r="G33" s="322">
        <f>G32*SQRT(22/252)</f>
        <v>0.1290606059183049</v>
      </c>
      <c r="H33" s="322">
        <f>H32*SQRT(22/252)</f>
        <v>0.138811063783012</v>
      </c>
      <c r="I33" s="322">
        <f>I32*SQRT(22/252)</f>
        <v>0.10820053545623456</v>
      </c>
      <c r="J33" s="322">
        <f>J32*SQRT(22/252)</f>
        <v>0.12359444014566606</v>
      </c>
      <c r="K33" t="s">
        <v>664</v>
      </c>
    </row>
    <row r="34" spans="2:17">
      <c r="B34" t="s">
        <v>663</v>
      </c>
      <c r="C34" s="320">
        <f>SQRT(D32+D33+2*C36)</f>
        <v>0.32780634527110669</v>
      </c>
      <c r="F34" s="322">
        <f>F33^2</f>
        <v>1.4941464999999998E-2</v>
      </c>
      <c r="G34" s="322">
        <f>G33^2</f>
        <v>1.6656639999999997E-2</v>
      </c>
      <c r="H34" s="322">
        <f>H33^2</f>
        <v>1.9268511428571427E-2</v>
      </c>
      <c r="I34" s="322">
        <f>I33^2</f>
        <v>1.1707355873015872E-2</v>
      </c>
      <c r="J34" s="322">
        <f>J33^2</f>
        <v>1.5275585634920631E-2</v>
      </c>
      <c r="K34" t="s">
        <v>662</v>
      </c>
    </row>
    <row r="35" spans="2:17">
      <c r="B35" t="s">
        <v>661</v>
      </c>
      <c r="C35" s="324">
        <v>0.49299999999999999</v>
      </c>
      <c r="F35" s="323">
        <v>0.32600000000000001</v>
      </c>
      <c r="G35" s="323">
        <v>0.30270000000000002</v>
      </c>
      <c r="H35" s="323">
        <v>0.35310000000000002</v>
      </c>
      <c r="I35" s="323">
        <v>0.27179999999999999</v>
      </c>
      <c r="J35" s="323">
        <v>0.36080000000000001</v>
      </c>
      <c r="K35" t="s">
        <v>660</v>
      </c>
      <c r="Q35" s="42">
        <v>0.27179999999999999</v>
      </c>
    </row>
    <row r="36" spans="2:17">
      <c r="B36" t="s">
        <v>659</v>
      </c>
      <c r="C36">
        <f>C35*C32*C33</f>
        <v>1.50365E-2</v>
      </c>
      <c r="F36" s="322">
        <f>F35*SQRT(1/252)</f>
        <v>2.0536069700168014E-2</v>
      </c>
      <c r="G36" s="322">
        <f>G35*SQRT(1/252)</f>
        <v>1.9068307663315517E-2</v>
      </c>
      <c r="H36" s="322">
        <f>H35*SQRT(1/252)</f>
        <v>2.2243209236593026E-2</v>
      </c>
      <c r="I36" s="322">
        <f>I35*SQRT(1/252)</f>
        <v>1.7121790627317994E-2</v>
      </c>
      <c r="J36" s="322">
        <f>J35*SQRT(1/252)</f>
        <v>2.2728263643621533E-2</v>
      </c>
      <c r="K36" t="s">
        <v>658</v>
      </c>
    </row>
    <row r="37" spans="2:17">
      <c r="F37" s="322">
        <f>F36*SQRT(21/1)</f>
        <v>9.4108093877908999E-2</v>
      </c>
      <c r="G37" s="322">
        <f>G36*SQRT(21/1)</f>
        <v>8.7381963241849867E-2</v>
      </c>
      <c r="H37" s="322">
        <f>H36*SQRT(21/1)</f>
        <v>0.10193119002542844</v>
      </c>
      <c r="I37" s="322">
        <f>I36*SQRT(21/1)</f>
        <v>7.8461901582870142E-2</v>
      </c>
      <c r="J37" s="322">
        <f>J36*SQRT(21/1)</f>
        <v>0.10415398856180849</v>
      </c>
      <c r="K37" t="s">
        <v>657</v>
      </c>
    </row>
    <row r="38" spans="2:17">
      <c r="F38" s="322">
        <f>F37^2</f>
        <v>8.8563333333333341E-3</v>
      </c>
      <c r="G38" s="322">
        <f>G37^2</f>
        <v>7.6356075000000015E-3</v>
      </c>
      <c r="H38" s="322">
        <f>H37^2</f>
        <v>1.0389967500000003E-2</v>
      </c>
      <c r="I38" s="322">
        <f>I37^2</f>
        <v>6.1562700000000001E-3</v>
      </c>
      <c r="J38" s="322">
        <f>J37^2</f>
        <v>1.0848053333333335E-2</v>
      </c>
      <c r="K38" t="s">
        <v>656</v>
      </c>
    </row>
    <row r="39" spans="2:17">
      <c r="F39" s="322">
        <f>F34-F38</f>
        <v>6.0851316666666634E-3</v>
      </c>
      <c r="G39" s="322">
        <f>G34-G38</f>
        <v>9.0210324999999945E-3</v>
      </c>
      <c r="H39" s="322">
        <f>H34-H38</f>
        <v>8.8785439285714238E-3</v>
      </c>
      <c r="I39" s="322">
        <f>I34-I38</f>
        <v>5.5510858730158721E-3</v>
      </c>
      <c r="J39" s="322">
        <f>J34-J38</f>
        <v>4.4275323015872965E-3</v>
      </c>
      <c r="K39" t="s">
        <v>655</v>
      </c>
    </row>
    <row r="40" spans="2:17">
      <c r="F40" s="321">
        <f>F39^0.5</f>
        <v>7.8007253936199186E-2</v>
      </c>
      <c r="G40" s="321">
        <f>G39^0.5</f>
        <v>9.4979116125598867E-2</v>
      </c>
      <c r="H40" s="321">
        <f>H39^0.5</f>
        <v>9.4226025749637898E-2</v>
      </c>
      <c r="I40" s="321">
        <f>I39^0.5</f>
        <v>7.4505609674814899E-2</v>
      </c>
      <c r="J40" s="321">
        <f>J39^0.5</f>
        <v>6.6539704700181057E-2</v>
      </c>
      <c r="K40" t="s">
        <v>654</v>
      </c>
    </row>
    <row r="41" spans="2:17">
      <c r="F41" s="320">
        <f>F40*SQRT(252)</f>
        <v>1.2383267662454847</v>
      </c>
      <c r="G41" s="320">
        <f>G40*SQRT(252)</f>
        <v>1.5077467260783552</v>
      </c>
      <c r="H41" s="320">
        <f>H40*SQRT(252)</f>
        <v>1.4957917869810622</v>
      </c>
      <c r="I41" s="320">
        <f>I40*SQRT(252)</f>
        <v>1.1827398868728491</v>
      </c>
      <c r="J41" s="320">
        <f>J40*SQRT(252)</f>
        <v>1.0562850656901284</v>
      </c>
      <c r="K41" t="s">
        <v>653</v>
      </c>
    </row>
    <row r="42" spans="2:17">
      <c r="F42" s="319">
        <f>F40/F36</f>
        <v>3.7985483627162102</v>
      </c>
      <c r="G42" s="319">
        <f>G40/G36</f>
        <v>4.9809934789506274</v>
      </c>
      <c r="H42" s="319">
        <f>H40/H36</f>
        <v>4.2361704530757907</v>
      </c>
      <c r="I42" s="319">
        <f>I40/I36</f>
        <v>4.3515080458898048</v>
      </c>
      <c r="J42" s="319">
        <f>J40/J36</f>
        <v>2.9276193616688699</v>
      </c>
      <c r="K42" s="58" t="s">
        <v>652</v>
      </c>
    </row>
    <row r="43" spans="2:17">
      <c r="J43" s="42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9DB92-69E0-4836-BCFD-FB8DEA5A601B}">
  <sheetPr codeName="Sheet16"/>
  <dimension ref="A1:AU12"/>
  <sheetViews>
    <sheetView zoomScaleNormal="100" workbookViewId="0">
      <pane xSplit="6" ySplit="7" topLeftCell="G8" activePane="bottomRight" state="frozen"/>
      <selection pane="topRight" activeCell="E1" sqref="E1"/>
      <selection pane="bottomLeft" activeCell="A8" sqref="A8"/>
      <selection pane="bottomRight" activeCell="A13" sqref="A13:XFD42"/>
    </sheetView>
  </sheetViews>
  <sheetFormatPr defaultRowHeight="15" outlineLevelRow="1" outlineLevelCol="1"/>
  <cols>
    <col min="1" max="1" width="11" customWidth="1" outlineLevel="1"/>
    <col min="2" max="6" width="7" style="21" customWidth="1"/>
    <col min="7" max="7" width="7.7109375" customWidth="1"/>
    <col min="8" max="12" width="7.28515625" customWidth="1"/>
    <col min="13" max="13" width="2.5703125" customWidth="1"/>
    <col min="14" max="14" width="9.42578125" customWidth="1"/>
    <col min="15" max="15" width="8.28515625" customWidth="1"/>
    <col min="16" max="17" width="9.42578125" customWidth="1"/>
    <col min="18" max="18" width="2.5703125" customWidth="1"/>
    <col min="19" max="20" width="7" customWidth="1"/>
    <col min="21" max="22" width="7.28515625" customWidth="1"/>
    <col min="23" max="23" width="2.5703125" customWidth="1"/>
    <col min="24" max="24" width="7.85546875" customWidth="1"/>
    <col min="25" max="25" width="7.28515625" hidden="1" customWidth="1" outlineLevel="1"/>
    <col min="26" max="26" width="7" style="126" hidden="1" customWidth="1" outlineLevel="1"/>
    <col min="27" max="27" width="7.28515625" hidden="1" customWidth="1" outlineLevel="1"/>
    <col min="28" max="28" width="7" style="126" hidden="1" customWidth="1" outlineLevel="1"/>
    <col min="29" max="29" width="9.140625" collapsed="1"/>
    <col min="30" max="30" width="7" customWidth="1"/>
    <col min="31" max="31" width="2.5703125" customWidth="1"/>
    <col min="32" max="33" width="8.28515625" customWidth="1"/>
    <col min="38" max="38" width="2.28515625" customWidth="1"/>
    <col min="39" max="40" width="7.5703125" customWidth="1"/>
    <col min="41" max="42" width="7.140625" customWidth="1"/>
    <col min="43" max="43" width="2.28515625" customWidth="1"/>
    <col min="44" max="47" width="7.140625" customWidth="1"/>
  </cols>
  <sheetData>
    <row r="1" spans="1:47">
      <c r="D1" s="7" t="s">
        <v>15</v>
      </c>
      <c r="E1" s="195" t="e">
        <f>D4-E4</f>
        <v>#REF!</v>
      </c>
      <c r="AP1" s="22"/>
    </row>
    <row r="2" spans="1:47" outlineLevel="1">
      <c r="D2" s="7" t="s">
        <v>14</v>
      </c>
      <c r="E2" s="195" t="e">
        <f>D4+E4</f>
        <v>#REF!</v>
      </c>
      <c r="Q2" s="142">
        <f ca="1">WORKDAY(Q3,-126)</f>
        <v>45882</v>
      </c>
      <c r="X2" s="142"/>
    </row>
    <row r="3" spans="1:47" s="7" customFormat="1" outlineLevel="1">
      <c r="A3"/>
      <c r="B3" s="21"/>
      <c r="C3" s="21"/>
      <c r="F3" s="21"/>
      <c r="G3"/>
      <c r="H3"/>
      <c r="I3"/>
      <c r="J3"/>
      <c r="K3"/>
      <c r="L3"/>
      <c r="M3"/>
      <c r="N3"/>
      <c r="O3"/>
      <c r="P3"/>
      <c r="Q3" s="142">
        <f ca="1">TODAY()</f>
        <v>46058</v>
      </c>
      <c r="R3"/>
      <c r="S3"/>
      <c r="T3"/>
      <c r="U3"/>
      <c r="V3"/>
      <c r="W3"/>
      <c r="X3" s="142"/>
      <c r="Y3"/>
      <c r="Z3" s="126"/>
      <c r="AA3"/>
      <c r="AB3" s="126"/>
      <c r="AC3"/>
      <c r="AD3"/>
      <c r="AE3"/>
      <c r="AF3"/>
      <c r="AG3"/>
      <c r="AM3" s="143">
        <f ca="1">WORKDAY($Q$3,-22)</f>
        <v>46028</v>
      </c>
      <c r="AN3" s="143">
        <f ca="1">WORKDAY($Q$3,-66)</f>
        <v>45966</v>
      </c>
      <c r="AO3" s="143"/>
      <c r="AR3" s="143"/>
      <c r="AS3" s="143"/>
      <c r="AT3" s="143"/>
    </row>
    <row r="4" spans="1:47" outlineLevel="1">
      <c r="C4" s="7" t="s">
        <v>18</v>
      </c>
      <c r="D4" s="195" t="e">
        <f>SUM(#REF!)</f>
        <v>#REF!</v>
      </c>
      <c r="E4" s="195" t="e">
        <f>SUM(#REF!)</f>
        <v>#REF!</v>
      </c>
      <c r="Q4" s="144" t="str">
        <f ca="1">YEAR($Q$2)&amp;TEXT(MONTH($Q$2),"00")&amp;TEXT(DAY($Q$2),"00")</f>
        <v>20250813</v>
      </c>
      <c r="X4" s="145"/>
    </row>
    <row r="5" spans="1:47" outlineLevel="1">
      <c r="C5" s="7" t="s">
        <v>39</v>
      </c>
      <c r="D5" s="195" t="e">
        <f>SUM(#REF!)</f>
        <v>#REF!</v>
      </c>
      <c r="Q5" s="144" t="str">
        <f ca="1">YEAR(TODAY())&amp;TEXT(MONTH(TODAY()),"00")&amp;TEXT(DAY(TODAY()),"00")</f>
        <v>20260205</v>
      </c>
      <c r="X5" s="145"/>
    </row>
    <row r="6" spans="1:47">
      <c r="AD6" s="146" t="s">
        <v>46</v>
      </c>
      <c r="AM6" t="s">
        <v>47</v>
      </c>
      <c r="AR6" t="s">
        <v>48</v>
      </c>
    </row>
    <row r="7" spans="1:47" s="148" customFormat="1" ht="45.75" thickBot="1">
      <c r="A7" s="11"/>
      <c r="B7" s="11"/>
      <c r="C7" s="11"/>
      <c r="D7" s="11" t="s">
        <v>49</v>
      </c>
      <c r="E7" s="11" t="s">
        <v>50</v>
      </c>
      <c r="F7" s="11"/>
      <c r="G7" s="11" t="s">
        <v>47</v>
      </c>
      <c r="H7" s="11" t="s">
        <v>51</v>
      </c>
      <c r="I7" s="11" t="s">
        <v>48</v>
      </c>
      <c r="J7" s="11" t="s">
        <v>51</v>
      </c>
      <c r="K7" s="11" t="s">
        <v>52</v>
      </c>
      <c r="L7" s="11" t="s">
        <v>51</v>
      </c>
      <c r="M7" s="11"/>
      <c r="N7" s="11" t="s">
        <v>53</v>
      </c>
      <c r="O7" s="11" t="s">
        <v>54</v>
      </c>
      <c r="P7" s="11" t="s">
        <v>55</v>
      </c>
      <c r="Q7" s="11" t="s">
        <v>56</v>
      </c>
      <c r="R7" s="11"/>
      <c r="S7" s="11" t="s">
        <v>57</v>
      </c>
      <c r="T7" s="11" t="s">
        <v>58</v>
      </c>
      <c r="U7" s="11" t="s">
        <v>59</v>
      </c>
      <c r="V7" s="11" t="s">
        <v>60</v>
      </c>
      <c r="W7" s="11"/>
      <c r="X7" s="11" t="s">
        <v>61</v>
      </c>
      <c r="Y7" s="11" t="s">
        <v>62</v>
      </c>
      <c r="Z7" s="147" t="s">
        <v>51</v>
      </c>
      <c r="AA7" s="11" t="s">
        <v>63</v>
      </c>
      <c r="AB7" s="147" t="s">
        <v>51</v>
      </c>
      <c r="AC7" s="11" t="s">
        <v>64</v>
      </c>
      <c r="AD7" s="11" t="s">
        <v>51</v>
      </c>
      <c r="AE7" s="11"/>
      <c r="AF7" s="11" t="s">
        <v>65</v>
      </c>
      <c r="AG7" s="11" t="s">
        <v>66</v>
      </c>
      <c r="AH7" s="11" t="s">
        <v>67</v>
      </c>
      <c r="AI7" s="11" t="s">
        <v>68</v>
      </c>
      <c r="AJ7" s="11" t="s">
        <v>69</v>
      </c>
      <c r="AK7" s="11" t="s">
        <v>70</v>
      </c>
      <c r="AM7" s="11" t="s">
        <v>71</v>
      </c>
      <c r="AN7" s="11" t="s">
        <v>72</v>
      </c>
      <c r="AO7" s="11" t="s">
        <v>73</v>
      </c>
      <c r="AP7" s="11" t="s">
        <v>74</v>
      </c>
      <c r="AR7" s="11" t="s">
        <v>71</v>
      </c>
      <c r="AS7" s="11" t="s">
        <v>72</v>
      </c>
      <c r="AT7" s="11" t="s">
        <v>73</v>
      </c>
      <c r="AU7" s="11" t="s">
        <v>75</v>
      </c>
    </row>
    <row r="8" spans="1:47">
      <c r="A8" t="str">
        <f t="shared" ref="A8:A12" si="0">"."&amp;B8&amp;C8</f>
        <v>.CRMIGV</v>
      </c>
      <c r="B8" s="149" t="s">
        <v>81</v>
      </c>
      <c r="C8" s="149" t="s">
        <v>37</v>
      </c>
      <c r="D8" s="149"/>
      <c r="E8" s="149"/>
      <c r="F8" s="149"/>
      <c r="G8" s="150" cm="1">
        <f t="array" ref="G8">_xll.BDP(B8&amp;" Equity","LAST PRICE")</f>
        <v>199.44</v>
      </c>
      <c r="H8" s="151" cm="1">
        <f t="array" ref="H8">G8/_xll.BDP(B8&amp;" Equity", "PREV_CLOSE_VAL")-1</f>
        <v>0</v>
      </c>
      <c r="I8" s="150" cm="1">
        <f t="array" ref="I8">_xll.BDP(C8&amp;" Equity","LAST PRICE")</f>
        <v>83.84</v>
      </c>
      <c r="J8" s="151" cm="1">
        <f t="array" ref="J8">I8/_xll.BDP(C8&amp;" Equity", "PREV_CLOSE_VAL")-1</f>
        <v>0</v>
      </c>
      <c r="K8" s="152">
        <f t="shared" ref="K8:K12" si="1">G8/I8</f>
        <v>2.3788167938931295</v>
      </c>
      <c r="L8" s="151" cm="1">
        <f t="array" ref="L8">K8/(_xll.BDP(B8&amp;" Equity", "PREV_CLOSE_VAL")/_xll.BDP(C8&amp;" Equity", "PREV_CLOSE_VAL"))-1</f>
        <v>0</v>
      </c>
      <c r="M8" s="151"/>
      <c r="N8" s="153">
        <f t="shared" ref="N8:N12" si="2">ABS(L8/O8)</f>
        <v>0</v>
      </c>
      <c r="O8" s="154">
        <f t="shared" ref="O8:O12" si="3">P8/15.87/100</f>
        <v>1.5754864524259612E-2</v>
      </c>
      <c r="P8" s="155" cm="1">
        <f t="array" ref="P8">_xll.BDP($A8&amp;" Index","VOLATILITY_30D")</f>
        <v>25.002970000000001</v>
      </c>
      <c r="Q8" s="155" cm="1">
        <f t="array" aca="1" ref="Q8" ca="1">(_xll.BDP(($B8&amp; " Equity"),"CORR_COEF", "BETA_OVERRIDE_REL_INDEX",($C8&amp; " Equity"),"BETA_OVERRIDE_END_DT",$Q$5,"BETA_OVERRIDE_START_DT",$Q$4))*100</f>
        <v>78.540902551188267</v>
      </c>
      <c r="R8" s="151"/>
      <c r="S8" s="151" cm="1">
        <f t="array" ref="S8">_xll.BDP($A8&amp;" Index","CHG_PCT_2D")/100</f>
        <v>3.4359060000000004E-2</v>
      </c>
      <c r="T8" s="151" cm="1">
        <f t="array" ref="T8">_xll.BDP($A8&amp;" Index","CHG_PCT_5D")/100</f>
        <v>2.5288479999999999E-2</v>
      </c>
      <c r="U8" s="151" cm="1">
        <f t="array" ref="U8">K8/_xll.BDP($A8&amp;" Index","HIGH_52WEEK")-1</f>
        <v>-0.28231511360655237</v>
      </c>
      <c r="V8" s="151" cm="1">
        <f t="array" ref="V8">K8/_xll.BDP($A8&amp;" Index","LOW_52WEEK")-1</f>
        <v>0.16140120684353287</v>
      </c>
      <c r="W8" s="151"/>
      <c r="X8" s="155" cm="1">
        <f t="array" ref="X8">_xll.BDP($A8&amp;" Index","RSI_14D")</f>
        <v>51.913249999999998</v>
      </c>
      <c r="Y8" s="156"/>
      <c r="Z8" s="157">
        <f t="shared" ref="Z8:Z12" si="4">Y8/K8-1</f>
        <v>-1</v>
      </c>
      <c r="AA8" s="156"/>
      <c r="AB8" s="157">
        <f t="shared" ref="AB8:AB12" si="5">AA8/K8-1</f>
        <v>-1</v>
      </c>
      <c r="AC8" s="156"/>
      <c r="AD8" s="151" t="e">
        <f t="shared" ref="AD8:AD12" si="6">K8/AC8-1</f>
        <v>#DIV/0!</v>
      </c>
      <c r="AE8" s="151"/>
      <c r="AF8" s="158">
        <f>IF(ISTEXT(B8),_xll.BDP(B8 &amp; " Equity","EXPECTED_REPORT_DT")*1,"")</f>
        <v>46078</v>
      </c>
      <c r="AG8" s="158" t="e">
        <f>IF(ISTEXT(C8),_xll.BDP(C8 &amp; " Equity","EXPECTED_REPORT_DT")*1,"")</f>
        <v>#VALUE!</v>
      </c>
      <c r="AH8" s="159" cm="1">
        <f t="array" ref="AH8">(_xll.BDP(B8&amp;" Equity","SHORT_INT")/_xll.BDP(B8&amp;" Equity","VOLUME_AVG_90D"))</f>
        <v>2.0650672044296656</v>
      </c>
      <c r="AI8" s="159" t="e" cm="1">
        <f t="array" ref="AI8">(_xll.BDP(C8&amp;" Equity","SHORT_INT")/_xll.BDP(C8&amp;" Equity","VOLUME_AVG_90D"))</f>
        <v>#VALUE!</v>
      </c>
      <c r="AJ8" s="159" cm="1">
        <f t="array" ref="AJ8">(_xll.BDP(B8&amp;" Equity","SHORT_INT"))/((_xll.BDP(B8&amp;" Equity","EQY_FREE_FLOAT_PCT"))*(_xll.BDP(B8&amp;" Equity","EQY_SH_OUT_TOT_MULT_SH")))/100</f>
        <v>1.9956927649943825</v>
      </c>
      <c r="AK8" s="159" t="e" cm="1">
        <f t="array" ref="AK8">(_xll.BDP(C8&amp;" Equity","SHORT_INT"))/((_xll.BDP(C8&amp;" Equity","EQY_FREE_FLOAT_PCT"))*(_xll.BDP(C8&amp;" Equity","EQY_SH_OUT_TOT_MULT_SH")))/100</f>
        <v>#VALUE!</v>
      </c>
      <c r="AM8" s="157">
        <f ca="1">IF(ISTEXT(B8),AP8/_xll.BDH(B8 &amp;  " Equity","BEST_EPS",$AM$3,$AM$3,"BEST_FPERIOD_OVERRIDE=1BF","CDR=US","Fill=p")-1,"")</f>
        <v>1.0236822001527868E-2</v>
      </c>
      <c r="AN8" s="157">
        <f ca="1">IF(ISTEXT(B8),AP8/_xll.BDH(B8 &amp;  " Equity","BEST_EPS",$AN$3,$AN$3,"BEST_FPERIOD_OVERRIDE=1BF","CDR=US","Fill=p")-1,"")</f>
        <v>6.5678136836167189E-2</v>
      </c>
      <c r="AO8" s="159">
        <f t="shared" ref="AO8:AO12" ca="1" si="7">G8/AP8</f>
        <v>15.081669691470054</v>
      </c>
      <c r="AP8" s="159" cm="1">
        <f t="array" aca="1" ref="AP8" ca="1">IF(ISTEXT(B8),_xll.BDH(B8 &amp;  " Equity","BEST_EPS",$Q$3,$Q$3,"BEST_FPERIOD_OVERRIDE=1BF","CDR=US","Fill=p"),"")</f>
        <v>13.224</v>
      </c>
      <c r="AR8" s="157" t="e">
        <f ca="1">IF(ISTEXT(C8),AU8/_xll.BDH(C8 &amp;  " Equity","BEST_EPS",$AM$3,$AM$3,"BEST_FPERIOD_OVERRIDE=1BF","CDR=US","Fill=p")-1,"")</f>
        <v>#VALUE!</v>
      </c>
      <c r="AS8" s="157" t="e">
        <f ca="1">IF(ISTEXT(C8),AU8/_xll.BDH(C8 &amp;  " Equity","BEST_EPS",$AN$3,$AN$3,"BEST_FPERIOD_OVERRIDE=1BF","CDR=US","Fill=p")-1,"")</f>
        <v>#VALUE!</v>
      </c>
      <c r="AT8" s="159" t="e">
        <f t="shared" ref="AT8:AT12" ca="1" si="8">I8/AU8</f>
        <v>#VALUE!</v>
      </c>
      <c r="AU8" s="159" t="str" cm="1">
        <f t="array" aca="1" ref="AU8" ca="1">IF(ISTEXT(C8),_xll.BDH(C8 &amp;  " Equity","BEST_EPS",$Q$3,$Q$3,"BEST_FPERIOD_OVERRIDE=1BF","CDR=US","Fill=p"),"")</f>
        <v>#N/A N/A</v>
      </c>
    </row>
    <row r="9" spans="1:47">
      <c r="A9" t="str">
        <f t="shared" si="0"/>
        <v>.METAQQQ</v>
      </c>
      <c r="B9" s="149" t="s">
        <v>29</v>
      </c>
      <c r="C9" s="149" t="s">
        <v>82</v>
      </c>
      <c r="D9" s="149"/>
      <c r="E9" s="149"/>
      <c r="F9" s="149"/>
      <c r="G9" s="150" cm="1">
        <f t="array" ref="G9">_xll.BDP(B9&amp;" Equity","LAST PRICE")</f>
        <v>668.99</v>
      </c>
      <c r="H9" s="151" cm="1">
        <f t="array" ref="H9">G9/_xll.BDP(B9&amp;" Equity", "PREV_CLOSE_VAL")-1</f>
        <v>0</v>
      </c>
      <c r="I9" s="150" cm="1">
        <f t="array" ref="I9">_xll.BDP(C9&amp;" Equity","LAST PRICE")</f>
        <v>605.75</v>
      </c>
      <c r="J9" s="151" cm="1">
        <f t="array" ref="J9">I9/_xll.BDP(C9&amp;" Equity", "PREV_CLOSE_VAL")-1</f>
        <v>0</v>
      </c>
      <c r="K9" s="152">
        <f t="shared" si="1"/>
        <v>1.1043995047461825</v>
      </c>
      <c r="L9" s="151" cm="1">
        <f t="array" ref="L9">K9/(_xll.BDP(B9&amp;" Equity", "PREV_CLOSE_VAL")/_xll.BDP(C9&amp;" Equity", "PREV_CLOSE_VAL"))-1</f>
        <v>0</v>
      </c>
      <c r="M9" s="151"/>
      <c r="N9" s="153">
        <f t="shared" si="2"/>
        <v>0</v>
      </c>
      <c r="O9" s="154">
        <f t="shared" si="3"/>
        <v>2.4705003150598617E-2</v>
      </c>
      <c r="P9" s="155" cm="1">
        <f t="array" ref="P9">_xll.BDP($A9&amp;" Index","VOLATILITY_30D")</f>
        <v>39.20684</v>
      </c>
      <c r="Q9" s="155" cm="1">
        <f t="array" aca="1" ref="Q9" ca="1">(_xll.BDP(($B9&amp; " Equity"),"CORR_COEF", "BETA_OVERRIDE_REL_INDEX",($C9&amp; " Equity"),"BETA_OVERRIDE_END_DT",$Q$5,"BETA_OVERRIDE_START_DT",$Q$4))*100</f>
        <v>41.887499559700316</v>
      </c>
      <c r="R9" s="151"/>
      <c r="S9" s="151" cm="1">
        <f t="array" ref="S9">_xll.BDP($A9&amp;" Index","CHG_PCT_2D")/100</f>
        <v>-1.5636270000000001E-2</v>
      </c>
      <c r="T9" s="151" cm="1">
        <f t="array" ref="T9">_xll.BDP($A9&amp;" Index","CHG_PCT_5D")/100</f>
        <v>-5.8468080000000006E-2</v>
      </c>
      <c r="U9" s="151" cm="1">
        <f t="array" ref="U9">K9/_xll.BDP($A9&amp;" Index","HIGH_52WEEK")-1</f>
        <v>-0.19755903164558419</v>
      </c>
      <c r="V9" s="151" cm="1">
        <f t="array" ref="V9">K9/_xll.BDP($A9&amp;" Index","LOW_52WEEK")-1</f>
        <v>0.12628318707097153</v>
      </c>
      <c r="W9" s="151"/>
      <c r="X9" s="155" cm="1">
        <f t="array" ref="X9">_xll.BDP($A9&amp;" Index","RSI_14D")</f>
        <v>56.95476</v>
      </c>
      <c r="Y9" s="156"/>
      <c r="Z9" s="157">
        <f t="shared" si="4"/>
        <v>-1</v>
      </c>
      <c r="AA9" s="156"/>
      <c r="AB9" s="157">
        <f t="shared" si="5"/>
        <v>-1</v>
      </c>
      <c r="AC9" s="156"/>
      <c r="AD9" s="151" t="e">
        <f t="shared" si="6"/>
        <v>#DIV/0!</v>
      </c>
      <c r="AE9" s="151"/>
      <c r="AF9" s="158">
        <f>IF(ISTEXT(B9),_xll.BDP(B9 &amp; " Equity","EXPECTED_REPORT_DT")*1,"")</f>
        <v>46142</v>
      </c>
      <c r="AG9" s="158" t="e">
        <f>IF(ISTEXT(C9),_xll.BDP(C9 &amp; " Equity","EXPECTED_REPORT_DT")*1,"")</f>
        <v>#VALUE!</v>
      </c>
      <c r="AH9" s="159" cm="1">
        <f t="array" ref="AH9">(_xll.BDP(B9&amp;" Equity","SHORT_INT")/_xll.BDP(B9&amp;" Equity","VOLUME_AVG_90D"))</f>
        <v>1.8222690636965702</v>
      </c>
      <c r="AI9" s="159" cm="1">
        <f t="array" ref="AI9">(_xll.BDP(C9&amp;" Equity","SHORT_INT")/_xll.BDP(C9&amp;" Equity","VOLUME_AVG_90D"))</f>
        <v>0.80182503796260107</v>
      </c>
      <c r="AJ9" s="159" cm="1">
        <f t="array" ref="AJ9">(_xll.BDP(B9&amp;" Equity","SHORT_INT"))/((_xll.BDP(B9&amp;" Equity","EQY_FREE_FLOAT_PCT"))*(_xll.BDP(B9&amp;" Equity","EQY_SH_OUT_TOT_MULT_SH")))/100</f>
        <v>1.28866942365332</v>
      </c>
      <c r="AK9" s="159" t="e" cm="1">
        <f t="array" ref="AK9">(_xll.BDP(C9&amp;" Equity","SHORT_INT"))/((_xll.BDP(C9&amp;" Equity","EQY_FREE_FLOAT_PCT"))*(_xll.BDP(C9&amp;" Equity","EQY_SH_OUT_TOT_MULT_SH")))/100</f>
        <v>#VALUE!</v>
      </c>
      <c r="AM9" s="157">
        <f ca="1">IF(ISTEXT(B9),AP9/_xll.BDH(B9 &amp;  " Equity","BEST_EPS",$AM$3,$AM$3,"BEST_FPERIOD_OVERRIDE=1BF","CDR=US","Fill=p")-1,"")</f>
        <v>-9.7174465540440513E-3</v>
      </c>
      <c r="AN9" s="157">
        <f ca="1">IF(ISTEXT(B9),AP9/_xll.BDH(B9 &amp;  " Equity","BEST_EPS",$AN$3,$AN$3,"BEST_FPERIOD_OVERRIDE=1BF","CDR=US","Fill=p")-1,"")</f>
        <v>4.5191228655485638E-3</v>
      </c>
      <c r="AO9" s="159">
        <f t="shared" ca="1" si="7"/>
        <v>20.198973429951693</v>
      </c>
      <c r="AP9" s="159" cm="1">
        <f t="array" aca="1" ref="AP9" ca="1">IF(ISTEXT(B9),_xll.BDH(B9 &amp;  " Equity","BEST_EPS",$Q$3,$Q$3,"BEST_FPERIOD_OVERRIDE=1BF","CDR=US","Fill=p"),"")</f>
        <v>33.119999999999997</v>
      </c>
      <c r="AR9" s="157" t="e">
        <f ca="1">IF(ISTEXT(C9),AU9/_xll.BDH(C9 &amp;  " Equity","BEST_EPS",$AM$3,$AM$3,"BEST_FPERIOD_OVERRIDE=1BF","CDR=US","Fill=p")-1,"")</f>
        <v>#VALUE!</v>
      </c>
      <c r="AS9" s="157" t="e">
        <f ca="1">IF(ISTEXT(C9),AU9/_xll.BDH(C9 &amp;  " Equity","BEST_EPS",$AN$3,$AN$3,"BEST_FPERIOD_OVERRIDE=1BF","CDR=US","Fill=p")-1,"")</f>
        <v>#VALUE!</v>
      </c>
      <c r="AT9" s="159" t="e">
        <f t="shared" ca="1" si="8"/>
        <v>#VALUE!</v>
      </c>
      <c r="AU9" s="159" t="str" cm="1">
        <f t="array" aca="1" ref="AU9" ca="1">IF(ISTEXT(C9),_xll.BDH(C9 &amp;  " Equity","BEST_EPS",$Q$3,$Q$3,"BEST_FPERIOD_OVERRIDE=1BF","CDR=US","Fill=p"),"")</f>
        <v>#N/A N/A</v>
      </c>
    </row>
    <row r="10" spans="1:47">
      <c r="A10" t="str">
        <f t="shared" si="0"/>
        <v>.TSMSMH</v>
      </c>
      <c r="B10" s="149" t="s">
        <v>44</v>
      </c>
      <c r="C10" s="149" t="s">
        <v>83</v>
      </c>
      <c r="D10" s="149"/>
      <c r="E10" s="149"/>
      <c r="F10" s="149"/>
      <c r="G10" s="150" cm="1">
        <f t="array" ref="G10">_xll.BDP(B10&amp;" Equity","LAST PRICE")</f>
        <v>325.74</v>
      </c>
      <c r="H10" s="151" cm="1">
        <f t="array" ref="H10">G10/_xll.BDP(B10&amp;" Equity", "PREV_CLOSE_VAL")-1</f>
        <v>0</v>
      </c>
      <c r="I10" s="150" cm="1">
        <f t="array" ref="I10">_xll.BDP(C10&amp;" Equity","LAST PRICE")</f>
        <v>382.02</v>
      </c>
      <c r="J10" s="151" cm="1">
        <f t="array" ref="J10">I10/_xll.BDP(C10&amp;" Equity", "PREV_CLOSE_VAL")-1</f>
        <v>0</v>
      </c>
      <c r="K10" s="152">
        <f t="shared" si="1"/>
        <v>0.85267787026857234</v>
      </c>
      <c r="L10" s="151" cm="1">
        <f t="array" ref="L10">K10/(_xll.BDP(B10&amp;" Equity", "PREV_CLOSE_VAL")/_xll.BDP(C10&amp;" Equity", "PREV_CLOSE_VAL"))-1</f>
        <v>0</v>
      </c>
      <c r="M10" s="151"/>
      <c r="N10" s="153">
        <f t="shared" si="2"/>
        <v>0</v>
      </c>
      <c r="O10" s="154">
        <f t="shared" si="3"/>
        <v>1.4752835538752363E-2</v>
      </c>
      <c r="P10" s="155" cm="1">
        <f t="array" ref="P10">_xll.BDP($A10&amp;" Index","VOLATILITY_30D")</f>
        <v>23.412749999999999</v>
      </c>
      <c r="Q10" s="155" cm="1">
        <f t="array" aca="1" ref="Q10" ca="1">(_xll.BDP(($B10&amp; " Equity"),"CORR_COEF", "BETA_OVERRIDE_REL_INDEX",($C10&amp; " Equity"),"BETA_OVERRIDE_END_DT",$Q$5,"BETA_OVERRIDE_START_DT",$Q$4))*100</f>
        <v>80.025299103817645</v>
      </c>
      <c r="R10" s="151"/>
      <c r="S10" s="151" cm="1">
        <f t="array" ref="S10">_xll.BDP($A10&amp;" Index","CHG_PCT_2D")/100</f>
        <v>9.9591149999999993E-3</v>
      </c>
      <c r="T10" s="151" cm="1">
        <f t="array" ref="T10">_xll.BDP($A10&amp;" Index","CHG_PCT_5D")/100</f>
        <v>4.8478670000000001E-2</v>
      </c>
      <c r="U10" s="151" cm="1">
        <f t="array" ref="U10">K10/_xll.BDP($A10&amp;" Index","HIGH_52WEEK")-1</f>
        <v>-4.3589889103604618E-2</v>
      </c>
      <c r="V10" s="151" cm="1">
        <f t="array" ref="V10">K10/_xll.BDP($A10&amp;" Index","LOW_52WEEK")-1</f>
        <v>0.13240440684821952</v>
      </c>
      <c r="W10" s="151"/>
      <c r="X10" s="155" cm="1">
        <f t="array" ref="X10">_xll.BDP($A10&amp;" Index","RSI_14D")</f>
        <v>57.829009999999997</v>
      </c>
      <c r="Y10" s="156"/>
      <c r="Z10" s="157">
        <f t="shared" si="4"/>
        <v>-1</v>
      </c>
      <c r="AA10" s="156"/>
      <c r="AB10" s="157">
        <f t="shared" si="5"/>
        <v>-1</v>
      </c>
      <c r="AC10" s="156"/>
      <c r="AD10" s="151" t="e">
        <f t="shared" si="6"/>
        <v>#DIV/0!</v>
      </c>
      <c r="AE10" s="151"/>
      <c r="AF10" s="158">
        <f>IF(ISTEXT(B10),_xll.BDP(B10 &amp; " Equity","EXPECTED_REPORT_DT")*1,"")</f>
        <v>46129</v>
      </c>
      <c r="AG10" s="158" t="e">
        <f>IF(ISTEXT(C10),_xll.BDP(C10 &amp; " Equity","EXPECTED_REPORT_DT")*1,"")</f>
        <v>#VALUE!</v>
      </c>
      <c r="AH10" s="159" cm="1">
        <f t="array" ref="AH10">(_xll.BDP(B10&amp;" Equity","SHORT_INT")/_xll.BDP(B10&amp;" Equity","VOLUME_AVG_90D"))</f>
        <v>1.7497172161496712</v>
      </c>
      <c r="AI10" s="159" cm="1">
        <f t="array" ref="AI10">(_xll.BDP(C10&amp;" Equity","SHORT_INT")/_xll.BDP(C10&amp;" Equity","VOLUME_AVG_90D"))</f>
        <v>1.1440445929910832</v>
      </c>
      <c r="AJ10" s="159" t="e" cm="1">
        <f t="array" ref="AJ10">(_xll.BDP(B10&amp;" Equity","SHORT_INT"))/((_xll.BDP(B10&amp;" Equity","EQY_FREE_FLOAT_PCT"))*(_xll.BDP(B10&amp;" Equity","EQY_SH_OUT_TOT_MULT_SH")))/100</f>
        <v>#VALUE!</v>
      </c>
      <c r="AK10" s="159" t="e" cm="1">
        <f t="array" ref="AK10">(_xll.BDP(C10&amp;" Equity","SHORT_INT"))/((_xll.BDP(C10&amp;" Equity","EQY_FREE_FLOAT_PCT"))*(_xll.BDP(C10&amp;" Equity","EQY_SH_OUT_TOT_MULT_SH")))/100</f>
        <v>#VALUE!</v>
      </c>
      <c r="AM10" s="157">
        <f ca="1">IF(ISTEXT(B10),AP10/_xll.BDH(B10 &amp;  " Equity","BEST_EPS",$AM$3,$AM$3,"BEST_FPERIOD_OVERRIDE=1BF","CDR=US","Fill=p")-1,"")</f>
        <v>8.407872037203723E-2</v>
      </c>
      <c r="AN10" s="157">
        <f ca="1">IF(ISTEXT(B10),AP10/_xll.BDH(B10 &amp;  " Equity","BEST_EPS",$AN$3,$AN$3,"BEST_FPERIOD_OVERRIDE=1BF","CDR=US","Fill=p")-1,"")</f>
        <v>0.26776678270880749</v>
      </c>
      <c r="AO10" s="159">
        <f t="shared" ca="1" si="7"/>
        <v>0.70431183972116396</v>
      </c>
      <c r="AP10" s="159" cm="1">
        <f t="array" aca="1" ref="AP10" ca="1">IF(ISTEXT(B10),_xll.BDH(B10 &amp;  " Equity","BEST_EPS",$Q$3,$Q$3,"BEST_FPERIOD_OVERRIDE=1BF","CDR=US","Fill=p"),"")</f>
        <v>462.49400000000003</v>
      </c>
      <c r="AR10" s="157" t="e">
        <f ca="1">IF(ISTEXT(C10),AU10/_xll.BDH(C10 &amp;  " Equity","BEST_EPS",$AM$3,$AM$3,"BEST_FPERIOD_OVERRIDE=1BF","CDR=US","Fill=p")-1,"")</f>
        <v>#VALUE!</v>
      </c>
      <c r="AS10" s="157" t="e">
        <f ca="1">IF(ISTEXT(C10),AU10/_xll.BDH(C10 &amp;  " Equity","BEST_EPS",$AN$3,$AN$3,"BEST_FPERIOD_OVERRIDE=1BF","CDR=US","Fill=p")-1,"")</f>
        <v>#VALUE!</v>
      </c>
      <c r="AT10" s="159" t="e">
        <f t="shared" ca="1" si="8"/>
        <v>#VALUE!</v>
      </c>
      <c r="AU10" s="159" t="str" cm="1">
        <f t="array" aca="1" ref="AU10" ca="1">IF(ISTEXT(C10),_xll.BDH(C10 &amp;  " Equity","BEST_EPS",$Q$3,$Q$3,"BEST_FPERIOD_OVERRIDE=1BF","CDR=US","Fill=p"),"")</f>
        <v>#N/A N/A</v>
      </c>
    </row>
    <row r="11" spans="1:47">
      <c r="A11" t="str">
        <f t="shared" si="0"/>
        <v>.NVDASMH</v>
      </c>
      <c r="B11" s="149" t="s">
        <v>42</v>
      </c>
      <c r="C11" s="149" t="s">
        <v>83</v>
      </c>
      <c r="D11" s="149"/>
      <c r="E11" s="149"/>
      <c r="F11" s="149"/>
      <c r="G11" s="150" cm="1">
        <f t="array" ref="G11">_xll.BDP(B11&amp;" Equity","LAST PRICE")</f>
        <v>174.19</v>
      </c>
      <c r="H11" s="151" cm="1">
        <f t="array" ref="H11">G11/_xll.BDP(B11&amp;" Equity", "PREV_CLOSE_VAL")-1</f>
        <v>0</v>
      </c>
      <c r="I11" s="150" cm="1">
        <f t="array" ref="I11">_xll.BDP(C11&amp;" Equity","LAST PRICE")</f>
        <v>382.02</v>
      </c>
      <c r="J11" s="151" cm="1">
        <f t="array" ref="J11">I11/_xll.BDP(C11&amp;" Equity", "PREV_CLOSE_VAL")-1</f>
        <v>0</v>
      </c>
      <c r="K11" s="152">
        <f t="shared" si="1"/>
        <v>0.45597089157635728</v>
      </c>
      <c r="L11" s="151" cm="1">
        <f t="array" ref="L11">K11/(_xll.BDP(B11&amp;" Equity", "PREV_CLOSE_VAL")/_xll.BDP(C11&amp;" Equity", "PREV_CLOSE_VAL"))-1</f>
        <v>0</v>
      </c>
      <c r="M11" s="151"/>
      <c r="N11" s="153">
        <f t="shared" si="2"/>
        <v>0</v>
      </c>
      <c r="O11" s="154">
        <f t="shared" si="3"/>
        <v>1.5656219281663514E-2</v>
      </c>
      <c r="P11" s="155" cm="1">
        <f t="array" ref="P11">_xll.BDP($A11&amp;" Index","VOLATILITY_30D")</f>
        <v>24.846419999999998</v>
      </c>
      <c r="Q11" s="155" cm="1">
        <f t="array" aca="1" ref="Q11" ca="1">(_xll.BDP(($B11&amp; " Equity"),"CORR_COEF", "BETA_OVERRIDE_REL_INDEX",($C11&amp; " Equity"),"BETA_OVERRIDE_END_DT",$Q$5,"BETA_OVERRIDE_START_DT",$Q$4))*100</f>
        <v>56.753718597037292</v>
      </c>
      <c r="R11" s="151"/>
      <c r="S11" s="151" cm="1">
        <f t="array" ref="S11">_xll.BDP($A11&amp;" Index","CHG_PCT_2D")/100</f>
        <v>5.490427E-3</v>
      </c>
      <c r="T11" s="151" cm="1">
        <f t="array" ref="T11">_xll.BDP($A11&amp;" Index","CHG_PCT_5D")/100</f>
        <v>-1.108203E-2</v>
      </c>
      <c r="U11" s="151" cm="1">
        <f t="array" ref="U11">K11/_xll.BDP($A11&amp;" Index","HIGH_52WEEK")-1</f>
        <v>-0.27160035850994868</v>
      </c>
      <c r="V11" s="151" cm="1">
        <f t="array" ref="V11">K11/_xll.BDP($A11&amp;" Index","LOW_52WEEK")-1</f>
        <v>5.4928366771573867E-3</v>
      </c>
      <c r="W11" s="151"/>
      <c r="X11" s="155" cm="1">
        <f t="array" ref="X11">_xll.BDP($A11&amp;" Index","RSI_14D")</f>
        <v>37.35859</v>
      </c>
      <c r="Y11" s="156"/>
      <c r="Z11" s="157">
        <f t="shared" si="4"/>
        <v>-1</v>
      </c>
      <c r="AA11" s="156"/>
      <c r="AB11" s="157">
        <f t="shared" si="5"/>
        <v>-1</v>
      </c>
      <c r="AC11" s="156"/>
      <c r="AD11" s="151" t="e">
        <f t="shared" si="6"/>
        <v>#DIV/0!</v>
      </c>
      <c r="AE11" s="151"/>
      <c r="AF11" s="158">
        <f>IF(ISTEXT(B11),_xll.BDP(B11 &amp; " Equity","EXPECTED_REPORT_DT")*1,"")</f>
        <v>46078</v>
      </c>
      <c r="AG11" s="158" t="e">
        <f>IF(ISTEXT(C11),_xll.BDP(C11 &amp; " Equity","EXPECTED_REPORT_DT")*1,"")</f>
        <v>#VALUE!</v>
      </c>
      <c r="AH11" s="159" cm="1">
        <f t="array" ref="AH11">(_xll.BDP(B11&amp;" Equity","SHORT_INT")/_xll.BDP(B11&amp;" Equity","VOLUME_AVG_90D"))</f>
        <v>1.4485312988793277</v>
      </c>
      <c r="AI11" s="159" cm="1">
        <f t="array" ref="AI11">(_xll.BDP(C11&amp;" Equity","SHORT_INT")/_xll.BDP(C11&amp;" Equity","VOLUME_AVG_90D"))</f>
        <v>1.1440445929910832</v>
      </c>
      <c r="AJ11" s="159" cm="1">
        <f t="array" ref="AJ11">(_xll.BDP(B11&amp;" Equity","SHORT_INT"))/((_xll.BDP(B11&amp;" Equity","EQY_FREE_FLOAT_PCT"))*(_xll.BDP(B11&amp;" Equity","EQY_SH_OUT_TOT_MULT_SH")))/100</f>
        <v>1.1202678799294328</v>
      </c>
      <c r="AK11" s="159" t="e" cm="1">
        <f t="array" ref="AK11">(_xll.BDP(C11&amp;" Equity","SHORT_INT"))/((_xll.BDP(C11&amp;" Equity","EQY_FREE_FLOAT_PCT"))*(_xll.BDP(C11&amp;" Equity","EQY_SH_OUT_TOT_MULT_SH")))/100</f>
        <v>#VALUE!</v>
      </c>
      <c r="AM11" s="157">
        <f ca="1">IF(ISTEXT(B11),AP11/_xll.BDH(B11 &amp;  " Equity","BEST_EPS",$AM$3,$AM$3,"BEST_FPERIOD_OVERRIDE=1BF","CDR=US","Fill=p")-1,"")</f>
        <v>4.0958372373176344E-2</v>
      </c>
      <c r="AN11" s="157">
        <f ca="1">IF(ISTEXT(B11),AP11/_xll.BDH(B11 &amp;  " Equity","BEST_EPS",$AN$3,$AN$3,"BEST_FPERIOD_OVERRIDE=1BF","CDR=US","Fill=p")-1,"")</f>
        <v>0.26661237785016301</v>
      </c>
      <c r="AO11" s="159">
        <f t="shared" ca="1" si="7"/>
        <v>22.398096952552397</v>
      </c>
      <c r="AP11" s="159" cm="1">
        <f t="array" aca="1" ref="AP11" ca="1">IF(ISTEXT(B11),_xll.BDH(B11 &amp;  " Equity","BEST_EPS",$Q$3,$Q$3,"BEST_FPERIOD_OVERRIDE=1BF","CDR=US","Fill=p"),"")</f>
        <v>7.7770000000000001</v>
      </c>
      <c r="AR11" s="157" t="e">
        <f ca="1">IF(ISTEXT(C11),AU11/_xll.BDH(C11 &amp;  " Equity","BEST_EPS",$AM$3,$AM$3,"BEST_FPERIOD_OVERRIDE=1BF","CDR=US","Fill=p")-1,"")</f>
        <v>#VALUE!</v>
      </c>
      <c r="AS11" s="157" t="e">
        <f ca="1">IF(ISTEXT(C11),AU11/_xll.BDH(C11 &amp;  " Equity","BEST_EPS",$AN$3,$AN$3,"BEST_FPERIOD_OVERRIDE=1BF","CDR=US","Fill=p")-1,"")</f>
        <v>#VALUE!</v>
      </c>
      <c r="AT11" s="159" t="e">
        <f t="shared" ca="1" si="8"/>
        <v>#VALUE!</v>
      </c>
      <c r="AU11" s="159" t="str" cm="1">
        <f t="array" aca="1" ref="AU11" ca="1">IF(ISTEXT(C11),_xll.BDH(C11 &amp;  " Equity","BEST_EPS",$Q$3,$Q$3,"BEST_FPERIOD_OVERRIDE=1BF","CDR=US","Fill=p"),"")</f>
        <v>#N/A N/A</v>
      </c>
    </row>
    <row r="12" spans="1:47">
      <c r="A12" t="str">
        <f t="shared" si="0"/>
        <v>.AVGOSMH</v>
      </c>
      <c r="B12" s="149" t="s">
        <v>84</v>
      </c>
      <c r="C12" s="149" t="s">
        <v>83</v>
      </c>
      <c r="D12" s="149"/>
      <c r="E12" s="149"/>
      <c r="F12" s="149"/>
      <c r="G12" s="150" cm="1">
        <f t="array" ref="G12">_xll.BDP(B12&amp;" Equity","LAST PRICE")</f>
        <v>308.05</v>
      </c>
      <c r="H12" s="151" cm="1">
        <f t="array" ref="H12">G12/_xll.BDP(B12&amp;" Equity", "PREV_CLOSE_VAL")-1</f>
        <v>0</v>
      </c>
      <c r="I12" s="150" cm="1">
        <f t="array" ref="I12">_xll.BDP(C12&amp;" Equity","LAST PRICE")</f>
        <v>382.02</v>
      </c>
      <c r="J12" s="151" cm="1">
        <f t="array" ref="J12">I12/_xll.BDP(C12&amp;" Equity", "PREV_CLOSE_VAL")-1</f>
        <v>0</v>
      </c>
      <c r="K12" s="152">
        <f t="shared" si="1"/>
        <v>0.80637139416784465</v>
      </c>
      <c r="L12" s="151" cm="1">
        <f t="array" ref="L12">K12/(_xll.BDP(B12&amp;" Equity", "PREV_CLOSE_VAL")/_xll.BDP(C12&amp;" Equity", "PREV_CLOSE_VAL"))-1</f>
        <v>0</v>
      </c>
      <c r="M12" s="151"/>
      <c r="N12" s="153">
        <f t="shared" si="2"/>
        <v>0</v>
      </c>
      <c r="O12" s="154">
        <f t="shared" si="3"/>
        <v>1.8166408317580339E-2</v>
      </c>
      <c r="P12" s="155" cm="1">
        <f t="array" ref="P12">_xll.BDP($A12&amp;" Index","VOLATILITY_30D")</f>
        <v>28.830089999999998</v>
      </c>
      <c r="Q12" s="155" cm="1">
        <f t="array" aca="1" ref="Q12" ca="1">(_xll.BDP(($B12&amp; " Equity"),"CORR_COEF", "BETA_OVERRIDE_REL_INDEX",($C12&amp; " Equity"),"BETA_OVERRIDE_END_DT",$Q$5,"BETA_OVERRIDE_START_DT",$Q$4))*100</f>
        <v>58.825214741038593</v>
      </c>
      <c r="R12" s="151"/>
      <c r="S12" s="151" cm="1">
        <f t="array" ref="S12">_xll.BDP($A12&amp;" Index","CHG_PCT_2D")/100</f>
        <v>1.0839269999999999E-3</v>
      </c>
      <c r="T12" s="151" cm="1">
        <f t="array" ref="T12">_xll.BDP($A12&amp;" Index","CHG_PCT_5D")/100</f>
        <v>1.797723E-2</v>
      </c>
      <c r="U12" s="151" cm="1">
        <f t="array" ref="U12">K12/_xll.BDP($A12&amp;" Index","HIGH_52WEEK")-1</f>
        <v>-0.34361302876040323</v>
      </c>
      <c r="V12" s="151" cm="1">
        <f t="array" ref="V12">K12/_xll.BDP($A12&amp;" Index","LOW_52WEEK")-1</f>
        <v>2.3976678012221919E-2</v>
      </c>
      <c r="W12" s="151"/>
      <c r="X12" s="155" cm="1">
        <f t="array" ref="X12">_xll.BDP($A12&amp;" Index","RSI_14D")</f>
        <v>33.511539999999997</v>
      </c>
      <c r="Y12" s="156"/>
      <c r="Z12" s="157">
        <f t="shared" si="4"/>
        <v>-1</v>
      </c>
      <c r="AA12" s="156"/>
      <c r="AB12" s="157">
        <f t="shared" si="5"/>
        <v>-1</v>
      </c>
      <c r="AC12" s="156"/>
      <c r="AD12" s="151" t="e">
        <f t="shared" si="6"/>
        <v>#DIV/0!</v>
      </c>
      <c r="AE12" s="151"/>
      <c r="AF12" s="158">
        <f>IF(ISTEXT(B12),_xll.BDP(B12 &amp; " Equity","EXPECTED_REPORT_DT")*1,"")</f>
        <v>46085</v>
      </c>
      <c r="AG12" s="158" t="e">
        <f>IF(ISTEXT(C12),_xll.BDP(C12 &amp; " Equity","EXPECTED_REPORT_DT")*1,"")</f>
        <v>#VALUE!</v>
      </c>
      <c r="AH12" s="159" cm="1">
        <f t="array" ref="AH12">(_xll.BDP(B12&amp;" Equity","SHORT_INT")/_xll.BDP(B12&amp;" Equity","VOLUME_AVG_90D"))</f>
        <v>2.1194436078980754</v>
      </c>
      <c r="AI12" s="159" cm="1">
        <f t="array" ref="AI12">(_xll.BDP(C12&amp;" Equity","SHORT_INT")/_xll.BDP(C12&amp;" Equity","VOLUME_AVG_90D"))</f>
        <v>1.1440445929910832</v>
      </c>
      <c r="AJ12" s="159" cm="1">
        <f t="array" ref="AJ12">(_xll.BDP(B12&amp;" Equity","SHORT_INT"))/((_xll.BDP(B12&amp;" Equity","EQY_FREE_FLOAT_PCT"))*(_xll.BDP(B12&amp;" Equity","EQY_SH_OUT_TOT_MULT_SH")))/100</f>
        <v>1.2477590154715748</v>
      </c>
      <c r="AK12" s="159" t="e" cm="1">
        <f t="array" ref="AK12">(_xll.BDP(C12&amp;" Equity","SHORT_INT"))/((_xll.BDP(C12&amp;" Equity","EQY_FREE_FLOAT_PCT"))*(_xll.BDP(C12&amp;" Equity","EQY_SH_OUT_TOT_MULT_SH")))/100</f>
        <v>#VALUE!</v>
      </c>
      <c r="AM12" s="157">
        <f ca="1">IF(ISTEXT(B12),AP12/_xll.BDH(B12 &amp;  " Equity","BEST_EPS",$AM$3,$AM$3,"BEST_FPERIOD_OVERRIDE=1BF","CDR=US","Fill=p")-1,"")</f>
        <v>5.0226586102719128E-2</v>
      </c>
      <c r="AN12" s="157">
        <f ca="1">IF(ISTEXT(B12),AP12/_xll.BDH(B12 &amp;  " Equity","BEST_EPS",$AN$3,$AN$3,"BEST_FPERIOD_OVERRIDE=1BF","CDR=US","Fill=p")-1,"")</f>
        <v>0.18719316969050181</v>
      </c>
      <c r="AO12" s="159">
        <f t="shared" ca="1" si="7"/>
        <v>27.692376842862281</v>
      </c>
      <c r="AP12" s="159" cm="1">
        <f t="array" aca="1" ref="AP12" ca="1">IF(ISTEXT(B12),_xll.BDH(B12 &amp;  " Equity","BEST_EPS",$Q$3,$Q$3,"BEST_FPERIOD_OVERRIDE=1BF","CDR=US","Fill=p"),"")</f>
        <v>11.124000000000001</v>
      </c>
      <c r="AR12" s="157" t="e">
        <f ca="1">IF(ISTEXT(C12),AU12/_xll.BDH(C12 &amp;  " Equity","BEST_EPS",$AM$3,$AM$3,"BEST_FPERIOD_OVERRIDE=1BF","CDR=US","Fill=p")-1,"")</f>
        <v>#VALUE!</v>
      </c>
      <c r="AS12" s="157" t="e">
        <f ca="1">IF(ISTEXT(C12),AU12/_xll.BDH(C12 &amp;  " Equity","BEST_EPS",$AN$3,$AN$3,"BEST_FPERIOD_OVERRIDE=1BF","CDR=US","Fill=p")-1,"")</f>
        <v>#VALUE!</v>
      </c>
      <c r="AT12" s="159" t="e">
        <f t="shared" ca="1" si="8"/>
        <v>#VALUE!</v>
      </c>
      <c r="AU12" s="159" t="str" cm="1">
        <f t="array" aca="1" ref="AU12" ca="1">IF(ISTEXT(C12),_xll.BDH(C12 &amp;  " Equity","BEST_EPS",$Q$3,$Q$3,"BEST_FPERIOD_OVERRIDE=1BF","CDR=US","Fill=p"),"")</f>
        <v>#N/A N/A</v>
      </c>
    </row>
  </sheetData>
  <conditionalFormatting sqref="X8:X12">
    <cfRule type="dataBar" priority="571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{C93AEBED-37C3-49E0-8FC3-065F63F77D89}</x14:id>
        </ext>
      </extLst>
    </cfRule>
  </conditionalFormatting>
  <conditionalFormatting sqref="S8:T12">
    <cfRule type="colorScale" priority="571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M12">
    <cfRule type="colorScale" priority="571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8:AG12">
    <cfRule type="colorScale" priority="571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:H12 J8:J12">
    <cfRule type="colorScale" priority="57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:H12">
    <cfRule type="colorScale" priority="571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14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8:J12">
    <cfRule type="colorScale" priority="571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14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8:L12">
    <cfRule type="colorScale" priority="571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L12">
    <cfRule type="colorScale" priority="57145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571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8:N12">
    <cfRule type="dataBar" priority="571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{A8B1A803-6DCE-46A4-800A-47F7A4CF7DBC}</x14:id>
        </ext>
      </extLst>
    </cfRule>
  </conditionalFormatting>
  <conditionalFormatting sqref="P8:P12">
    <cfRule type="dataBar" priority="571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{180C32C0-259B-455C-8E72-653AE62F4AA1}</x14:id>
        </ext>
      </extLst>
    </cfRule>
  </conditionalFormatting>
  <conditionalFormatting sqref="Q8:Q12">
    <cfRule type="dataBar" priority="571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{DFA79591-D63C-4318-B005-1517271EF9D8}</x14:id>
        </ext>
      </extLst>
    </cfRule>
    <cfRule type="dataBar" priority="571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{AADD0B2B-0BE3-4F05-89EF-EE25745516A3}</x14:id>
        </ext>
      </extLst>
    </cfRule>
  </conditionalFormatting>
  <conditionalFormatting sqref="W8:W12 R8:R12">
    <cfRule type="colorScale" priority="571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8:X12">
    <cfRule type="dataBar" priority="571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{55039D42-E68A-4F02-9170-4B916B9FA042}</x14:id>
        </ext>
      </extLst>
    </cfRule>
  </conditionalFormatting>
  <conditionalFormatting sqref="Z8:Z12">
    <cfRule type="colorScale" priority="571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8:AB12 AD8:AD12">
    <cfRule type="colorScale" priority="571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8:AE12">
    <cfRule type="colorScale" priority="57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8:AI12">
    <cfRule type="dataBar" priority="571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{EF6E9D7C-49A0-44A1-A6BD-FE63F13D30D6}</x14:id>
        </ext>
      </extLst>
    </cfRule>
  </conditionalFormatting>
  <conditionalFormatting sqref="S8:S12">
    <cfRule type="colorScale" priority="57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8:T12">
    <cfRule type="colorScale" priority="57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93AEBED-37C3-49E0-8FC3-065F63F77D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X8:X12</xm:sqref>
        </x14:conditionalFormatting>
        <x14:conditionalFormatting xmlns:xm="http://schemas.microsoft.com/office/excel/2006/main">
          <x14:cfRule type="dataBar" id="{A8B1A803-6DCE-46A4-800A-47F7A4CF7D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N8:N12</xm:sqref>
        </x14:conditionalFormatting>
        <x14:conditionalFormatting xmlns:xm="http://schemas.microsoft.com/office/excel/2006/main">
          <x14:cfRule type="dataBar" id="{180C32C0-259B-455C-8E72-653AE62F4A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P8:P12</xm:sqref>
        </x14:conditionalFormatting>
        <x14:conditionalFormatting xmlns:xm="http://schemas.microsoft.com/office/excel/2006/main">
          <x14:cfRule type="dataBar" id="{DFA79591-D63C-4318-B005-1517271EF9D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ADD0B2B-0BE3-4F05-89EF-EE25745516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Q8:Q12</xm:sqref>
        </x14:conditionalFormatting>
        <x14:conditionalFormatting xmlns:xm="http://schemas.microsoft.com/office/excel/2006/main">
          <x14:cfRule type="dataBar" id="{55039D42-E68A-4F02-9170-4B916B9FA0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X8:X12</xm:sqref>
        </x14:conditionalFormatting>
        <x14:conditionalFormatting xmlns:xm="http://schemas.microsoft.com/office/excel/2006/main">
          <x14:cfRule type="dataBar" id="{EF6E9D7C-49A0-44A1-A6BD-FE63F13D30D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AI8:AI12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F941B-2232-4251-8EFE-8EFFA8ADCC6C}">
  <sheetPr codeName="Sheet19"/>
  <dimension ref="C2:AP59"/>
  <sheetViews>
    <sheetView zoomScale="85" zoomScaleNormal="85" workbookViewId="0">
      <selection activeCell="AD7" sqref="AD7"/>
    </sheetView>
  </sheetViews>
  <sheetFormatPr defaultRowHeight="15"/>
  <cols>
    <col min="3" max="3" width="11.140625" bestFit="1" customWidth="1"/>
    <col min="4" max="5" width="9.140625" style="206"/>
    <col min="12" max="12" width="10.28515625" bestFit="1" customWidth="1"/>
    <col min="20" max="20" width="11" bestFit="1" customWidth="1"/>
    <col min="21" max="21" width="10.5703125" hidden="1" customWidth="1"/>
    <col min="22" max="24" width="9.140625" customWidth="1"/>
    <col min="25" max="25" width="2" customWidth="1"/>
    <col min="26" max="28" width="9.140625" customWidth="1"/>
    <col min="29" max="29" width="4.42578125" style="44" customWidth="1"/>
    <col min="30" max="30" width="9.140625" customWidth="1"/>
    <col min="31" max="31" width="10" bestFit="1" customWidth="1"/>
    <col min="32" max="32" width="5.28515625" customWidth="1"/>
    <col min="33" max="33" width="9.140625" customWidth="1"/>
  </cols>
  <sheetData>
    <row r="2" spans="3:37">
      <c r="X2" t="s">
        <v>333</v>
      </c>
      <c r="Z2" s="125">
        <v>0.02</v>
      </c>
      <c r="AA2" s="125">
        <v>1.2500000000000001E-2</v>
      </c>
      <c r="AB2" s="125">
        <f>Z2+AA2</f>
        <v>3.2500000000000001E-2</v>
      </c>
      <c r="AG2" t="s">
        <v>333</v>
      </c>
      <c r="AH2" t="s">
        <v>563</v>
      </c>
      <c r="AI2" t="s">
        <v>564</v>
      </c>
    </row>
    <row r="3" spans="3:37">
      <c r="T3" s="39"/>
      <c r="U3" s="39"/>
      <c r="V3" t="s">
        <v>560</v>
      </c>
      <c r="W3" t="s">
        <v>561</v>
      </c>
      <c r="X3" t="s">
        <v>113</v>
      </c>
      <c r="Z3" t="s">
        <v>560</v>
      </c>
      <c r="AA3" t="s">
        <v>561</v>
      </c>
      <c r="AB3" t="s">
        <v>113</v>
      </c>
      <c r="AD3" t="s">
        <v>562</v>
      </c>
      <c r="AE3" t="s">
        <v>577</v>
      </c>
    </row>
    <row r="4" spans="3:37">
      <c r="D4" t="s">
        <v>374</v>
      </c>
      <c r="F4" s="141" t="s">
        <v>94</v>
      </c>
      <c r="G4" s="141" t="s">
        <v>92</v>
      </c>
      <c r="K4" t="s">
        <v>91</v>
      </c>
      <c r="S4" s="35" t="s">
        <v>448</v>
      </c>
      <c r="T4" t="s">
        <v>38</v>
      </c>
      <c r="U4" t="s">
        <v>565</v>
      </c>
      <c r="V4" s="288">
        <v>0.27500000000000002</v>
      </c>
      <c r="W4" s="288">
        <v>0.5</v>
      </c>
      <c r="X4" s="288">
        <f t="shared" ref="X4:X13" si="0">AB4/$AB$14</f>
        <v>0.36153846153846153</v>
      </c>
      <c r="Z4" s="70">
        <f>V4*$Z$2</f>
        <v>5.5000000000000005E-3</v>
      </c>
      <c r="AA4" s="70">
        <f>W4*$AA$2</f>
        <v>6.2500000000000003E-3</v>
      </c>
      <c r="AB4" s="70">
        <f>Z4+AA4</f>
        <v>1.175E-2</v>
      </c>
      <c r="AC4" s="44" t="s">
        <v>448</v>
      </c>
      <c r="AD4" s="70">
        <v>1.34E-2</v>
      </c>
      <c r="AE4" s="206">
        <f>(AB4-AD4)*10000</f>
        <v>-16.500000000000004</v>
      </c>
      <c r="AG4" s="287">
        <f>X4</f>
        <v>0.36153846153846153</v>
      </c>
      <c r="AH4" s="286">
        <v>0.2</v>
      </c>
      <c r="AI4" s="286">
        <v>0.15</v>
      </c>
      <c r="AK4" s="20"/>
    </row>
    <row r="5" spans="3:37">
      <c r="C5" t="s">
        <v>78</v>
      </c>
      <c r="D5" s="206">
        <v>2.4</v>
      </c>
      <c r="F5" s="131" cm="1">
        <f t="array" ref="F5">_xll.BDP($C5&amp;" Equity","volatility_10d")/100</f>
        <v>0.85866283998065907</v>
      </c>
      <c r="G5" s="131" cm="1">
        <f t="array" ref="G5">_xll.BDP($C5&amp;" Equity","volatility_30d")/100</f>
        <v>0.5790387550003222</v>
      </c>
      <c r="J5" t="s">
        <v>418</v>
      </c>
      <c r="K5" s="206">
        <v>70</v>
      </c>
      <c r="L5" cm="1">
        <f t="array" ref="L5">_xll.BDP(J5&amp;" Equity","LAST PRICE")</f>
        <v>80.62</v>
      </c>
      <c r="M5" s="208">
        <f>L5/K5-1</f>
        <v>0.15171428571428569</v>
      </c>
      <c r="S5" s="35" t="s">
        <v>448</v>
      </c>
      <c r="T5" t="s">
        <v>559</v>
      </c>
      <c r="U5" t="s">
        <v>565</v>
      </c>
      <c r="V5" s="288"/>
      <c r="W5" s="288">
        <v>0.1</v>
      </c>
      <c r="X5" s="288">
        <f t="shared" si="0"/>
        <v>3.8461538461538471E-2</v>
      </c>
      <c r="Z5" s="70">
        <f t="shared" ref="Z5:Z13" si="1">V5*$Z$2</f>
        <v>0</v>
      </c>
      <c r="AA5" s="70">
        <f t="shared" ref="AA5:AA13" si="2">W5*$AA$2</f>
        <v>1.2500000000000002E-3</v>
      </c>
      <c r="AB5" s="70">
        <f t="shared" ref="AB5:AB13" si="3">Z5+AA5</f>
        <v>1.2500000000000002E-3</v>
      </c>
      <c r="AC5" s="44" t="s">
        <v>448</v>
      </c>
      <c r="AD5" s="70">
        <v>1.1999999999999999E-3</v>
      </c>
      <c r="AE5" s="206">
        <f t="shared" ref="AE5:AE13" si="4">(AB5-AD5)*10000</f>
        <v>0.50000000000000344</v>
      </c>
      <c r="AG5" s="287">
        <f t="shared" ref="AG5:AG13" si="5">X5</f>
        <v>3.8461538461538471E-2</v>
      </c>
      <c r="AH5" s="286"/>
      <c r="AI5" s="286"/>
      <c r="AK5" s="20"/>
    </row>
    <row r="6" spans="3:37">
      <c r="C6" t="s">
        <v>78</v>
      </c>
      <c r="D6" s="206">
        <v>2.4</v>
      </c>
      <c r="F6" s="131" cm="1">
        <f t="array" ref="F6">_xll.BDP($C6&amp;" Equity","volatility_10d")/100</f>
        <v>0.85866283998065907</v>
      </c>
      <c r="G6" s="131" cm="1">
        <f t="array" ref="G6">_xll.BDP($C6&amp;" Equity","volatility_30d")/100</f>
        <v>0.5790387550003222</v>
      </c>
      <c r="J6" t="s">
        <v>418</v>
      </c>
      <c r="K6" s="206">
        <v>70</v>
      </c>
      <c r="L6" cm="1">
        <f t="array" ref="L6">_xll.BDP(J6&amp;" Equity","LAST PRICE")</f>
        <v>80.62</v>
      </c>
      <c r="M6" s="208">
        <f>L6/K6-1</f>
        <v>0.15171428571428569</v>
      </c>
      <c r="S6" s="35" t="s">
        <v>448</v>
      </c>
      <c r="T6" t="s">
        <v>575</v>
      </c>
      <c r="U6" t="s">
        <v>572</v>
      </c>
      <c r="V6" s="288"/>
      <c r="W6" s="288"/>
      <c r="X6" s="288"/>
      <c r="Z6" s="70">
        <f>V6*$Z$2</f>
        <v>0</v>
      </c>
      <c r="AA6" s="70">
        <f>W6*$AA$2</f>
        <v>0</v>
      </c>
      <c r="AB6" s="70">
        <f>Z6+AA6</f>
        <v>0</v>
      </c>
      <c r="AD6" s="70"/>
      <c r="AE6" s="206"/>
      <c r="AG6" s="287">
        <f>X6</f>
        <v>0</v>
      </c>
      <c r="AH6" s="286"/>
      <c r="AI6" s="286"/>
      <c r="AK6" s="20"/>
    </row>
    <row r="7" spans="3:37">
      <c r="C7" t="s">
        <v>373</v>
      </c>
      <c r="D7" s="206">
        <v>1.2</v>
      </c>
      <c r="F7" s="131" cm="1">
        <f t="array" ref="F7">_xll.BDP($C7&amp;" Equity","volatility_10d")/100</f>
        <v>0.79936929231975573</v>
      </c>
      <c r="G7" s="131" cm="1">
        <f t="array" ref="G7">_xll.BDP($C7&amp;" Equity","volatility_30d")/100</f>
        <v>0.48226218806536508</v>
      </c>
      <c r="J7" t="s">
        <v>421</v>
      </c>
      <c r="K7" s="206">
        <v>28.5</v>
      </c>
      <c r="L7" cm="1">
        <f t="array" ref="L7">_xll.BDP(J7&amp;" Equity","LAST PRICE")</f>
        <v>19.45</v>
      </c>
      <c r="M7" s="208">
        <f t="shared" ref="M7:M13" si="6">L7/K7-1</f>
        <v>-0.31754385964912279</v>
      </c>
      <c r="S7" s="35" t="s">
        <v>448</v>
      </c>
      <c r="T7" t="s">
        <v>29</v>
      </c>
      <c r="U7" t="s">
        <v>551</v>
      </c>
      <c r="V7" s="288">
        <v>0.2</v>
      </c>
      <c r="W7" s="288"/>
      <c r="X7" s="288">
        <f t="shared" si="0"/>
        <v>0.12307692307692307</v>
      </c>
      <c r="Z7" s="70">
        <f t="shared" si="1"/>
        <v>4.0000000000000001E-3</v>
      </c>
      <c r="AA7" s="70">
        <f t="shared" si="2"/>
        <v>0</v>
      </c>
      <c r="AB7" s="70">
        <f t="shared" si="3"/>
        <v>4.0000000000000001E-3</v>
      </c>
      <c r="AD7" s="70">
        <v>3.0999999999999999E-3</v>
      </c>
      <c r="AE7" s="206">
        <f t="shared" si="4"/>
        <v>9.0000000000000018</v>
      </c>
      <c r="AG7" s="287">
        <f t="shared" si="5"/>
        <v>0.12307692307692307</v>
      </c>
      <c r="AH7" s="286">
        <v>0.3</v>
      </c>
      <c r="AI7" s="286">
        <v>0.25</v>
      </c>
      <c r="AK7" s="20"/>
    </row>
    <row r="8" spans="3:37">
      <c r="C8" t="s">
        <v>79</v>
      </c>
      <c r="D8" s="206">
        <v>2</v>
      </c>
      <c r="F8" s="131" cm="1">
        <f t="array" ref="F8">_xll.BDP($C8&amp;" Equity","volatility_10d")/100</f>
        <v>0.80181415859567606</v>
      </c>
      <c r="G8" s="131" cm="1">
        <f t="array" ref="G8">_xll.BDP($C8&amp;" Equity","volatility_30d")/100</f>
        <v>0.54330230830881576</v>
      </c>
      <c r="J8" t="s">
        <v>319</v>
      </c>
      <c r="K8" s="206">
        <v>318.75</v>
      </c>
      <c r="L8" cm="1">
        <f t="array" ref="L8">_xll.BDP(J8&amp;" Equity","LAST PRICE")</f>
        <v>241.65</v>
      </c>
      <c r="M8" s="208">
        <f t="shared" si="6"/>
        <v>-0.24188235294117644</v>
      </c>
      <c r="S8" s="35" t="s">
        <v>448</v>
      </c>
      <c r="T8" t="s">
        <v>31</v>
      </c>
      <c r="U8" t="s">
        <v>551</v>
      </c>
      <c r="V8" s="288">
        <v>0.05</v>
      </c>
      <c r="W8" s="288">
        <v>0.05</v>
      </c>
      <c r="X8" s="288">
        <f t="shared" si="0"/>
        <v>0.05</v>
      </c>
      <c r="Z8" s="70">
        <f t="shared" si="1"/>
        <v>1E-3</v>
      </c>
      <c r="AA8" s="70">
        <f t="shared" si="2"/>
        <v>6.2500000000000012E-4</v>
      </c>
      <c r="AB8" s="70">
        <f t="shared" si="3"/>
        <v>1.6250000000000001E-3</v>
      </c>
      <c r="AD8" s="70">
        <v>1.2999999999999999E-3</v>
      </c>
      <c r="AE8" s="206">
        <f t="shared" si="4"/>
        <v>3.2500000000000022</v>
      </c>
      <c r="AG8" s="287">
        <f t="shared" si="5"/>
        <v>0.05</v>
      </c>
      <c r="AH8" s="286">
        <v>0.05</v>
      </c>
      <c r="AI8" s="286">
        <v>0.05</v>
      </c>
      <c r="AK8" s="20"/>
    </row>
    <row r="9" spans="3:37">
      <c r="C9" t="s">
        <v>37</v>
      </c>
      <c r="D9" s="206">
        <v>1.2</v>
      </c>
      <c r="E9" s="206">
        <v>1.35</v>
      </c>
      <c r="F9" s="131" cm="1">
        <f t="array" ref="F9">_xll.BDP($C9&amp;" Equity","volatility_10d")/100</f>
        <v>0.34573129407257119</v>
      </c>
      <c r="G9" s="131" cm="1">
        <f t="array" ref="G9">_xll.BDP($C9&amp;" Equity","volatility_30d")/100</f>
        <v>0.26693059533135599</v>
      </c>
      <c r="J9" t="s">
        <v>81</v>
      </c>
      <c r="K9" s="206">
        <v>265.95999999999998</v>
      </c>
      <c r="L9" cm="1">
        <f t="array" ref="L9">_xll.BDP(J9&amp;" Equity","LAST PRICE")</f>
        <v>199.44</v>
      </c>
      <c r="M9" s="208">
        <f t="shared" si="6"/>
        <v>-0.25011279891713034</v>
      </c>
      <c r="S9" s="35" t="s">
        <v>448</v>
      </c>
      <c r="T9" t="s">
        <v>318</v>
      </c>
      <c r="U9" t="s">
        <v>551</v>
      </c>
      <c r="V9" s="288">
        <v>0.1</v>
      </c>
      <c r="W9" s="288">
        <v>0.05</v>
      </c>
      <c r="X9" s="288">
        <f t="shared" si="0"/>
        <v>8.0769230769230774E-2</v>
      </c>
      <c r="Z9" s="70">
        <f t="shared" si="1"/>
        <v>2E-3</v>
      </c>
      <c r="AA9" s="70">
        <f t="shared" si="2"/>
        <v>6.2500000000000012E-4</v>
      </c>
      <c r="AB9" s="70">
        <f t="shared" si="3"/>
        <v>2.6250000000000002E-3</v>
      </c>
      <c r="AD9" s="70">
        <v>2.5999999999999999E-3</v>
      </c>
      <c r="AE9" s="206">
        <f t="shared" si="4"/>
        <v>0.25000000000000283</v>
      </c>
      <c r="AG9" s="287">
        <f t="shared" si="5"/>
        <v>8.0769230769230774E-2</v>
      </c>
      <c r="AH9" s="286">
        <v>0.15</v>
      </c>
      <c r="AI9" s="286">
        <v>0.15</v>
      </c>
      <c r="AJ9" t="s">
        <v>448</v>
      </c>
      <c r="AK9" s="20"/>
    </row>
    <row r="10" spans="3:37">
      <c r="C10" t="s">
        <v>276</v>
      </c>
      <c r="D10" s="206">
        <v>1.2</v>
      </c>
      <c r="E10" s="206">
        <v>1.35</v>
      </c>
      <c r="F10" s="131" cm="1">
        <f t="array" ref="F10">_xll.BDP($C10&amp;" Equity","volatility_10d")/100</f>
        <v>0.41642499999999999</v>
      </c>
      <c r="G10" s="131" cm="1">
        <f t="array" ref="G10">_xll.BDP($C10&amp;" Equity","volatility_30d")/100</f>
        <v>0.32299410000000001</v>
      </c>
      <c r="J10" t="s">
        <v>431</v>
      </c>
      <c r="K10" s="206">
        <v>251.52</v>
      </c>
      <c r="L10" cm="1">
        <f t="array" ref="L10">_xll.BDP(J10&amp;" Equity","LAST PRICE")</f>
        <v>170.15</v>
      </c>
      <c r="M10" s="208">
        <f t="shared" si="6"/>
        <v>-0.32351304071246823</v>
      </c>
      <c r="S10" s="35" t="s">
        <v>448</v>
      </c>
      <c r="T10" t="s">
        <v>576</v>
      </c>
      <c r="U10" t="s">
        <v>566</v>
      </c>
      <c r="V10" s="288"/>
      <c r="W10" s="288">
        <v>7.4999999999999997E-2</v>
      </c>
      <c r="X10" s="288">
        <f t="shared" si="0"/>
        <v>2.8846153846153844E-2</v>
      </c>
      <c r="Z10" s="70">
        <f t="shared" si="1"/>
        <v>0</v>
      </c>
      <c r="AA10" s="70">
        <f t="shared" si="2"/>
        <v>9.3749999999999997E-4</v>
      </c>
      <c r="AB10" s="70">
        <f t="shared" si="3"/>
        <v>9.3749999999999997E-4</v>
      </c>
      <c r="AD10" s="70">
        <v>1E-3</v>
      </c>
      <c r="AE10" s="206">
        <f t="shared" si="4"/>
        <v>-0.62500000000000056</v>
      </c>
      <c r="AG10" s="287">
        <f t="shared" si="5"/>
        <v>2.8846153846153844E-2</v>
      </c>
      <c r="AH10" s="286"/>
      <c r="AI10" s="286"/>
      <c r="AK10" s="20"/>
    </row>
    <row r="11" spans="3:37">
      <c r="C11" t="s">
        <v>320</v>
      </c>
      <c r="D11" s="206">
        <v>1.5</v>
      </c>
      <c r="E11" s="206">
        <v>0.94</v>
      </c>
      <c r="F11" s="131" cm="1">
        <f t="array" ref="F11">_xll.BDP($C11&amp;" Equity","volatility_10d")/100</f>
        <v>0.17439427963413237</v>
      </c>
      <c r="G11" s="131" cm="1">
        <f t="array" ref="G11">_xll.BDP($C11&amp;" Equity","volatility_30d")/100</f>
        <v>0.17767775707291064</v>
      </c>
      <c r="J11" t="s">
        <v>279</v>
      </c>
      <c r="K11" s="206">
        <v>117.4</v>
      </c>
      <c r="L11" cm="1">
        <f t="array" ref="L11">_xll.BDP(J11&amp;" Equity","LAST PRICE")</f>
        <v>152.69</v>
      </c>
      <c r="M11" s="208">
        <f t="shared" si="6"/>
        <v>0.30059625212947183</v>
      </c>
      <c r="S11" s="35" t="s">
        <v>448</v>
      </c>
      <c r="T11" t="s">
        <v>42</v>
      </c>
      <c r="U11" t="s">
        <v>552</v>
      </c>
      <c r="V11" s="288">
        <v>0.05</v>
      </c>
      <c r="W11" s="288">
        <v>0.1</v>
      </c>
      <c r="X11" s="288">
        <f t="shared" si="0"/>
        <v>6.9230769230769235E-2</v>
      </c>
      <c r="Z11" s="70">
        <f t="shared" si="1"/>
        <v>1E-3</v>
      </c>
      <c r="AA11" s="70">
        <f t="shared" si="2"/>
        <v>1.2500000000000002E-3</v>
      </c>
      <c r="AB11" s="70">
        <f t="shared" si="3"/>
        <v>2.2500000000000003E-3</v>
      </c>
      <c r="AD11" s="70">
        <v>2.2000000000000001E-3</v>
      </c>
      <c r="AE11" s="206">
        <f t="shared" si="4"/>
        <v>0.50000000000000133</v>
      </c>
      <c r="AG11" s="287">
        <f t="shared" si="5"/>
        <v>6.9230769230769235E-2</v>
      </c>
      <c r="AH11" s="286">
        <v>0.05</v>
      </c>
      <c r="AI11" s="286">
        <v>0.05</v>
      </c>
      <c r="AK11" s="20"/>
    </row>
    <row r="12" spans="3:37">
      <c r="C12" t="s">
        <v>365</v>
      </c>
      <c r="D12" s="206">
        <v>1.5</v>
      </c>
      <c r="E12" s="206">
        <v>1.07</v>
      </c>
      <c r="F12" s="131" cm="1">
        <f t="array" ref="F12">_xll.BDP($C12&amp;" Equity","volatility_10d")/100</f>
        <v>0.28291660091139431</v>
      </c>
      <c r="G12" s="131" cm="1">
        <f t="array" ref="G12">_xll.BDP($C12&amp;" Equity","volatility_30d")/100</f>
        <v>0.28558506907931203</v>
      </c>
      <c r="J12" t="s">
        <v>420</v>
      </c>
      <c r="K12" s="206">
        <v>5420</v>
      </c>
      <c r="L12" cm="1">
        <f t="array" ref="L12">_xll.BDP(J12&amp;" Index","LAST PRICE")</f>
        <v>5375</v>
      </c>
      <c r="M12" s="208">
        <f t="shared" si="6"/>
        <v>-8.3025830258303124E-3</v>
      </c>
      <c r="S12" s="35" t="s">
        <v>448</v>
      </c>
      <c r="T12" t="s">
        <v>84</v>
      </c>
      <c r="U12" t="s">
        <v>566</v>
      </c>
      <c r="V12" s="288">
        <v>0.05</v>
      </c>
      <c r="W12" s="288">
        <v>0.125</v>
      </c>
      <c r="X12" s="288">
        <f t="shared" si="0"/>
        <v>7.8846153846153844E-2</v>
      </c>
      <c r="Z12" s="70">
        <f t="shared" si="1"/>
        <v>1E-3</v>
      </c>
      <c r="AA12" s="70">
        <f t="shared" si="2"/>
        <v>1.5625000000000001E-3</v>
      </c>
      <c r="AB12" s="70">
        <f t="shared" si="3"/>
        <v>2.5625000000000001E-3</v>
      </c>
      <c r="AD12" s="70">
        <v>2.5000000000000001E-3</v>
      </c>
      <c r="AE12" s="206">
        <f t="shared" si="4"/>
        <v>0.62500000000000056</v>
      </c>
      <c r="AG12" s="287">
        <f t="shared" si="5"/>
        <v>7.8846153846153844E-2</v>
      </c>
      <c r="AH12" s="286">
        <v>0.1</v>
      </c>
      <c r="AI12" s="286">
        <v>0.1</v>
      </c>
      <c r="AK12" s="20"/>
    </row>
    <row r="13" spans="3:37">
      <c r="C13" t="s">
        <v>369</v>
      </c>
      <c r="D13" s="206">
        <v>1.5</v>
      </c>
      <c r="E13" s="206">
        <v>0.97</v>
      </c>
      <c r="F13" s="131" cm="1">
        <f t="array" ref="F13">_xll.BDP($C13&amp;" Equity","volatility_10d")/100</f>
        <v>0.28021275706198129</v>
      </c>
      <c r="G13" s="131" cm="1">
        <f t="array" ref="G13">_xll.BDP($C13&amp;" Equity","volatility_30d")/100</f>
        <v>0.3119482832037182</v>
      </c>
      <c r="J13" t="s">
        <v>422</v>
      </c>
      <c r="K13" s="206">
        <v>386.5</v>
      </c>
      <c r="L13" t="str" cm="1">
        <f t="array" ref="L13">_xll.BDP(J13&amp;" Index","LAST PRICE")</f>
        <v>#N/A Real Time</v>
      </c>
      <c r="M13" s="208" t="e">
        <f t="shared" si="6"/>
        <v>#VALUE!</v>
      </c>
      <c r="S13" s="35" t="s">
        <v>448</v>
      </c>
      <c r="T13" t="s">
        <v>44</v>
      </c>
      <c r="U13" t="s">
        <v>552</v>
      </c>
      <c r="V13" s="288">
        <v>0.27500000000000002</v>
      </c>
      <c r="W13" s="288"/>
      <c r="X13" s="288">
        <f t="shared" si="0"/>
        <v>0.16923076923076924</v>
      </c>
      <c r="Z13" s="70">
        <f t="shared" si="1"/>
        <v>5.5000000000000005E-3</v>
      </c>
      <c r="AA13" s="70">
        <f t="shared" si="2"/>
        <v>0</v>
      </c>
      <c r="AB13" s="70">
        <f t="shared" si="3"/>
        <v>5.5000000000000005E-3</v>
      </c>
      <c r="AC13" s="44" t="s">
        <v>448</v>
      </c>
      <c r="AD13" s="70">
        <v>5.3E-3</v>
      </c>
      <c r="AE13" s="206">
        <f t="shared" si="4"/>
        <v>2.0000000000000053</v>
      </c>
      <c r="AG13" s="287">
        <f t="shared" si="5"/>
        <v>0.16923076923076924</v>
      </c>
      <c r="AH13" s="286">
        <v>0.15</v>
      </c>
      <c r="AI13" s="286">
        <v>0.25</v>
      </c>
      <c r="AK13" s="20"/>
    </row>
    <row r="14" spans="3:37">
      <c r="C14" t="s">
        <v>36</v>
      </c>
      <c r="D14" s="206">
        <v>1</v>
      </c>
      <c r="E14" s="206">
        <v>0.9</v>
      </c>
      <c r="F14" s="131" cm="1">
        <f t="array" ref="F14">_xll.BDP($C14&amp;" Equity","volatility_10d")/100</f>
        <v>0.14831569800644037</v>
      </c>
      <c r="G14" s="131" cm="1">
        <f t="array" ref="G14">_xll.BDP($C14&amp;" Equity","volatility_30d")/100</f>
        <v>0.15458749779982583</v>
      </c>
      <c r="S14" s="35"/>
      <c r="V14" s="20">
        <f>SUM(V4:V13)</f>
        <v>1</v>
      </c>
      <c r="W14" s="20">
        <f>SUM(W4:W13)</f>
        <v>1</v>
      </c>
      <c r="X14" s="65">
        <f>SUM(X4:X13)</f>
        <v>1.0000000000000002</v>
      </c>
      <c r="Z14" s="20">
        <f>SUM(Z4:Z13)</f>
        <v>2.0000000000000004E-2</v>
      </c>
      <c r="AA14" s="20">
        <f>SUM(AA4:AA13)</f>
        <v>1.2500000000000002E-2</v>
      </c>
      <c r="AB14" s="20">
        <f>SUM(AB4:AB13)</f>
        <v>3.2500000000000001E-2</v>
      </c>
      <c r="AD14" s="5">
        <f>SUM(AD4:AD13)</f>
        <v>3.2600000000000004E-2</v>
      </c>
      <c r="AE14" s="20"/>
      <c r="AG14" s="126">
        <f>SUM(AG4:AG13)</f>
        <v>1.0000000000000002</v>
      </c>
      <c r="AH14" s="126">
        <f>SUM(AH4:AH13)</f>
        <v>1</v>
      </c>
      <c r="AI14" s="126">
        <f>SUM(AI4:AI13)</f>
        <v>1</v>
      </c>
      <c r="AK14" s="65"/>
    </row>
    <row r="15" spans="3:37">
      <c r="C15" t="s">
        <v>6</v>
      </c>
      <c r="D15" s="206">
        <v>1.2</v>
      </c>
      <c r="E15" s="206">
        <v>1.21</v>
      </c>
      <c r="F15" s="131" cm="1">
        <f t="array" ref="F15">_xll.BDP($C15&amp;" Equity","volatility_10d")/100</f>
        <v>0.1863239251775255</v>
      </c>
      <c r="G15" s="131" cm="1">
        <f t="array" ref="G15">_xll.BDP($C15&amp;" Equity","volatility_30d")/100</f>
        <v>0.18915632349986267</v>
      </c>
      <c r="S15" s="35"/>
    </row>
    <row r="16" spans="3:37">
      <c r="C16" t="s">
        <v>19</v>
      </c>
      <c r="D16" s="206">
        <v>1.3</v>
      </c>
      <c r="E16" s="206">
        <v>1.1599999999999999</v>
      </c>
      <c r="F16" s="131" cm="1">
        <f t="array" ref="F16">_xll.BDP($C16&amp;" Equity","volatility_10d")/100</f>
        <v>0.27286648539715808</v>
      </c>
      <c r="G16" s="131" cm="1">
        <f t="array" ref="G16">_xll.BDP($C16&amp;" Equity","volatility_30d")/100</f>
        <v>0.24614998214618386</v>
      </c>
    </row>
    <row r="17" spans="3:42">
      <c r="C17" t="s">
        <v>43</v>
      </c>
      <c r="D17" s="206">
        <v>1.9</v>
      </c>
      <c r="E17" s="206">
        <v>1.9</v>
      </c>
      <c r="F17" s="131" cm="1">
        <f t="array" ref="F17">_xll.BDP($C17&amp;" Equity","volatility_10d")/100</f>
        <v>0.42666071800592387</v>
      </c>
      <c r="G17" s="131" cm="1">
        <f t="array" ref="G17">_xll.BDP($C17&amp;" Equity","volatility_30d")/100</f>
        <v>0.33049406430909395</v>
      </c>
      <c r="AP17" t="s">
        <v>448</v>
      </c>
    </row>
    <row r="18" spans="3:42">
      <c r="C18" t="s">
        <v>83</v>
      </c>
      <c r="D18" s="206">
        <v>1.9</v>
      </c>
      <c r="E18" s="206">
        <v>1.9</v>
      </c>
      <c r="F18" s="131" cm="1">
        <f t="array" ref="F18">_xll.BDP($C18&amp;" Equity","volatility_10d")/100</f>
        <v>0.37244831240812581</v>
      </c>
      <c r="G18" s="131" cm="1">
        <f t="array" ref="G18">_xll.BDP($C18&amp;" Equity","volatility_30d")/100</f>
        <v>0.3031116679595407</v>
      </c>
      <c r="AP18" t="s">
        <v>448</v>
      </c>
    </row>
    <row r="19" spans="3:42">
      <c r="C19" t="s">
        <v>4</v>
      </c>
      <c r="D19" s="206">
        <v>0.75</v>
      </c>
      <c r="E19" s="206">
        <v>0.54</v>
      </c>
      <c r="F19" s="131" cm="1">
        <f t="array" ref="F19">_xll.BDP($C19&amp;" Equity","volatility_10d")/100</f>
        <v>0.14966719050105759</v>
      </c>
      <c r="G19" s="131" cm="1">
        <f t="array" ref="G19">_xll.BDP($C19&amp;" Equity","volatility_30d")/100</f>
        <v>0.13706710608493183</v>
      </c>
      <c r="AP19" t="s">
        <v>448</v>
      </c>
    </row>
    <row r="20" spans="3:42">
      <c r="C20" t="s">
        <v>524</v>
      </c>
      <c r="D20" s="206">
        <v>1</v>
      </c>
      <c r="F20" s="131" cm="1">
        <f t="array" ref="F20">_xll.BDP($C20&amp;" Equity","volatility_10d")/100</f>
        <v>0.11395432137703093</v>
      </c>
      <c r="G20" s="131" cm="1">
        <f t="array" ref="G20">_xll.BDP($C20&amp;" Equity","volatility_30d")/100</f>
        <v>0.15247119053861324</v>
      </c>
    </row>
    <row r="21" spans="3:42">
      <c r="C21" t="s">
        <v>3</v>
      </c>
      <c r="D21" s="206">
        <v>1</v>
      </c>
      <c r="E21" s="206">
        <v>0.9</v>
      </c>
      <c r="F21" s="131" cm="1">
        <f t="array" ref="F21">_xll.BDP($C21&amp;" Equity","volatility_10d")/100</f>
        <v>7.0649485729841671E-2</v>
      </c>
      <c r="G21" s="131" cm="1">
        <f t="array" ref="G21">_xll.BDP($C21&amp;" Equity","volatility_30d")/100</f>
        <v>0.10891003165292458</v>
      </c>
    </row>
    <row r="22" spans="3:42">
      <c r="C22" t="s">
        <v>0</v>
      </c>
      <c r="D22" s="206">
        <v>1</v>
      </c>
      <c r="E22" s="206">
        <v>1</v>
      </c>
      <c r="F22" s="131" cm="1">
        <f t="array" ref="F22">_xll.BDP($C22&amp;" Equity","volatility_10d")/100</f>
        <v>7.4966233271438074E-2</v>
      </c>
      <c r="G22" s="131" cm="1">
        <f t="array" ref="G22">_xll.BDP($C22&amp;" Equity","volatility_30d")/100</f>
        <v>9.8006193028767577E-2</v>
      </c>
    </row>
    <row r="23" spans="3:42" ht="15.75">
      <c r="C23" t="s">
        <v>82</v>
      </c>
      <c r="D23" s="206">
        <v>1.2</v>
      </c>
      <c r="E23" s="206">
        <v>1.2</v>
      </c>
      <c r="F23" s="131" cm="1">
        <f t="array" ref="F23">_xll.BDP($C23&amp;" Equity","volatility_10d")/100</f>
        <v>0.1646563778588116</v>
      </c>
      <c r="G23" s="131" cm="1">
        <f t="array" ref="G23">_xll.BDP($C23&amp;" Equity","volatility_30d")/100</f>
        <v>0.14006565517745026</v>
      </c>
      <c r="K23" s="304" t="s">
        <v>579</v>
      </c>
      <c r="L23" s="305">
        <v>-1.0963377653370632E-2</v>
      </c>
      <c r="M23" s="306">
        <v>-0.37836540865925272</v>
      </c>
      <c r="N23" s="307">
        <v>3.4133390057770963E-3</v>
      </c>
      <c r="O23" s="307">
        <v>0</v>
      </c>
      <c r="P23" s="307">
        <v>3.4133390057770963E-3</v>
      </c>
      <c r="R23" s="307"/>
    </row>
    <row r="24" spans="3:42" ht="15.75">
      <c r="C24" t="s">
        <v>89</v>
      </c>
      <c r="D24" s="206">
        <v>1.3</v>
      </c>
      <c r="E24" s="206">
        <v>1.1000000000000001</v>
      </c>
      <c r="F24" s="131" cm="1">
        <f t="array" ref="F24">_xll.BDP($C24&amp;" Equity","volatility_10d")/100</f>
        <v>0.14363745473799033</v>
      </c>
      <c r="G24" s="131" cm="1">
        <f t="array" ref="G24">_xll.BDP($C24&amp;" Equity","volatility_30d")/100</f>
        <v>0.14975302454293457</v>
      </c>
      <c r="K24" s="301" t="s">
        <v>9</v>
      </c>
      <c r="L24" s="299">
        <v>-1.0963377653370632E-2</v>
      </c>
      <c r="M24" s="302">
        <v>-0.37836540865925272</v>
      </c>
      <c r="N24" s="300">
        <v>3.4133390057770963E-3</v>
      </c>
      <c r="O24" s="300">
        <v>0</v>
      </c>
      <c r="P24" s="300">
        <v>3.4133390057770963E-3</v>
      </c>
      <c r="R24" s="300"/>
    </row>
    <row r="25" spans="3:42" ht="15.75">
      <c r="C25" t="s">
        <v>341</v>
      </c>
      <c r="D25" s="206">
        <v>0.9</v>
      </c>
      <c r="F25" s="131" cm="1">
        <f t="array" ref="F25">_xll.BDP($C25&amp;" Equity","volatility_10d")/100</f>
        <v>0.26379146941333992</v>
      </c>
      <c r="G25" s="131" cm="1">
        <f t="array" ref="G25">_xll.BDP($C25&amp;" Equity","volatility_30d")/100</f>
        <v>0.17823429071156549</v>
      </c>
      <c r="K25" s="304" t="s">
        <v>32</v>
      </c>
      <c r="L25" s="305">
        <v>-5.9553798585880949E-3</v>
      </c>
      <c r="M25" s="306">
        <v>-0.63972487206523787</v>
      </c>
      <c r="N25" s="307">
        <v>1.1232261185275198E-2</v>
      </c>
      <c r="O25" s="307">
        <v>0</v>
      </c>
      <c r="P25" s="307">
        <v>1.1232261185275198E-2</v>
      </c>
      <c r="R25" s="307"/>
    </row>
    <row r="26" spans="3:42" ht="15.75">
      <c r="C26" t="s">
        <v>29</v>
      </c>
      <c r="D26" s="206" cm="1">
        <f t="array" ref="D26">_xll.BDP(C26&amp;" EQUITY","eqy_beta")</f>
        <v>1.183393120765686</v>
      </c>
      <c r="F26" s="131" cm="1">
        <f t="array" ref="F26">_xll.BDP($C26&amp;" Equity","volatility_10d")/100</f>
        <v>0.65217022484935494</v>
      </c>
      <c r="G26" s="131" cm="1">
        <f t="array" ref="G26">_xll.BDP($C26&amp;" Equity","volatility_30d")/100</f>
        <v>0.4266139764711816</v>
      </c>
      <c r="K26" s="301" t="s">
        <v>33</v>
      </c>
      <c r="L26" s="299">
        <v>4.7598096076157947E-3</v>
      </c>
      <c r="M26" s="302">
        <v>-4.6604870922836092E-2</v>
      </c>
      <c r="N26" s="300">
        <v>-9.837935777997017E-4</v>
      </c>
      <c r="O26" s="300">
        <v>0</v>
      </c>
      <c r="P26" s="300">
        <v>-9.837935777997017E-4</v>
      </c>
      <c r="R26" s="300"/>
    </row>
    <row r="27" spans="3:42" ht="15.75">
      <c r="C27" t="s">
        <v>27</v>
      </c>
      <c r="D27" s="206" cm="1">
        <f t="array" ref="D27">_xll.BDP(C27&amp;" EQUITY","eqy_beta")</f>
        <v>1.0708433389663696</v>
      </c>
      <c r="F27" s="131" cm="1">
        <f t="array" ref="F27">_xll.BDP($C27&amp;" Equity","volatility_10d")/100</f>
        <v>0.25948006308384713</v>
      </c>
      <c r="G27" s="131" cm="1">
        <f t="array" ref="G27">_xll.BDP($C27&amp;" Equity","volatility_30d")/100</f>
        <v>0.22614750895389343</v>
      </c>
      <c r="K27" s="301" t="s">
        <v>6</v>
      </c>
      <c r="L27" s="299">
        <v>-2.9742661321608965E-3</v>
      </c>
      <c r="M27" s="302">
        <v>-0.27022992383829852</v>
      </c>
      <c r="N27" s="300">
        <v>9.0585770121445457E-3</v>
      </c>
      <c r="O27" s="300">
        <v>0</v>
      </c>
      <c r="P27" s="300">
        <v>9.0585770121445457E-3</v>
      </c>
      <c r="R27" s="300"/>
    </row>
    <row r="28" spans="3:42" ht="15.75">
      <c r="C28" t="s">
        <v>31</v>
      </c>
      <c r="D28" s="206" cm="1">
        <f t="array" ref="D28">_xll.BDP(C28&amp;" EQUITY","eqy_beta")</f>
        <v>1.193639874458313</v>
      </c>
      <c r="F28" s="131" cm="1">
        <f t="array" ref="F28">_xll.BDP($C28&amp;" Equity","volatility_10d")/100</f>
        <v>0.37347187439372215</v>
      </c>
      <c r="G28" s="131" cm="1">
        <f t="array" ref="G28">_xll.BDP($C28&amp;" Equity","volatility_30d")/100</f>
        <v>0.32682334071631081</v>
      </c>
      <c r="K28" s="301" t="s">
        <v>361</v>
      </c>
      <c r="L28" s="299">
        <v>-3.3200841711480411E-3</v>
      </c>
      <c r="M28" s="302">
        <v>-3.8619816007486069E-2</v>
      </c>
      <c r="N28" s="300">
        <v>1.1593559977233082E-3</v>
      </c>
      <c r="O28" s="300">
        <v>0</v>
      </c>
      <c r="P28" s="300">
        <v>1.1593559977233082E-3</v>
      </c>
      <c r="R28" s="300"/>
    </row>
    <row r="29" spans="3:42" ht="15.75">
      <c r="C29" t="s">
        <v>30</v>
      </c>
      <c r="D29" s="206" cm="1">
        <f t="array" ref="D29">_xll.BDP(C29&amp;" EQUITY","eqy_beta")</f>
        <v>0.85460764169692993</v>
      </c>
      <c r="F29" s="131" cm="1">
        <f t="array" ref="F29">_xll.BDP($C29&amp;" Equity","volatility_10d")/100</f>
        <v>0.53755542948447554</v>
      </c>
      <c r="G29" s="131" cm="1">
        <f t="array" ref="G29">_xll.BDP($C29&amp;" Equity","volatility_30d")/100</f>
        <v>0.35606309033792949</v>
      </c>
      <c r="K29" s="301" t="s">
        <v>478</v>
      </c>
      <c r="L29" s="299">
        <v>-1.9074643335697972E-2</v>
      </c>
      <c r="M29" s="302">
        <v>-0.18961576845233849</v>
      </c>
      <c r="N29" s="300">
        <v>9.7511084230964917E-4</v>
      </c>
      <c r="O29" s="300">
        <v>0</v>
      </c>
      <c r="P29" s="300">
        <v>9.7511084230964917E-4</v>
      </c>
      <c r="R29" s="300"/>
    </row>
    <row r="30" spans="3:42" ht="15.75">
      <c r="C30" t="s">
        <v>38</v>
      </c>
      <c r="D30" s="206" cm="1">
        <f t="array" ref="D30">_xll.BDP(C30&amp;" EQUITY","eqy_beta")</f>
        <v>1.0179988145828247</v>
      </c>
      <c r="F30" s="131" cm="1">
        <f t="array" ref="F30">_xll.BDP($C30&amp;" Equity","volatility_10d")/100</f>
        <v>0.65239594700115044</v>
      </c>
      <c r="G30" s="131" cm="1">
        <f t="array" ref="G30">_xll.BDP($C30&amp;" Equity","volatility_30d")/100</f>
        <v>0.38322543215064242</v>
      </c>
      <c r="K30" s="301" t="s">
        <v>573</v>
      </c>
      <c r="L30" s="299">
        <v>-9.1677152615493585E-3</v>
      </c>
      <c r="M30" s="302">
        <v>-9.4654492844278598E-2</v>
      </c>
      <c r="N30" s="300">
        <v>1.0230109108973979E-3</v>
      </c>
      <c r="O30" s="300">
        <v>0</v>
      </c>
      <c r="P30" s="300">
        <v>1.0230109108973979E-3</v>
      </c>
      <c r="R30" s="300"/>
    </row>
    <row r="31" spans="3:42" ht="15.75">
      <c r="C31" t="s">
        <v>361</v>
      </c>
      <c r="D31" s="206" cm="1">
        <f t="array" ref="D31">_xll.BDP(C31&amp;" EQUITY","eqy_beta")</f>
        <v>1.2239866256713867</v>
      </c>
      <c r="F31" s="131" cm="1">
        <f t="array" ref="F31">_xll.BDP($C31&amp;" Equity","volatility_10d")/100</f>
        <v>0.4757222418965727</v>
      </c>
      <c r="G31" s="131" cm="1">
        <f t="array" ref="G31">_xll.BDP($C31&amp;" Equity","volatility_30d")/100</f>
        <v>0.39730236510264677</v>
      </c>
      <c r="K31" s="304" t="s">
        <v>26</v>
      </c>
      <c r="L31" s="305">
        <v>-4.2479506412567702E-3</v>
      </c>
      <c r="M31" s="306">
        <v>1.0338056955883257</v>
      </c>
      <c r="N31" s="307">
        <v>-2.396608490698357E-2</v>
      </c>
      <c r="O31" s="307">
        <v>0</v>
      </c>
      <c r="P31" s="307">
        <v>-2.396608490698357E-2</v>
      </c>
      <c r="R31" s="307"/>
    </row>
    <row r="32" spans="3:42" ht="15.75">
      <c r="C32" t="s">
        <v>34</v>
      </c>
      <c r="D32" s="206" cm="1">
        <f t="array" ref="D32">_xll.BDP(C32&amp;" EQUITY","eqy_beta")</f>
        <v>0.84873729944229126</v>
      </c>
      <c r="F32" s="131" cm="1">
        <f t="array" ref="F32">_xll.BDP($C32&amp;" Equity","volatility_10d")/100</f>
        <v>0.31950129039211822</v>
      </c>
      <c r="G32" s="131" cm="1">
        <f t="array" ref="G32">_xll.BDP($C32&amp;" Equity","volatility_30d")/100</f>
        <v>0.24349932126108162</v>
      </c>
      <c r="K32" s="301" t="s">
        <v>3</v>
      </c>
      <c r="L32" s="299">
        <v>-3.7397353418066048E-3</v>
      </c>
      <c r="M32" s="302">
        <v>0.16241210060252317</v>
      </c>
      <c r="N32" s="300">
        <v>-4.3266356450720909E-3</v>
      </c>
      <c r="O32" s="300">
        <v>0</v>
      </c>
      <c r="P32" s="300">
        <v>-4.3266356450720909E-3</v>
      </c>
      <c r="R32" s="300"/>
    </row>
    <row r="33" spans="3:18" ht="15.75">
      <c r="C33" t="s">
        <v>35</v>
      </c>
      <c r="D33" s="206" cm="1">
        <f t="array" ref="D33">_xll.BDP(C33&amp;" EQUITY","eqy_beta")</f>
        <v>0.83255714178085327</v>
      </c>
      <c r="F33" s="131" cm="1">
        <f t="array" ref="F33">_xll.BDP($C33&amp;" Equity","volatility_10d")/100</f>
        <v>0.3058718827987264</v>
      </c>
      <c r="G33" s="131" cm="1">
        <f t="array" ref="G33">_xll.BDP($C33&amp;" Equity","volatility_30d")/100</f>
        <v>0.24165306458954125</v>
      </c>
      <c r="K33" s="301" t="s">
        <v>580</v>
      </c>
      <c r="L33" s="299">
        <v>-4.417355741073492E-3</v>
      </c>
      <c r="M33" s="302">
        <v>0.8713935949858026</v>
      </c>
      <c r="N33" s="300">
        <v>-1.9639449261911478E-2</v>
      </c>
      <c r="O33" s="300"/>
      <c r="P33" s="300">
        <v>-1.9639449261911478E-2</v>
      </c>
      <c r="R33" s="300"/>
    </row>
    <row r="34" spans="3:18" ht="15.75">
      <c r="C34" t="s">
        <v>33</v>
      </c>
      <c r="D34" s="206" cm="1">
        <f t="array" ref="D34">_xll.BDP(C34&amp;" EQUITY","eqy_beta")</f>
        <v>0.6262969970703125</v>
      </c>
      <c r="F34" s="131" cm="1">
        <f t="array" ref="F34">_xll.BDP($C34&amp;" Equity","volatility_10d")/100</f>
        <v>0.20386133433874659</v>
      </c>
      <c r="G34" s="131" cm="1">
        <f t="array" ref="G34">_xll.BDP($C34&amp;" Equity","volatility_30d")/100</f>
        <v>0.14063987559386901</v>
      </c>
      <c r="K34" s="304" t="s">
        <v>551</v>
      </c>
      <c r="L34" s="305">
        <v>-1.068463658385139E-2</v>
      </c>
      <c r="M34" s="306">
        <v>-0.90024740598245501</v>
      </c>
      <c r="N34" s="307">
        <v>4.8096776346909318E-3</v>
      </c>
      <c r="O34" s="307">
        <v>5.1572351618506054E-3</v>
      </c>
      <c r="P34" s="307">
        <v>9.9669127965415355E-3</v>
      </c>
      <c r="R34" s="307"/>
    </row>
    <row r="35" spans="3:18" ht="15.75">
      <c r="C35" t="s">
        <v>44</v>
      </c>
      <c r="D35" s="206" cm="1">
        <f t="array" ref="D35">_xll.BDP(C35&amp;" EQUITY","eqy_beta")</f>
        <v>1.4615918397903442</v>
      </c>
      <c r="F35" s="131" cm="1">
        <f t="array" ref="F35">_xll.BDP($C35&amp;" Equity","volatility_10d")/100</f>
        <v>0.35958623427977843</v>
      </c>
      <c r="G35" s="131" cm="1">
        <f t="array" ref="G35">_xll.BDP($C35&amp;" Equity","volatility_30d")/100</f>
        <v>0.34632522029380469</v>
      </c>
      <c r="K35" s="301" t="s">
        <v>29</v>
      </c>
      <c r="L35" s="299">
        <v>-6.4136601179329844E-3</v>
      </c>
      <c r="M35" s="302">
        <v>-0.19767788893855778</v>
      </c>
      <c r="N35" s="300">
        <v>3.0623707295760953E-3</v>
      </c>
      <c r="O35" s="300">
        <v>0</v>
      </c>
      <c r="P35" s="300">
        <v>3.0623707295760953E-3</v>
      </c>
      <c r="R35" s="300"/>
    </row>
    <row r="36" spans="3:18" ht="15.75">
      <c r="C36" t="s">
        <v>42</v>
      </c>
      <c r="D36" s="206" cm="1">
        <f t="array" ref="D36">_xll.BDP(C36&amp;" EQUITY","eqy_beta")</f>
        <v>1.8413189649581909</v>
      </c>
      <c r="F36" s="131" cm="1">
        <f t="array" ref="F36">_xll.BDP($C36&amp;" Equity","volatility_10d")/100</f>
        <v>0.32351065904057363</v>
      </c>
      <c r="G36" s="131" cm="1">
        <f t="array" ref="G36">_xll.BDP($C36&amp;" Equity","volatility_30d")/100</f>
        <v>0.29037883680689003</v>
      </c>
      <c r="K36" s="301" t="s">
        <v>30</v>
      </c>
      <c r="L36" s="299">
        <v>4.6735154486730046E-3</v>
      </c>
      <c r="M36" s="302">
        <v>1.3065464514081379E-2</v>
      </c>
      <c r="N36" s="300">
        <v>2.8087049905996193E-4</v>
      </c>
      <c r="O36" s="300">
        <v>0</v>
      </c>
      <c r="P36" s="300">
        <v>2.8087049905996193E-4</v>
      </c>
      <c r="R36" s="300"/>
    </row>
    <row r="37" spans="3:18" ht="15.75">
      <c r="C37" t="s">
        <v>282</v>
      </c>
      <c r="D37" s="206" cm="1">
        <f t="array" ref="D37">_xll.BDP(C37&amp;" EQUITY","eqy_beta")</f>
        <v>1.6607462167739868</v>
      </c>
      <c r="F37" s="131" cm="1">
        <f t="array" ref="F37">_xll.BDP($C37&amp;" Equity","volatility_10d")/100</f>
        <v>1.2163258646325332</v>
      </c>
      <c r="G37" s="131" cm="1">
        <f t="array" ref="G37">_xll.BDP($C37&amp;" Equity","volatility_30d")/100</f>
        <v>0.90010903944911935</v>
      </c>
      <c r="K37" s="301" t="s">
        <v>31</v>
      </c>
      <c r="L37" s="299">
        <v>-1.9930069930069849E-2</v>
      </c>
      <c r="M37" s="302">
        <v>-0.4000142632662666</v>
      </c>
      <c r="N37" s="300">
        <v>0</v>
      </c>
      <c r="O37" s="300">
        <v>1.6318254484903006E-3</v>
      </c>
      <c r="P37" s="300">
        <v>1.6318254484903006E-3</v>
      </c>
      <c r="R37" s="300"/>
    </row>
    <row r="38" spans="3:18" ht="15.75">
      <c r="C38" t="s">
        <v>77</v>
      </c>
      <c r="D38" s="206" cm="1">
        <f t="array" ref="D38">_xll.BDP(C38&amp;" EQUITY","eqy_beta")</f>
        <v>1.1772780418395996</v>
      </c>
      <c r="F38" s="131" cm="1">
        <f t="array" ref="F38">_xll.BDP($C38&amp;" Equity","volatility_10d")/100</f>
        <v>0.4446970066785042</v>
      </c>
      <c r="G38" s="131" cm="1">
        <f t="array" ref="G38">_xll.BDP($C38&amp;" Equity","volatility_30d")/100</f>
        <v>0.32602967736487704</v>
      </c>
      <c r="K38" s="301" t="s">
        <v>318</v>
      </c>
      <c r="L38" s="299">
        <v>1.3128112267994929E-3</v>
      </c>
      <c r="M38" s="302">
        <v>7.9154304583226778E-3</v>
      </c>
      <c r="N38" s="300">
        <v>8.2776255868375693E-4</v>
      </c>
      <c r="O38" s="300">
        <v>5.6416207697500146E-4</v>
      </c>
      <c r="P38" s="300">
        <v>1.3919246356587584E-3</v>
      </c>
      <c r="R38" s="300"/>
    </row>
    <row r="39" spans="3:18" ht="15.75">
      <c r="C39" t="s">
        <v>76</v>
      </c>
      <c r="D39" s="206" cm="1">
        <f t="array" ref="D39">_xll.BDP(C39&amp;" EQUITY","eqy_beta")</f>
        <v>1.0775153636932373</v>
      </c>
      <c r="F39" s="131" cm="1">
        <f t="array" ref="F39">_xll.BDP($C39&amp;" Equity","volatility_10d")/100</f>
        <v>0.56179390565982734</v>
      </c>
      <c r="G39" s="131" cm="1">
        <f t="array" ref="G39">_xll.BDP($C39&amp;" Equity","volatility_30d")/100</f>
        <v>0.35204079716160591</v>
      </c>
      <c r="K39" s="301" t="s">
        <v>340</v>
      </c>
      <c r="L39" s="299">
        <v>-2.3083787755390939E-2</v>
      </c>
      <c r="M39" s="302">
        <v>-0.25663139707509386</v>
      </c>
      <c r="N39" s="300">
        <v>6.3867384737111737E-4</v>
      </c>
      <c r="O39" s="300">
        <v>2.1555720957797475E-3</v>
      </c>
      <c r="P39" s="300">
        <v>2.794245943150865E-3</v>
      </c>
      <c r="Q39" s="300">
        <f>R39-P39</f>
        <v>-7.9424594315086498E-4</v>
      </c>
      <c r="R39" s="300">
        <v>2E-3</v>
      </c>
    </row>
    <row r="40" spans="3:18" ht="15.75">
      <c r="C40" t="s">
        <v>358</v>
      </c>
      <c r="D40" s="206" cm="1">
        <f t="array" ref="D40">_xll.BDP(C40&amp;" EQUITY","eqy_beta")</f>
        <v>0.59672468900680542</v>
      </c>
      <c r="F40" s="131" cm="1">
        <f t="array" ref="F40">_xll.BDP($C40&amp;" Equity","volatility_10d")/100</f>
        <v>0.21711563044725593</v>
      </c>
      <c r="G40" s="131" cm="1">
        <f t="array" ref="G40">_xll.BDP($C40&amp;" Equity","volatility_30d")/100</f>
        <v>0.27975923454528218</v>
      </c>
      <c r="K40" s="301" t="s">
        <v>583</v>
      </c>
      <c r="L40" s="299">
        <v>-8.2674772036475108E-3</v>
      </c>
      <c r="M40" s="302">
        <v>-6.6904751674940866E-2</v>
      </c>
      <c r="N40" s="300">
        <v>0</v>
      </c>
      <c r="O40" s="300">
        <v>8.0567554060555571E-4</v>
      </c>
      <c r="P40" s="300">
        <v>8.0567554060555571E-4</v>
      </c>
      <c r="R40" s="300"/>
    </row>
    <row r="41" spans="3:18" ht="15.75">
      <c r="C41" t="s">
        <v>359</v>
      </c>
      <c r="D41" s="206" cm="1">
        <f t="array" ref="D41">_xll.BDP(C41&amp;" EQUITY","eqy_beta")</f>
        <v>0.53649824857711792</v>
      </c>
      <c r="F41" s="131" cm="1">
        <f t="array" ref="F41">_xll.BDP($C41&amp;" Equity","volatility_10d")/100</f>
        <v>0.26252057082539015</v>
      </c>
      <c r="G41" s="131" cm="1">
        <f t="array" ref="G41">_xll.BDP($C41&amp;" Equity","volatility_30d")/100</f>
        <v>0.25373329389359323</v>
      </c>
      <c r="K41" s="304" t="s">
        <v>550</v>
      </c>
      <c r="L41" s="305">
        <v>-2.171898868541829E-2</v>
      </c>
      <c r="M41" s="306">
        <v>-2.1659089402196168</v>
      </c>
      <c r="N41" s="307">
        <v>7.426914807117521E-3</v>
      </c>
      <c r="O41" s="307">
        <v>1.0473448302227259E-2</v>
      </c>
      <c r="P41" s="307">
        <v>1.790069034429281E-2</v>
      </c>
      <c r="R41" s="307"/>
    </row>
    <row r="42" spans="3:18" ht="15.75">
      <c r="C42" t="s">
        <v>360</v>
      </c>
      <c r="D42" s="206" cm="1">
        <f t="array" ref="D42">_xll.BDP(C42&amp;" EQUITY","eqy_beta")</f>
        <v>0.5453028678894043</v>
      </c>
      <c r="F42" s="131" cm="1">
        <f t="array" ref="F42">_xll.BDP($C42&amp;" Equity","volatility_10d")/100</f>
        <v>0.24665228322227697</v>
      </c>
      <c r="G42" s="131" cm="1">
        <f t="array" ref="G42">_xll.BDP($C42&amp;" Equity","volatility_30d")/100</f>
        <v>0.24648456765772789</v>
      </c>
      <c r="K42" s="301" t="s">
        <v>38</v>
      </c>
      <c r="L42" s="299">
        <v>-6.2572785972485057E-3</v>
      </c>
      <c r="M42" s="302">
        <v>-1.1994344461055253</v>
      </c>
      <c r="N42" s="300">
        <v>7.426914807117521E-3</v>
      </c>
      <c r="O42" s="300">
        <v>8.792129380292845E-3</v>
      </c>
      <c r="P42" s="300">
        <v>1.6219371422358395E-2</v>
      </c>
      <c r="Q42" s="300">
        <f>R42-P42</f>
        <v>-3.7193714223583939E-3</v>
      </c>
      <c r="R42" s="300">
        <v>1.2500000000000001E-2</v>
      </c>
    </row>
    <row r="43" spans="3:18" ht="15.75">
      <c r="C43" t="s">
        <v>366</v>
      </c>
      <c r="D43" s="206" cm="1">
        <f t="array" ref="D43">_xll.BDP(C43&amp;" EQUITY","eqy_beta")</f>
        <v>0.75317865610122681</v>
      </c>
      <c r="F43" s="131" cm="1">
        <f t="array" ref="F43">_xll.BDP($C43&amp;" Equity","volatility_10d")/100</f>
        <v>0.35931293736594611</v>
      </c>
      <c r="G43" s="131" cm="1">
        <f t="array" ref="G43">_xll.BDP($C43&amp;" Equity","volatility_30d")/100</f>
        <v>0.2718446226525939</v>
      </c>
      <c r="K43" s="301" t="s">
        <v>559</v>
      </c>
      <c r="L43" s="299">
        <v>-5.2642408861757861E-2</v>
      </c>
      <c r="M43" s="302">
        <v>-0.96647449411409159</v>
      </c>
      <c r="N43" s="300">
        <v>0</v>
      </c>
      <c r="O43" s="300">
        <v>1.6813189219344138E-3</v>
      </c>
      <c r="P43" s="300">
        <v>1.6813189219344138E-3</v>
      </c>
      <c r="Q43" s="300">
        <f>R43-P43</f>
        <v>-6.8131892193441378E-4</v>
      </c>
      <c r="R43" s="300">
        <v>1E-3</v>
      </c>
    </row>
    <row r="44" spans="3:18" ht="15.75">
      <c r="C44" t="s">
        <v>41</v>
      </c>
      <c r="D44" s="206" cm="1">
        <f t="array" ref="D44">_xll.BDP(C44&amp;" EQUITY","eqy_beta")</f>
        <v>0.66718763113021851</v>
      </c>
      <c r="F44" s="131" cm="1">
        <f t="array" ref="F44">_xll.BDP($C44&amp;" Equity","volatility_10d")/100</f>
        <v>0.99931568722666375</v>
      </c>
      <c r="G44" s="131" cm="1">
        <f t="array" ref="G44">_xll.BDP($C44&amp;" Equity","volatility_30d")/100</f>
        <v>0.79165982184893346</v>
      </c>
      <c r="K44" s="304" t="s">
        <v>552</v>
      </c>
      <c r="L44" s="305">
        <v>-1.5317902816898016E-2</v>
      </c>
      <c r="M44" s="306">
        <v>-1.4805052895405777</v>
      </c>
      <c r="N44" s="307">
        <v>2.2698465837621799E-3</v>
      </c>
      <c r="O44" s="307">
        <v>9.6786193156367471E-3</v>
      </c>
      <c r="P44" s="307">
        <v>1.1948465899398925E-2</v>
      </c>
      <c r="R44" s="307"/>
    </row>
    <row r="45" spans="3:18" ht="15.75">
      <c r="C45" t="s">
        <v>40</v>
      </c>
      <c r="D45" s="206" cm="1">
        <f t="array" ref="D45">_xll.BDP(C45&amp;" EQUITY","eqy_beta")</f>
        <v>0.56353592872619629</v>
      </c>
      <c r="F45" s="131" cm="1">
        <f t="array" ref="F45">_xll.BDP($C45&amp;" Equity","volatility_10d")/100</f>
        <v>0.63194196479116183</v>
      </c>
      <c r="G45" s="131" cm="1">
        <f t="array" ref="G45">_xll.BDP($C45&amp;" Equity","volatility_30d")/100</f>
        <v>0.67862708892444445</v>
      </c>
      <c r="K45" s="301" t="s">
        <v>42</v>
      </c>
      <c r="L45" s="299">
        <v>-1.4552118141639703E-3</v>
      </c>
      <c r="M45" s="302">
        <v>-0.12432534684415254</v>
      </c>
      <c r="N45" s="300">
        <v>1.543887739934495E-3</v>
      </c>
      <c r="O45" s="300">
        <v>2.9553410385488818E-3</v>
      </c>
      <c r="P45" s="300">
        <v>4.4992287784833768E-3</v>
      </c>
      <c r="Q45" s="300">
        <f>R45-P45</f>
        <v>-9.9922877848337673E-4</v>
      </c>
      <c r="R45" s="300">
        <v>3.5000000000000001E-3</v>
      </c>
    </row>
    <row r="46" spans="3:18" ht="15.75">
      <c r="K46" s="301" t="s">
        <v>44</v>
      </c>
      <c r="L46" s="299">
        <v>-1.6534391534391513E-2</v>
      </c>
      <c r="M46" s="302">
        <v>-0.9982406526329215</v>
      </c>
      <c r="N46" s="300">
        <v>0</v>
      </c>
      <c r="O46" s="300">
        <v>5.1455045378578784E-3</v>
      </c>
      <c r="P46" s="300">
        <v>5.1455045378578784E-3</v>
      </c>
      <c r="Q46" s="300">
        <f>R46-P46</f>
        <v>-1.1455045378578783E-3</v>
      </c>
      <c r="R46" s="300">
        <v>4.0000000000000001E-3</v>
      </c>
    </row>
    <row r="47" spans="3:18" ht="15.75">
      <c r="K47" s="301" t="s">
        <v>525</v>
      </c>
      <c r="L47" s="299">
        <v>-2.6798655211057065E-2</v>
      </c>
      <c r="M47" s="302">
        <v>1.5852618559466514E-2</v>
      </c>
      <c r="N47" s="300">
        <v>-7.9358043150606667E-4</v>
      </c>
      <c r="O47" s="300">
        <v>9.8607657949751791E-4</v>
      </c>
      <c r="P47" s="300">
        <v>1.9249614799145119E-4</v>
      </c>
      <c r="Q47" s="300">
        <f>R47-P47</f>
        <v>-1.9249614799145119E-4</v>
      </c>
      <c r="R47" s="300">
        <v>0</v>
      </c>
    </row>
    <row r="48" spans="3:18" ht="15.75">
      <c r="K48" s="301" t="s">
        <v>84</v>
      </c>
      <c r="L48" s="299">
        <v>-1.6483352707979515E-2</v>
      </c>
      <c r="M48" s="302">
        <v>-0.37379190862297018</v>
      </c>
      <c r="N48" s="300">
        <v>1.5195392753337515E-3</v>
      </c>
      <c r="O48" s="300">
        <v>5.9169715973246908E-4</v>
      </c>
      <c r="P48" s="300">
        <v>2.1112364350662207E-3</v>
      </c>
      <c r="Q48" s="300">
        <f>R48-P48</f>
        <v>-6.1123643506622071E-4</v>
      </c>
      <c r="R48" s="300">
        <v>1.5E-3</v>
      </c>
    </row>
    <row r="49" spans="11:18" ht="15.75">
      <c r="K49" s="304" t="s">
        <v>357</v>
      </c>
      <c r="L49" s="305">
        <v>-8.4026174193907455E-4</v>
      </c>
      <c r="M49" s="306">
        <v>-1.7578782910323221E-2</v>
      </c>
      <c r="N49" s="307">
        <v>-1.5669404759838411E-3</v>
      </c>
      <c r="O49" s="307">
        <v>2.4004823085147778E-3</v>
      </c>
      <c r="P49" s="307">
        <v>8.3354183253093669E-4</v>
      </c>
      <c r="R49" s="307"/>
    </row>
    <row r="50" spans="11:18" ht="15.75">
      <c r="K50" s="301" t="s">
        <v>358</v>
      </c>
      <c r="L50" s="299">
        <v>-1.2919896640827266E-3</v>
      </c>
      <c r="M50" s="302">
        <v>-7.1821978952513466E-2</v>
      </c>
      <c r="N50" s="300">
        <v>1.3471744978480506E-3</v>
      </c>
      <c r="O50" s="300">
        <v>2.4004823085147778E-3</v>
      </c>
      <c r="P50" s="300">
        <v>3.7476568063628283E-3</v>
      </c>
      <c r="R50" s="300"/>
    </row>
    <row r="51" spans="11:18" ht="15.75">
      <c r="K51" s="301" t="s">
        <v>359</v>
      </c>
      <c r="L51" s="299">
        <v>7.8093442843678584E-3</v>
      </c>
      <c r="M51" s="302">
        <v>-9.7169632839115672E-2</v>
      </c>
      <c r="N51" s="300">
        <v>-1.2539908651737638E-3</v>
      </c>
      <c r="O51" s="300">
        <v>0</v>
      </c>
      <c r="P51" s="300">
        <v>-1.2539908651737638E-3</v>
      </c>
      <c r="R51" s="300"/>
    </row>
    <row r="52" spans="11:18" ht="15.75">
      <c r="K52" s="301" t="s">
        <v>360</v>
      </c>
      <c r="L52" s="299">
        <v>-9.0381398461023554E-3</v>
      </c>
      <c r="M52" s="302">
        <v>0.15141282888130592</v>
      </c>
      <c r="N52" s="300">
        <v>-1.6601241086581279E-3</v>
      </c>
      <c r="O52" s="300">
        <v>0</v>
      </c>
      <c r="P52" s="300">
        <v>-1.6601241086581279E-3</v>
      </c>
      <c r="R52" s="300"/>
    </row>
    <row r="53" spans="11:18" ht="15.75">
      <c r="K53" s="304" t="s">
        <v>567</v>
      </c>
      <c r="L53" s="305">
        <v>8.5655571165981219E-4</v>
      </c>
      <c r="M53" s="306">
        <v>0.30047010447379285</v>
      </c>
      <c r="N53" s="307">
        <v>2.4558330120338706E-3</v>
      </c>
      <c r="O53" s="307">
        <v>4.083701484987501E-3</v>
      </c>
      <c r="P53" s="307">
        <v>6.5395344970213716E-3</v>
      </c>
      <c r="R53" s="307"/>
    </row>
    <row r="54" spans="11:18" ht="15.75">
      <c r="K54" s="301" t="s">
        <v>40</v>
      </c>
      <c r="L54" s="299">
        <v>-2.0689655172413945E-2</v>
      </c>
      <c r="M54" s="302">
        <v>-0.14686408904255172</v>
      </c>
      <c r="N54" s="300">
        <v>6.9515668813474141E-4</v>
      </c>
      <c r="O54" s="300">
        <v>0</v>
      </c>
      <c r="P54" s="300">
        <v>6.9515668813474141E-4</v>
      </c>
      <c r="R54" s="300"/>
    </row>
    <row r="55" spans="11:18" ht="15.75">
      <c r="K55" s="301" t="s">
        <v>41</v>
      </c>
      <c r="L55" s="299">
        <v>-2.6907036189963707E-3</v>
      </c>
      <c r="M55" s="302">
        <v>-1.8493996397951615E-2</v>
      </c>
      <c r="N55" s="300">
        <v>4.83868218698858E-4</v>
      </c>
      <c r="O55" s="300">
        <v>2.5123589968408243E-4</v>
      </c>
      <c r="P55" s="300">
        <v>7.3510411838294048E-4</v>
      </c>
      <c r="R55" s="300"/>
    </row>
    <row r="56" spans="11:18" ht="15.75">
      <c r="K56" s="301" t="s">
        <v>373</v>
      </c>
      <c r="L56" s="299">
        <v>6.5590866677642801E-3</v>
      </c>
      <c r="M56" s="302">
        <v>0.11670799609248043</v>
      </c>
      <c r="N56" s="300">
        <v>1.276808105200271E-3</v>
      </c>
      <c r="O56" s="300">
        <v>6.7729666444606672E-4</v>
      </c>
      <c r="P56" s="300">
        <v>1.9541047696463375E-3</v>
      </c>
      <c r="R56" s="300"/>
    </row>
    <row r="57" spans="11:18" ht="15.75">
      <c r="K57" s="301" t="s">
        <v>339</v>
      </c>
      <c r="L57" s="299">
        <v>8.594130047024473E-3</v>
      </c>
      <c r="M57" s="302">
        <v>0.16635599412441882</v>
      </c>
      <c r="N57" s="300">
        <v>0</v>
      </c>
      <c r="O57" s="300">
        <v>1.544348871542936E-3</v>
      </c>
      <c r="P57" s="300">
        <v>1.544348871542936E-3</v>
      </c>
      <c r="R57" s="300"/>
    </row>
    <row r="58" spans="11:18" ht="15.75">
      <c r="K58" s="301" t="s">
        <v>582</v>
      </c>
      <c r="L58" s="299">
        <v>1.2509920634920624E-2</v>
      </c>
      <c r="M58" s="302">
        <v>0.18276419969739696</v>
      </c>
      <c r="N58" s="300">
        <v>0</v>
      </c>
      <c r="O58" s="300">
        <v>1.6108200493144163E-3</v>
      </c>
      <c r="P58" s="300">
        <v>1.6108200493144163E-3</v>
      </c>
      <c r="R58" s="300"/>
    </row>
    <row r="59" spans="11:18" ht="15.75">
      <c r="K59" s="308" t="s">
        <v>45</v>
      </c>
      <c r="L59" s="309">
        <v>-8.037222487176969E-3</v>
      </c>
      <c r="M59" s="310">
        <v>-4.2480548993153455</v>
      </c>
      <c r="N59" s="311">
        <v>6.0748468456893858E-3</v>
      </c>
      <c r="O59" s="311">
        <v>3.17934865732169E-2</v>
      </c>
      <c r="P59" s="311">
        <v>3.7868660653854309E-2</v>
      </c>
      <c r="R59" s="311"/>
    </row>
  </sheetData>
  <conditionalFormatting sqref="F5:F45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4:AE1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59">
    <cfRule type="cellIs" dxfId="1662" priority="6" operator="lessThan">
      <formula>0</formula>
    </cfRule>
  </conditionalFormatting>
  <conditionalFormatting sqref="L23:O59">
    <cfRule type="cellIs" dxfId="1661" priority="5" operator="lessThan">
      <formula>0</formula>
    </cfRule>
  </conditionalFormatting>
  <conditionalFormatting sqref="R23:R59">
    <cfRule type="cellIs" dxfId="1660" priority="4" operator="lessThan">
      <formula>0</formula>
    </cfRule>
  </conditionalFormatting>
  <conditionalFormatting sqref="Q45:Q48">
    <cfRule type="cellIs" dxfId="1659" priority="3" operator="lessThan">
      <formula>0</formula>
    </cfRule>
  </conditionalFormatting>
  <conditionalFormatting sqref="Q42:Q43">
    <cfRule type="cellIs" dxfId="1658" priority="2" operator="lessThan">
      <formula>0</formula>
    </cfRule>
  </conditionalFormatting>
  <conditionalFormatting sqref="Q39">
    <cfRule type="cellIs" dxfId="1657" priority="1" operator="lessThan">
      <formula>0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58E60-E46B-4FD1-A82E-6DC5A1454A92}">
  <dimension ref="C5:AD68"/>
  <sheetViews>
    <sheetView topLeftCell="E40" workbookViewId="0">
      <selection activeCell="J59" sqref="J59:K59"/>
    </sheetView>
  </sheetViews>
  <sheetFormatPr defaultRowHeight="15"/>
  <cols>
    <col min="1" max="2" width="1.5703125" customWidth="1"/>
    <col min="3" max="3" width="6.140625" bestFit="1" customWidth="1"/>
    <col min="4" max="4" width="6.85546875" bestFit="1" customWidth="1"/>
    <col min="5" max="6" width="6.140625" bestFit="1" customWidth="1"/>
    <col min="7" max="7" width="8.5703125" customWidth="1"/>
    <col min="8" max="8" width="21.7109375" bestFit="1" customWidth="1"/>
    <col min="9" max="9" width="12.28515625" customWidth="1"/>
    <col min="13" max="13" width="2.5703125" customWidth="1"/>
    <col min="14" max="14" width="8.42578125" customWidth="1"/>
    <col min="15" max="15" width="8" bestFit="1" customWidth="1"/>
    <col min="22" max="30" width="6.85546875" style="209" customWidth="1"/>
  </cols>
  <sheetData>
    <row r="5" spans="3:30" s="6" customFormat="1">
      <c r="I5" s="6" t="s">
        <v>1049</v>
      </c>
      <c r="J5" s="6" t="s">
        <v>1046</v>
      </c>
      <c r="K5" s="6" t="s">
        <v>1048</v>
      </c>
      <c r="L5" s="6" t="s">
        <v>1047</v>
      </c>
      <c r="O5" s="6" t="s">
        <v>5</v>
      </c>
      <c r="P5" s="6" t="s">
        <v>1053</v>
      </c>
      <c r="Q5" s="6" t="s">
        <v>1053</v>
      </c>
      <c r="R5" s="6" t="s">
        <v>1054</v>
      </c>
      <c r="S5" s="6" t="s">
        <v>1052</v>
      </c>
      <c r="T5" s="6" t="s">
        <v>1052</v>
      </c>
      <c r="V5" s="371" t="s">
        <v>630</v>
      </c>
      <c r="W5" s="371" t="s">
        <v>630</v>
      </c>
      <c r="X5" s="371" t="s">
        <v>627</v>
      </c>
      <c r="Y5" s="371" t="s">
        <v>627</v>
      </c>
      <c r="Z5" s="371" t="s">
        <v>628</v>
      </c>
      <c r="AA5" s="371" t="s">
        <v>628</v>
      </c>
      <c r="AB5" s="371" t="s">
        <v>629</v>
      </c>
      <c r="AC5" s="371" t="s">
        <v>629</v>
      </c>
      <c r="AD5" s="371" t="s">
        <v>630</v>
      </c>
    </row>
    <row r="6" spans="3:30" s="6" customFormat="1">
      <c r="V6" s="371" t="s">
        <v>1050</v>
      </c>
      <c r="W6" s="371" t="s">
        <v>1051</v>
      </c>
      <c r="X6" s="371" t="s">
        <v>1050</v>
      </c>
      <c r="Y6" s="371" t="s">
        <v>1051</v>
      </c>
      <c r="Z6" s="371" t="s">
        <v>1050</v>
      </c>
      <c r="AA6" s="371" t="s">
        <v>1051</v>
      </c>
      <c r="AB6" s="371" t="s">
        <v>1050</v>
      </c>
      <c r="AC6" s="371" t="s">
        <v>1051</v>
      </c>
      <c r="AD6" s="371" t="s">
        <v>1050</v>
      </c>
    </row>
    <row r="7" spans="3:30">
      <c r="P7" s="372"/>
      <c r="Q7" s="372"/>
      <c r="R7" s="372"/>
      <c r="T7" s="372"/>
    </row>
    <row r="8" spans="3:30">
      <c r="C8" t="s">
        <v>318</v>
      </c>
      <c r="D8" s="42">
        <v>2.0999999999999999E-3</v>
      </c>
      <c r="E8" s="42">
        <v>2.9999999999999997E-4</v>
      </c>
      <c r="F8" s="42">
        <f>D8+E8</f>
        <v>2.3999999999999998E-3</v>
      </c>
      <c r="H8" t="e">
        <f>Options!#REF!</f>
        <v>#REF!</v>
      </c>
      <c r="I8" s="206" t="e">
        <f>Options!#REF!</f>
        <v>#REF!</v>
      </c>
      <c r="J8" s="42" t="e">
        <f>Options!#REF!</f>
        <v>#REF!</v>
      </c>
      <c r="K8" s="42" t="e">
        <f>Options!#REF!</f>
        <v>#REF!</v>
      </c>
      <c r="L8" s="42" t="e">
        <f>Options!#REF!</f>
        <v>#REF!</v>
      </c>
    </row>
    <row r="9" spans="3:30">
      <c r="D9" s="42"/>
      <c r="E9" s="42"/>
      <c r="F9" s="42"/>
      <c r="I9" s="206"/>
      <c r="J9" s="42"/>
      <c r="K9" s="42"/>
      <c r="L9" s="42"/>
      <c r="V9" s="209">
        <v>31.5</v>
      </c>
      <c r="W9" s="209">
        <v>29.6</v>
      </c>
      <c r="X9" s="209">
        <v>34.72</v>
      </c>
      <c r="Y9" s="209">
        <v>33.4</v>
      </c>
      <c r="Z9" s="209">
        <v>29.3</v>
      </c>
      <c r="AA9" s="209">
        <v>28.9</v>
      </c>
      <c r="AB9" s="209">
        <v>36.9</v>
      </c>
      <c r="AC9" s="209">
        <v>35.4</v>
      </c>
      <c r="AD9" s="209">
        <v>34.299999999999997</v>
      </c>
    </row>
    <row r="10" spans="3:30">
      <c r="D10" s="42"/>
      <c r="E10" s="42"/>
      <c r="F10" s="42"/>
      <c r="I10" s="206"/>
      <c r="J10" s="42"/>
      <c r="K10" s="42"/>
      <c r="L10" s="42"/>
      <c r="V10" s="371"/>
      <c r="W10" s="371">
        <f>W9-V9</f>
        <v>-1.8999999999999986</v>
      </c>
      <c r="X10" s="371"/>
      <c r="Y10" s="371">
        <f>Y9-X9</f>
        <v>-1.3200000000000003</v>
      </c>
      <c r="Z10" s="371"/>
      <c r="AA10" s="371">
        <f>AA9-Z9</f>
        <v>-0.40000000000000213</v>
      </c>
      <c r="AB10" s="371"/>
      <c r="AC10" s="371">
        <f>AC9-AB9</f>
        <v>-1.5</v>
      </c>
      <c r="AD10" s="371"/>
    </row>
    <row r="11" spans="3:30">
      <c r="D11" s="42"/>
      <c r="E11" s="42"/>
      <c r="F11" s="42"/>
      <c r="I11" s="206"/>
      <c r="J11" s="42"/>
      <c r="K11" s="42"/>
      <c r="L11" s="42"/>
    </row>
    <row r="12" spans="3:30">
      <c r="D12" s="42"/>
      <c r="E12" s="42"/>
      <c r="F12" s="42"/>
      <c r="I12" s="206"/>
      <c r="J12" s="42"/>
      <c r="K12" s="42"/>
      <c r="L12" s="42"/>
    </row>
    <row r="13" spans="3:30" s="6" customFormat="1">
      <c r="C13" s="378" t="s">
        <v>29</v>
      </c>
      <c r="D13" s="379">
        <v>-2.0000000000000001E-4</v>
      </c>
      <c r="E13" s="370"/>
      <c r="F13" s="370"/>
      <c r="H13" s="378"/>
      <c r="I13" s="378"/>
      <c r="J13" s="378"/>
      <c r="K13" s="378"/>
      <c r="L13" s="378"/>
      <c r="M13" s="378"/>
      <c r="N13" s="378"/>
      <c r="O13" s="385">
        <v>672</v>
      </c>
      <c r="P13" s="385">
        <v>750</v>
      </c>
      <c r="Q13" s="385">
        <v>710</v>
      </c>
      <c r="R13" s="385">
        <v>672</v>
      </c>
      <c r="S13" s="385">
        <v>630</v>
      </c>
      <c r="T13" s="385">
        <v>600</v>
      </c>
      <c r="U13" s="378"/>
      <c r="V13" s="381"/>
      <c r="W13" s="381"/>
      <c r="X13" s="381"/>
      <c r="Y13" s="381"/>
      <c r="Z13" s="381"/>
      <c r="AA13" s="381"/>
      <c r="AB13" s="381"/>
      <c r="AC13" s="381"/>
      <c r="AD13" s="381"/>
    </row>
    <row r="14" spans="3:30" s="6" customFormat="1">
      <c r="C14" s="378"/>
      <c r="D14" s="379"/>
      <c r="E14" s="370"/>
      <c r="F14" s="370"/>
      <c r="H14" s="378"/>
      <c r="I14" s="378"/>
      <c r="J14" s="378"/>
      <c r="K14" s="378"/>
      <c r="L14" s="378"/>
      <c r="M14" s="378"/>
      <c r="N14" s="378"/>
      <c r="O14" s="378"/>
      <c r="P14" s="386">
        <f>P13/$O13-1</f>
        <v>0.1160714285714286</v>
      </c>
      <c r="Q14" s="386">
        <f>Q13/$O13-1</f>
        <v>5.6547619047619069E-2</v>
      </c>
      <c r="R14" s="386">
        <f>R13/$O13-1</f>
        <v>0</v>
      </c>
      <c r="S14" s="386">
        <f>S13/$O13-1</f>
        <v>-6.25E-2</v>
      </c>
      <c r="T14" s="386">
        <f>T13/$O13-1</f>
        <v>-0.1071428571428571</v>
      </c>
      <c r="U14" s="378"/>
      <c r="V14" s="381"/>
      <c r="W14" s="381"/>
      <c r="X14" s="381"/>
      <c r="Y14" s="381"/>
      <c r="Z14" s="381"/>
      <c r="AA14" s="381"/>
      <c r="AB14" s="381"/>
      <c r="AC14" s="381"/>
      <c r="AD14" s="381"/>
    </row>
    <row r="15" spans="3:30" s="6" customFormat="1">
      <c r="C15" s="378"/>
      <c r="D15" s="379"/>
      <c r="E15" s="42"/>
      <c r="F15" s="42"/>
      <c r="G15"/>
      <c r="H15" s="378"/>
      <c r="I15" s="378"/>
      <c r="J15" s="378"/>
      <c r="K15" s="378"/>
      <c r="L15" s="378"/>
      <c r="M15" s="378"/>
      <c r="N15" s="378"/>
      <c r="O15" s="378"/>
      <c r="P15" s="378"/>
      <c r="Q15" s="378"/>
      <c r="R15" s="378"/>
      <c r="S15" s="378"/>
      <c r="T15" s="378"/>
      <c r="U15" s="378"/>
      <c r="V15" s="376"/>
      <c r="W15" s="376"/>
      <c r="X15" s="376"/>
      <c r="Y15" s="376"/>
      <c r="Z15" s="376"/>
      <c r="AA15" s="376"/>
      <c r="AB15" s="376"/>
      <c r="AC15" s="376"/>
      <c r="AD15" s="376"/>
    </row>
    <row r="16" spans="3:30">
      <c r="C16" s="373"/>
      <c r="D16" s="374"/>
      <c r="E16" s="42"/>
      <c r="F16" s="42"/>
      <c r="H16" s="373"/>
      <c r="I16" s="375"/>
      <c r="J16" s="374"/>
      <c r="K16" s="374"/>
      <c r="L16" s="374" t="e">
        <f>L17*Q18/100</f>
        <v>#REF!</v>
      </c>
      <c r="M16" s="373"/>
      <c r="N16" s="373"/>
      <c r="O16" s="373"/>
      <c r="P16" s="373"/>
      <c r="Q16" s="373"/>
      <c r="R16" s="373"/>
      <c r="S16" s="373"/>
      <c r="T16" s="373"/>
      <c r="U16" s="373"/>
      <c r="V16" s="376"/>
      <c r="W16" s="376"/>
      <c r="X16" s="376"/>
      <c r="Y16" s="376"/>
      <c r="Z16" s="376"/>
      <c r="AA16" s="376"/>
      <c r="AB16" s="376"/>
      <c r="AC16" s="376"/>
      <c r="AD16" s="376"/>
    </row>
    <row r="17" spans="3:30">
      <c r="C17" s="373"/>
      <c r="D17" s="374"/>
      <c r="E17" s="42"/>
      <c r="F17" s="42"/>
      <c r="H17" s="378" t="str">
        <f>'Options Price'!B87</f>
        <v>META US 07/17/26 C700</v>
      </c>
      <c r="I17" s="380" t="e">
        <f>Options!#REF!</f>
        <v>#REF!</v>
      </c>
      <c r="J17" s="379" t="e">
        <f>Options!#REF!</f>
        <v>#REF!</v>
      </c>
      <c r="K17" s="379" t="e">
        <f>Options!#REF!</f>
        <v>#REF!</v>
      </c>
      <c r="L17" s="379" t="e">
        <f>Options!#REF!</f>
        <v>#REF!</v>
      </c>
      <c r="M17" s="373"/>
      <c r="N17" s="373" t="s">
        <v>1</v>
      </c>
      <c r="O17" s="373">
        <v>37</v>
      </c>
      <c r="P17" s="373">
        <v>34</v>
      </c>
      <c r="Q17" s="373">
        <v>34</v>
      </c>
      <c r="R17" s="373">
        <v>34</v>
      </c>
      <c r="S17" s="373">
        <v>34</v>
      </c>
      <c r="T17" s="373">
        <v>34</v>
      </c>
      <c r="U17" s="373"/>
      <c r="V17" s="376">
        <v>36.299999999999997</v>
      </c>
      <c r="W17" s="376">
        <v>34.119999999999997</v>
      </c>
      <c r="X17" s="376">
        <v>39.200000000000003</v>
      </c>
      <c r="Y17" s="376">
        <v>37.200000000000003</v>
      </c>
      <c r="Z17" s="376">
        <v>32</v>
      </c>
      <c r="AA17" s="376">
        <v>31.7</v>
      </c>
      <c r="AB17" s="376">
        <v>37</v>
      </c>
      <c r="AC17" s="376">
        <v>38.5</v>
      </c>
      <c r="AD17" s="376">
        <v>36.5</v>
      </c>
    </row>
    <row r="18" spans="3:30">
      <c r="C18" s="373"/>
      <c r="D18" s="374"/>
      <c r="E18" s="42"/>
      <c r="F18" s="42"/>
      <c r="H18" s="373"/>
      <c r="I18" s="375"/>
      <c r="J18" s="374"/>
      <c r="K18" s="374"/>
      <c r="L18" s="374"/>
      <c r="M18" s="373"/>
      <c r="N18" s="373" t="s">
        <v>164</v>
      </c>
      <c r="O18" s="373">
        <v>53</v>
      </c>
      <c r="P18" s="373">
        <v>71</v>
      </c>
      <c r="Q18" s="373">
        <v>62</v>
      </c>
      <c r="R18" s="373">
        <v>52</v>
      </c>
      <c r="S18" s="373">
        <v>52</v>
      </c>
      <c r="T18" s="373">
        <v>34</v>
      </c>
      <c r="U18" s="373"/>
      <c r="V18" s="381"/>
      <c r="W18" s="381">
        <f>W17-V17</f>
        <v>-2.1799999999999997</v>
      </c>
      <c r="X18" s="381"/>
      <c r="Y18" s="381">
        <f>Y17-X17</f>
        <v>-2</v>
      </c>
      <c r="Z18" s="381"/>
      <c r="AA18" s="381">
        <f>AA17-Z17</f>
        <v>-0.30000000000000071</v>
      </c>
      <c r="AB18" s="381"/>
      <c r="AC18" s="381">
        <f>AC17-AB17</f>
        <v>1.5</v>
      </c>
      <c r="AD18" s="381"/>
    </row>
    <row r="19" spans="3:30">
      <c r="C19" s="373"/>
      <c r="D19" s="374"/>
      <c r="E19" s="42"/>
      <c r="F19" s="42"/>
      <c r="H19" s="373"/>
      <c r="I19" s="375"/>
      <c r="J19" s="374"/>
      <c r="K19" s="374"/>
      <c r="L19" s="374"/>
      <c r="M19" s="373"/>
      <c r="N19" s="373" t="s">
        <v>5</v>
      </c>
      <c r="O19" s="373">
        <v>64</v>
      </c>
      <c r="P19" s="373">
        <v>106</v>
      </c>
      <c r="Q19" s="373">
        <v>80</v>
      </c>
      <c r="R19" s="373">
        <v>58</v>
      </c>
      <c r="S19" s="373">
        <v>38</v>
      </c>
      <c r="T19" s="373">
        <v>27</v>
      </c>
      <c r="U19" s="373"/>
      <c r="V19" s="376"/>
      <c r="W19" s="376"/>
      <c r="X19" s="376"/>
      <c r="Y19" s="376"/>
      <c r="Z19" s="376"/>
      <c r="AA19" s="376"/>
      <c r="AB19" s="376"/>
      <c r="AC19" s="376"/>
      <c r="AD19" s="376"/>
    </row>
    <row r="20" spans="3:30">
      <c r="C20" s="373"/>
      <c r="D20" s="374"/>
      <c r="E20" s="42"/>
      <c r="F20" s="42"/>
      <c r="H20" s="373"/>
      <c r="I20" s="375"/>
      <c r="J20" s="374"/>
      <c r="K20" s="374"/>
      <c r="L20" s="374"/>
      <c r="M20" s="373"/>
      <c r="N20" s="373" t="s">
        <v>51</v>
      </c>
      <c r="O20" s="373"/>
      <c r="P20" s="377">
        <f>P19/$O19-1</f>
        <v>0.65625</v>
      </c>
      <c r="Q20" s="377">
        <f>Q19/$O19-1</f>
        <v>0.25</v>
      </c>
      <c r="R20" s="377">
        <f>R19/$O19-1</f>
        <v>-9.375E-2</v>
      </c>
      <c r="S20" s="377">
        <f>S19/$O19-1</f>
        <v>-0.40625</v>
      </c>
      <c r="T20" s="377">
        <f>T19/$O19-1</f>
        <v>-0.578125</v>
      </c>
      <c r="U20" s="373"/>
      <c r="V20" s="376"/>
      <c r="W20" s="376"/>
      <c r="X20" s="376"/>
      <c r="Y20" s="376"/>
      <c r="Z20" s="376"/>
      <c r="AA20" s="376"/>
      <c r="AB20" s="376"/>
      <c r="AC20" s="376"/>
      <c r="AD20" s="376"/>
    </row>
    <row r="21" spans="3:30">
      <c r="C21" s="373"/>
      <c r="D21" s="374"/>
      <c r="E21" s="42"/>
      <c r="F21" s="42"/>
      <c r="H21" s="373"/>
      <c r="I21" s="375"/>
      <c r="J21" s="374"/>
      <c r="K21" s="374"/>
      <c r="L21" s="374"/>
      <c r="M21" s="373"/>
      <c r="N21" s="373" t="s">
        <v>980</v>
      </c>
      <c r="O21" s="373"/>
      <c r="P21" s="375" t="e">
        <f>$I$17*(1+P20)</f>
        <v>#REF!</v>
      </c>
      <c r="Q21" s="375" t="e">
        <f>$I$17*(1+Q20)</f>
        <v>#REF!</v>
      </c>
      <c r="R21" s="375" t="e">
        <f>$I$17*(1+R20)</f>
        <v>#REF!</v>
      </c>
      <c r="S21" s="375" t="e">
        <f>$I$17*(1+S20)</f>
        <v>#REF!</v>
      </c>
      <c r="T21" s="375" t="e">
        <f>$I$17*(1+T20)</f>
        <v>#REF!</v>
      </c>
      <c r="U21" s="373"/>
      <c r="V21" s="376"/>
      <c r="W21" s="376"/>
      <c r="X21" s="376"/>
      <c r="Y21" s="376"/>
      <c r="Z21" s="376"/>
      <c r="AA21" s="376"/>
      <c r="AB21" s="376"/>
      <c r="AC21" s="376"/>
      <c r="AD21" s="376"/>
    </row>
    <row r="22" spans="3:30">
      <c r="C22" s="373"/>
      <c r="D22" s="374"/>
      <c r="E22" s="42"/>
      <c r="F22" s="42"/>
      <c r="H22" s="373"/>
      <c r="I22" s="375"/>
      <c r="J22" s="374"/>
      <c r="K22" s="374"/>
      <c r="L22" s="374"/>
      <c r="M22" s="373"/>
      <c r="N22" s="373" t="s">
        <v>1055</v>
      </c>
      <c r="O22" s="373"/>
      <c r="P22" s="375" t="e">
        <f>P21-$I$17</f>
        <v>#REF!</v>
      </c>
      <c r="Q22" s="375" t="e">
        <f>Q21-$I$17</f>
        <v>#REF!</v>
      </c>
      <c r="R22" s="375" t="e">
        <f>R21-$I$17</f>
        <v>#REF!</v>
      </c>
      <c r="S22" s="375" t="e">
        <f>S21-$I$17</f>
        <v>#REF!</v>
      </c>
      <c r="T22" s="375" t="e">
        <f>T21-$I$17</f>
        <v>#REF!</v>
      </c>
      <c r="U22" s="373"/>
      <c r="V22" s="376"/>
      <c r="W22" s="376"/>
      <c r="X22" s="376"/>
      <c r="Y22" s="376"/>
      <c r="Z22" s="376"/>
      <c r="AA22" s="376"/>
      <c r="AB22" s="376"/>
      <c r="AC22" s="376"/>
      <c r="AD22" s="376"/>
    </row>
    <row r="23" spans="3:30" ht="15.75" thickBot="1">
      <c r="C23" s="373"/>
      <c r="D23" s="374"/>
      <c r="E23" s="42"/>
      <c r="F23" s="42"/>
      <c r="H23" s="373"/>
      <c r="I23" s="375"/>
      <c r="J23" s="374"/>
      <c r="K23" s="374"/>
      <c r="L23" s="374"/>
      <c r="M23" s="373"/>
      <c r="N23" s="373"/>
      <c r="O23" s="373"/>
      <c r="P23" s="373"/>
      <c r="Q23" s="373"/>
      <c r="R23" s="373"/>
      <c r="S23" s="373"/>
      <c r="T23" s="373"/>
      <c r="U23" s="373"/>
      <c r="V23" s="376"/>
      <c r="W23" s="376"/>
      <c r="X23" s="376"/>
      <c r="Y23" s="376"/>
      <c r="Z23" s="376"/>
      <c r="AA23" s="376"/>
      <c r="AB23" s="376"/>
      <c r="AC23" s="376"/>
      <c r="AD23" s="376"/>
    </row>
    <row r="24" spans="3:30" ht="15.75" thickBot="1">
      <c r="C24" s="373"/>
      <c r="D24" s="374"/>
      <c r="E24" s="42"/>
      <c r="F24" s="42"/>
      <c r="H24" s="383" t="s">
        <v>164</v>
      </c>
      <c r="I24" s="384" t="e">
        <f>K17*10000</f>
        <v>#REF!</v>
      </c>
      <c r="J24" s="374"/>
      <c r="K24" s="374"/>
      <c r="L24" s="374"/>
      <c r="M24" s="373"/>
      <c r="N24" s="373"/>
      <c r="O24" s="373"/>
      <c r="P24" s="382" t="e">
        <f>P22/$I$24</f>
        <v>#REF!</v>
      </c>
      <c r="Q24" s="382" t="e">
        <f>Q22/$I$24</f>
        <v>#REF!</v>
      </c>
      <c r="R24" s="382" t="e">
        <f>R22/$I$24</f>
        <v>#REF!</v>
      </c>
      <c r="S24" s="382" t="e">
        <f>S22/$I$24</f>
        <v>#REF!</v>
      </c>
      <c r="T24" s="382" t="e">
        <f>T22/$I$24</f>
        <v>#REF!</v>
      </c>
      <c r="U24" s="373"/>
      <c r="V24" s="376"/>
      <c r="W24" s="376"/>
      <c r="X24" s="376"/>
      <c r="Y24" s="376"/>
      <c r="Z24" s="376"/>
      <c r="AA24" s="376"/>
      <c r="AB24" s="376"/>
      <c r="AC24" s="376"/>
      <c r="AD24" s="376"/>
    </row>
    <row r="25" spans="3:30">
      <c r="D25" s="42"/>
      <c r="E25" s="42"/>
      <c r="F25" s="42"/>
      <c r="H25" s="373"/>
      <c r="I25" s="375"/>
      <c r="J25" s="374"/>
      <c r="K25" s="374"/>
      <c r="L25" s="374"/>
      <c r="M25" s="373"/>
      <c r="N25" s="373"/>
      <c r="O25" s="373"/>
      <c r="P25" s="373"/>
      <c r="Q25" s="373"/>
      <c r="R25" s="373"/>
      <c r="S25" s="373"/>
      <c r="T25" s="373"/>
      <c r="U25" s="373"/>
      <c r="V25" s="376"/>
      <c r="W25" s="376"/>
      <c r="X25" s="376"/>
      <c r="Y25" s="376"/>
      <c r="Z25" s="376"/>
      <c r="AA25" s="376"/>
      <c r="AB25" s="376"/>
      <c r="AC25" s="376"/>
      <c r="AD25" s="376"/>
    </row>
    <row r="26" spans="3:30">
      <c r="D26" s="42"/>
      <c r="E26" s="42"/>
      <c r="F26" s="42"/>
      <c r="H26" s="373"/>
      <c r="I26" s="375"/>
      <c r="J26" s="374"/>
      <c r="K26" s="374"/>
      <c r="L26" s="374" t="e">
        <f>L27*Q28/100</f>
        <v>#REF!</v>
      </c>
      <c r="M26" s="373"/>
      <c r="N26" s="373"/>
      <c r="O26" s="373"/>
      <c r="P26" s="373"/>
      <c r="Q26" s="373"/>
      <c r="R26" s="373"/>
      <c r="S26" s="373"/>
      <c r="T26" s="373"/>
      <c r="U26" s="373"/>
      <c r="V26" s="376"/>
      <c r="W26" s="376"/>
      <c r="X26" s="376"/>
      <c r="Y26" s="376"/>
      <c r="Z26" s="376"/>
      <c r="AA26" s="376"/>
      <c r="AB26" s="376"/>
      <c r="AC26" s="376"/>
      <c r="AD26" s="376"/>
    </row>
    <row r="27" spans="3:30">
      <c r="D27" s="42"/>
      <c r="E27" s="42"/>
      <c r="F27" s="42"/>
      <c r="H27" s="378" t="e">
        <f>Options!#REF!</f>
        <v>#REF!</v>
      </c>
      <c r="I27" s="380" t="e">
        <f>Options!#REF!</f>
        <v>#REF!</v>
      </c>
      <c r="J27" s="379" t="e">
        <f>Options!#REF!</f>
        <v>#REF!</v>
      </c>
      <c r="K27" s="379" t="e">
        <f>Options!#REF!</f>
        <v>#REF!</v>
      </c>
      <c r="L27" s="379" t="e">
        <f>Options!#REF!</f>
        <v>#REF!</v>
      </c>
      <c r="M27" s="373"/>
      <c r="N27" s="373" t="s">
        <v>1</v>
      </c>
      <c r="O27" s="373">
        <v>37</v>
      </c>
      <c r="P27" s="373">
        <v>32.5</v>
      </c>
      <c r="Q27" s="373">
        <v>32.5</v>
      </c>
      <c r="R27" s="373">
        <v>32.5</v>
      </c>
      <c r="S27" s="373">
        <v>32.5</v>
      </c>
      <c r="T27" s="373">
        <v>32.5</v>
      </c>
      <c r="U27" s="373"/>
      <c r="V27" s="376">
        <v>37.5</v>
      </c>
      <c r="W27" s="376">
        <v>33.200000000000003</v>
      </c>
      <c r="X27" s="376">
        <v>40.299999999999997</v>
      </c>
      <c r="Y27" s="376">
        <v>36.700000000000003</v>
      </c>
      <c r="Z27" s="376">
        <v>32</v>
      </c>
      <c r="AA27" s="376">
        <v>30</v>
      </c>
      <c r="AB27" s="376">
        <v>37.1</v>
      </c>
      <c r="AC27" s="376">
        <v>37.4</v>
      </c>
      <c r="AD27" s="376">
        <v>36.799999999999997</v>
      </c>
    </row>
    <row r="28" spans="3:30">
      <c r="D28" s="42"/>
      <c r="E28" s="42"/>
      <c r="F28" s="42"/>
      <c r="H28" s="373"/>
      <c r="I28" s="375"/>
      <c r="J28" s="374"/>
      <c r="K28" s="374"/>
      <c r="L28" s="374"/>
      <c r="M28" s="373"/>
      <c r="N28" s="373" t="s">
        <v>164</v>
      </c>
      <c r="O28" s="373">
        <v>48</v>
      </c>
      <c r="P28" s="373">
        <v>75</v>
      </c>
      <c r="Q28" s="373">
        <v>62</v>
      </c>
      <c r="R28" s="373">
        <v>48</v>
      </c>
      <c r="S28" s="373">
        <v>31</v>
      </c>
      <c r="T28" s="373">
        <v>21</v>
      </c>
      <c r="U28" s="373"/>
      <c r="V28" s="381"/>
      <c r="W28" s="381">
        <f>W27-V27</f>
        <v>-4.2999999999999972</v>
      </c>
      <c r="X28" s="381"/>
      <c r="Y28" s="381">
        <f>Y27-X27</f>
        <v>-3.5999999999999943</v>
      </c>
      <c r="Z28" s="381"/>
      <c r="AA28" s="381">
        <f>AA27-Z27</f>
        <v>-2</v>
      </c>
      <c r="AB28" s="381"/>
      <c r="AC28" s="381">
        <f>AC27-AB27</f>
        <v>0.29999999999999716</v>
      </c>
      <c r="AD28" s="381"/>
    </row>
    <row r="29" spans="3:30">
      <c r="D29" s="42"/>
      <c r="E29" s="42"/>
      <c r="F29" s="42"/>
      <c r="H29" s="373"/>
      <c r="I29" s="375"/>
      <c r="J29" s="374"/>
      <c r="K29" s="374"/>
      <c r="L29" s="374"/>
      <c r="M29" s="373"/>
      <c r="N29" s="373" t="s">
        <v>5</v>
      </c>
      <c r="O29" s="373">
        <v>40</v>
      </c>
      <c r="P29" s="373">
        <v>82.9</v>
      </c>
      <c r="Q29" s="373">
        <v>55</v>
      </c>
      <c r="R29" s="373">
        <v>34</v>
      </c>
      <c r="S29" s="373">
        <v>18</v>
      </c>
      <c r="T29" s="373">
        <v>10</v>
      </c>
      <c r="U29" s="373"/>
      <c r="V29" s="376"/>
      <c r="W29" s="376"/>
      <c r="X29" s="376"/>
      <c r="Y29" s="376"/>
      <c r="Z29" s="376"/>
      <c r="AA29" s="376"/>
      <c r="AB29" s="376"/>
      <c r="AC29" s="376"/>
      <c r="AD29" s="376"/>
    </row>
    <row r="30" spans="3:30">
      <c r="D30" s="42"/>
      <c r="E30" s="42"/>
      <c r="F30" s="42"/>
      <c r="H30" s="373"/>
      <c r="I30" s="375"/>
      <c r="J30" s="374"/>
      <c r="K30" s="374"/>
      <c r="L30" s="374"/>
      <c r="M30" s="373"/>
      <c r="N30" s="373" t="s">
        <v>51</v>
      </c>
      <c r="O30" s="373"/>
      <c r="P30" s="377">
        <f>P29/$O29-1</f>
        <v>1.0725000000000002</v>
      </c>
      <c r="Q30" s="377">
        <f>Q29/$O29-1</f>
        <v>0.375</v>
      </c>
      <c r="R30" s="377">
        <f>R29/$O29-1</f>
        <v>-0.15000000000000002</v>
      </c>
      <c r="S30" s="377">
        <f>S29/$O29-1</f>
        <v>-0.55000000000000004</v>
      </c>
      <c r="T30" s="377">
        <f>T29/$O29-1</f>
        <v>-0.75</v>
      </c>
      <c r="U30" s="373"/>
      <c r="V30" s="376"/>
      <c r="W30" s="376"/>
      <c r="X30" s="376"/>
      <c r="Y30" s="376"/>
      <c r="Z30" s="376"/>
      <c r="AA30" s="376"/>
      <c r="AB30" s="376"/>
      <c r="AC30" s="376"/>
      <c r="AD30" s="376"/>
    </row>
    <row r="31" spans="3:30">
      <c r="D31" s="42"/>
      <c r="E31" s="42"/>
      <c r="F31" s="42"/>
      <c r="H31" s="373"/>
      <c r="I31" s="375"/>
      <c r="J31" s="374"/>
      <c r="K31" s="374"/>
      <c r="L31" s="374"/>
      <c r="M31" s="373"/>
      <c r="N31" s="373" t="s">
        <v>980</v>
      </c>
      <c r="O31" s="373"/>
      <c r="P31" s="375" t="e">
        <f>$I$27*(1+P30)</f>
        <v>#REF!</v>
      </c>
      <c r="Q31" s="375" t="e">
        <f>$I$27*(1+Q30)</f>
        <v>#REF!</v>
      </c>
      <c r="R31" s="375" t="e">
        <f>$I$27*(1+R30)</f>
        <v>#REF!</v>
      </c>
      <c r="S31" s="375" t="e">
        <f>$I$27*(1+S30)</f>
        <v>#REF!</v>
      </c>
      <c r="T31" s="375" t="e">
        <f>$I$27*(1+T30)</f>
        <v>#REF!</v>
      </c>
      <c r="U31" s="373"/>
      <c r="V31" s="376"/>
      <c r="W31" s="376"/>
      <c r="X31" s="376"/>
      <c r="Y31" s="376"/>
      <c r="Z31" s="376"/>
      <c r="AA31" s="376"/>
      <c r="AB31" s="376"/>
      <c r="AC31" s="376"/>
      <c r="AD31" s="376"/>
    </row>
    <row r="32" spans="3:30">
      <c r="D32" s="42"/>
      <c r="E32" s="42"/>
      <c r="F32" s="42"/>
      <c r="H32" s="373"/>
      <c r="I32" s="375"/>
      <c r="J32" s="374"/>
      <c r="K32" s="374"/>
      <c r="L32" s="374"/>
      <c r="M32" s="373"/>
      <c r="N32" s="373" t="s">
        <v>1055</v>
      </c>
      <c r="O32" s="373"/>
      <c r="P32" s="375" t="e">
        <f>P31-$I$27</f>
        <v>#REF!</v>
      </c>
      <c r="Q32" s="375" t="e">
        <f>Q31-$I$27</f>
        <v>#REF!</v>
      </c>
      <c r="R32" s="375" t="e">
        <f>R31-$I$27</f>
        <v>#REF!</v>
      </c>
      <c r="S32" s="375" t="e">
        <f>S31-$I$27</f>
        <v>#REF!</v>
      </c>
      <c r="T32" s="375" t="e">
        <f>T31-$I$27</f>
        <v>#REF!</v>
      </c>
      <c r="U32" s="373"/>
      <c r="V32" s="376"/>
      <c r="W32" s="376"/>
      <c r="X32" s="376"/>
      <c r="Y32" s="376"/>
      <c r="Z32" s="376"/>
      <c r="AA32" s="376"/>
      <c r="AB32" s="376"/>
      <c r="AC32" s="376"/>
      <c r="AD32" s="376"/>
    </row>
    <row r="33" spans="3:30" ht="15.75" thickBot="1">
      <c r="D33" s="42"/>
      <c r="E33" s="42"/>
      <c r="F33" s="42"/>
      <c r="H33" s="373"/>
      <c r="I33" s="375"/>
      <c r="J33" s="374"/>
      <c r="K33" s="374"/>
      <c r="L33" s="374"/>
      <c r="M33" s="373"/>
      <c r="N33" s="373"/>
      <c r="O33" s="373"/>
      <c r="P33" s="373"/>
      <c r="Q33" s="373"/>
      <c r="R33" s="373"/>
      <c r="S33" s="373"/>
      <c r="T33" s="373"/>
      <c r="U33" s="373"/>
      <c r="V33" s="376"/>
      <c r="W33" s="376"/>
      <c r="X33" s="376"/>
      <c r="Y33" s="376"/>
      <c r="Z33" s="376"/>
      <c r="AA33" s="376"/>
      <c r="AB33" s="376"/>
      <c r="AC33" s="376"/>
      <c r="AD33" s="376"/>
    </row>
    <row r="34" spans="3:30" ht="15.75" thickBot="1">
      <c r="D34" s="42"/>
      <c r="E34" s="42"/>
      <c r="F34" s="42"/>
      <c r="H34" s="383" t="s">
        <v>164</v>
      </c>
      <c r="I34" s="384" t="e">
        <f>K27*10000</f>
        <v>#REF!</v>
      </c>
      <c r="J34" s="374"/>
      <c r="K34" s="374"/>
      <c r="L34" s="374"/>
      <c r="M34" s="373"/>
      <c r="N34" s="373"/>
      <c r="O34" s="373"/>
      <c r="P34" s="382" t="e">
        <f>P32/$I$34</f>
        <v>#REF!</v>
      </c>
      <c r="Q34" s="382" t="e">
        <f>Q32/$I$34</f>
        <v>#REF!</v>
      </c>
      <c r="R34" s="382" t="e">
        <f>R32/$I$34</f>
        <v>#REF!</v>
      </c>
      <c r="S34" s="382" t="e">
        <f>S32/$I$34</f>
        <v>#REF!</v>
      </c>
      <c r="T34" s="382" t="e">
        <f>T32/$I$34</f>
        <v>#REF!</v>
      </c>
      <c r="U34" s="373"/>
      <c r="V34" s="376"/>
      <c r="W34" s="376"/>
      <c r="X34" s="376"/>
      <c r="Y34" s="376"/>
      <c r="Z34" s="376"/>
      <c r="AA34" s="376"/>
      <c r="AB34" s="376"/>
      <c r="AC34" s="376"/>
      <c r="AD34" s="376"/>
    </row>
    <row r="35" spans="3:30" ht="15.75" thickBot="1">
      <c r="D35" s="42"/>
      <c r="E35" s="42"/>
      <c r="F35" s="42"/>
      <c r="H35" s="373"/>
      <c r="I35" s="373"/>
      <c r="J35" s="373"/>
      <c r="K35" s="373"/>
      <c r="L35" s="373"/>
      <c r="M35" s="373"/>
      <c r="N35" s="373"/>
      <c r="O35" s="373"/>
      <c r="P35" s="373"/>
      <c r="Q35" s="373"/>
      <c r="R35" s="373"/>
      <c r="S35" s="373"/>
      <c r="T35" s="373"/>
      <c r="U35" s="373"/>
      <c r="V35" s="376"/>
      <c r="W35" s="376"/>
      <c r="X35" s="376"/>
      <c r="Y35" s="376"/>
      <c r="Z35" s="376"/>
      <c r="AA35" s="376"/>
      <c r="AB35" s="376"/>
      <c r="AC35" s="376"/>
      <c r="AD35" s="376"/>
    </row>
    <row r="36" spans="3:30" s="6" customFormat="1" ht="15.75" thickBot="1">
      <c r="D36" s="370"/>
      <c r="E36" s="370"/>
      <c r="F36" s="370"/>
      <c r="H36" s="378"/>
      <c r="I36" s="380"/>
      <c r="J36" s="379"/>
      <c r="K36" s="379"/>
      <c r="L36" s="379"/>
      <c r="M36" s="378"/>
      <c r="N36" s="387" t="s">
        <v>1057</v>
      </c>
      <c r="O36" s="388"/>
      <c r="P36" s="389" t="e">
        <f>P22+P32</f>
        <v>#REF!</v>
      </c>
      <c r="Q36" s="389" t="e">
        <f>Q22+Q32</f>
        <v>#REF!</v>
      </c>
      <c r="R36" s="389" t="e">
        <f>R22+R32</f>
        <v>#REF!</v>
      </c>
      <c r="S36" s="389" t="e">
        <f>S22+S32</f>
        <v>#REF!</v>
      </c>
      <c r="T36" s="390" t="e">
        <f>T22+T32</f>
        <v>#REF!</v>
      </c>
      <c r="U36" s="378"/>
      <c r="V36" s="381"/>
      <c r="W36" s="381"/>
      <c r="X36" s="381"/>
      <c r="Y36" s="381"/>
      <c r="Z36" s="381"/>
      <c r="AA36" s="381"/>
      <c r="AB36" s="381"/>
      <c r="AC36" s="381"/>
      <c r="AD36" s="381"/>
    </row>
    <row r="37" spans="3:30">
      <c r="D37" s="42"/>
      <c r="E37" s="42"/>
      <c r="F37" s="42"/>
      <c r="H37" s="373"/>
      <c r="I37" s="380"/>
      <c r="J37" s="379"/>
      <c r="K37" s="379"/>
      <c r="L37" s="379"/>
      <c r="M37" s="373"/>
      <c r="N37" s="373"/>
      <c r="O37" s="373"/>
      <c r="P37" s="373"/>
      <c r="Q37" s="373"/>
      <c r="R37" s="373"/>
      <c r="S37" s="373"/>
      <c r="T37" s="373"/>
      <c r="U37" s="373"/>
      <c r="V37" s="376"/>
      <c r="W37" s="376"/>
      <c r="X37" s="376"/>
      <c r="Y37" s="376"/>
      <c r="Z37" s="376"/>
      <c r="AA37" s="376"/>
      <c r="AB37" s="376"/>
      <c r="AC37" s="376"/>
      <c r="AD37" s="376"/>
    </row>
    <row r="38" spans="3:30">
      <c r="D38" s="42"/>
      <c r="E38" s="42"/>
      <c r="F38" s="42"/>
      <c r="I38" s="206"/>
      <c r="J38" s="42"/>
      <c r="K38" s="42"/>
      <c r="L38" s="42"/>
    </row>
    <row r="39" spans="3:30">
      <c r="D39" s="42"/>
      <c r="E39" s="42"/>
      <c r="F39" s="42"/>
      <c r="H39" s="58"/>
      <c r="I39" s="266"/>
      <c r="J39" s="391"/>
      <c r="K39" s="391"/>
      <c r="L39" s="391"/>
      <c r="M39" s="58"/>
      <c r="N39" s="58"/>
      <c r="O39" s="136">
        <v>481</v>
      </c>
      <c r="P39" s="136">
        <v>515</v>
      </c>
      <c r="Q39" s="136">
        <v>505</v>
      </c>
      <c r="R39" s="136">
        <v>481</v>
      </c>
      <c r="S39" s="136">
        <v>455</v>
      </c>
      <c r="T39" s="136">
        <v>445</v>
      </c>
      <c r="U39" s="58"/>
      <c r="V39" s="353"/>
      <c r="W39" s="353"/>
      <c r="X39" s="353"/>
      <c r="Y39" s="353"/>
      <c r="Z39" s="353"/>
      <c r="AA39" s="353"/>
      <c r="AB39" s="353"/>
      <c r="AC39" s="353"/>
      <c r="AD39" s="353"/>
    </row>
    <row r="40" spans="3:30">
      <c r="D40" s="42"/>
      <c r="E40" s="42"/>
      <c r="F40" s="42"/>
      <c r="H40" s="58"/>
      <c r="I40" s="266"/>
      <c r="J40" s="391"/>
      <c r="K40" s="391"/>
      <c r="L40" s="391"/>
      <c r="M40" s="58"/>
      <c r="N40" s="58"/>
      <c r="O40" s="92"/>
      <c r="P40" s="392">
        <f>P39/$O39-1</f>
        <v>7.0686070686070579E-2</v>
      </c>
      <c r="Q40" s="392">
        <f>Q39/$O39-1</f>
        <v>4.9896049896049899E-2</v>
      </c>
      <c r="R40" s="392">
        <f>R39/$O39-1</f>
        <v>0</v>
      </c>
      <c r="S40" s="392">
        <f>S39/$O39-1</f>
        <v>-5.4054054054054057E-2</v>
      </c>
      <c r="T40" s="392">
        <f>T39/$O39-1</f>
        <v>-7.4844074844074848E-2</v>
      </c>
      <c r="U40" s="58"/>
      <c r="V40" s="353"/>
      <c r="W40" s="353"/>
      <c r="X40" s="353"/>
      <c r="Y40" s="353"/>
      <c r="Z40" s="353"/>
      <c r="AA40" s="353"/>
      <c r="AB40" s="353"/>
      <c r="AC40" s="353"/>
      <c r="AD40" s="353"/>
    </row>
    <row r="41" spans="3:30">
      <c r="D41" s="42"/>
      <c r="E41" s="42"/>
      <c r="F41" s="42"/>
      <c r="H41" s="58"/>
      <c r="I41" s="266"/>
      <c r="J41" s="391"/>
      <c r="K41" s="391"/>
      <c r="L41" s="391" t="e">
        <f>L42*T43/100</f>
        <v>#REF!</v>
      </c>
      <c r="M41" s="58"/>
      <c r="N41" s="58"/>
      <c r="O41" s="58"/>
      <c r="P41" s="58"/>
      <c r="Q41" s="58"/>
      <c r="R41" s="58"/>
      <c r="S41" s="58"/>
      <c r="T41" s="58"/>
      <c r="U41" s="58"/>
      <c r="V41" s="353"/>
      <c r="W41" s="353"/>
      <c r="X41" s="353"/>
      <c r="Y41" s="353"/>
      <c r="Z41" s="353"/>
      <c r="AA41" s="353"/>
      <c r="AB41" s="353"/>
      <c r="AC41" s="353"/>
      <c r="AD41" s="353"/>
    </row>
    <row r="42" spans="3:30">
      <c r="D42" s="42"/>
      <c r="E42" s="42"/>
      <c r="F42" s="42"/>
      <c r="H42" s="58" t="e">
        <f>Options!#REF!</f>
        <v>#REF!</v>
      </c>
      <c r="I42" s="266" t="e">
        <f>Options!#REF!</f>
        <v>#REF!</v>
      </c>
      <c r="J42" s="391" t="e">
        <f>Options!#REF!</f>
        <v>#REF!</v>
      </c>
      <c r="K42" s="391" t="e">
        <f>Options!#REF!</f>
        <v>#REF!</v>
      </c>
      <c r="L42" s="391" t="e">
        <f>Options!#REF!</f>
        <v>#REF!</v>
      </c>
      <c r="M42" s="58"/>
      <c r="N42" s="58" t="s">
        <v>1</v>
      </c>
      <c r="O42" s="58">
        <v>28</v>
      </c>
      <c r="P42" s="58">
        <v>25</v>
      </c>
      <c r="Q42" s="58">
        <v>25</v>
      </c>
      <c r="R42" s="58">
        <v>25</v>
      </c>
      <c r="S42" s="58">
        <v>25</v>
      </c>
      <c r="T42" s="58">
        <v>25</v>
      </c>
      <c r="U42" s="58"/>
      <c r="V42" s="353">
        <v>23.2</v>
      </c>
      <c r="W42" s="353">
        <v>22.9</v>
      </c>
      <c r="X42" s="353">
        <v>27.1</v>
      </c>
      <c r="Y42" s="353">
        <v>24.8</v>
      </c>
      <c r="Z42" s="353">
        <v>21.5</v>
      </c>
      <c r="AA42" s="353">
        <v>22</v>
      </c>
      <c r="AB42" s="353">
        <v>26.4</v>
      </c>
      <c r="AC42" s="353">
        <v>26.5</v>
      </c>
      <c r="AD42" s="353">
        <v>27.5</v>
      </c>
    </row>
    <row r="43" spans="3:30">
      <c r="D43" s="42"/>
      <c r="E43" s="42"/>
      <c r="F43" s="42"/>
      <c r="H43" s="58"/>
      <c r="I43" s="393"/>
      <c r="J43" s="394"/>
      <c r="K43" s="394"/>
      <c r="L43" s="394"/>
      <c r="M43" s="58"/>
      <c r="N43" s="58" t="s">
        <v>164</v>
      </c>
      <c r="O43" s="58">
        <v>48</v>
      </c>
      <c r="P43" s="58">
        <v>63</v>
      </c>
      <c r="Q43" s="58">
        <v>59</v>
      </c>
      <c r="R43" s="58">
        <v>47</v>
      </c>
      <c r="S43" s="58">
        <v>35</v>
      </c>
      <c r="T43" s="58">
        <v>30</v>
      </c>
      <c r="U43" s="58"/>
      <c r="V43" s="395"/>
      <c r="W43" s="395">
        <f>W42-V42</f>
        <v>-0.30000000000000071</v>
      </c>
      <c r="X43" s="395"/>
      <c r="Y43" s="395">
        <f>Y42-X42</f>
        <v>-2.3000000000000007</v>
      </c>
      <c r="Z43" s="395"/>
      <c r="AA43" s="395">
        <f>AA42-Z42</f>
        <v>0.5</v>
      </c>
      <c r="AB43" s="395"/>
      <c r="AC43" s="395">
        <f>AC42-AB42</f>
        <v>0.10000000000000142</v>
      </c>
      <c r="AD43" s="395"/>
    </row>
    <row r="44" spans="3:30">
      <c r="D44" s="42"/>
      <c r="E44" s="42"/>
      <c r="F44" s="42"/>
      <c r="H44" s="58"/>
      <c r="I44" s="266"/>
      <c r="J44" s="391"/>
      <c r="K44" s="391"/>
      <c r="L44" s="391"/>
      <c r="M44" s="58"/>
      <c r="N44" s="58" t="s">
        <v>5</v>
      </c>
      <c r="O44" s="58">
        <v>31</v>
      </c>
      <c r="P44" s="58">
        <v>46</v>
      </c>
      <c r="Q44" s="58">
        <v>40</v>
      </c>
      <c r="R44" s="58">
        <v>27</v>
      </c>
      <c r="S44" s="58">
        <v>16</v>
      </c>
      <c r="T44" s="58">
        <v>13</v>
      </c>
      <c r="U44" s="58"/>
      <c r="V44" s="353"/>
      <c r="W44" s="353"/>
      <c r="X44" s="353"/>
      <c r="Y44" s="353"/>
      <c r="Z44" s="353"/>
      <c r="AA44" s="353"/>
      <c r="AB44" s="353"/>
      <c r="AC44" s="353"/>
      <c r="AD44" s="353"/>
    </row>
    <row r="45" spans="3:30">
      <c r="D45" s="42"/>
      <c r="E45" s="42"/>
      <c r="F45" s="42"/>
      <c r="H45" s="58"/>
      <c r="I45" s="266"/>
      <c r="J45" s="391"/>
      <c r="K45" s="391"/>
      <c r="L45" s="391"/>
      <c r="M45" s="58"/>
      <c r="N45" s="58" t="s">
        <v>51</v>
      </c>
      <c r="O45" s="58"/>
      <c r="P45" s="352">
        <f>P44/$O44-1</f>
        <v>0.4838709677419355</v>
      </c>
      <c r="Q45" s="352">
        <f>Q44/$O44-1</f>
        <v>0.29032258064516125</v>
      </c>
      <c r="R45" s="352">
        <f>R44/$O44-1</f>
        <v>-0.12903225806451613</v>
      </c>
      <c r="S45" s="352">
        <f>S44/$O44-1</f>
        <v>-0.4838709677419355</v>
      </c>
      <c r="T45" s="352">
        <f>T44/$O44-1</f>
        <v>-0.58064516129032251</v>
      </c>
      <c r="U45" s="58"/>
      <c r="V45" s="353"/>
      <c r="W45" s="353"/>
      <c r="X45" s="353"/>
      <c r="Y45" s="353"/>
      <c r="Z45" s="353"/>
      <c r="AA45" s="353"/>
      <c r="AB45" s="353"/>
      <c r="AC45" s="353"/>
      <c r="AD45" s="353"/>
    </row>
    <row r="46" spans="3:30">
      <c r="C46" t="s">
        <v>27</v>
      </c>
      <c r="D46" s="42"/>
      <c r="E46" s="42"/>
      <c r="F46" s="42"/>
      <c r="H46" s="58"/>
      <c r="I46" s="58"/>
      <c r="J46" s="58"/>
      <c r="K46" s="58"/>
      <c r="L46" s="58"/>
      <c r="M46" s="58"/>
      <c r="N46" s="58" t="s">
        <v>980</v>
      </c>
      <c r="O46" s="58"/>
      <c r="P46" s="266" t="e">
        <f>$I$42*(1+P45)</f>
        <v>#REF!</v>
      </c>
      <c r="Q46" s="266" t="e">
        <f>$I$42*(1+Q45)</f>
        <v>#REF!</v>
      </c>
      <c r="R46" s="266" t="e">
        <f>$I$42*(1+R45)</f>
        <v>#REF!</v>
      </c>
      <c r="S46" s="266" t="e">
        <f>$I$42*(1+S45)</f>
        <v>#REF!</v>
      </c>
      <c r="T46" s="266" t="e">
        <f>$I$42*(1+T45)</f>
        <v>#REF!</v>
      </c>
      <c r="U46" s="58"/>
      <c r="V46" s="353"/>
      <c r="W46" s="353"/>
      <c r="X46" s="353"/>
      <c r="Y46" s="353"/>
      <c r="Z46" s="353"/>
      <c r="AA46" s="353"/>
      <c r="AB46" s="353"/>
      <c r="AC46" s="353"/>
      <c r="AD46" s="353"/>
    </row>
    <row r="47" spans="3:30">
      <c r="D47" s="42"/>
      <c r="E47" s="42"/>
      <c r="F47" s="42"/>
      <c r="H47" s="58"/>
      <c r="I47" s="58"/>
      <c r="J47" s="58"/>
      <c r="K47" s="58"/>
      <c r="L47" s="58"/>
      <c r="M47" s="58"/>
      <c r="N47" s="58" t="s">
        <v>1055</v>
      </c>
      <c r="O47" s="58"/>
      <c r="P47" s="266" t="e">
        <f>P46-$I$42</f>
        <v>#REF!</v>
      </c>
      <c r="Q47" s="266" t="e">
        <f>Q46-$I$42</f>
        <v>#REF!</v>
      </c>
      <c r="R47" s="266" t="e">
        <f>R46-$I$42</f>
        <v>#REF!</v>
      </c>
      <c r="S47" s="266" t="e">
        <f>S46-$I$42</f>
        <v>#REF!</v>
      </c>
      <c r="T47" s="266" t="e">
        <f>T46-$I$42</f>
        <v>#REF!</v>
      </c>
      <c r="U47" s="58"/>
      <c r="V47" s="353"/>
      <c r="W47" s="353"/>
      <c r="X47" s="353"/>
      <c r="Y47" s="353"/>
      <c r="Z47" s="353"/>
      <c r="AA47" s="353"/>
      <c r="AB47" s="353"/>
      <c r="AC47" s="353"/>
      <c r="AD47" s="353"/>
    </row>
    <row r="48" spans="3:30"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395"/>
      <c r="W48" s="395"/>
      <c r="X48" s="395"/>
      <c r="Y48" s="395"/>
      <c r="Z48" s="395"/>
      <c r="AA48" s="395"/>
      <c r="AB48" s="395"/>
      <c r="AC48" s="395"/>
      <c r="AD48" s="395"/>
    </row>
    <row r="49" spans="8:30">
      <c r="H49" s="58"/>
      <c r="I49" s="58"/>
      <c r="J49" s="58"/>
      <c r="K49" s="58"/>
      <c r="L49" s="58"/>
      <c r="M49" s="58"/>
      <c r="N49" s="58"/>
      <c r="O49" s="58"/>
      <c r="P49" s="351" t="e">
        <f>P47/$I$42</f>
        <v>#REF!</v>
      </c>
      <c r="Q49" s="351" t="e">
        <f>Q47/$I$42</f>
        <v>#REF!</v>
      </c>
      <c r="R49" s="351" t="e">
        <f>R47/$I$42</f>
        <v>#REF!</v>
      </c>
      <c r="S49" s="351" t="e">
        <f>S47/$I$42</f>
        <v>#REF!</v>
      </c>
      <c r="T49" s="351" t="e">
        <f>T47/$I$42</f>
        <v>#REF!</v>
      </c>
      <c r="U49" s="58"/>
      <c r="V49" s="353"/>
      <c r="W49" s="353"/>
      <c r="X49" s="353"/>
      <c r="Y49" s="353"/>
      <c r="Z49" s="353"/>
      <c r="AA49" s="353"/>
      <c r="AB49" s="353"/>
      <c r="AC49" s="353"/>
      <c r="AD49" s="353"/>
    </row>
    <row r="50" spans="8:30" ht="15.75" thickBot="1"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353"/>
      <c r="W50" s="353"/>
      <c r="X50" s="353"/>
      <c r="Y50" s="353"/>
      <c r="Z50" s="353"/>
      <c r="AA50" s="353"/>
      <c r="AB50" s="353"/>
      <c r="AC50" s="353"/>
      <c r="AD50" s="353"/>
    </row>
    <row r="51" spans="8:30" ht="15.75" thickBot="1">
      <c r="H51" s="58"/>
      <c r="I51" s="58"/>
      <c r="J51" s="58"/>
      <c r="K51" s="58"/>
      <c r="L51" s="58"/>
      <c r="M51" s="58"/>
      <c r="N51" s="396" t="s">
        <v>1057</v>
      </c>
      <c r="O51" s="397"/>
      <c r="P51" s="398" t="e">
        <f>P47</f>
        <v>#REF!</v>
      </c>
      <c r="Q51" s="398" t="e">
        <f>Q47</f>
        <v>#REF!</v>
      </c>
      <c r="R51" s="398" t="e">
        <f>R47</f>
        <v>#REF!</v>
      </c>
      <c r="S51" s="398" t="e">
        <f>S47</f>
        <v>#REF!</v>
      </c>
      <c r="T51" s="398" t="e">
        <f>T47</f>
        <v>#REF!</v>
      </c>
      <c r="U51" s="58"/>
      <c r="V51" s="353"/>
      <c r="W51" s="353"/>
      <c r="X51" s="353"/>
      <c r="Y51" s="353"/>
      <c r="Z51" s="353"/>
      <c r="AA51" s="353"/>
      <c r="AB51" s="353"/>
      <c r="AC51" s="353"/>
      <c r="AD51" s="353"/>
    </row>
    <row r="54" spans="8:30">
      <c r="H54">
        <v>2.2000000000000002</v>
      </c>
    </row>
    <row r="55" spans="8:30">
      <c r="H55">
        <v>1.8</v>
      </c>
    </row>
    <row r="57" spans="8:30">
      <c r="I57" t="s">
        <v>1098</v>
      </c>
    </row>
    <row r="58" spans="8:30">
      <c r="H58" t="s">
        <v>1097</v>
      </c>
      <c r="I58" s="42">
        <f>24500/25000-1</f>
        <v>-2.0000000000000018E-2</v>
      </c>
    </row>
    <row r="59" spans="8:30">
      <c r="H59" s="42">
        <v>0.02</v>
      </c>
      <c r="I59" s="206">
        <f>H59*$I$58*10000</f>
        <v>-4.0000000000000036</v>
      </c>
      <c r="J59">
        <f>-2*1.2</f>
        <v>-2.4</v>
      </c>
      <c r="K59">
        <f>-1*1.2</f>
        <v>-1.2</v>
      </c>
    </row>
    <row r="60" spans="8:30">
      <c r="H60" s="42">
        <v>1.8499999999999999E-2</v>
      </c>
      <c r="I60" s="206">
        <f>H60*$I$58*10000</f>
        <v>-3.7000000000000033</v>
      </c>
    </row>
    <row r="61" spans="8:30">
      <c r="H61" s="42">
        <v>1.4999999999999999E-2</v>
      </c>
      <c r="I61" s="206">
        <f>H61*$I$58*10000</f>
        <v>-3.0000000000000027</v>
      </c>
    </row>
    <row r="63" spans="8:30">
      <c r="I63" s="206"/>
      <c r="J63" s="42"/>
      <c r="K63" s="42"/>
      <c r="L63" s="42"/>
    </row>
    <row r="64" spans="8:30">
      <c r="I64" t="s">
        <v>1098</v>
      </c>
      <c r="J64" s="42"/>
      <c r="K64" s="42"/>
      <c r="L64" s="42"/>
    </row>
    <row r="65" spans="8:9">
      <c r="H65" t="s">
        <v>1097</v>
      </c>
      <c r="I65" s="42">
        <v>0.01</v>
      </c>
    </row>
    <row r="66" spans="8:9">
      <c r="H66" s="42">
        <v>-0.01</v>
      </c>
      <c r="I66" s="206">
        <f>H66*$I$65*10000</f>
        <v>-1</v>
      </c>
    </row>
    <row r="67" spans="8:9">
      <c r="H67" s="42"/>
      <c r="I67" s="206"/>
    </row>
    <row r="68" spans="8:9">
      <c r="H68" s="42"/>
      <c r="I68" s="206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EC10D-1B78-44B9-9C10-24EA408886CF}">
  <dimension ref="D3:O15"/>
  <sheetViews>
    <sheetView workbookViewId="0">
      <selection activeCell="S11" sqref="S11"/>
    </sheetView>
  </sheetViews>
  <sheetFormatPr defaultRowHeight="15"/>
  <cols>
    <col min="4" max="4" width="22.28515625" customWidth="1"/>
    <col min="5" max="5" width="10.42578125" style="79" bestFit="1" customWidth="1"/>
    <col min="8" max="8" width="2.140625" customWidth="1"/>
    <col min="12" max="12" width="2.28515625" customWidth="1"/>
    <col min="13" max="13" width="6.85546875" bestFit="1" customWidth="1"/>
  </cols>
  <sheetData>
    <row r="3" spans="4:15" s="6" customFormat="1">
      <c r="E3" s="318"/>
      <c r="F3" s="6" t="s">
        <v>649</v>
      </c>
      <c r="K3" s="6" t="s">
        <v>650</v>
      </c>
      <c r="M3" s="6" t="s">
        <v>651</v>
      </c>
    </row>
    <row r="4" spans="4:15">
      <c r="D4" s="6" t="s">
        <v>638</v>
      </c>
      <c r="E4" s="318" t="s">
        <v>639</v>
      </c>
      <c r="F4" s="6" t="s">
        <v>643</v>
      </c>
      <c r="G4" s="6" t="s">
        <v>644</v>
      </c>
      <c r="H4" s="6"/>
      <c r="I4" s="6" t="s">
        <v>631</v>
      </c>
      <c r="J4" s="6" t="s">
        <v>640</v>
      </c>
      <c r="K4" s="6" t="s">
        <v>644</v>
      </c>
      <c r="L4" s="6"/>
      <c r="M4" s="6" t="s">
        <v>641</v>
      </c>
    </row>
    <row r="5" spans="4:15">
      <c r="D5" t="s">
        <v>637</v>
      </c>
      <c r="E5" s="79">
        <v>45960</v>
      </c>
      <c r="F5" s="197">
        <v>140</v>
      </c>
      <c r="G5" s="197" t="s">
        <v>648</v>
      </c>
      <c r="H5" s="197"/>
      <c r="I5" s="197">
        <v>44</v>
      </c>
      <c r="J5" s="197">
        <v>12.5</v>
      </c>
      <c r="K5" s="197">
        <f>I5-J5</f>
        <v>31.5</v>
      </c>
      <c r="L5" s="197"/>
      <c r="M5" s="209">
        <f>F5/K5</f>
        <v>4.4444444444444446</v>
      </c>
      <c r="N5" s="197"/>
      <c r="O5" s="197"/>
    </row>
    <row r="6" spans="4:15">
      <c r="D6" t="s">
        <v>647</v>
      </c>
      <c r="E6" s="79">
        <v>45960</v>
      </c>
      <c r="F6" s="197">
        <v>65</v>
      </c>
      <c r="G6" s="197">
        <v>32</v>
      </c>
      <c r="H6" s="197"/>
      <c r="I6" s="197">
        <v>26</v>
      </c>
      <c r="J6" s="197">
        <v>5</v>
      </c>
      <c r="K6" s="197">
        <f>I6-J6</f>
        <v>21</v>
      </c>
      <c r="L6" s="197"/>
      <c r="M6" s="209">
        <f>F6/K6</f>
        <v>3.0952380952380953</v>
      </c>
      <c r="N6" s="197"/>
      <c r="O6" s="197"/>
    </row>
    <row r="7" spans="4:15">
      <c r="F7" s="197"/>
      <c r="G7" s="197"/>
      <c r="H7" s="197"/>
      <c r="I7" s="197"/>
      <c r="J7" s="197"/>
      <c r="K7" s="197"/>
      <c r="L7" s="197"/>
      <c r="M7" s="209"/>
      <c r="N7" s="197"/>
      <c r="O7" s="197"/>
    </row>
    <row r="8" spans="4:15">
      <c r="D8" t="s">
        <v>642</v>
      </c>
      <c r="E8" s="79">
        <v>45959</v>
      </c>
      <c r="F8" s="197">
        <v>95</v>
      </c>
      <c r="G8" s="197">
        <v>44</v>
      </c>
      <c r="H8" s="197"/>
      <c r="I8" s="197">
        <v>41</v>
      </c>
      <c r="J8" s="197">
        <v>12.5</v>
      </c>
      <c r="K8" s="197">
        <f>I8-J8</f>
        <v>28.5</v>
      </c>
      <c r="L8" s="197"/>
      <c r="M8" s="209">
        <f>F8/K8</f>
        <v>3.3333333333333335</v>
      </c>
      <c r="N8" s="197"/>
      <c r="O8" s="197"/>
    </row>
    <row r="9" spans="4:15">
      <c r="D9" t="s">
        <v>645</v>
      </c>
      <c r="E9" s="79">
        <v>45959</v>
      </c>
      <c r="F9" s="197">
        <v>95</v>
      </c>
      <c r="G9" s="197">
        <v>75</v>
      </c>
      <c r="H9" s="197"/>
      <c r="I9" s="197">
        <v>42</v>
      </c>
      <c r="J9" s="197">
        <v>12.5</v>
      </c>
      <c r="K9" s="197">
        <f>I9-J9</f>
        <v>29.5</v>
      </c>
      <c r="L9" s="197"/>
      <c r="M9" s="209">
        <f>F9/K9</f>
        <v>3.2203389830508473</v>
      </c>
      <c r="N9" s="197"/>
      <c r="O9" s="197"/>
    </row>
    <row r="10" spans="4:15">
      <c r="D10" t="s">
        <v>646</v>
      </c>
      <c r="E10" s="79">
        <v>45959</v>
      </c>
      <c r="F10" s="197">
        <v>72</v>
      </c>
      <c r="G10" s="197">
        <v>30</v>
      </c>
      <c r="H10" s="197"/>
      <c r="I10" s="197">
        <v>30</v>
      </c>
      <c r="J10" s="197">
        <v>7.5</v>
      </c>
      <c r="K10" s="197">
        <f>I10-J10</f>
        <v>22.5</v>
      </c>
      <c r="L10" s="197"/>
      <c r="M10" s="209">
        <f>F10/K10</f>
        <v>3.2</v>
      </c>
      <c r="N10" s="197"/>
      <c r="O10" s="197"/>
    </row>
    <row r="11" spans="4:15">
      <c r="F11" s="197"/>
      <c r="G11" s="197"/>
      <c r="H11" s="197"/>
      <c r="I11" s="197"/>
      <c r="J11" s="197"/>
      <c r="K11" s="197"/>
      <c r="L11" s="197"/>
      <c r="M11" s="209"/>
      <c r="N11" s="197"/>
      <c r="O11" s="197"/>
    </row>
    <row r="12" spans="4:15">
      <c r="F12" s="197"/>
      <c r="G12" s="197"/>
      <c r="H12" s="197"/>
      <c r="I12" s="197"/>
      <c r="J12" s="197"/>
      <c r="K12" s="197"/>
      <c r="L12" s="197"/>
      <c r="M12" s="209"/>
      <c r="N12" s="197"/>
      <c r="O12" s="197"/>
    </row>
    <row r="13" spans="4:15">
      <c r="F13" s="197"/>
      <c r="G13" s="197"/>
      <c r="H13" s="197"/>
      <c r="I13" s="197"/>
      <c r="J13" s="197"/>
      <c r="K13" s="197"/>
      <c r="L13" s="197"/>
      <c r="M13" s="209"/>
      <c r="N13" s="197"/>
      <c r="O13" s="197"/>
    </row>
    <row r="14" spans="4:15">
      <c r="F14" s="197"/>
      <c r="G14" s="197"/>
      <c r="H14" s="197"/>
      <c r="I14" s="197"/>
      <c r="J14" s="197"/>
      <c r="K14" s="197"/>
      <c r="L14" s="197"/>
      <c r="M14" s="209"/>
      <c r="N14" s="197"/>
      <c r="O14" s="197"/>
    </row>
    <row r="15" spans="4:15">
      <c r="F15" s="197"/>
      <c r="G15" s="197"/>
      <c r="H15" s="197"/>
      <c r="I15" s="197"/>
      <c r="J15" s="197"/>
      <c r="K15" s="197"/>
      <c r="L15" s="197"/>
      <c r="M15" s="197"/>
      <c r="N15" s="197"/>
      <c r="O15" s="19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3412E-8215-4EDB-B9B2-639C78438178}">
  <dimension ref="B5:AB10"/>
  <sheetViews>
    <sheetView workbookViewId="0">
      <selection activeCell="X15" sqref="X15"/>
    </sheetView>
  </sheetViews>
  <sheetFormatPr defaultRowHeight="15"/>
  <cols>
    <col min="1" max="1" width="2.28515625" customWidth="1"/>
    <col min="2" max="2" width="4.7109375" customWidth="1"/>
    <col min="6" max="8" width="9.140625" customWidth="1"/>
    <col min="10" max="10" width="4.7109375" customWidth="1"/>
    <col min="19" max="19" width="4.140625" customWidth="1"/>
    <col min="20" max="20" width="4.7109375" customWidth="1"/>
  </cols>
  <sheetData>
    <row r="5" spans="2:28">
      <c r="C5" s="6" t="s">
        <v>29</v>
      </c>
      <c r="F5" s="6"/>
      <c r="K5" s="6" t="s">
        <v>38</v>
      </c>
      <c r="N5" s="6"/>
      <c r="P5" s="6"/>
      <c r="U5" s="6" t="s">
        <v>231</v>
      </c>
      <c r="X5" s="6"/>
      <c r="Z5" s="6"/>
    </row>
    <row r="6" spans="2:28" s="10" customFormat="1" ht="30.75" thickBot="1">
      <c r="B6" s="56"/>
      <c r="C6" s="56"/>
      <c r="D6" s="56" t="s">
        <v>632</v>
      </c>
      <c r="E6" s="316" t="s">
        <v>634</v>
      </c>
      <c r="F6" s="56" t="s">
        <v>633</v>
      </c>
      <c r="G6" s="316" t="s">
        <v>634</v>
      </c>
      <c r="H6" s="316" t="s">
        <v>635</v>
      </c>
      <c r="J6" s="56"/>
      <c r="K6" s="56"/>
      <c r="L6" s="56" t="s">
        <v>632</v>
      </c>
      <c r="M6" s="316" t="s">
        <v>634</v>
      </c>
      <c r="N6" s="56" t="s">
        <v>633</v>
      </c>
      <c r="O6" s="316" t="s">
        <v>634</v>
      </c>
      <c r="P6" s="56" t="s">
        <v>636</v>
      </c>
      <c r="Q6" s="316" t="s">
        <v>634</v>
      </c>
      <c r="R6" s="316" t="s">
        <v>635</v>
      </c>
      <c r="T6" s="56"/>
      <c r="U6" s="56"/>
      <c r="V6" s="56" t="s">
        <v>632</v>
      </c>
      <c r="W6" s="316" t="s">
        <v>634</v>
      </c>
      <c r="X6" s="56" t="s">
        <v>633</v>
      </c>
      <c r="Y6" s="316" t="s">
        <v>634</v>
      </c>
      <c r="Z6" s="56" t="s">
        <v>636</v>
      </c>
      <c r="AA6" s="316" t="s">
        <v>634</v>
      </c>
      <c r="AB6" s="316" t="s">
        <v>635</v>
      </c>
    </row>
    <row r="7" spans="2:28">
      <c r="B7" t="s">
        <v>630</v>
      </c>
      <c r="C7" s="314">
        <v>45658</v>
      </c>
      <c r="D7">
        <v>30</v>
      </c>
      <c r="E7" s="315">
        <f>D7/15.9</f>
        <v>1.8867924528301887</v>
      </c>
      <c r="F7">
        <v>45</v>
      </c>
      <c r="G7" s="315">
        <f>F7/15.9</f>
        <v>2.8301886792452828</v>
      </c>
      <c r="H7" s="317">
        <v>1.55</v>
      </c>
      <c r="J7" t="s">
        <v>630</v>
      </c>
      <c r="K7" s="314">
        <v>45658</v>
      </c>
      <c r="L7">
        <v>31.5</v>
      </c>
      <c r="M7" s="315">
        <f>L7/15.9</f>
        <v>1.9811320754716981</v>
      </c>
      <c r="N7">
        <v>23</v>
      </c>
      <c r="O7" s="315">
        <f>N7/15.9</f>
        <v>1.4465408805031446</v>
      </c>
      <c r="P7">
        <v>43</v>
      </c>
      <c r="Q7" s="315">
        <f>P7/15.9</f>
        <v>2.7044025157232703</v>
      </c>
      <c r="R7" s="317">
        <v>-6.2</v>
      </c>
      <c r="T7" t="s">
        <v>630</v>
      </c>
      <c r="U7" s="314">
        <v>45658</v>
      </c>
      <c r="V7">
        <v>31.5</v>
      </c>
      <c r="W7" s="315">
        <f>V7/15.9</f>
        <v>1.9811320754716981</v>
      </c>
      <c r="X7">
        <v>23</v>
      </c>
      <c r="Y7" s="315">
        <f>X7/15.9</f>
        <v>1.4465408805031446</v>
      </c>
      <c r="Z7">
        <v>43</v>
      </c>
      <c r="AA7" s="315">
        <f>Z7/15.9</f>
        <v>2.7044025157232703</v>
      </c>
      <c r="AB7" s="317">
        <v>-6.2</v>
      </c>
    </row>
    <row r="8" spans="2:28">
      <c r="B8" t="s">
        <v>627</v>
      </c>
      <c r="C8" s="314">
        <v>45748</v>
      </c>
      <c r="D8">
        <v>67</v>
      </c>
      <c r="E8" s="315">
        <f>D8/15.9</f>
        <v>4.2138364779874209</v>
      </c>
      <c r="F8">
        <v>47</v>
      </c>
      <c r="G8" s="315">
        <f>F8/15.9</f>
        <v>2.9559748427672954</v>
      </c>
      <c r="H8" s="317">
        <v>4.2300000000000004</v>
      </c>
      <c r="J8" t="s">
        <v>627</v>
      </c>
      <c r="K8" s="314">
        <v>45748</v>
      </c>
      <c r="L8">
        <v>41.2</v>
      </c>
      <c r="M8" s="315">
        <f>L8/15.9</f>
        <v>2.5911949685534594</v>
      </c>
      <c r="N8">
        <v>32</v>
      </c>
      <c r="O8" s="315">
        <f t="shared" ref="O8:Q10" si="0">N8/15.9</f>
        <v>2.0125786163522013</v>
      </c>
      <c r="P8">
        <v>32</v>
      </c>
      <c r="Q8" s="315">
        <f t="shared" si="0"/>
        <v>2.0125786163522013</v>
      </c>
      <c r="R8" s="317">
        <v>7.6</v>
      </c>
      <c r="T8" t="s">
        <v>627</v>
      </c>
      <c r="U8" s="314">
        <v>45748</v>
      </c>
      <c r="V8">
        <v>41.2</v>
      </c>
      <c r="W8" s="315">
        <f>V8/15.9</f>
        <v>2.5911949685534594</v>
      </c>
      <c r="X8">
        <v>32</v>
      </c>
      <c r="Y8" s="315">
        <f>X8/15.9</f>
        <v>2.0125786163522013</v>
      </c>
      <c r="Z8">
        <v>32</v>
      </c>
      <c r="AA8" s="315">
        <f>Z8/15.9</f>
        <v>2.0125786163522013</v>
      </c>
      <c r="AB8" s="317">
        <v>7.6</v>
      </c>
    </row>
    <row r="9" spans="2:28">
      <c r="B9" t="s">
        <v>628</v>
      </c>
      <c r="C9" s="314">
        <v>45839</v>
      </c>
      <c r="D9">
        <v>21</v>
      </c>
      <c r="E9" s="315">
        <f>D9/15.9</f>
        <v>1.320754716981132</v>
      </c>
      <c r="F9">
        <v>36</v>
      </c>
      <c r="G9" s="315">
        <f>F9/15.9</f>
        <v>2.2641509433962264</v>
      </c>
      <c r="H9" s="317">
        <v>11.25</v>
      </c>
      <c r="J9" t="s">
        <v>628</v>
      </c>
      <c r="K9" s="314">
        <v>45839</v>
      </c>
      <c r="L9">
        <v>11.5</v>
      </c>
      <c r="M9" s="315">
        <f>L9/15.9</f>
        <v>0.72327044025157228</v>
      </c>
      <c r="N9">
        <v>23</v>
      </c>
      <c r="O9" s="315">
        <f t="shared" si="0"/>
        <v>1.4465408805031446</v>
      </c>
      <c r="P9">
        <v>23</v>
      </c>
      <c r="Q9" s="315">
        <f t="shared" si="0"/>
        <v>1.4465408805031446</v>
      </c>
      <c r="R9" s="317">
        <v>3.95</v>
      </c>
      <c r="T9" t="s">
        <v>628</v>
      </c>
      <c r="U9" s="314">
        <v>45839</v>
      </c>
      <c r="V9">
        <v>11.5</v>
      </c>
      <c r="W9" s="315">
        <f>V9/15.9</f>
        <v>0.72327044025157228</v>
      </c>
      <c r="X9">
        <v>23</v>
      </c>
      <c r="Y9" s="315">
        <f>X9/15.9</f>
        <v>1.4465408805031446</v>
      </c>
      <c r="Z9">
        <v>23</v>
      </c>
      <c r="AA9" s="315">
        <f>Z9/15.9</f>
        <v>1.4465408805031446</v>
      </c>
      <c r="AB9" s="317">
        <v>3.95</v>
      </c>
    </row>
    <row r="10" spans="2:28">
      <c r="B10" t="s">
        <v>629</v>
      </c>
      <c r="C10" s="314">
        <v>45931</v>
      </c>
      <c r="D10">
        <v>23</v>
      </c>
      <c r="E10" s="315">
        <f>D10/15.9</f>
        <v>1.4465408805031446</v>
      </c>
      <c r="F10">
        <v>41</v>
      </c>
      <c r="G10" s="315">
        <f>F10/15.9</f>
        <v>2.5786163522012577</v>
      </c>
      <c r="H10" s="317">
        <v>-11.33</v>
      </c>
      <c r="J10" t="s">
        <v>629</v>
      </c>
      <c r="K10" s="314">
        <v>45931</v>
      </c>
      <c r="L10">
        <v>15.1</v>
      </c>
      <c r="M10" s="315">
        <f>L10/15.9</f>
        <v>0.94968553459119498</v>
      </c>
      <c r="N10">
        <v>30</v>
      </c>
      <c r="O10" s="315">
        <f t="shared" si="0"/>
        <v>1.8867924528301887</v>
      </c>
      <c r="P10">
        <v>30</v>
      </c>
      <c r="Q10" s="315">
        <f t="shared" si="0"/>
        <v>1.8867924528301887</v>
      </c>
      <c r="R10" s="317">
        <v>-2.9</v>
      </c>
      <c r="T10" t="s">
        <v>629</v>
      </c>
      <c r="U10" s="314">
        <v>45931</v>
      </c>
      <c r="V10">
        <v>15.1</v>
      </c>
      <c r="W10" s="315">
        <f>V10/15.9</f>
        <v>0.94968553459119498</v>
      </c>
      <c r="X10">
        <v>30</v>
      </c>
      <c r="Y10" s="315">
        <f>X10/15.9</f>
        <v>1.8867924528301887</v>
      </c>
      <c r="Z10">
        <v>30</v>
      </c>
      <c r="AA10" s="315">
        <f>Z10/15.9</f>
        <v>1.8867924528301887</v>
      </c>
      <c r="AB10" s="317">
        <v>-2.9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9CD7B-4F91-4E33-AC0A-D010510B0492}">
  <sheetPr codeName="Planilha3">
    <pageSetUpPr fitToPage="1"/>
  </sheetPr>
  <dimension ref="A1:AI135"/>
  <sheetViews>
    <sheetView topLeftCell="A10" zoomScale="75" zoomScaleNormal="75" zoomScaleSheetLayoutView="85" workbookViewId="0">
      <selection activeCell="J51" sqref="J51"/>
    </sheetView>
  </sheetViews>
  <sheetFormatPr defaultColWidth="9.140625" defaultRowHeight="15.75" outlineLevelCol="1"/>
  <cols>
    <col min="1" max="1" width="18.5703125" style="211" bestFit="1" customWidth="1"/>
    <col min="2" max="2" width="10.140625" style="212" bestFit="1" customWidth="1" outlineLevel="1"/>
    <col min="3" max="5" width="9.28515625" style="213" customWidth="1" outlineLevel="1"/>
    <col min="6" max="6" width="8.42578125" style="213" bestFit="1" customWidth="1"/>
    <col min="7" max="7" width="11.7109375" style="213" customWidth="1"/>
    <col min="8" max="8" width="9.28515625" style="213" customWidth="1" outlineLevel="1"/>
    <col min="9" max="9" width="10.140625" style="220" customWidth="1"/>
    <col min="10" max="10" width="10.140625" style="215" customWidth="1"/>
    <col min="11" max="12" width="9.140625" style="215"/>
    <col min="13" max="13" width="14.7109375" style="215" bestFit="1" customWidth="1"/>
    <col min="14" max="18" width="9.140625" style="215"/>
    <col min="19" max="21" width="11.85546875" style="215" customWidth="1"/>
    <col min="22" max="24" width="7.7109375" style="216" customWidth="1"/>
    <col min="25" max="25" width="2.5703125" style="216" customWidth="1"/>
    <col min="26" max="26" width="9.28515625" style="216" bestFit="1" customWidth="1"/>
    <col min="27" max="28" width="7.7109375" style="217" customWidth="1"/>
    <col min="29" max="29" width="7.7109375" style="215" customWidth="1"/>
    <col min="30" max="35" width="9.140625" style="215"/>
    <col min="36" max="36" width="9.28515625" style="215" bestFit="1" customWidth="1"/>
    <col min="37" max="38" width="9.140625" style="215"/>
    <col min="39" max="39" width="9.28515625" style="215" bestFit="1" customWidth="1"/>
    <col min="40" max="16384" width="9.140625" style="215"/>
  </cols>
  <sheetData>
    <row r="1" spans="1:28">
      <c r="I1" s="214"/>
      <c r="J1" s="215" t="str" cm="1">
        <f t="array" ref="J1">_xll.BDP(A1&amp;" Equity","PX_YEST_CLOSE")</f>
        <v>#N/A Invalid Security</v>
      </c>
    </row>
    <row r="2" spans="1:28">
      <c r="A2" s="218"/>
      <c r="C2" s="219"/>
    </row>
    <row r="3" spans="1:28" ht="16.5" thickBot="1">
      <c r="A3" s="221"/>
      <c r="B3" s="222"/>
      <c r="C3" s="223" t="s">
        <v>10</v>
      </c>
      <c r="D3" s="224"/>
      <c r="E3" s="223"/>
      <c r="F3" s="223" t="s">
        <v>11</v>
      </c>
      <c r="G3" s="225"/>
      <c r="H3" s="223"/>
    </row>
    <row r="4" spans="1:28">
      <c r="A4" s="226" t="s">
        <v>12</v>
      </c>
      <c r="C4" s="227">
        <f>'Master P&amp;L'!V5</f>
        <v>-2.7504450178652493</v>
      </c>
      <c r="F4" s="213">
        <f>'Master P&amp;L'!U5</f>
        <v>2.5992512995023656E-2</v>
      </c>
    </row>
    <row r="5" spans="1:28">
      <c r="A5" s="226" t="s">
        <v>13</v>
      </c>
      <c r="C5" s="227">
        <f>'Master P&amp;L'!V6</f>
        <v>0.24090587057646207</v>
      </c>
      <c r="F5" s="213">
        <f>'Master P&amp;L'!U6</f>
        <v>-5.5785382234914034E-3</v>
      </c>
    </row>
    <row r="6" spans="1:28" s="233" customFormat="1">
      <c r="A6" s="228" t="s">
        <v>14</v>
      </c>
      <c r="B6" s="229"/>
      <c r="C6" s="230">
        <f>'Master P&amp;L'!V7</f>
        <v>-2.5095391472887871</v>
      </c>
      <c r="D6" s="231"/>
      <c r="E6" s="231"/>
      <c r="F6" s="231">
        <f>'Master P&amp;L'!U7</f>
        <v>2.0413974771532253E-2</v>
      </c>
      <c r="G6" s="231"/>
      <c r="H6" s="231"/>
      <c r="I6" s="232"/>
      <c r="V6" s="234"/>
      <c r="W6" s="234"/>
      <c r="X6" s="234"/>
      <c r="Y6" s="234"/>
      <c r="Z6" s="234"/>
      <c r="AA6" s="217"/>
      <c r="AB6" s="217"/>
    </row>
    <row r="7" spans="1:28">
      <c r="A7" s="226" t="s">
        <v>15</v>
      </c>
      <c r="F7" s="213">
        <f>'Master P&amp;L'!U8</f>
        <v>3.1571051218515056E-2</v>
      </c>
    </row>
    <row r="8" spans="1:28">
      <c r="A8" s="235" t="s">
        <v>16</v>
      </c>
      <c r="B8" s="236"/>
      <c r="C8" s="237">
        <f>'Master P&amp;L'!V7*'Master P&amp;L'!AD5/10000</f>
        <v>-563651.29293294332</v>
      </c>
      <c r="D8" s="219"/>
      <c r="E8" s="219"/>
      <c r="F8" s="219"/>
      <c r="G8" s="219"/>
      <c r="H8" s="219"/>
    </row>
    <row r="9" spans="1:28" ht="16.5" thickBot="1">
      <c r="A9" s="238" t="s">
        <v>17</v>
      </c>
      <c r="B9" s="239"/>
      <c r="C9" s="240">
        <f>C8*'Master P&amp;L'!AC3</f>
        <v>-2971231.4255667175</v>
      </c>
      <c r="D9" s="241"/>
      <c r="E9" s="241"/>
      <c r="F9" s="241"/>
      <c r="G9" s="242"/>
      <c r="H9" s="241"/>
    </row>
    <row r="10" spans="1:28">
      <c r="A10" s="356" t="s">
        <v>794</v>
      </c>
      <c r="B10" s="359">
        <f>Options!AI1</f>
        <v>-108.21019576970937</v>
      </c>
      <c r="H10" s="220"/>
    </row>
    <row r="11" spans="1:28">
      <c r="A11" s="243">
        <f ca="1">TODAY()</f>
        <v>46058</v>
      </c>
      <c r="H11" s="220"/>
      <c r="L11" s="213"/>
    </row>
    <row r="12" spans="1:28" s="293" customFormat="1" ht="47.25">
      <c r="A12" s="481" t="s">
        <v>20</v>
      </c>
      <c r="B12" s="474" t="s">
        <v>21</v>
      </c>
      <c r="C12" s="480" t="s">
        <v>22</v>
      </c>
      <c r="D12" s="480" t="s">
        <v>23</v>
      </c>
      <c r="E12" s="480" t="s">
        <v>24</v>
      </c>
      <c r="F12" s="480" t="s">
        <v>25</v>
      </c>
      <c r="G12" s="292"/>
      <c r="H12" s="294"/>
      <c r="I12" s="294"/>
      <c r="L12" s="244"/>
      <c r="AA12" s="295"/>
      <c r="AB12" s="295"/>
    </row>
    <row r="13" spans="1:28">
      <c r="A13" s="475" t="s">
        <v>579</v>
      </c>
      <c r="B13" s="476">
        <v>-2.1377211592018081E-2</v>
      </c>
      <c r="C13" s="479">
        <v>-0.17971241560310283</v>
      </c>
      <c r="D13" s="477">
        <v>4.4945144504222027E-4</v>
      </c>
      <c r="E13" s="477">
        <v>-2.7855632648135166E-3</v>
      </c>
      <c r="F13" s="477">
        <v>-2.3361118197712961E-3</v>
      </c>
      <c r="G13" s="245"/>
      <c r="H13" s="220"/>
      <c r="L13" s="245"/>
    </row>
    <row r="14" spans="1:28">
      <c r="A14" s="478" t="s">
        <v>7</v>
      </c>
      <c r="B14" s="476">
        <v>7.2202166064980755E-3</v>
      </c>
      <c r="C14" s="479">
        <v>2.4884923440753749E-2</v>
      </c>
      <c r="D14" s="477">
        <v>0</v>
      </c>
      <c r="E14" s="477">
        <v>2.5067233169755561E-4</v>
      </c>
      <c r="F14" s="477">
        <v>2.5067233169755561E-4</v>
      </c>
      <c r="G14" s="245"/>
      <c r="H14" s="220"/>
      <c r="I14" s="214"/>
      <c r="L14" s="245"/>
    </row>
    <row r="15" spans="1:28">
      <c r="A15" s="478" t="s">
        <v>82</v>
      </c>
      <c r="B15" s="476">
        <v>-1.7469019658729601E-2</v>
      </c>
      <c r="C15" s="479">
        <v>-3.7560031791912654E-2</v>
      </c>
      <c r="D15" s="477">
        <v>0</v>
      </c>
      <c r="E15" s="477">
        <v>-3.0362355965110723E-3</v>
      </c>
      <c r="F15" s="477">
        <v>-3.0362355965110723E-3</v>
      </c>
      <c r="G15" s="245"/>
      <c r="H15" s="220"/>
      <c r="I15" s="214"/>
      <c r="L15" s="245"/>
    </row>
    <row r="16" spans="1:28">
      <c r="A16" s="478" t="s">
        <v>809</v>
      </c>
      <c r="B16" s="476">
        <v>-4.7701228772608184E-2</v>
      </c>
      <c r="C16" s="479">
        <v>-0.10345743823607752</v>
      </c>
      <c r="D16" s="477">
        <v>2.2510332186738796E-4</v>
      </c>
      <c r="E16" s="477">
        <v>0</v>
      </c>
      <c r="F16" s="477">
        <v>2.2510332186738796E-4</v>
      </c>
      <c r="G16" s="245"/>
      <c r="H16" s="220"/>
      <c r="I16" s="214"/>
      <c r="L16" s="245"/>
    </row>
    <row r="17" spans="1:12">
      <c r="A17" s="478" t="s">
        <v>336</v>
      </c>
      <c r="B17" s="476">
        <v>-2.7558814543232613E-2</v>
      </c>
      <c r="C17" s="479">
        <v>-6.3579869015866416E-2</v>
      </c>
      <c r="D17" s="477">
        <v>2.2434812317483231E-4</v>
      </c>
      <c r="E17" s="477">
        <v>0</v>
      </c>
      <c r="F17" s="477">
        <v>2.2434812317483231E-4</v>
      </c>
      <c r="G17" s="245"/>
      <c r="H17" s="220"/>
      <c r="I17" s="214"/>
      <c r="L17" s="245"/>
    </row>
    <row r="18" spans="1:12">
      <c r="A18" s="475" t="s">
        <v>26</v>
      </c>
      <c r="B18" s="476">
        <v>-4.6386629422393898E-3</v>
      </c>
      <c r="C18" s="479">
        <v>1.3760576714022454</v>
      </c>
      <c r="D18" s="477">
        <v>-1.0500741554802327E-3</v>
      </c>
      <c r="E18" s="477">
        <v>1.1293888148137185E-3</v>
      </c>
      <c r="F18" s="477">
        <v>7.9314659333485846E-5</v>
      </c>
      <c r="G18" s="245"/>
      <c r="H18" s="220"/>
      <c r="I18" s="214"/>
      <c r="L18" s="245"/>
    </row>
    <row r="19" spans="1:12">
      <c r="A19" s="478" t="s">
        <v>3</v>
      </c>
      <c r="B19" s="476">
        <v>1.7429669224150457E-3</v>
      </c>
      <c r="C19" s="479">
        <v>-0.38561632639696869</v>
      </c>
      <c r="D19" s="477">
        <v>0</v>
      </c>
      <c r="E19" s="477">
        <v>0</v>
      </c>
      <c r="F19" s="477">
        <v>0</v>
      </c>
      <c r="G19" s="245"/>
      <c r="H19" s="220"/>
      <c r="I19" s="214"/>
      <c r="L19" s="245"/>
    </row>
    <row r="20" spans="1:12">
      <c r="A20" s="478" t="s">
        <v>580</v>
      </c>
      <c r="B20" s="476">
        <v>-4.3764305707443647E-3</v>
      </c>
      <c r="C20" s="479">
        <v>1.8227048761242066</v>
      </c>
      <c r="D20" s="477">
        <v>-1.0500741554802327E-3</v>
      </c>
      <c r="E20" s="477">
        <v>0</v>
      </c>
      <c r="F20" s="477">
        <v>-1.0500741554802327E-3</v>
      </c>
      <c r="G20" s="245"/>
      <c r="H20" s="220"/>
      <c r="L20" s="245"/>
    </row>
    <row r="21" spans="1:12">
      <c r="A21" s="478" t="s">
        <v>1100</v>
      </c>
      <c r="B21" s="476">
        <v>-1.1413641364136362E-2</v>
      </c>
      <c r="C21" s="479">
        <v>-6.6664883093779215E-2</v>
      </c>
      <c r="D21" s="477">
        <v>0</v>
      </c>
      <c r="E21" s="477">
        <v>1.1293888148137185E-3</v>
      </c>
      <c r="F21" s="477">
        <v>1.1293888148137185E-3</v>
      </c>
      <c r="G21" s="245"/>
      <c r="H21" s="220"/>
      <c r="I21" s="214"/>
      <c r="L21" s="245"/>
    </row>
    <row r="22" spans="1:12">
      <c r="A22" s="478" t="s">
        <v>1130</v>
      </c>
      <c r="B22" s="476">
        <v>-1.1413641364136362E-2</v>
      </c>
      <c r="C22" s="479">
        <v>5.6340047687868933E-3</v>
      </c>
      <c r="D22" s="477">
        <v>0</v>
      </c>
      <c r="E22" s="477">
        <v>0</v>
      </c>
      <c r="F22" s="477">
        <v>0</v>
      </c>
      <c r="G22" s="245"/>
      <c r="H22" s="220"/>
      <c r="I22" s="214"/>
      <c r="L22" s="245"/>
    </row>
    <row r="23" spans="1:12">
      <c r="A23" s="475" t="s">
        <v>552</v>
      </c>
      <c r="B23" s="476">
        <v>-3.803997332339544E-2</v>
      </c>
      <c r="C23" s="479">
        <v>-2.3991312972284367</v>
      </c>
      <c r="D23" s="477">
        <v>2.3443282686415466E-3</v>
      </c>
      <c r="E23" s="477">
        <v>6.8043841442395588E-3</v>
      </c>
      <c r="F23" s="477">
        <v>9.1487124128811041E-3</v>
      </c>
      <c r="G23" s="245"/>
      <c r="H23" s="220"/>
      <c r="I23" s="214"/>
      <c r="L23" s="245"/>
    </row>
    <row r="24" spans="1:12">
      <c r="A24" s="478" t="s">
        <v>42</v>
      </c>
      <c r="B24" s="476">
        <v>-1.9194717740263212E-2</v>
      </c>
      <c r="C24" s="479">
        <v>-0.73029660014446496</v>
      </c>
      <c r="D24" s="477">
        <v>1.8193466462017021E-3</v>
      </c>
      <c r="E24" s="477">
        <v>3.654447275454214E-4</v>
      </c>
      <c r="F24" s="477">
        <v>2.1847913737471237E-3</v>
      </c>
      <c r="G24" s="245"/>
      <c r="H24" s="220"/>
      <c r="I24" s="214"/>
      <c r="L24" s="245"/>
    </row>
    <row r="25" spans="1:12">
      <c r="A25" s="478" t="s">
        <v>44</v>
      </c>
      <c r="B25" s="476">
        <v>-2.9813849590469066E-2</v>
      </c>
      <c r="C25" s="479">
        <v>-1.475887561767856</v>
      </c>
      <c r="D25" s="477">
        <v>4.9455799668839551E-4</v>
      </c>
      <c r="E25" s="477">
        <v>4.9406011617310662E-3</v>
      </c>
      <c r="F25" s="477">
        <v>5.4351591584194626E-3</v>
      </c>
      <c r="G25" s="245"/>
      <c r="H25" s="220"/>
      <c r="I25" s="214"/>
      <c r="L25" s="245"/>
    </row>
    <row r="26" spans="1:12">
      <c r="A26" s="478" t="s">
        <v>84</v>
      </c>
      <c r="B26" s="476">
        <v>-3.8335466550120101E-2</v>
      </c>
      <c r="C26" s="479">
        <v>-0.43579360753516005</v>
      </c>
      <c r="D26" s="477">
        <v>0</v>
      </c>
      <c r="E26" s="477">
        <v>1.5598924612762195E-3</v>
      </c>
      <c r="F26" s="477">
        <v>1.5598924612762195E-3</v>
      </c>
      <c r="G26" s="245"/>
      <c r="H26" s="220"/>
      <c r="I26" s="214"/>
      <c r="L26" s="245"/>
    </row>
    <row r="27" spans="1:12">
      <c r="A27" s="478" t="s">
        <v>334</v>
      </c>
      <c r="B27" s="476">
        <v>-8.0311124980446902E-2</v>
      </c>
      <c r="C27" s="479">
        <v>0.16876974285166094</v>
      </c>
      <c r="D27" s="477">
        <v>0</v>
      </c>
      <c r="E27" s="477">
        <v>0</v>
      </c>
      <c r="F27" s="477">
        <v>0</v>
      </c>
      <c r="G27" s="245"/>
      <c r="H27" s="220"/>
      <c r="I27" s="214"/>
      <c r="L27" s="245"/>
    </row>
    <row r="28" spans="1:12">
      <c r="A28" s="478" t="s">
        <v>85</v>
      </c>
      <c r="B28" s="476">
        <v>-2.3960815462006901E-2</v>
      </c>
      <c r="C28" s="479">
        <v>7.2303061199431931E-2</v>
      </c>
      <c r="D28" s="477">
        <v>0</v>
      </c>
      <c r="E28" s="477">
        <v>-2.8246287229669693E-4</v>
      </c>
      <c r="F28" s="477">
        <v>-2.8246287229669693E-4</v>
      </c>
      <c r="G28" s="245"/>
      <c r="H28" s="220"/>
      <c r="I28" s="214"/>
      <c r="L28" s="245"/>
    </row>
    <row r="29" spans="1:12">
      <c r="A29" s="478" t="s">
        <v>345</v>
      </c>
      <c r="B29" s="476">
        <v>-1.3197969543147225E-2</v>
      </c>
      <c r="C29" s="479">
        <v>1.7736681679516213E-3</v>
      </c>
      <c r="D29" s="477">
        <v>3.0423625751449263E-5</v>
      </c>
      <c r="E29" s="477">
        <v>2.2090866598354722E-4</v>
      </c>
      <c r="F29" s="477">
        <v>2.5133229173499646E-4</v>
      </c>
      <c r="G29" s="245"/>
      <c r="H29" s="220"/>
      <c r="I29" s="214"/>
      <c r="L29" s="245"/>
    </row>
    <row r="30" spans="1:12">
      <c r="A30" s="475" t="s">
        <v>805</v>
      </c>
      <c r="B30" s="476">
        <v>3.715418869804954E-3</v>
      </c>
      <c r="C30" s="479">
        <v>-0.44137532835619081</v>
      </c>
      <c r="D30" s="477">
        <v>2.5878006404902267E-3</v>
      </c>
      <c r="E30" s="477">
        <v>0</v>
      </c>
      <c r="F30" s="477">
        <v>2.5878006404902267E-3</v>
      </c>
      <c r="G30" s="245"/>
      <c r="H30" s="220"/>
      <c r="I30" s="214"/>
      <c r="L30" s="245"/>
    </row>
    <row r="31" spans="1:12">
      <c r="A31" s="478" t="s">
        <v>432</v>
      </c>
      <c r="B31" s="476">
        <v>-3.2657657657657602E-2</v>
      </c>
      <c r="C31" s="479">
        <v>-0.44539103032536453</v>
      </c>
      <c r="D31" s="477">
        <v>1.7415426554261222E-3</v>
      </c>
      <c r="E31" s="477">
        <v>0</v>
      </c>
      <c r="F31" s="477">
        <v>1.7415426554261222E-3</v>
      </c>
      <c r="G31" s="245"/>
      <c r="H31" s="220"/>
      <c r="I31" s="214"/>
      <c r="L31" s="245"/>
    </row>
    <row r="32" spans="1:12">
      <c r="A32" s="478" t="s">
        <v>530</v>
      </c>
      <c r="B32" s="476">
        <v>1.618705035971213E-2</v>
      </c>
      <c r="C32" s="479">
        <v>4.8616957937406479E-3</v>
      </c>
      <c r="D32" s="477">
        <v>1.4703769955010316E-4</v>
      </c>
      <c r="E32" s="477">
        <v>0</v>
      </c>
      <c r="F32" s="477">
        <v>1.4703769955010316E-4</v>
      </c>
      <c r="G32" s="245"/>
      <c r="H32" s="220"/>
      <c r="L32" s="245"/>
    </row>
    <row r="33" spans="1:28">
      <c r="A33" s="478" t="s">
        <v>933</v>
      </c>
      <c r="B33" s="476">
        <v>-7.717750826901848E-3</v>
      </c>
      <c r="C33" s="479">
        <v>-2.7886115108685328E-2</v>
      </c>
      <c r="D33" s="477">
        <v>3.58535765683097E-4</v>
      </c>
      <c r="E33" s="477">
        <v>0</v>
      </c>
      <c r="F33" s="477">
        <v>3.58535765683097E-4</v>
      </c>
      <c r="G33" s="245"/>
      <c r="H33" s="220"/>
      <c r="I33" s="214"/>
      <c r="L33" s="245"/>
    </row>
    <row r="34" spans="1:28">
      <c r="A34" s="478" t="s">
        <v>1091</v>
      </c>
      <c r="B34" s="476">
        <v>3.5820895522387097E-3</v>
      </c>
      <c r="C34" s="479">
        <v>1.0604216472464895E-2</v>
      </c>
      <c r="D34" s="477">
        <v>2.9709479817022482E-4</v>
      </c>
      <c r="E34" s="477">
        <v>0</v>
      </c>
      <c r="F34" s="477">
        <v>2.9709479817022482E-4</v>
      </c>
      <c r="G34" s="245"/>
      <c r="H34" s="220"/>
      <c r="I34" s="214"/>
      <c r="L34" s="245"/>
      <c r="N34" s="216"/>
      <c r="O34" s="216"/>
      <c r="P34" s="216"/>
      <c r="Q34" s="216"/>
      <c r="R34" s="216"/>
      <c r="S34" s="246"/>
      <c r="T34" s="246"/>
      <c r="U34" s="246"/>
    </row>
    <row r="35" spans="1:28">
      <c r="A35" s="478" t="s">
        <v>1149</v>
      </c>
      <c r="B35" s="476">
        <v>3.918336292163338E-2</v>
      </c>
      <c r="C35" s="479">
        <v>1.6435904811653516E-2</v>
      </c>
      <c r="D35" s="477">
        <v>4.3589721660679801E-5</v>
      </c>
      <c r="E35" s="477">
        <v>0</v>
      </c>
      <c r="F35" s="477">
        <v>4.3589721660679801E-5</v>
      </c>
      <c r="G35" s="215"/>
      <c r="H35" s="220"/>
      <c r="I35" s="214"/>
      <c r="L35" s="245"/>
    </row>
    <row r="36" spans="1:28">
      <c r="A36" s="475" t="s">
        <v>736</v>
      </c>
      <c r="B36" s="476">
        <v>2.3249024001192831E-2</v>
      </c>
      <c r="C36" s="479">
        <v>0.13787473870122258</v>
      </c>
      <c r="D36" s="477">
        <v>2.379306720155001E-3</v>
      </c>
      <c r="E36" s="477">
        <v>0</v>
      </c>
      <c r="F36" s="477">
        <v>2.379306720155001E-3</v>
      </c>
      <c r="G36" s="215"/>
      <c r="H36" s="220"/>
      <c r="I36" s="214"/>
      <c r="L36" s="245"/>
    </row>
    <row r="37" spans="1:28">
      <c r="A37" s="478" t="s">
        <v>735</v>
      </c>
      <c r="B37" s="476">
        <v>6.9960928522178722E-2</v>
      </c>
      <c r="C37" s="479">
        <v>0.50181454475055054</v>
      </c>
      <c r="D37" s="477">
        <v>8.6457058379790287E-4</v>
      </c>
      <c r="E37" s="477">
        <v>0</v>
      </c>
      <c r="F37" s="477">
        <v>8.6457058379790287E-4</v>
      </c>
      <c r="G37" s="215"/>
      <c r="H37" s="220"/>
      <c r="L37" s="245"/>
      <c r="S37" s="233"/>
      <c r="T37" s="233"/>
      <c r="U37" s="233"/>
      <c r="V37" s="247"/>
      <c r="W37" s="247"/>
      <c r="X37" s="247"/>
      <c r="Y37" s="247"/>
      <c r="Z37" s="247"/>
    </row>
    <row r="38" spans="1:28">
      <c r="A38" s="478" t="s">
        <v>1004</v>
      </c>
      <c r="B38" s="476">
        <v>-2.3462880519793061E-2</v>
      </c>
      <c r="C38" s="479">
        <v>-0.36393980604932796</v>
      </c>
      <c r="D38" s="477">
        <v>1.514736136357098E-3</v>
      </c>
      <c r="E38" s="477">
        <v>0</v>
      </c>
      <c r="F38" s="477">
        <v>1.514736136357098E-3</v>
      </c>
      <c r="G38" s="215"/>
      <c r="H38" s="220"/>
      <c r="I38" s="214"/>
      <c r="L38" s="245"/>
      <c r="AA38" s="248"/>
      <c r="AB38" s="248"/>
    </row>
    <row r="39" spans="1:28">
      <c r="A39" s="475" t="s">
        <v>800</v>
      </c>
      <c r="B39" s="476">
        <v>-5.4003939892842523E-2</v>
      </c>
      <c r="C39" s="479">
        <v>-0.37749918619305178</v>
      </c>
      <c r="D39" s="477">
        <v>9.5127875185690633E-4</v>
      </c>
      <c r="E39" s="477">
        <v>0</v>
      </c>
      <c r="F39" s="477">
        <v>9.5127875185690633E-4</v>
      </c>
      <c r="G39" s="215"/>
      <c r="H39" s="220"/>
      <c r="I39" s="214"/>
      <c r="L39" s="245"/>
      <c r="S39" s="233"/>
      <c r="T39" s="233"/>
      <c r="U39" s="233"/>
      <c r="V39" s="234"/>
      <c r="W39" s="234"/>
      <c r="X39" s="234"/>
      <c r="Y39" s="234"/>
      <c r="Z39" s="234"/>
    </row>
    <row r="40" spans="1:28">
      <c r="A40" s="478" t="s">
        <v>799</v>
      </c>
      <c r="B40" s="476">
        <v>-7.8226857887874757E-2</v>
      </c>
      <c r="C40" s="479">
        <v>-0.17267181282115396</v>
      </c>
      <c r="D40" s="477">
        <v>2.3014283479964623E-4</v>
      </c>
      <c r="E40" s="477">
        <v>0</v>
      </c>
      <c r="F40" s="477">
        <v>2.3014283479964623E-4</v>
      </c>
      <c r="G40" s="215"/>
      <c r="H40" s="220"/>
      <c r="L40" s="245"/>
    </row>
    <row r="41" spans="1:28">
      <c r="A41" s="478" t="s">
        <v>1131</v>
      </c>
      <c r="B41" s="476">
        <v>-2.9781021897810289E-2</v>
      </c>
      <c r="C41" s="479">
        <v>-0.2048273733718978</v>
      </c>
      <c r="D41" s="477">
        <v>7.2113591705726013E-4</v>
      </c>
      <c r="E41" s="477">
        <v>0</v>
      </c>
      <c r="F41" s="477">
        <v>7.2113591705726013E-4</v>
      </c>
      <c r="G41" s="215"/>
      <c r="H41" s="220"/>
      <c r="I41" s="214"/>
      <c r="L41" s="245"/>
      <c r="S41" s="233"/>
      <c r="T41" s="233"/>
      <c r="U41" s="233"/>
      <c r="V41" s="247"/>
      <c r="W41" s="247"/>
      <c r="X41" s="247"/>
      <c r="Y41" s="247"/>
      <c r="Z41" s="247"/>
    </row>
    <row r="42" spans="1:28">
      <c r="A42" s="475" t="s">
        <v>913</v>
      </c>
      <c r="B42" s="476">
        <v>-8.1314583375851294E-3</v>
      </c>
      <c r="C42" s="479">
        <v>-1.5705583313666445</v>
      </c>
      <c r="D42" s="477">
        <v>5.3432477424816237E-3</v>
      </c>
      <c r="E42" s="477">
        <v>3.0162633164112725E-3</v>
      </c>
      <c r="F42" s="477">
        <v>8.3595110588928975E-3</v>
      </c>
      <c r="G42" s="215"/>
      <c r="H42" s="220"/>
      <c r="I42" s="214"/>
      <c r="L42" s="245"/>
      <c r="S42" s="233"/>
      <c r="T42" s="233"/>
      <c r="U42" s="233"/>
      <c r="V42" s="234"/>
      <c r="W42" s="234"/>
      <c r="X42" s="234"/>
      <c r="Y42" s="234"/>
      <c r="Z42" s="234"/>
    </row>
    <row r="43" spans="1:28">
      <c r="A43" s="478" t="s">
        <v>27</v>
      </c>
      <c r="B43" s="476">
        <v>1.5825327925326316E-2</v>
      </c>
      <c r="C43" s="479">
        <v>0.478776681917294</v>
      </c>
      <c r="D43" s="477">
        <v>4.7367016606165622E-4</v>
      </c>
      <c r="E43" s="477">
        <v>9.6218248009975217E-4</v>
      </c>
      <c r="F43" s="477">
        <v>1.4358526461614083E-3</v>
      </c>
      <c r="G43" s="215"/>
      <c r="H43" s="220"/>
      <c r="I43" s="214"/>
      <c r="L43" s="245"/>
    </row>
    <row r="44" spans="1:28">
      <c r="A44" s="478" t="s">
        <v>37</v>
      </c>
      <c r="B44" s="476">
        <v>-1.8152008431900679E-2</v>
      </c>
      <c r="C44" s="479">
        <v>0.13079237737317143</v>
      </c>
      <c r="D44" s="477">
        <v>-4.023764472498947E-4</v>
      </c>
      <c r="E44" s="477">
        <v>0</v>
      </c>
      <c r="F44" s="477">
        <v>-4.023764472498947E-4</v>
      </c>
      <c r="G44" s="215"/>
      <c r="H44" s="220"/>
      <c r="I44" s="214"/>
      <c r="L44" s="245"/>
      <c r="S44" s="246"/>
      <c r="T44" s="246"/>
      <c r="U44" s="246"/>
    </row>
    <row r="45" spans="1:28">
      <c r="A45" s="478" t="s">
        <v>29</v>
      </c>
      <c r="B45" s="476">
        <v>-3.2832152667341408E-2</v>
      </c>
      <c r="C45" s="479">
        <v>-0.93354186151054963</v>
      </c>
      <c r="D45" s="477">
        <v>1.242404680274432E-3</v>
      </c>
      <c r="E45" s="477">
        <v>1.3934139120619865E-3</v>
      </c>
      <c r="F45" s="477">
        <v>2.6358185923364185E-3</v>
      </c>
      <c r="G45" s="215"/>
      <c r="H45" s="220"/>
      <c r="I45" s="214"/>
      <c r="L45" s="245"/>
    </row>
    <row r="46" spans="1:28">
      <c r="A46" s="478" t="s">
        <v>38</v>
      </c>
      <c r="B46" s="476">
        <v>7.2469054740886829E-3</v>
      </c>
      <c r="C46" s="479">
        <v>2.3380702456779204E-2</v>
      </c>
      <c r="D46" s="477">
        <v>3.2496822652930597E-4</v>
      </c>
      <c r="E46" s="477">
        <v>0</v>
      </c>
      <c r="F46" s="477">
        <v>3.2496822652930597E-4</v>
      </c>
      <c r="G46" s="215"/>
      <c r="H46" s="220"/>
      <c r="I46" s="214"/>
    </row>
    <row r="47" spans="1:28">
      <c r="A47" s="478" t="s">
        <v>318</v>
      </c>
      <c r="B47" s="476">
        <v>-1.196862167270013E-2</v>
      </c>
      <c r="C47" s="479">
        <v>-0.3445548649746778</v>
      </c>
      <c r="D47" s="477">
        <v>1.1862618227534705E-3</v>
      </c>
      <c r="E47" s="477">
        <v>0</v>
      </c>
      <c r="F47" s="477">
        <v>1.1862618227534705E-3</v>
      </c>
      <c r="G47" s="215"/>
      <c r="H47" s="220"/>
      <c r="I47" s="214"/>
    </row>
    <row r="48" spans="1:28">
      <c r="A48" s="478" t="s">
        <v>1141</v>
      </c>
      <c r="B48" s="476">
        <v>2.7520640480360736E-3</v>
      </c>
      <c r="C48" s="479">
        <v>-2.0866684328840653E-3</v>
      </c>
      <c r="D48" s="477">
        <v>0</v>
      </c>
      <c r="E48" s="477">
        <v>-9.0488921414788834E-5</v>
      </c>
      <c r="F48" s="477">
        <v>-9.0488921414788834E-5</v>
      </c>
      <c r="G48" s="215"/>
      <c r="H48" s="220"/>
      <c r="I48" s="214"/>
    </row>
    <row r="49" spans="1:35">
      <c r="A49" s="478" t="s">
        <v>816</v>
      </c>
      <c r="B49" s="476">
        <v>-2.1602582917522817E-2</v>
      </c>
      <c r="C49" s="479">
        <v>-0.79798374210351586</v>
      </c>
      <c r="D49" s="477">
        <v>2.0171531607109383E-3</v>
      </c>
      <c r="E49" s="477">
        <v>-1.2629835067228039E-4</v>
      </c>
      <c r="F49" s="477">
        <v>1.8908548100386579E-3</v>
      </c>
      <c r="G49" s="215"/>
      <c r="H49" s="220"/>
      <c r="I49" s="214"/>
    </row>
    <row r="50" spans="1:35">
      <c r="A50" s="478" t="s">
        <v>342</v>
      </c>
      <c r="B50" s="476">
        <v>-2.6440221386463514E-2</v>
      </c>
      <c r="C50" s="479">
        <v>-0.1253409560922619</v>
      </c>
      <c r="D50" s="477">
        <v>5.0116613340171615E-4</v>
      </c>
      <c r="E50" s="477">
        <v>8.7745419633660307E-4</v>
      </c>
      <c r="F50" s="477">
        <v>1.3786203297383192E-3</v>
      </c>
      <c r="G50" s="215"/>
      <c r="H50" s="220"/>
      <c r="I50" s="214"/>
    </row>
    <row r="51" spans="1:35">
      <c r="A51" s="475" t="s">
        <v>914</v>
      </c>
      <c r="B51" s="476">
        <v>1.3779976277865535E-2</v>
      </c>
      <c r="C51" s="479">
        <v>-6.7870977447985079E-2</v>
      </c>
      <c r="D51" s="477">
        <v>-4.8999398541194807E-5</v>
      </c>
      <c r="E51" s="477">
        <v>0</v>
      </c>
      <c r="F51" s="477">
        <v>-4.8999398541194807E-5</v>
      </c>
      <c r="G51" s="215"/>
      <c r="H51" s="220"/>
      <c r="I51" s="215"/>
    </row>
    <row r="52" spans="1:35">
      <c r="A52" s="478" t="s">
        <v>36</v>
      </c>
      <c r="B52" s="476">
        <v>8.0328787595740359E-3</v>
      </c>
      <c r="C52" s="479">
        <v>4.2171569028586361E-2</v>
      </c>
      <c r="D52" s="477">
        <v>5.2920415460058648E-4</v>
      </c>
      <c r="E52" s="477">
        <v>0</v>
      </c>
      <c r="F52" s="477">
        <v>5.2920415460058648E-4</v>
      </c>
      <c r="G52" s="215"/>
      <c r="H52" s="220"/>
      <c r="I52" s="214"/>
    </row>
    <row r="53" spans="1:35">
      <c r="A53" s="478" t="s">
        <v>4</v>
      </c>
      <c r="B53" s="476">
        <v>1.3042971934319247E-2</v>
      </c>
      <c r="C53" s="479">
        <v>-0.12853877546565556</v>
      </c>
      <c r="D53" s="477">
        <v>-9.9835607837120313E-4</v>
      </c>
      <c r="E53" s="477">
        <v>0</v>
      </c>
      <c r="F53" s="477">
        <v>-9.9835607837120313E-4</v>
      </c>
      <c r="G53" s="215"/>
      <c r="H53" s="220"/>
      <c r="I53" s="214"/>
    </row>
    <row r="54" spans="1:35">
      <c r="A54" s="478" t="s">
        <v>6</v>
      </c>
      <c r="B54" s="476">
        <v>8.4889643463497144E-3</v>
      </c>
      <c r="C54" s="479">
        <v>4.6950039739890835E-2</v>
      </c>
      <c r="D54" s="477">
        <v>5.5776647210990316E-4</v>
      </c>
      <c r="E54" s="477">
        <v>0</v>
      </c>
      <c r="F54" s="477">
        <v>5.5776647210990316E-4</v>
      </c>
      <c r="G54" s="215"/>
      <c r="H54" s="220"/>
      <c r="I54" s="214"/>
    </row>
    <row r="55" spans="1:35">
      <c r="A55" s="478" t="s">
        <v>926</v>
      </c>
      <c r="B55" s="476">
        <v>2.5555090071219144E-2</v>
      </c>
      <c r="C55" s="479">
        <v>-2.8453810750806722E-2</v>
      </c>
      <c r="D55" s="477">
        <v>-1.3761394688048133E-4</v>
      </c>
      <c r="E55" s="477">
        <v>0</v>
      </c>
      <c r="F55" s="477">
        <v>-1.3761394688048133E-4</v>
      </c>
      <c r="G55" s="215"/>
      <c r="H55" s="220"/>
      <c r="I55" s="215"/>
    </row>
    <row r="56" spans="1:35">
      <c r="A56" s="475" t="s">
        <v>45</v>
      </c>
      <c r="B56" s="476">
        <v>-1.1700635458323222E-2</v>
      </c>
      <c r="C56" s="479">
        <v>-3.5222151260919436</v>
      </c>
      <c r="D56" s="477">
        <v>1.2956340014646094E-2</v>
      </c>
      <c r="E56" s="477">
        <v>8.1644730106510324E-3</v>
      </c>
      <c r="F56" s="477">
        <v>2.1120813025297138E-2</v>
      </c>
      <c r="G56" s="215"/>
      <c r="H56" s="220"/>
      <c r="I56" s="215"/>
    </row>
    <row r="57" spans="1:35">
      <c r="A57"/>
      <c r="B57"/>
      <c r="C57"/>
      <c r="D57"/>
      <c r="E57"/>
      <c r="F57"/>
      <c r="G57" s="215"/>
      <c r="H57" s="220"/>
      <c r="I57" s="215"/>
    </row>
    <row r="58" spans="1:35">
      <c r="A58"/>
      <c r="B58"/>
      <c r="C58"/>
      <c r="D58"/>
      <c r="E58"/>
      <c r="F58"/>
      <c r="G58" s="215"/>
      <c r="H58" s="220"/>
      <c r="I58" s="215"/>
    </row>
    <row r="59" spans="1:35">
      <c r="A59"/>
      <c r="B59"/>
      <c r="C59"/>
      <c r="D59"/>
      <c r="E59"/>
      <c r="F59"/>
      <c r="G59" s="215"/>
      <c r="H59" s="220"/>
      <c r="I59" s="215"/>
    </row>
    <row r="60" spans="1:35">
      <c r="A60"/>
      <c r="B60"/>
      <c r="C60"/>
      <c r="D60"/>
      <c r="E60"/>
      <c r="F60"/>
      <c r="G60" s="215"/>
      <c r="H60" s="220"/>
      <c r="I60" s="215"/>
    </row>
    <row r="61" spans="1:35">
      <c r="A61"/>
      <c r="B61"/>
      <c r="C61"/>
      <c r="D61"/>
      <c r="E61"/>
      <c r="F61"/>
      <c r="G61" s="215"/>
      <c r="H61" s="220"/>
      <c r="I61" s="215"/>
      <c r="AI61" s="249"/>
    </row>
    <row r="62" spans="1:35">
      <c r="A62"/>
      <c r="B62"/>
      <c r="C62"/>
      <c r="D62"/>
      <c r="E62"/>
      <c r="F62"/>
      <c r="G62" s="215"/>
      <c r="H62" s="220"/>
      <c r="I62" s="215"/>
      <c r="AI62" s="249"/>
    </row>
    <row r="63" spans="1:35">
      <c r="A63"/>
      <c r="B63"/>
      <c r="C63"/>
      <c r="D63"/>
      <c r="E63"/>
      <c r="F63"/>
      <c r="G63" s="215"/>
      <c r="H63" s="220"/>
      <c r="I63" s="215"/>
      <c r="AI63" s="249"/>
    </row>
    <row r="64" spans="1:35">
      <c r="A64"/>
      <c r="B64"/>
      <c r="C64"/>
      <c r="D64"/>
      <c r="E64"/>
      <c r="F64"/>
      <c r="G64" s="215"/>
      <c r="H64" s="220"/>
      <c r="I64" s="215"/>
      <c r="AI64" s="249"/>
    </row>
    <row r="65" spans="1:9">
      <c r="A65"/>
      <c r="B65"/>
      <c r="C65"/>
      <c r="D65"/>
      <c r="E65"/>
      <c r="F65"/>
      <c r="G65" s="215"/>
      <c r="H65" s="220"/>
      <c r="I65" s="215"/>
    </row>
    <row r="66" spans="1:9">
      <c r="A66"/>
      <c r="B66"/>
      <c r="C66"/>
      <c r="D66"/>
      <c r="E66"/>
      <c r="F66"/>
      <c r="G66" s="215"/>
      <c r="H66" s="220"/>
      <c r="I66" s="215"/>
    </row>
    <row r="67" spans="1:9">
      <c r="A67"/>
      <c r="B67"/>
      <c r="C67"/>
      <c r="D67"/>
      <c r="E67"/>
      <c r="F67"/>
      <c r="G67" s="215"/>
      <c r="H67" s="220"/>
      <c r="I67" s="215"/>
    </row>
    <row r="68" spans="1:9">
      <c r="A68"/>
      <c r="B68"/>
      <c r="C68"/>
      <c r="D68"/>
      <c r="E68"/>
      <c r="F68"/>
      <c r="G68" s="215"/>
      <c r="H68" s="220"/>
      <c r="I68" s="215"/>
    </row>
    <row r="69" spans="1:9">
      <c r="A69"/>
      <c r="B69"/>
      <c r="C69"/>
      <c r="D69"/>
      <c r="E69"/>
      <c r="F69"/>
      <c r="G69" s="215"/>
      <c r="H69" s="220"/>
      <c r="I69" s="215"/>
    </row>
    <row r="70" spans="1:9">
      <c r="A70"/>
      <c r="B70"/>
      <c r="C70"/>
      <c r="D70"/>
      <c r="E70"/>
      <c r="F70"/>
      <c r="G70" s="215"/>
      <c r="H70" s="220"/>
      <c r="I70" s="215"/>
    </row>
    <row r="71" spans="1:9">
      <c r="A71"/>
      <c r="B71"/>
      <c r="C71"/>
      <c r="D71"/>
      <c r="E71"/>
      <c r="F71"/>
      <c r="G71" s="215"/>
      <c r="H71" s="220"/>
      <c r="I71" s="215"/>
    </row>
    <row r="72" spans="1:9">
      <c r="A72"/>
      <c r="B72"/>
      <c r="C72"/>
      <c r="D72"/>
      <c r="E72"/>
      <c r="F72"/>
      <c r="G72" s="215"/>
      <c r="H72" s="220"/>
      <c r="I72" s="215"/>
    </row>
    <row r="73" spans="1:9">
      <c r="A73"/>
      <c r="B73"/>
      <c r="C73"/>
      <c r="D73"/>
      <c r="E73"/>
      <c r="F73"/>
      <c r="G73" s="215"/>
      <c r="H73" s="220"/>
    </row>
    <row r="74" spans="1:9">
      <c r="A74"/>
      <c r="B74"/>
      <c r="C74"/>
      <c r="D74"/>
      <c r="E74"/>
      <c r="F74"/>
      <c r="G74" s="215"/>
      <c r="H74" s="220"/>
    </row>
    <row r="75" spans="1:9">
      <c r="A75"/>
      <c r="B75"/>
      <c r="C75"/>
      <c r="D75"/>
      <c r="E75"/>
      <c r="F75"/>
      <c r="G75" s="215"/>
      <c r="H75" s="220"/>
    </row>
    <row r="76" spans="1:9">
      <c r="A76"/>
      <c r="B76"/>
      <c r="C76"/>
      <c r="D76"/>
      <c r="E76"/>
      <c r="F76"/>
      <c r="G76" s="215"/>
      <c r="H76" s="220"/>
    </row>
    <row r="77" spans="1:9">
      <c r="A77"/>
      <c r="B77"/>
      <c r="C77"/>
      <c r="D77"/>
      <c r="E77"/>
      <c r="F77"/>
      <c r="G77" s="215"/>
      <c r="H77" s="220"/>
    </row>
    <row r="78" spans="1:9">
      <c r="A78"/>
      <c r="B78"/>
      <c r="C78"/>
      <c r="D78"/>
      <c r="E78"/>
      <c r="F78"/>
      <c r="G78" s="215"/>
      <c r="H78" s="220"/>
    </row>
    <row r="79" spans="1:9">
      <c r="A79"/>
      <c r="B79"/>
      <c r="C79"/>
      <c r="D79"/>
      <c r="E79"/>
      <c r="F79"/>
      <c r="G79" s="215"/>
      <c r="H79" s="220"/>
    </row>
    <row r="80" spans="1:9">
      <c r="A80"/>
      <c r="B80"/>
      <c r="C80"/>
      <c r="D80"/>
      <c r="E80"/>
      <c r="F80"/>
      <c r="G80" s="215"/>
      <c r="H80" s="220"/>
    </row>
    <row r="81" spans="1:8">
      <c r="A81"/>
      <c r="B81"/>
      <c r="C81"/>
      <c r="D81"/>
      <c r="E81"/>
      <c r="F81"/>
      <c r="G81" s="215"/>
      <c r="H81" s="220"/>
    </row>
    <row r="82" spans="1:8">
      <c r="A82"/>
      <c r="B82"/>
      <c r="C82"/>
      <c r="D82"/>
      <c r="E82"/>
      <c r="F82"/>
      <c r="G82" s="215"/>
      <c r="H82" s="220"/>
    </row>
    <row r="83" spans="1:8">
      <c r="A83"/>
      <c r="B83"/>
      <c r="C83"/>
      <c r="D83"/>
      <c r="E83"/>
      <c r="F83"/>
      <c r="G83" s="215"/>
      <c r="H83" s="220"/>
    </row>
    <row r="84" spans="1:8">
      <c r="A84"/>
      <c r="B84"/>
      <c r="C84"/>
      <c r="D84"/>
      <c r="E84"/>
      <c r="F84"/>
      <c r="G84" s="215"/>
      <c r="H84" s="220"/>
    </row>
    <row r="85" spans="1:8">
      <c r="A85"/>
      <c r="B85"/>
      <c r="C85"/>
      <c r="D85"/>
      <c r="E85"/>
      <c r="F85"/>
      <c r="G85" s="215"/>
      <c r="H85" s="220"/>
    </row>
    <row r="86" spans="1:8">
      <c r="A86"/>
      <c r="B86"/>
      <c r="C86"/>
      <c r="D86"/>
      <c r="E86"/>
      <c r="F86"/>
    </row>
    <row r="87" spans="1:8">
      <c r="A87"/>
      <c r="B87"/>
      <c r="C87"/>
      <c r="D87"/>
      <c r="E87"/>
      <c r="F87"/>
    </row>
    <row r="88" spans="1:8">
      <c r="A88"/>
      <c r="B88"/>
      <c r="C88"/>
      <c r="D88"/>
      <c r="E88"/>
      <c r="F88"/>
    </row>
    <row r="89" spans="1:8">
      <c r="A89"/>
      <c r="B89"/>
      <c r="C89"/>
      <c r="D89"/>
      <c r="E89"/>
      <c r="F89"/>
    </row>
    <row r="90" spans="1:8">
      <c r="A90"/>
      <c r="B90"/>
      <c r="C90"/>
      <c r="D90"/>
      <c r="E90"/>
      <c r="F90"/>
    </row>
    <row r="91" spans="1:8">
      <c r="A91"/>
      <c r="B91"/>
      <c r="C91"/>
      <c r="D91"/>
      <c r="E91"/>
      <c r="F91"/>
    </row>
    <row r="92" spans="1:8">
      <c r="A92"/>
      <c r="B92"/>
      <c r="C92"/>
      <c r="D92"/>
      <c r="E92"/>
      <c r="F92"/>
    </row>
    <row r="93" spans="1:8">
      <c r="A93"/>
      <c r="B93"/>
      <c r="C93"/>
      <c r="D93"/>
      <c r="E93"/>
      <c r="F93"/>
    </row>
    <row r="94" spans="1:8">
      <c r="A94"/>
      <c r="B94"/>
      <c r="C94"/>
      <c r="D94"/>
      <c r="E94"/>
      <c r="F94"/>
    </row>
    <row r="95" spans="1:8">
      <c r="A95"/>
      <c r="B95"/>
      <c r="C95"/>
      <c r="D95"/>
      <c r="E95"/>
      <c r="F95"/>
    </row>
    <row r="96" spans="1:8">
      <c r="A96"/>
      <c r="B96"/>
      <c r="C96"/>
      <c r="D96"/>
      <c r="E96"/>
      <c r="F96"/>
    </row>
    <row r="97" spans="1:6">
      <c r="A97"/>
      <c r="B97"/>
      <c r="C97"/>
      <c r="D97"/>
      <c r="E97"/>
      <c r="F97"/>
    </row>
    <row r="98" spans="1:6">
      <c r="A98"/>
      <c r="B98"/>
      <c r="C98"/>
      <c r="D98"/>
      <c r="E98"/>
      <c r="F98"/>
    </row>
    <row r="99" spans="1:6">
      <c r="A99"/>
      <c r="B99"/>
      <c r="C99"/>
      <c r="D99"/>
      <c r="E99"/>
      <c r="F99"/>
    </row>
    <row r="100" spans="1:6">
      <c r="A100"/>
      <c r="B100"/>
      <c r="C100"/>
      <c r="D100"/>
      <c r="E100"/>
      <c r="F100"/>
    </row>
    <row r="101" spans="1:6">
      <c r="A101"/>
      <c r="B101"/>
      <c r="C101"/>
      <c r="D101"/>
      <c r="E101"/>
      <c r="F101"/>
    </row>
    <row r="102" spans="1:6">
      <c r="A102"/>
      <c r="B102"/>
      <c r="C102"/>
      <c r="D102"/>
      <c r="E102"/>
      <c r="F102"/>
    </row>
    <row r="103" spans="1:6">
      <c r="A103"/>
      <c r="B103"/>
      <c r="C103"/>
      <c r="D103"/>
      <c r="E103"/>
      <c r="F103"/>
    </row>
    <row r="104" spans="1:6">
      <c r="A104"/>
      <c r="B104"/>
      <c r="C104"/>
      <c r="D104"/>
      <c r="E104"/>
      <c r="F104"/>
    </row>
    <row r="105" spans="1:6">
      <c r="A105"/>
      <c r="B105"/>
      <c r="C105"/>
      <c r="D105"/>
      <c r="E105"/>
      <c r="F105"/>
    </row>
    <row r="106" spans="1:6">
      <c r="A106"/>
      <c r="B106"/>
      <c r="C106"/>
      <c r="D106"/>
      <c r="E106"/>
      <c r="F106"/>
    </row>
    <row r="107" spans="1:6">
      <c r="A107"/>
      <c r="B107"/>
      <c r="C107"/>
      <c r="D107"/>
      <c r="E107"/>
      <c r="F107"/>
    </row>
    <row r="108" spans="1:6">
      <c r="A108"/>
      <c r="B108"/>
      <c r="C108"/>
      <c r="D108"/>
      <c r="E108"/>
      <c r="F108"/>
    </row>
    <row r="109" spans="1:6">
      <c r="A109"/>
      <c r="B109"/>
      <c r="C109"/>
      <c r="D109"/>
      <c r="E109"/>
      <c r="F109"/>
    </row>
    <row r="110" spans="1:6">
      <c r="A110"/>
      <c r="B110"/>
      <c r="C110"/>
      <c r="D110"/>
      <c r="E110"/>
      <c r="F110"/>
    </row>
    <row r="111" spans="1:6">
      <c r="A111"/>
      <c r="B111"/>
      <c r="C111"/>
      <c r="D111"/>
      <c r="E111"/>
      <c r="F111"/>
    </row>
    <row r="112" spans="1:6">
      <c r="A112"/>
      <c r="B112"/>
      <c r="C112"/>
      <c r="D112"/>
      <c r="E112"/>
      <c r="F112"/>
    </row>
    <row r="113" spans="1:6">
      <c r="A113"/>
      <c r="B113"/>
      <c r="C113"/>
      <c r="D113"/>
      <c r="E113"/>
      <c r="F113"/>
    </row>
    <row r="114" spans="1:6">
      <c r="A114"/>
      <c r="B114"/>
      <c r="C114"/>
      <c r="D114"/>
      <c r="E114"/>
      <c r="F114"/>
    </row>
    <row r="115" spans="1:6">
      <c r="A115"/>
      <c r="B115"/>
      <c r="C115"/>
      <c r="D115"/>
      <c r="E115"/>
      <c r="F115"/>
    </row>
    <row r="116" spans="1:6">
      <c r="A116"/>
      <c r="B116"/>
      <c r="C116"/>
      <c r="D116"/>
      <c r="E116"/>
      <c r="F116"/>
    </row>
    <row r="117" spans="1:6">
      <c r="A117"/>
      <c r="B117"/>
      <c r="C117"/>
      <c r="D117"/>
      <c r="E117"/>
      <c r="F117"/>
    </row>
    <row r="118" spans="1:6">
      <c r="A118"/>
      <c r="B118"/>
      <c r="C118"/>
      <c r="D118"/>
      <c r="E118"/>
      <c r="F118"/>
    </row>
    <row r="119" spans="1:6">
      <c r="A119"/>
      <c r="B119"/>
      <c r="C119"/>
      <c r="D119"/>
      <c r="E119"/>
      <c r="F119"/>
    </row>
    <row r="120" spans="1:6">
      <c r="A120"/>
      <c r="B120"/>
      <c r="C120"/>
      <c r="D120"/>
      <c r="E120"/>
      <c r="F120"/>
    </row>
    <row r="121" spans="1:6">
      <c r="A121"/>
      <c r="B121"/>
      <c r="C121"/>
      <c r="D121"/>
      <c r="E121"/>
      <c r="F121"/>
    </row>
    <row r="122" spans="1:6">
      <c r="A122"/>
      <c r="B122"/>
      <c r="C122"/>
      <c r="D122"/>
      <c r="E122"/>
      <c r="F122"/>
    </row>
    <row r="123" spans="1:6">
      <c r="A123"/>
      <c r="B123"/>
      <c r="C123"/>
      <c r="D123"/>
      <c r="E123"/>
      <c r="F123"/>
    </row>
    <row r="124" spans="1:6">
      <c r="A124"/>
      <c r="B124"/>
      <c r="C124"/>
      <c r="D124"/>
      <c r="E124"/>
      <c r="F124"/>
    </row>
    <row r="125" spans="1:6">
      <c r="A125"/>
      <c r="B125"/>
      <c r="C125"/>
      <c r="D125"/>
      <c r="E125"/>
      <c r="F125"/>
    </row>
    <row r="126" spans="1:6">
      <c r="A126"/>
      <c r="B126"/>
      <c r="C126"/>
      <c r="D126"/>
      <c r="E126"/>
      <c r="F126"/>
    </row>
    <row r="127" spans="1:6">
      <c r="A127"/>
      <c r="B127"/>
      <c r="C127"/>
      <c r="D127"/>
      <c r="E127"/>
      <c r="F127"/>
    </row>
    <row r="128" spans="1:6">
      <c r="A128"/>
      <c r="B128"/>
      <c r="C128"/>
      <c r="D128"/>
      <c r="E128"/>
      <c r="F128"/>
    </row>
    <row r="129" spans="1:6">
      <c r="A129"/>
      <c r="B129"/>
      <c r="C129"/>
      <c r="D129"/>
      <c r="E129"/>
      <c r="F129"/>
    </row>
    <row r="130" spans="1:6">
      <c r="A130"/>
      <c r="B130"/>
      <c r="C130"/>
      <c r="D130"/>
      <c r="E130"/>
      <c r="F130"/>
    </row>
    <row r="131" spans="1:6">
      <c r="A131"/>
      <c r="B131"/>
      <c r="C131"/>
      <c r="D131"/>
      <c r="E131"/>
      <c r="F131"/>
    </row>
    <row r="132" spans="1:6">
      <c r="A132"/>
      <c r="B132"/>
      <c r="C132"/>
      <c r="D132"/>
      <c r="E132"/>
      <c r="F132"/>
    </row>
    <row r="133" spans="1:6">
      <c r="A133"/>
      <c r="B133"/>
      <c r="C133"/>
      <c r="D133"/>
      <c r="E133"/>
      <c r="F133"/>
    </row>
    <row r="134" spans="1:6">
      <c r="A134"/>
      <c r="B134"/>
      <c r="C134"/>
      <c r="D134"/>
      <c r="E134"/>
      <c r="F134"/>
    </row>
    <row r="135" spans="1:6">
      <c r="A135"/>
      <c r="B135"/>
      <c r="C135"/>
      <c r="D135"/>
      <c r="E135"/>
      <c r="F135"/>
    </row>
  </sheetData>
  <conditionalFormatting sqref="G11 F12:G12 H11:H1048576 F1:H9 G10:H10">
    <cfRule type="cellIs" dxfId="1656" priority="10278" operator="lessThan">
      <formula>0</formula>
    </cfRule>
  </conditionalFormatting>
  <conditionalFormatting sqref="H86:H1048576 F1:H9 F12:G12 G10:G11">
    <cfRule type="cellIs" dxfId="1655" priority="10275" operator="lessThan">
      <formula>0</formula>
    </cfRule>
    <cfRule type="cellIs" dxfId="1654" priority="10276" operator="lessThan">
      <formula>0</formula>
    </cfRule>
  </conditionalFormatting>
  <conditionalFormatting sqref="F136:G1048576 G86:G135">
    <cfRule type="cellIs" dxfId="1653" priority="5911" operator="lessThan">
      <formula>0</formula>
    </cfRule>
  </conditionalFormatting>
  <conditionalFormatting sqref="F136:G1048576 G86:G135">
    <cfRule type="cellIs" dxfId="1652" priority="5910" operator="lessThan">
      <formula>0</formula>
    </cfRule>
  </conditionalFormatting>
  <conditionalFormatting sqref="F136:G1048576 G86:G135">
    <cfRule type="cellIs" dxfId="1651" priority="5908" operator="lessThan">
      <formula>0</formula>
    </cfRule>
    <cfRule type="cellIs" dxfId="1650" priority="5909" operator="lessThan">
      <formula>0</formula>
    </cfRule>
  </conditionalFormatting>
  <conditionalFormatting sqref="F136:G1048576 G86:G135">
    <cfRule type="cellIs" dxfId="1649" priority="5907" operator="lessThan">
      <formula>0</formula>
    </cfRule>
  </conditionalFormatting>
  <conditionalFormatting sqref="F136:G1048576 G86:G135">
    <cfRule type="cellIs" dxfId="1648" priority="5906" operator="lessThan">
      <formula>0</formula>
    </cfRule>
  </conditionalFormatting>
  <conditionalFormatting sqref="F136:G1048576 G86:G135">
    <cfRule type="cellIs" dxfId="1647" priority="5905" operator="lessThan">
      <formula>0</formula>
    </cfRule>
  </conditionalFormatting>
  <conditionalFormatting sqref="F136:G1048576 G86:G135">
    <cfRule type="cellIs" dxfId="1646" priority="5904" operator="lessThan">
      <formula>0</formula>
    </cfRule>
  </conditionalFormatting>
  <conditionalFormatting sqref="F136:G1048576 G86:G135">
    <cfRule type="cellIs" dxfId="1645" priority="5903" operator="lessThan">
      <formula>0</formula>
    </cfRule>
  </conditionalFormatting>
  <conditionalFormatting sqref="F136:G1048576 G86:G135">
    <cfRule type="cellIs" dxfId="1644" priority="5902" operator="lessThan">
      <formula>0</formula>
    </cfRule>
  </conditionalFormatting>
  <conditionalFormatting sqref="F136:G1048576 G86:G135">
    <cfRule type="cellIs" dxfId="1643" priority="5901" operator="lessThan">
      <formula>0</formula>
    </cfRule>
  </conditionalFormatting>
  <conditionalFormatting sqref="F136:G1048576 G86:G135">
    <cfRule type="cellIs" dxfId="1642" priority="5900" operator="lessThan">
      <formula>0</formula>
    </cfRule>
  </conditionalFormatting>
  <conditionalFormatting sqref="F136:G1048576 G86:G135">
    <cfRule type="cellIs" dxfId="1641" priority="5899" operator="lessThan">
      <formula>0</formula>
    </cfRule>
  </conditionalFormatting>
  <conditionalFormatting sqref="F136:G1048576 G86:G135">
    <cfRule type="cellIs" dxfId="1640" priority="5898" operator="lessThan">
      <formula>0</formula>
    </cfRule>
  </conditionalFormatting>
  <conditionalFormatting sqref="F136:G1048576 G86:G135">
    <cfRule type="cellIs" dxfId="1639" priority="5897" operator="lessThan">
      <formula>0</formula>
    </cfRule>
  </conditionalFormatting>
  <conditionalFormatting sqref="F136:G1048576 G86:G135">
    <cfRule type="cellIs" dxfId="1638" priority="5896" operator="lessThan">
      <formula>0</formula>
    </cfRule>
  </conditionalFormatting>
  <conditionalFormatting sqref="F136:G1048576 G86:G135">
    <cfRule type="cellIs" dxfId="1637" priority="5895" operator="lessThan">
      <formula>0</formula>
    </cfRule>
  </conditionalFormatting>
  <conditionalFormatting sqref="F136:G1048576 G86:G135">
    <cfRule type="cellIs" dxfId="1636" priority="5894" operator="lessThan">
      <formula>0</formula>
    </cfRule>
  </conditionalFormatting>
  <conditionalFormatting sqref="F136:G1048576 G86:G135">
    <cfRule type="cellIs" dxfId="1635" priority="5893" operator="lessThan">
      <formula>0</formula>
    </cfRule>
  </conditionalFormatting>
  <conditionalFormatting sqref="F136:G1048576 G86:G135">
    <cfRule type="cellIs" dxfId="1634" priority="5892" operator="lessThan">
      <formula>0</formula>
    </cfRule>
  </conditionalFormatting>
  <conditionalFormatting sqref="F136:G1048576 G86:G135">
    <cfRule type="cellIs" dxfId="1633" priority="5891" operator="lessThan">
      <formula>0</formula>
    </cfRule>
  </conditionalFormatting>
  <conditionalFormatting sqref="F136:G1048576 G86:G135">
    <cfRule type="cellIs" dxfId="1632" priority="5890" operator="lessThan">
      <formula>0</formula>
    </cfRule>
  </conditionalFormatting>
  <conditionalFormatting sqref="F136:G1048576 G86:G135">
    <cfRule type="cellIs" dxfId="1631" priority="5889" operator="lessThan">
      <formula>0</formula>
    </cfRule>
  </conditionalFormatting>
  <conditionalFormatting sqref="F136:G1048576 G86:G135">
    <cfRule type="cellIs" dxfId="1630" priority="5888" operator="lessThan">
      <formula>0</formula>
    </cfRule>
  </conditionalFormatting>
  <conditionalFormatting sqref="F136:G1048576 G86:G135">
    <cfRule type="cellIs" dxfId="1629" priority="5887" operator="lessThan">
      <formula>0</formula>
    </cfRule>
  </conditionalFormatting>
  <conditionalFormatting sqref="F136:G1048576 G86:G135">
    <cfRule type="cellIs" dxfId="1628" priority="5886" operator="lessThan">
      <formula>0</formula>
    </cfRule>
  </conditionalFormatting>
  <conditionalFormatting sqref="F136:G1048576 G86:G135">
    <cfRule type="cellIs" dxfId="1627" priority="5885" operator="lessThan">
      <formula>0</formula>
    </cfRule>
  </conditionalFormatting>
  <conditionalFormatting sqref="F136:G1048576 G86:G135">
    <cfRule type="cellIs" dxfId="1626" priority="5884" operator="lessThan">
      <formula>0</formula>
    </cfRule>
  </conditionalFormatting>
  <conditionalFormatting sqref="F136:G1048576 G86:G135">
    <cfRule type="cellIs" dxfId="1625" priority="5883" operator="lessThan">
      <formula>0</formula>
    </cfRule>
  </conditionalFormatting>
  <conditionalFormatting sqref="F136:G1048576 G86:G135">
    <cfRule type="cellIs" dxfId="1624" priority="5882" operator="lessThan">
      <formula>0</formula>
    </cfRule>
  </conditionalFormatting>
  <conditionalFormatting sqref="F136:G1048576 G86:G135">
    <cfRule type="cellIs" dxfId="1623" priority="5881" operator="lessThan">
      <formula>0</formula>
    </cfRule>
  </conditionalFormatting>
  <conditionalFormatting sqref="F136:G1048576 G86:G135">
    <cfRule type="cellIs" dxfId="1622" priority="5880" operator="lessThan">
      <formula>0</formula>
    </cfRule>
  </conditionalFormatting>
  <conditionalFormatting sqref="F136:G1048576 G86:G135">
    <cfRule type="cellIs" dxfId="1621" priority="5879" operator="lessThan">
      <formula>0</formula>
    </cfRule>
  </conditionalFormatting>
  <conditionalFormatting sqref="F136:G1048576 G86:G135">
    <cfRule type="cellIs" dxfId="1620" priority="5878" operator="lessThan">
      <formula>0</formula>
    </cfRule>
  </conditionalFormatting>
  <conditionalFormatting sqref="F136:G1048576 G86:G135">
    <cfRule type="cellIs" dxfId="1619" priority="5877" operator="lessThan">
      <formula>0</formula>
    </cfRule>
  </conditionalFormatting>
  <conditionalFormatting sqref="F136:G1048576 G86:G135">
    <cfRule type="cellIs" dxfId="1618" priority="5876" operator="lessThan">
      <formula>0</formula>
    </cfRule>
  </conditionalFormatting>
  <conditionalFormatting sqref="F136:G1048576 G86:G135">
    <cfRule type="cellIs" dxfId="1617" priority="5875" operator="lessThan">
      <formula>0</formula>
    </cfRule>
  </conditionalFormatting>
  <conditionalFormatting sqref="F136:G1048576 G86:G135">
    <cfRule type="cellIs" dxfId="1616" priority="5874" operator="lessThan">
      <formula>0</formula>
    </cfRule>
  </conditionalFormatting>
  <conditionalFormatting sqref="F136:G1048576 G86:G135">
    <cfRule type="cellIs" dxfId="1615" priority="5873" operator="lessThan">
      <formula>0</formula>
    </cfRule>
  </conditionalFormatting>
  <conditionalFormatting sqref="F136:G1048576 G86:G135">
    <cfRule type="cellIs" dxfId="1614" priority="5872" operator="lessThan">
      <formula>0</formula>
    </cfRule>
  </conditionalFormatting>
  <conditionalFormatting sqref="F136:G1048576 G86:G135">
    <cfRule type="cellIs" dxfId="1613" priority="5871" operator="lessThan">
      <formula>0</formula>
    </cfRule>
  </conditionalFormatting>
  <conditionalFormatting sqref="F136:G1048576 G86:G135">
    <cfRule type="cellIs" dxfId="1612" priority="5870" operator="lessThan">
      <formula>0</formula>
    </cfRule>
  </conditionalFormatting>
  <conditionalFormatting sqref="F136:G1048576 G86:G135">
    <cfRule type="cellIs" dxfId="1611" priority="5869" operator="lessThan">
      <formula>0</formula>
    </cfRule>
  </conditionalFormatting>
  <conditionalFormatting sqref="F136:G1048576 G86:G135">
    <cfRule type="cellIs" dxfId="1610" priority="5868" operator="lessThan">
      <formula>0</formula>
    </cfRule>
  </conditionalFormatting>
  <conditionalFormatting sqref="F136:G1048576 G86:G135">
    <cfRule type="cellIs" dxfId="1609" priority="5867" operator="lessThan">
      <formula>0</formula>
    </cfRule>
  </conditionalFormatting>
  <conditionalFormatting sqref="F136:G1048576 G86:G135">
    <cfRule type="cellIs" dxfId="1608" priority="5866" operator="lessThan">
      <formula>0</formula>
    </cfRule>
  </conditionalFormatting>
  <conditionalFormatting sqref="F136:G1048576 G86:G135">
    <cfRule type="cellIs" dxfId="1607" priority="5865" operator="lessThan">
      <formula>0</formula>
    </cfRule>
  </conditionalFormatting>
  <conditionalFormatting sqref="F136:G1048576 G86:G135">
    <cfRule type="cellIs" dxfId="1606" priority="5864" operator="lessThan">
      <formula>0</formula>
    </cfRule>
  </conditionalFormatting>
  <conditionalFormatting sqref="F136:G1048576 G86:G135">
    <cfRule type="cellIs" dxfId="1605" priority="5863" operator="lessThan">
      <formula>0</formula>
    </cfRule>
  </conditionalFormatting>
  <conditionalFormatting sqref="F136:G1048576 G86:G135">
    <cfRule type="cellIs" dxfId="1604" priority="5862" operator="lessThan">
      <formula>0</formula>
    </cfRule>
  </conditionalFormatting>
  <conditionalFormatting sqref="F136:G1048576 G86:G135">
    <cfRule type="cellIs" dxfId="1603" priority="5861" operator="lessThan">
      <formula>0</formula>
    </cfRule>
  </conditionalFormatting>
  <conditionalFormatting sqref="F136:G1048576 G86:G135">
    <cfRule type="cellIs" dxfId="1602" priority="5860" operator="lessThan">
      <formula>0</formula>
    </cfRule>
  </conditionalFormatting>
  <conditionalFormatting sqref="F136:G1048576 G86:G135">
    <cfRule type="cellIs" dxfId="1601" priority="5859" operator="lessThan">
      <formula>0</formula>
    </cfRule>
  </conditionalFormatting>
  <conditionalFormatting sqref="F136:G1048576 G86:G135">
    <cfRule type="cellIs" dxfId="1600" priority="5858" operator="lessThan">
      <formula>0</formula>
    </cfRule>
  </conditionalFormatting>
  <conditionalFormatting sqref="F136:G1048576 G86:G135">
    <cfRule type="cellIs" dxfId="1599" priority="5857" operator="lessThan">
      <formula>0</formula>
    </cfRule>
  </conditionalFormatting>
  <conditionalFormatting sqref="F136:G1048576 G86:G135">
    <cfRule type="cellIs" dxfId="1598" priority="5856" operator="lessThan">
      <formula>0</formula>
    </cfRule>
  </conditionalFormatting>
  <conditionalFormatting sqref="F136:G1048576 G86:G135">
    <cfRule type="cellIs" dxfId="1597" priority="5855" operator="lessThan">
      <formula>0</formula>
    </cfRule>
  </conditionalFormatting>
  <conditionalFormatting sqref="F136:G1048576 G86:G135">
    <cfRule type="cellIs" dxfId="1596" priority="5854" operator="lessThan">
      <formula>0</formula>
    </cfRule>
  </conditionalFormatting>
  <conditionalFormatting sqref="F136:G1048576 G86:G135">
    <cfRule type="cellIs" dxfId="1595" priority="5853" operator="lessThan">
      <formula>0</formula>
    </cfRule>
  </conditionalFormatting>
  <conditionalFormatting sqref="F136:G1048576 G86:G135">
    <cfRule type="cellIs" dxfId="1594" priority="5852" operator="lessThan">
      <formula>0</formula>
    </cfRule>
  </conditionalFormatting>
  <conditionalFormatting sqref="F136:G1048576 G86:G135">
    <cfRule type="cellIs" dxfId="1593" priority="5851" operator="lessThan">
      <formula>0</formula>
    </cfRule>
  </conditionalFormatting>
  <conditionalFormatting sqref="F136:G1048576 G86:G135">
    <cfRule type="cellIs" dxfId="1592" priority="5850" operator="lessThan">
      <formula>0</formula>
    </cfRule>
  </conditionalFormatting>
  <conditionalFormatting sqref="F136:G1048576 G86:G135">
    <cfRule type="cellIs" dxfId="1591" priority="5849" operator="lessThan">
      <formula>0</formula>
    </cfRule>
  </conditionalFormatting>
  <conditionalFormatting sqref="F136:G1048576 G86:G135">
    <cfRule type="cellIs" dxfId="1590" priority="5848" operator="lessThan">
      <formula>0</formula>
    </cfRule>
  </conditionalFormatting>
  <conditionalFormatting sqref="F136:G1048576 G86:G135">
    <cfRule type="cellIs" dxfId="1589" priority="5847" operator="lessThan">
      <formula>0</formula>
    </cfRule>
  </conditionalFormatting>
  <conditionalFormatting sqref="F136:G1048576 G86:G135">
    <cfRule type="cellIs" dxfId="1588" priority="5846" operator="lessThan">
      <formula>0</formula>
    </cfRule>
  </conditionalFormatting>
  <conditionalFormatting sqref="F136:G1048576 G86:G135">
    <cfRule type="cellIs" dxfId="1587" priority="5845" operator="lessThan">
      <formula>0</formula>
    </cfRule>
  </conditionalFormatting>
  <conditionalFormatting sqref="F136:G1048576 G86:G135">
    <cfRule type="cellIs" dxfId="1586" priority="5844" operator="lessThan">
      <formula>0</formula>
    </cfRule>
  </conditionalFormatting>
  <conditionalFormatting sqref="F136:G1048576 G86:G135">
    <cfRule type="cellIs" dxfId="1585" priority="5843" operator="lessThan">
      <formula>0</formula>
    </cfRule>
  </conditionalFormatting>
  <conditionalFormatting sqref="F136:G1048576 G86:G135">
    <cfRule type="cellIs" dxfId="1584" priority="5842" operator="lessThan">
      <formula>0</formula>
    </cfRule>
  </conditionalFormatting>
  <conditionalFormatting sqref="F136:G1048576 G86:G135">
    <cfRule type="cellIs" dxfId="1583" priority="5841" operator="lessThan">
      <formula>0</formula>
    </cfRule>
  </conditionalFormatting>
  <conditionalFormatting sqref="F136:G1048576 G86:G135">
    <cfRule type="cellIs" dxfId="1582" priority="5840" operator="lessThan">
      <formula>0</formula>
    </cfRule>
  </conditionalFormatting>
  <conditionalFormatting sqref="F136:G1048576 G86:G135">
    <cfRule type="cellIs" dxfId="1581" priority="5839" operator="lessThan">
      <formula>0</formula>
    </cfRule>
  </conditionalFormatting>
  <conditionalFormatting sqref="F136:G1048576 G86:G135">
    <cfRule type="cellIs" dxfId="1580" priority="5838" operator="lessThan">
      <formula>0</formula>
    </cfRule>
  </conditionalFormatting>
  <conditionalFormatting sqref="F136:G1048576 G86:G135">
    <cfRule type="cellIs" dxfId="1579" priority="5837" operator="lessThan">
      <formula>0</formula>
    </cfRule>
  </conditionalFormatting>
  <conditionalFormatting sqref="F136:G1048576 G86:G135">
    <cfRule type="cellIs" dxfId="1578" priority="5836" operator="lessThan">
      <formula>0</formula>
    </cfRule>
  </conditionalFormatting>
  <conditionalFormatting sqref="F136:G1048576 G86:G135">
    <cfRule type="cellIs" dxfId="1577" priority="5835" operator="lessThan">
      <formula>0</formula>
    </cfRule>
  </conditionalFormatting>
  <conditionalFormatting sqref="F136:G1048576 G86:G135">
    <cfRule type="cellIs" dxfId="1576" priority="5834" operator="lessThan">
      <formula>0</formula>
    </cfRule>
  </conditionalFormatting>
  <conditionalFormatting sqref="F136:G1048576 G86:G135">
    <cfRule type="cellIs" dxfId="1575" priority="5833" operator="lessThan">
      <formula>0</formula>
    </cfRule>
  </conditionalFormatting>
  <conditionalFormatting sqref="F136:G1048576 G86:G135">
    <cfRule type="cellIs" dxfId="1574" priority="5832" operator="lessThan">
      <formula>0</formula>
    </cfRule>
  </conditionalFormatting>
  <conditionalFormatting sqref="F136:G1048576 G86:G135">
    <cfRule type="cellIs" dxfId="1573" priority="5831" operator="lessThan">
      <formula>0</formula>
    </cfRule>
  </conditionalFormatting>
  <conditionalFormatting sqref="F136:G1048576 G86:G135">
    <cfRule type="cellIs" dxfId="1572" priority="5830" operator="lessThan">
      <formula>0</formula>
    </cfRule>
  </conditionalFormatting>
  <conditionalFormatting sqref="F136:G1048576 G86:G135">
    <cfRule type="cellIs" dxfId="1571" priority="5829" operator="lessThan">
      <formula>0</formula>
    </cfRule>
  </conditionalFormatting>
  <conditionalFormatting sqref="F136:G1048576 G86:G135">
    <cfRule type="cellIs" dxfId="1570" priority="5828" operator="lessThan">
      <formula>0</formula>
    </cfRule>
  </conditionalFormatting>
  <conditionalFormatting sqref="F136:G1048576 G86:G135">
    <cfRule type="cellIs" dxfId="1569" priority="5827" operator="lessThan">
      <formula>0</formula>
    </cfRule>
  </conditionalFormatting>
  <conditionalFormatting sqref="F136:G1048576 G86:G135">
    <cfRule type="cellIs" dxfId="1568" priority="5826" operator="lessThan">
      <formula>0</formula>
    </cfRule>
  </conditionalFormatting>
  <conditionalFormatting sqref="F136:G1048576 G86:G135">
    <cfRule type="cellIs" dxfId="1567" priority="5825" operator="lessThan">
      <formula>0</formula>
    </cfRule>
  </conditionalFormatting>
  <conditionalFormatting sqref="F136:G1048576 G86:G135">
    <cfRule type="cellIs" dxfId="1566" priority="5824" operator="lessThan">
      <formula>0</formula>
    </cfRule>
  </conditionalFormatting>
  <conditionalFormatting sqref="F136:G1048576 G86:G135">
    <cfRule type="cellIs" dxfId="1565" priority="5823" operator="lessThan">
      <formula>0</formula>
    </cfRule>
  </conditionalFormatting>
  <conditionalFormatting sqref="F136:G1048576 G86:G135">
    <cfRule type="cellIs" dxfId="1564" priority="5822" operator="lessThan">
      <formula>0</formula>
    </cfRule>
  </conditionalFormatting>
  <conditionalFormatting sqref="F136:G1048576 G86:G135">
    <cfRule type="cellIs" dxfId="1563" priority="5821" operator="lessThan">
      <formula>0</formula>
    </cfRule>
  </conditionalFormatting>
  <conditionalFormatting sqref="F136:G1048576 G86:G135">
    <cfRule type="cellIs" dxfId="1562" priority="5820" operator="lessThan">
      <formula>0</formula>
    </cfRule>
  </conditionalFormatting>
  <conditionalFormatting sqref="F136:G1048576 G86:G135">
    <cfRule type="cellIs" dxfId="1561" priority="5819" operator="lessThan">
      <formula>0</formula>
    </cfRule>
  </conditionalFormatting>
  <conditionalFormatting sqref="F136:G1048576 G86:G135">
    <cfRule type="cellIs" dxfId="1560" priority="5818" operator="lessThan">
      <formula>0</formula>
    </cfRule>
  </conditionalFormatting>
  <conditionalFormatting sqref="F136:G1048576 G86:G135">
    <cfRule type="cellIs" dxfId="1559" priority="5817" operator="lessThan">
      <formula>0</formula>
    </cfRule>
  </conditionalFormatting>
  <conditionalFormatting sqref="F136:G1048576 G86:G135">
    <cfRule type="cellIs" dxfId="1558" priority="5816" operator="lessThan">
      <formula>0</formula>
    </cfRule>
  </conditionalFormatting>
  <conditionalFormatting sqref="F136:G1048576 G86:G135">
    <cfRule type="cellIs" dxfId="1557" priority="5815" operator="lessThan">
      <formula>0</formula>
    </cfRule>
  </conditionalFormatting>
  <conditionalFormatting sqref="F136:G1048576 G86:G135">
    <cfRule type="cellIs" dxfId="1556" priority="5814" operator="lessThan">
      <formula>0</formula>
    </cfRule>
  </conditionalFormatting>
  <conditionalFormatting sqref="F136:G1048576 G86:G135">
    <cfRule type="cellIs" dxfId="1555" priority="5813" operator="lessThan">
      <formula>0</formula>
    </cfRule>
  </conditionalFormatting>
  <conditionalFormatting sqref="F136:G1048576 G86:G135">
    <cfRule type="cellIs" dxfId="1554" priority="5812" operator="lessThan">
      <formula>0</formula>
    </cfRule>
  </conditionalFormatting>
  <conditionalFormatting sqref="F136:G1048576 G86:G135">
    <cfRule type="cellIs" dxfId="1553" priority="5811" operator="lessThan">
      <formula>0</formula>
    </cfRule>
  </conditionalFormatting>
  <conditionalFormatting sqref="F136:G1048576 G86:G135">
    <cfRule type="cellIs" dxfId="1552" priority="5810" operator="lessThan">
      <formula>0</formula>
    </cfRule>
  </conditionalFormatting>
  <conditionalFormatting sqref="F136:G1048576 G86:G135">
    <cfRule type="cellIs" dxfId="1551" priority="5809" operator="lessThan">
      <formula>0</formula>
    </cfRule>
  </conditionalFormatting>
  <conditionalFormatting sqref="F136:G1048576 G86:G135">
    <cfRule type="cellIs" dxfId="1550" priority="5808" operator="lessThan">
      <formula>0</formula>
    </cfRule>
  </conditionalFormatting>
  <conditionalFormatting sqref="F136:G1048576 G86:G135">
    <cfRule type="cellIs" dxfId="1549" priority="5807" operator="lessThan">
      <formula>0</formula>
    </cfRule>
  </conditionalFormatting>
  <conditionalFormatting sqref="F136:G1048576 G86:G135">
    <cfRule type="cellIs" dxfId="1548" priority="5806" operator="lessThan">
      <formula>0</formula>
    </cfRule>
  </conditionalFormatting>
  <conditionalFormatting sqref="F136:G1048576 G86:G135">
    <cfRule type="cellIs" dxfId="1547" priority="5805" operator="lessThan">
      <formula>0</formula>
    </cfRule>
  </conditionalFormatting>
  <conditionalFormatting sqref="F136:G1048576 G86:G135">
    <cfRule type="cellIs" dxfId="1546" priority="5804" operator="lessThan">
      <formula>0</formula>
    </cfRule>
  </conditionalFormatting>
  <conditionalFormatting sqref="F136:G1048576 G86:G135">
    <cfRule type="cellIs" dxfId="1545" priority="5803" operator="lessThan">
      <formula>0</formula>
    </cfRule>
  </conditionalFormatting>
  <conditionalFormatting sqref="F136:G1048576 G86:G135">
    <cfRule type="cellIs" dxfId="1544" priority="5802" operator="lessThan">
      <formula>0</formula>
    </cfRule>
  </conditionalFormatting>
  <conditionalFormatting sqref="F136:G1048576 G86:G135">
    <cfRule type="cellIs" dxfId="1543" priority="5801" operator="lessThan">
      <formula>0</formula>
    </cfRule>
  </conditionalFormatting>
  <conditionalFormatting sqref="F136:G1048576 G86:G135">
    <cfRule type="cellIs" dxfId="1542" priority="5800" operator="lessThan">
      <formula>0</formula>
    </cfRule>
  </conditionalFormatting>
  <conditionalFormatting sqref="F136:G1048576 G86:G135">
    <cfRule type="cellIs" dxfId="1541" priority="5799" operator="lessThan">
      <formula>0</formula>
    </cfRule>
  </conditionalFormatting>
  <conditionalFormatting sqref="F136:G1048576 G86:G135">
    <cfRule type="cellIs" dxfId="1540" priority="5798" operator="lessThan">
      <formula>0</formula>
    </cfRule>
  </conditionalFormatting>
  <conditionalFormatting sqref="F136:G1048576 G86:G135">
    <cfRule type="cellIs" dxfId="1539" priority="5797" operator="lessThan">
      <formula>0</formula>
    </cfRule>
  </conditionalFormatting>
  <conditionalFormatting sqref="F136:G1048576 G86:G135">
    <cfRule type="cellIs" dxfId="1538" priority="5796" operator="lessThan">
      <formula>0</formula>
    </cfRule>
  </conditionalFormatting>
  <conditionalFormatting sqref="F136:G1048576 G86:G135">
    <cfRule type="cellIs" dxfId="1537" priority="5795" operator="lessThan">
      <formula>0</formula>
    </cfRule>
  </conditionalFormatting>
  <conditionalFormatting sqref="F136:G1048576 G86:G135">
    <cfRule type="cellIs" dxfId="1536" priority="5794" operator="lessThan">
      <formula>0</formula>
    </cfRule>
  </conditionalFormatting>
  <conditionalFormatting sqref="F136:G1048576 G86:G135">
    <cfRule type="cellIs" dxfId="1535" priority="5793" operator="lessThan">
      <formula>0</formula>
    </cfRule>
  </conditionalFormatting>
  <conditionalFormatting sqref="F136:G1048576 G86:G135">
    <cfRule type="cellIs" dxfId="1534" priority="5792" operator="lessThan">
      <formula>0</formula>
    </cfRule>
  </conditionalFormatting>
  <conditionalFormatting sqref="F136:G1048576 G86:G135">
    <cfRule type="cellIs" dxfId="1533" priority="5791" operator="lessThan">
      <formula>0</formula>
    </cfRule>
  </conditionalFormatting>
  <conditionalFormatting sqref="F136:G1048576 G86:G135">
    <cfRule type="cellIs" dxfId="1532" priority="5790" operator="lessThan">
      <formula>0</formula>
    </cfRule>
  </conditionalFormatting>
  <conditionalFormatting sqref="F136:G1048576 G86:G135">
    <cfRule type="cellIs" dxfId="1531" priority="5789" operator="lessThan">
      <formula>0</formula>
    </cfRule>
  </conditionalFormatting>
  <conditionalFormatting sqref="F136:G1048576 G86:G135">
    <cfRule type="cellIs" dxfId="1530" priority="5788" operator="lessThan">
      <formula>0</formula>
    </cfRule>
  </conditionalFormatting>
  <conditionalFormatting sqref="F136:G1048576 G86:G135">
    <cfRule type="cellIs" dxfId="1529" priority="5787" operator="lessThan">
      <formula>0</formula>
    </cfRule>
  </conditionalFormatting>
  <conditionalFormatting sqref="F136:G1048576 G86:G135">
    <cfRule type="cellIs" dxfId="1528" priority="5786" operator="lessThan">
      <formula>0</formula>
    </cfRule>
  </conditionalFormatting>
  <conditionalFormatting sqref="F136:G1048576 G86:G135">
    <cfRule type="cellIs" dxfId="1527" priority="5785" operator="lessThan">
      <formula>0</formula>
    </cfRule>
  </conditionalFormatting>
  <conditionalFormatting sqref="F136:G1048576 G86:G135">
    <cfRule type="cellIs" dxfId="1526" priority="5784" operator="lessThan">
      <formula>0</formula>
    </cfRule>
  </conditionalFormatting>
  <conditionalFormatting sqref="F136:G1048576 G86:G135">
    <cfRule type="cellIs" dxfId="1525" priority="5783" operator="lessThan">
      <formula>0</formula>
    </cfRule>
  </conditionalFormatting>
  <conditionalFormatting sqref="F136:G1048576 G86:G135">
    <cfRule type="cellIs" dxfId="1524" priority="5782" operator="lessThan">
      <formula>0</formula>
    </cfRule>
  </conditionalFormatting>
  <conditionalFormatting sqref="F136:G1048576 G86:G135">
    <cfRule type="cellIs" dxfId="1523" priority="5781" operator="lessThan">
      <formula>0</formula>
    </cfRule>
  </conditionalFormatting>
  <conditionalFormatting sqref="F136:G1048576 G86:G135">
    <cfRule type="cellIs" dxfId="1522" priority="5780" operator="lessThan">
      <formula>0</formula>
    </cfRule>
  </conditionalFormatting>
  <conditionalFormatting sqref="F136:G1048576 G86:G135">
    <cfRule type="cellIs" dxfId="1521" priority="5779" operator="lessThan">
      <formula>0</formula>
    </cfRule>
  </conditionalFormatting>
  <conditionalFormatting sqref="F136:G1048576 G86:G135">
    <cfRule type="cellIs" dxfId="1520" priority="5778" operator="lessThan">
      <formula>0</formula>
    </cfRule>
  </conditionalFormatting>
  <conditionalFormatting sqref="F136:G1048576 G86:G135">
    <cfRule type="cellIs" dxfId="1519" priority="5777" operator="lessThan">
      <formula>0</formula>
    </cfRule>
  </conditionalFormatting>
  <conditionalFormatting sqref="F136:G1048576 G86:G135">
    <cfRule type="cellIs" dxfId="1518" priority="5776" operator="lessThan">
      <formula>0</formula>
    </cfRule>
  </conditionalFormatting>
  <conditionalFormatting sqref="F136:G1048576 G86:G135">
    <cfRule type="cellIs" dxfId="1517" priority="5775" operator="lessThan">
      <formula>0</formula>
    </cfRule>
  </conditionalFormatting>
  <conditionalFormatting sqref="F136:G1048576 G86:G135">
    <cfRule type="cellIs" dxfId="1516" priority="5774" operator="lessThan">
      <formula>0</formula>
    </cfRule>
  </conditionalFormatting>
  <conditionalFormatting sqref="F136:G1048576 G86:G135">
    <cfRule type="cellIs" dxfId="1515" priority="5773" operator="lessThan">
      <formula>0</formula>
    </cfRule>
  </conditionalFormatting>
  <conditionalFormatting sqref="F136:G1048576 G86:G135">
    <cfRule type="cellIs" dxfId="1514" priority="5772" operator="lessThan">
      <formula>0</formula>
    </cfRule>
  </conditionalFormatting>
  <conditionalFormatting sqref="F136:G1048576 G86:G135">
    <cfRule type="cellIs" dxfId="1513" priority="5771" operator="lessThan">
      <formula>0</formula>
    </cfRule>
  </conditionalFormatting>
  <conditionalFormatting sqref="F136:G1048576 G86:G135">
    <cfRule type="cellIs" dxfId="1512" priority="5770" operator="lessThan">
      <formula>0</formula>
    </cfRule>
  </conditionalFormatting>
  <conditionalFormatting sqref="F136:G1048576 G86:G135">
    <cfRule type="cellIs" dxfId="1511" priority="5769" operator="lessThan">
      <formula>0</formula>
    </cfRule>
  </conditionalFormatting>
  <conditionalFormatting sqref="F136:G1048576 G86:G135">
    <cfRule type="cellIs" dxfId="1510" priority="5768" operator="lessThan">
      <formula>0</formula>
    </cfRule>
  </conditionalFormatting>
  <conditionalFormatting sqref="F136:G1048576 G86:G135">
    <cfRule type="cellIs" dxfId="1509" priority="5767" operator="lessThan">
      <formula>0</formula>
    </cfRule>
  </conditionalFormatting>
  <conditionalFormatting sqref="F136:G1048576 G86:G135">
    <cfRule type="cellIs" dxfId="1508" priority="5766" operator="lessThan">
      <formula>0</formula>
    </cfRule>
  </conditionalFormatting>
  <conditionalFormatting sqref="F136:G1048576 G86:G135">
    <cfRule type="cellIs" dxfId="1507" priority="5765" operator="lessThan">
      <formula>0</formula>
    </cfRule>
  </conditionalFormatting>
  <conditionalFormatting sqref="F136:G1048576 G86:G135">
    <cfRule type="cellIs" dxfId="1506" priority="5764" operator="lessThan">
      <formula>0</formula>
    </cfRule>
  </conditionalFormatting>
  <conditionalFormatting sqref="F136:G1048576 G86:G135">
    <cfRule type="cellIs" dxfId="1505" priority="5763" operator="lessThan">
      <formula>0</formula>
    </cfRule>
  </conditionalFormatting>
  <conditionalFormatting sqref="F136:G1048576 G86:G135">
    <cfRule type="cellIs" dxfId="1504" priority="5762" operator="lessThan">
      <formula>0</formula>
    </cfRule>
  </conditionalFormatting>
  <conditionalFormatting sqref="F136:G1048576 G86:G135">
    <cfRule type="cellIs" dxfId="1503" priority="5761" operator="lessThan">
      <formula>0</formula>
    </cfRule>
  </conditionalFormatting>
  <conditionalFormatting sqref="F136:G1048576 G86:G135">
    <cfRule type="cellIs" dxfId="1502" priority="5760" operator="lessThan">
      <formula>0</formula>
    </cfRule>
  </conditionalFormatting>
  <conditionalFormatting sqref="F136:G1048576 G86:G135">
    <cfRule type="cellIs" dxfId="1501" priority="5759" operator="lessThan">
      <formula>0</formula>
    </cfRule>
  </conditionalFormatting>
  <conditionalFormatting sqref="F136:G1048576 G86:G135">
    <cfRule type="cellIs" dxfId="1500" priority="5758" operator="lessThan">
      <formula>0</formula>
    </cfRule>
  </conditionalFormatting>
  <conditionalFormatting sqref="F136:G1048576 G86:G135">
    <cfRule type="cellIs" dxfId="1499" priority="5757" operator="lessThan">
      <formula>0</formula>
    </cfRule>
  </conditionalFormatting>
  <conditionalFormatting sqref="F136:G1048576 G86:G135">
    <cfRule type="cellIs" dxfId="1498" priority="5756" operator="lessThan">
      <formula>0</formula>
    </cfRule>
  </conditionalFormatting>
  <conditionalFormatting sqref="F136:G1048576 G86:G135">
    <cfRule type="cellIs" dxfId="1497" priority="5755" operator="lessThan">
      <formula>0</formula>
    </cfRule>
  </conditionalFormatting>
  <conditionalFormatting sqref="F136:G1048576 G86:G135">
    <cfRule type="cellIs" dxfId="1496" priority="5754" operator="lessThan">
      <formula>0</formula>
    </cfRule>
  </conditionalFormatting>
  <conditionalFormatting sqref="F136:G1048576 G86:G135">
    <cfRule type="cellIs" dxfId="1495" priority="5753" operator="lessThan">
      <formula>0</formula>
    </cfRule>
  </conditionalFormatting>
  <conditionalFormatting sqref="F136:G1048576 G86:G135">
    <cfRule type="cellIs" dxfId="1494" priority="5752" operator="lessThan">
      <formula>0</formula>
    </cfRule>
  </conditionalFormatting>
  <conditionalFormatting sqref="F136:G1048576 G86:G135">
    <cfRule type="cellIs" dxfId="1493" priority="5751" operator="lessThan">
      <formula>0</formula>
    </cfRule>
  </conditionalFormatting>
  <conditionalFormatting sqref="F136:G1048576 G86:G135">
    <cfRule type="cellIs" dxfId="1492" priority="5750" operator="lessThan">
      <formula>0</formula>
    </cfRule>
  </conditionalFormatting>
  <conditionalFormatting sqref="F136:G1048576 G86:G135">
    <cfRule type="cellIs" dxfId="1491" priority="5749" operator="lessThan">
      <formula>0</formula>
    </cfRule>
  </conditionalFormatting>
  <conditionalFormatting sqref="F136:G1048576 G86:G135">
    <cfRule type="cellIs" dxfId="1490" priority="5748" operator="lessThan">
      <formula>0</formula>
    </cfRule>
  </conditionalFormatting>
  <conditionalFormatting sqref="F136:G1048576 G86:G135">
    <cfRule type="cellIs" dxfId="1489" priority="5747" operator="lessThan">
      <formula>0</formula>
    </cfRule>
  </conditionalFormatting>
  <conditionalFormatting sqref="F136:G1048576 G86:G135">
    <cfRule type="cellIs" dxfId="1488" priority="5746" operator="lessThan">
      <formula>0</formula>
    </cfRule>
  </conditionalFormatting>
  <conditionalFormatting sqref="F136:G1048576 G86:G135">
    <cfRule type="cellIs" dxfId="1487" priority="5745" operator="lessThan">
      <formula>0</formula>
    </cfRule>
  </conditionalFormatting>
  <conditionalFormatting sqref="F136:G1048576 G86:G135">
    <cfRule type="cellIs" dxfId="1486" priority="5744" operator="lessThan">
      <formula>0</formula>
    </cfRule>
  </conditionalFormatting>
  <conditionalFormatting sqref="F136:G1048576 G86:G135">
    <cfRule type="cellIs" dxfId="1485" priority="5743" operator="lessThan">
      <formula>0</formula>
    </cfRule>
  </conditionalFormatting>
  <conditionalFormatting sqref="F136:G1048576 G86:G135">
    <cfRule type="cellIs" dxfId="1484" priority="5742" operator="lessThan">
      <formula>0</formula>
    </cfRule>
  </conditionalFormatting>
  <conditionalFormatting sqref="F136:G1048576 G86:G135">
    <cfRule type="cellIs" dxfId="1483" priority="5741" operator="lessThan">
      <formula>0</formula>
    </cfRule>
  </conditionalFormatting>
  <conditionalFormatting sqref="F136:G1048576 G86:G135">
    <cfRule type="cellIs" dxfId="1482" priority="5740" operator="lessThan">
      <formula>0</formula>
    </cfRule>
  </conditionalFormatting>
  <conditionalFormatting sqref="F136:G1048576 G86:G135">
    <cfRule type="cellIs" dxfId="1481" priority="5739" operator="lessThan">
      <formula>0</formula>
    </cfRule>
  </conditionalFormatting>
  <conditionalFormatting sqref="F136:G1048576 G86:G135">
    <cfRule type="cellIs" dxfId="1480" priority="5738" operator="lessThan">
      <formula>0</formula>
    </cfRule>
  </conditionalFormatting>
  <conditionalFormatting sqref="F136:G1048576 G86:G135">
    <cfRule type="cellIs" dxfId="1479" priority="5737" operator="lessThan">
      <formula>0</formula>
    </cfRule>
  </conditionalFormatting>
  <conditionalFormatting sqref="F136:G1048576 G86:G135">
    <cfRule type="cellIs" dxfId="1478" priority="5736" operator="lessThan">
      <formula>0</formula>
    </cfRule>
  </conditionalFormatting>
  <conditionalFormatting sqref="F136:G1048576 G86:G135">
    <cfRule type="cellIs" dxfId="1477" priority="5735" operator="lessThan">
      <formula>0</formula>
    </cfRule>
  </conditionalFormatting>
  <conditionalFormatting sqref="F136:G1048576 G86:G135">
    <cfRule type="cellIs" dxfId="1476" priority="5734" operator="lessThan">
      <formula>0</formula>
    </cfRule>
  </conditionalFormatting>
  <conditionalFormatting sqref="F136:G1048576 G86:G135">
    <cfRule type="cellIs" dxfId="1475" priority="5733" operator="lessThan">
      <formula>0</formula>
    </cfRule>
  </conditionalFormatting>
  <conditionalFormatting sqref="F136:G1048576 G86:G135">
    <cfRule type="cellIs" dxfId="1474" priority="5732" operator="lessThan">
      <formula>0</formula>
    </cfRule>
  </conditionalFormatting>
  <conditionalFormatting sqref="F136:G1048576 G86:G135">
    <cfRule type="cellIs" dxfId="1473" priority="5731" operator="lessThan">
      <formula>0</formula>
    </cfRule>
  </conditionalFormatting>
  <conditionalFormatting sqref="F136:G1048576 G86:G135">
    <cfRule type="cellIs" dxfId="1472" priority="5730" operator="lessThan">
      <formula>0</formula>
    </cfRule>
  </conditionalFormatting>
  <conditionalFormatting sqref="F136:G1048576 G86:G135">
    <cfRule type="cellIs" dxfId="1471" priority="5729" operator="lessThan">
      <formula>0</formula>
    </cfRule>
  </conditionalFormatting>
  <conditionalFormatting sqref="F136:G1048576 G86:G135">
    <cfRule type="cellIs" dxfId="1470" priority="5728" operator="lessThan">
      <formula>0</formula>
    </cfRule>
  </conditionalFormatting>
  <conditionalFormatting sqref="F136:G1048576 G86:G135">
    <cfRule type="cellIs" dxfId="1469" priority="5727" operator="lessThan">
      <formula>0</formula>
    </cfRule>
  </conditionalFormatting>
  <conditionalFormatting sqref="F136:G1048576 G86:G135">
    <cfRule type="cellIs" dxfId="1468" priority="5726" operator="lessThan">
      <formula>0</formula>
    </cfRule>
  </conditionalFormatting>
  <conditionalFormatting sqref="F136:G1048576 G86:G135">
    <cfRule type="cellIs" dxfId="1467" priority="5725" operator="lessThan">
      <formula>0</formula>
    </cfRule>
  </conditionalFormatting>
  <conditionalFormatting sqref="F136:G1048576 G86:G135">
    <cfRule type="cellIs" dxfId="1466" priority="5724" operator="lessThan">
      <formula>0</formula>
    </cfRule>
  </conditionalFormatting>
  <conditionalFormatting sqref="F136:G1048576 G86:G135">
    <cfRule type="cellIs" dxfId="1465" priority="5723" operator="lessThan">
      <formula>0</formula>
    </cfRule>
  </conditionalFormatting>
  <conditionalFormatting sqref="F136:G1048576 G86:G135">
    <cfRule type="cellIs" dxfId="1464" priority="5722" operator="lessThan">
      <formula>0</formula>
    </cfRule>
  </conditionalFormatting>
  <conditionalFormatting sqref="F136:G1048576 G86:G135">
    <cfRule type="cellIs" dxfId="1463" priority="5721" operator="lessThan">
      <formula>0</formula>
    </cfRule>
  </conditionalFormatting>
  <conditionalFormatting sqref="F136:G1048576 G86:G135">
    <cfRule type="cellIs" dxfId="1462" priority="5720" operator="lessThan">
      <formula>0</formula>
    </cfRule>
  </conditionalFormatting>
  <conditionalFormatting sqref="F136:G1048576 G86:G135">
    <cfRule type="cellIs" dxfId="1461" priority="5719" operator="lessThan">
      <formula>0</formula>
    </cfRule>
  </conditionalFormatting>
  <conditionalFormatting sqref="F136:G1048576 G86:G135">
    <cfRule type="cellIs" dxfId="1460" priority="5718" operator="lessThan">
      <formula>0</formula>
    </cfRule>
  </conditionalFormatting>
  <conditionalFormatting sqref="F136:G1048576 G86:G135">
    <cfRule type="cellIs" dxfId="1459" priority="5717" operator="lessThan">
      <formula>0</formula>
    </cfRule>
  </conditionalFormatting>
  <conditionalFormatting sqref="F136:G1048576 G86:G135">
    <cfRule type="cellIs" dxfId="1458" priority="5716" operator="lessThan">
      <formula>0</formula>
    </cfRule>
  </conditionalFormatting>
  <conditionalFormatting sqref="F136:G1048576 G86:G135">
    <cfRule type="cellIs" dxfId="1457" priority="5715" operator="lessThan">
      <formula>0</formula>
    </cfRule>
  </conditionalFormatting>
  <conditionalFormatting sqref="F136:G1048576 G86:G135">
    <cfRule type="cellIs" dxfId="1456" priority="5714" operator="lessThan">
      <formula>0</formula>
    </cfRule>
  </conditionalFormatting>
  <conditionalFormatting sqref="F136:G1048576 G86:G135">
    <cfRule type="cellIs" dxfId="1455" priority="5713" operator="lessThan">
      <formula>0</formula>
    </cfRule>
  </conditionalFormatting>
  <conditionalFormatting sqref="F136:G1048576 G86:G135">
    <cfRule type="cellIs" dxfId="1454" priority="5712" operator="lessThan">
      <formula>0</formula>
    </cfRule>
  </conditionalFormatting>
  <conditionalFormatting sqref="F136:G1048576 G86:G135">
    <cfRule type="cellIs" dxfId="1453" priority="5711" operator="lessThan">
      <formula>0</formula>
    </cfRule>
  </conditionalFormatting>
  <conditionalFormatting sqref="F136:G1048576 G86:G135">
    <cfRule type="cellIs" dxfId="1452" priority="5710" operator="lessThan">
      <formula>0</formula>
    </cfRule>
  </conditionalFormatting>
  <conditionalFormatting sqref="F136:G1048576 G86:G135">
    <cfRule type="cellIs" dxfId="1451" priority="5709" operator="lessThan">
      <formula>0</formula>
    </cfRule>
  </conditionalFormatting>
  <conditionalFormatting sqref="F136:G1048576 G86:G135">
    <cfRule type="cellIs" dxfId="1450" priority="5708" operator="lessThan">
      <formula>0</formula>
    </cfRule>
  </conditionalFormatting>
  <conditionalFormatting sqref="F136:G1048576 G86:G135">
    <cfRule type="cellIs" dxfId="1449" priority="5707" operator="lessThan">
      <formula>0</formula>
    </cfRule>
  </conditionalFormatting>
  <conditionalFormatting sqref="F136:G1048576 G86:G135">
    <cfRule type="cellIs" dxfId="1448" priority="5706" operator="lessThan">
      <formula>0</formula>
    </cfRule>
  </conditionalFormatting>
  <conditionalFormatting sqref="F136:G1048576 G86:G135">
    <cfRule type="cellIs" dxfId="1447" priority="5705" operator="lessThan">
      <formula>0</formula>
    </cfRule>
  </conditionalFormatting>
  <conditionalFormatting sqref="F136:G1048576 G86:G135">
    <cfRule type="cellIs" dxfId="1446" priority="5704" operator="lessThan">
      <formula>0</formula>
    </cfRule>
  </conditionalFormatting>
  <conditionalFormatting sqref="F136:G1048576 G86:G135">
    <cfRule type="cellIs" dxfId="1445" priority="5703" operator="lessThan">
      <formula>0</formula>
    </cfRule>
  </conditionalFormatting>
  <conditionalFormatting sqref="F136:G1048576 G86:G135">
    <cfRule type="cellIs" dxfId="1444" priority="5702" operator="lessThan">
      <formula>0</formula>
    </cfRule>
  </conditionalFormatting>
  <conditionalFormatting sqref="F136:G1048576 G86:G135">
    <cfRule type="cellIs" dxfId="1443" priority="5701" operator="lessThan">
      <formula>0</formula>
    </cfRule>
  </conditionalFormatting>
  <conditionalFormatting sqref="F136:G1048576 G86:G135">
    <cfRule type="cellIs" dxfId="1442" priority="5700" operator="lessThan">
      <formula>0</formula>
    </cfRule>
  </conditionalFormatting>
  <conditionalFormatting sqref="F136:G1048576 G86:G135">
    <cfRule type="cellIs" dxfId="1441" priority="5699" operator="lessThan">
      <formula>0</formula>
    </cfRule>
  </conditionalFormatting>
  <conditionalFormatting sqref="F136:G1048576 G86:G135">
    <cfRule type="cellIs" dxfId="1440" priority="5698" operator="lessThan">
      <formula>0</formula>
    </cfRule>
  </conditionalFormatting>
  <conditionalFormatting sqref="F136:G1048576 G86:G135">
    <cfRule type="cellIs" dxfId="1439" priority="5697" operator="lessThan">
      <formula>0</formula>
    </cfRule>
  </conditionalFormatting>
  <conditionalFormatting sqref="F136:G1048576 G86:G135">
    <cfRule type="cellIs" dxfId="1438" priority="5696" operator="lessThan">
      <formula>0</formula>
    </cfRule>
  </conditionalFormatting>
  <conditionalFormatting sqref="F136:G1048576 G86:G135">
    <cfRule type="cellIs" dxfId="1437" priority="5695" operator="lessThan">
      <formula>0</formula>
    </cfRule>
  </conditionalFormatting>
  <conditionalFormatting sqref="F136:G1048576 G86:G135">
    <cfRule type="cellIs" dxfId="1436" priority="5694" operator="lessThan">
      <formula>0</formula>
    </cfRule>
  </conditionalFormatting>
  <conditionalFormatting sqref="F136:G1048576 G86:G135">
    <cfRule type="cellIs" dxfId="1435" priority="5693" operator="lessThan">
      <formula>0</formula>
    </cfRule>
  </conditionalFormatting>
  <conditionalFormatting sqref="F136:G1048576 G86:G135">
    <cfRule type="cellIs" dxfId="1434" priority="5692" operator="lessThan">
      <formula>0</formula>
    </cfRule>
  </conditionalFormatting>
  <conditionalFormatting sqref="F136:G1048576 G86:G135">
    <cfRule type="cellIs" dxfId="1433" priority="5691" operator="lessThan">
      <formula>0</formula>
    </cfRule>
  </conditionalFormatting>
  <conditionalFormatting sqref="F136:G1048576 G86:G135">
    <cfRule type="cellIs" dxfId="1432" priority="5690" operator="lessThan">
      <formula>0</formula>
    </cfRule>
  </conditionalFormatting>
  <conditionalFormatting sqref="F136:G1048576 G86:G135">
    <cfRule type="cellIs" dxfId="1431" priority="5689" operator="lessThan">
      <formula>0</formula>
    </cfRule>
  </conditionalFormatting>
  <conditionalFormatting sqref="F136:G1048576 G86:G135">
    <cfRule type="cellIs" dxfId="1430" priority="5688" operator="lessThan">
      <formula>0</formula>
    </cfRule>
  </conditionalFormatting>
  <conditionalFormatting sqref="F136:G1048576 G86:G135">
    <cfRule type="cellIs" dxfId="1429" priority="5687" operator="lessThan">
      <formula>0</formula>
    </cfRule>
  </conditionalFormatting>
  <conditionalFormatting sqref="F136:G1048576 G86:G135">
    <cfRule type="cellIs" dxfId="1428" priority="5686" operator="lessThan">
      <formula>0</formula>
    </cfRule>
  </conditionalFormatting>
  <conditionalFormatting sqref="F136:G1048576 G86:G135">
    <cfRule type="cellIs" dxfId="1427" priority="5685" operator="lessThan">
      <formula>0</formula>
    </cfRule>
  </conditionalFormatting>
  <conditionalFormatting sqref="F136:G1048576 G86:G135">
    <cfRule type="cellIs" dxfId="1426" priority="5684" operator="lessThan">
      <formula>0</formula>
    </cfRule>
  </conditionalFormatting>
  <conditionalFormatting sqref="F136:G1048576 G86:G135">
    <cfRule type="cellIs" dxfId="1425" priority="5683" operator="lessThan">
      <formula>0</formula>
    </cfRule>
  </conditionalFormatting>
  <conditionalFormatting sqref="F136:G1048576 G86:G135">
    <cfRule type="cellIs" dxfId="1424" priority="5682" operator="lessThan">
      <formula>0</formula>
    </cfRule>
  </conditionalFormatting>
  <conditionalFormatting sqref="F136:G1048576 G86:G135">
    <cfRule type="cellIs" dxfId="1423" priority="5681" operator="lessThan">
      <formula>0</formula>
    </cfRule>
  </conditionalFormatting>
  <conditionalFormatting sqref="F136:G1048576 G86:G135">
    <cfRule type="cellIs" dxfId="1422" priority="5680" operator="lessThan">
      <formula>0</formula>
    </cfRule>
  </conditionalFormatting>
  <conditionalFormatting sqref="F136:G1048576 G86:G135">
    <cfRule type="cellIs" dxfId="1421" priority="5679" operator="lessThan">
      <formula>0</formula>
    </cfRule>
  </conditionalFormatting>
  <conditionalFormatting sqref="F136:G1048576 G86:G135">
    <cfRule type="cellIs" dxfId="1420" priority="5678" operator="lessThan">
      <formula>0</formula>
    </cfRule>
  </conditionalFormatting>
  <conditionalFormatting sqref="F136:G1048576 G86:G135">
    <cfRule type="cellIs" dxfId="1419" priority="5677" operator="lessThan">
      <formula>0</formula>
    </cfRule>
  </conditionalFormatting>
  <conditionalFormatting sqref="F136:G1048576 G86:G135">
    <cfRule type="cellIs" dxfId="1418" priority="5676" operator="lessThan">
      <formula>0</formula>
    </cfRule>
  </conditionalFormatting>
  <conditionalFormatting sqref="F136:G1048576 G86:G135">
    <cfRule type="cellIs" dxfId="1417" priority="5675" operator="lessThan">
      <formula>0</formula>
    </cfRule>
  </conditionalFormatting>
  <conditionalFormatting sqref="F136:G1048576 G86:G135">
    <cfRule type="cellIs" dxfId="1416" priority="5674" operator="lessThan">
      <formula>0</formula>
    </cfRule>
  </conditionalFormatting>
  <conditionalFormatting sqref="F136:G1048576 G86:G135">
    <cfRule type="cellIs" dxfId="1415" priority="5673" operator="lessThan">
      <formula>0</formula>
    </cfRule>
  </conditionalFormatting>
  <conditionalFormatting sqref="F136:G1048576 G86:G135">
    <cfRule type="cellIs" dxfId="1414" priority="5672" operator="lessThan">
      <formula>0</formula>
    </cfRule>
  </conditionalFormatting>
  <conditionalFormatting sqref="F136:G1048576 G86:G135">
    <cfRule type="cellIs" dxfId="1413" priority="5671" operator="lessThan">
      <formula>0</formula>
    </cfRule>
  </conditionalFormatting>
  <conditionalFormatting sqref="F136:G1048576 G86:G135">
    <cfRule type="cellIs" dxfId="1412" priority="5670" operator="lessThan">
      <formula>0</formula>
    </cfRule>
  </conditionalFormatting>
  <conditionalFormatting sqref="F136:G1048576 G86:G135">
    <cfRule type="cellIs" dxfId="1411" priority="5669" operator="lessThan">
      <formula>0</formula>
    </cfRule>
  </conditionalFormatting>
  <conditionalFormatting sqref="F136:G1048576 G86:G135">
    <cfRule type="cellIs" dxfId="1410" priority="5668" operator="lessThan">
      <formula>0</formula>
    </cfRule>
  </conditionalFormatting>
  <conditionalFormatting sqref="F136:G1048576 G86:G135">
    <cfRule type="cellIs" dxfId="1409" priority="5667" operator="lessThan">
      <formula>0</formula>
    </cfRule>
  </conditionalFormatting>
  <conditionalFormatting sqref="F136:G1048576 G86:G135">
    <cfRule type="cellIs" dxfId="1408" priority="5666" operator="lessThan">
      <formula>0</formula>
    </cfRule>
  </conditionalFormatting>
  <conditionalFormatting sqref="F136:G1048576 G86:G135">
    <cfRule type="cellIs" dxfId="1407" priority="5665" operator="lessThan">
      <formula>0</formula>
    </cfRule>
  </conditionalFormatting>
  <conditionalFormatting sqref="F136:G1048576 G86:G135">
    <cfRule type="cellIs" dxfId="1406" priority="5664" operator="lessThan">
      <formula>0</formula>
    </cfRule>
  </conditionalFormatting>
  <conditionalFormatting sqref="F136:G1048576 G86:G135">
    <cfRule type="cellIs" dxfId="1405" priority="5663" operator="lessThan">
      <formula>0</formula>
    </cfRule>
  </conditionalFormatting>
  <conditionalFormatting sqref="F136:G1048576 G86:G135">
    <cfRule type="cellIs" dxfId="1404" priority="5662" operator="lessThan">
      <formula>0</formula>
    </cfRule>
  </conditionalFormatting>
  <conditionalFormatting sqref="F136:G1048576 G86:G135">
    <cfRule type="cellIs" dxfId="1403" priority="5661" operator="lessThan">
      <formula>0</formula>
    </cfRule>
  </conditionalFormatting>
  <conditionalFormatting sqref="F136:G1048576 G86:G135">
    <cfRule type="cellIs" dxfId="1402" priority="5660" operator="lessThan">
      <formula>0</formula>
    </cfRule>
  </conditionalFormatting>
  <conditionalFormatting sqref="F136:G1048576 G86:G135">
    <cfRule type="cellIs" dxfId="1401" priority="5659" operator="lessThan">
      <formula>0</formula>
    </cfRule>
  </conditionalFormatting>
  <conditionalFormatting sqref="F136:G1048576 G86:G135">
    <cfRule type="cellIs" dxfId="1400" priority="5658" operator="lessThan">
      <formula>0</formula>
    </cfRule>
  </conditionalFormatting>
  <conditionalFormatting sqref="F136:G1048576 G86:G135">
    <cfRule type="cellIs" dxfId="1399" priority="5657" operator="lessThan">
      <formula>0</formula>
    </cfRule>
  </conditionalFormatting>
  <conditionalFormatting sqref="F136:G1048576 G86:G135">
    <cfRule type="cellIs" dxfId="1398" priority="5656" operator="lessThan">
      <formula>0</formula>
    </cfRule>
  </conditionalFormatting>
  <conditionalFormatting sqref="F136:G1048576 G61:G135">
    <cfRule type="cellIs" dxfId="1397" priority="5655" operator="lessThan">
      <formula>0</formula>
    </cfRule>
  </conditionalFormatting>
  <conditionalFormatting sqref="F136:G1048576 G61:G135">
    <cfRule type="cellIs" dxfId="1396" priority="5654" operator="lessThan">
      <formula>0</formula>
    </cfRule>
  </conditionalFormatting>
  <conditionalFormatting sqref="F136:G1048576 G61:G135">
    <cfRule type="cellIs" dxfId="1395" priority="5653" operator="lessThan">
      <formula>0</formula>
    </cfRule>
  </conditionalFormatting>
  <conditionalFormatting sqref="F136:G1048576 G61:G135">
    <cfRule type="cellIs" dxfId="1394" priority="5652" operator="lessThan">
      <formula>0</formula>
    </cfRule>
  </conditionalFormatting>
  <conditionalFormatting sqref="F136:G1048576 G61:G135">
    <cfRule type="cellIs" dxfId="1393" priority="5651" operator="lessThan">
      <formula>0</formula>
    </cfRule>
  </conditionalFormatting>
  <conditionalFormatting sqref="F136:G1048576 G61:G135">
    <cfRule type="cellIs" dxfId="1392" priority="5650" operator="lessThan">
      <formula>0</formula>
    </cfRule>
  </conditionalFormatting>
  <conditionalFormatting sqref="F136:G1048576 G61:G135">
    <cfRule type="cellIs" dxfId="1391" priority="5649" operator="lessThan">
      <formula>0</formula>
    </cfRule>
  </conditionalFormatting>
  <conditionalFormatting sqref="F136:G1048576 G61:G135">
    <cfRule type="cellIs" dxfId="1390" priority="5648" operator="lessThan">
      <formula>0</formula>
    </cfRule>
  </conditionalFormatting>
  <conditionalFormatting sqref="F136:G1048576 G61:G135">
    <cfRule type="cellIs" dxfId="1389" priority="5647" operator="lessThan">
      <formula>0</formula>
    </cfRule>
  </conditionalFormatting>
  <conditionalFormatting sqref="F136:G1048576 G61:G135">
    <cfRule type="cellIs" dxfId="1388" priority="5646" operator="lessThan">
      <formula>0</formula>
    </cfRule>
  </conditionalFormatting>
  <conditionalFormatting sqref="F136:G1048576 G61:G135">
    <cfRule type="cellIs" dxfId="1387" priority="5645" operator="lessThan">
      <formula>0</formula>
    </cfRule>
  </conditionalFormatting>
  <conditionalFormatting sqref="F136:G1048576 G61:G135">
    <cfRule type="cellIs" dxfId="1386" priority="5644" operator="lessThan">
      <formula>0</formula>
    </cfRule>
  </conditionalFormatting>
  <conditionalFormatting sqref="F136:G1048576 G61:G135">
    <cfRule type="cellIs" dxfId="1385" priority="5643" operator="lessThan">
      <formula>0</formula>
    </cfRule>
  </conditionalFormatting>
  <conditionalFormatting sqref="F136:G1048576 G61:G135">
    <cfRule type="cellIs" dxfId="1384" priority="5642" operator="lessThan">
      <formula>0</formula>
    </cfRule>
  </conditionalFormatting>
  <conditionalFormatting sqref="F136:G1048576 G61:G135">
    <cfRule type="cellIs" dxfId="1383" priority="5641" operator="lessThan">
      <formula>0</formula>
    </cfRule>
  </conditionalFormatting>
  <conditionalFormatting sqref="F136:G1048576 G61:G135">
    <cfRule type="cellIs" dxfId="1382" priority="5640" operator="lessThan">
      <formula>0</formula>
    </cfRule>
  </conditionalFormatting>
  <conditionalFormatting sqref="F136:G1048576 G61:G135">
    <cfRule type="cellIs" dxfId="1381" priority="5639" operator="lessThan">
      <formula>0</formula>
    </cfRule>
  </conditionalFormatting>
  <conditionalFormatting sqref="F136:G1048576 G61:G135">
    <cfRule type="cellIs" dxfId="1380" priority="5638" operator="lessThan">
      <formula>0</formula>
    </cfRule>
  </conditionalFormatting>
  <conditionalFormatting sqref="F136:G1048576 G61:G135">
    <cfRule type="cellIs" dxfId="1379" priority="5637" operator="lessThan">
      <formula>0</formula>
    </cfRule>
  </conditionalFormatting>
  <conditionalFormatting sqref="F136:G1048576 G61:G135">
    <cfRule type="cellIs" dxfId="1378" priority="5636" operator="lessThan">
      <formula>0</formula>
    </cfRule>
  </conditionalFormatting>
  <conditionalFormatting sqref="F136:G1048576 G61:G135">
    <cfRule type="cellIs" dxfId="1377" priority="5635" operator="lessThan">
      <formula>0</formula>
    </cfRule>
  </conditionalFormatting>
  <conditionalFormatting sqref="F136:G1048576 G61:G135">
    <cfRule type="cellIs" dxfId="1376" priority="5634" operator="lessThan">
      <formula>0</formula>
    </cfRule>
  </conditionalFormatting>
  <conditionalFormatting sqref="F136:G1048576 G61:G135">
    <cfRule type="cellIs" dxfId="1375" priority="5633" operator="lessThan">
      <formula>0</formula>
    </cfRule>
  </conditionalFormatting>
  <conditionalFormatting sqref="F136:G1048576 G61:G135">
    <cfRule type="cellIs" dxfId="1374" priority="5632" operator="lessThan">
      <formula>0</formula>
    </cfRule>
  </conditionalFormatting>
  <conditionalFormatting sqref="F136:G1048576 G61:G135">
    <cfRule type="cellIs" dxfId="1373" priority="5631" operator="lessThan">
      <formula>0</formula>
    </cfRule>
  </conditionalFormatting>
  <conditionalFormatting sqref="F136:G1048576 G61:G135">
    <cfRule type="cellIs" dxfId="1372" priority="5630" operator="lessThan">
      <formula>0</formula>
    </cfRule>
  </conditionalFormatting>
  <conditionalFormatting sqref="F136:G1048576 G61:G135">
    <cfRule type="cellIs" dxfId="1371" priority="5629" operator="lessThan">
      <formula>0</formula>
    </cfRule>
  </conditionalFormatting>
  <conditionalFormatting sqref="F136:G1048576 G61:G135">
    <cfRule type="cellIs" dxfId="1370" priority="5628" operator="lessThan">
      <formula>0</formula>
    </cfRule>
  </conditionalFormatting>
  <conditionalFormatting sqref="F136:G1048576 G61:G135">
    <cfRule type="cellIs" dxfId="1369" priority="5627" operator="lessThan">
      <formula>0</formula>
    </cfRule>
  </conditionalFormatting>
  <conditionalFormatting sqref="F136:G1048576 G61:G135">
    <cfRule type="cellIs" dxfId="1368" priority="5626" operator="lessThan">
      <formula>0</formula>
    </cfRule>
  </conditionalFormatting>
  <conditionalFormatting sqref="F136:G1048576 G61:G135">
    <cfRule type="cellIs" dxfId="1367" priority="5625" operator="lessThan">
      <formula>0</formula>
    </cfRule>
  </conditionalFormatting>
  <conditionalFormatting sqref="F136:G1048576 G61:G135">
    <cfRule type="cellIs" dxfId="1366" priority="5624" operator="lessThan">
      <formula>0</formula>
    </cfRule>
  </conditionalFormatting>
  <conditionalFormatting sqref="F136:G1048576 G61:G135">
    <cfRule type="cellIs" dxfId="1365" priority="5623" operator="lessThan">
      <formula>0</formula>
    </cfRule>
  </conditionalFormatting>
  <conditionalFormatting sqref="F136:G1048576 G61:G135">
    <cfRule type="cellIs" dxfId="1364" priority="5622" operator="lessThan">
      <formula>0</formula>
    </cfRule>
  </conditionalFormatting>
  <conditionalFormatting sqref="F136:G1048576 G61:G135">
    <cfRule type="cellIs" dxfId="1363" priority="5621" operator="lessThan">
      <formula>0</formula>
    </cfRule>
  </conditionalFormatting>
  <conditionalFormatting sqref="F136:G1048576 G61:G135">
    <cfRule type="cellIs" dxfId="1362" priority="5620" operator="lessThan">
      <formula>0</formula>
    </cfRule>
  </conditionalFormatting>
  <conditionalFormatting sqref="F136:G1048576 G61:G135">
    <cfRule type="cellIs" dxfId="1361" priority="5619" operator="lessThan">
      <formula>0</formula>
    </cfRule>
  </conditionalFormatting>
  <conditionalFormatting sqref="F136:G1048576 G61:G135">
    <cfRule type="cellIs" dxfId="1360" priority="5618" operator="lessThan">
      <formula>0</formula>
    </cfRule>
  </conditionalFormatting>
  <conditionalFormatting sqref="F136:G1048576 G61:G135">
    <cfRule type="cellIs" dxfId="1359" priority="5617" operator="lessThan">
      <formula>0</formula>
    </cfRule>
  </conditionalFormatting>
  <conditionalFormatting sqref="F136:G1048576 G61:G135">
    <cfRule type="cellIs" dxfId="1358" priority="5616" operator="lessThan">
      <formula>0</formula>
    </cfRule>
  </conditionalFormatting>
  <conditionalFormatting sqref="F136:G1048576 G61:G135">
    <cfRule type="cellIs" dxfId="1357" priority="5615" operator="lessThan">
      <formula>0</formula>
    </cfRule>
  </conditionalFormatting>
  <conditionalFormatting sqref="F136:G1048576 G61:G135">
    <cfRule type="cellIs" dxfId="1356" priority="5614" operator="lessThan">
      <formula>0</formula>
    </cfRule>
  </conditionalFormatting>
  <conditionalFormatting sqref="F136:G1048576 G61:G135">
    <cfRule type="cellIs" dxfId="1355" priority="5613" operator="lessThan">
      <formula>0</formula>
    </cfRule>
  </conditionalFormatting>
  <conditionalFormatting sqref="F136:G1048576 G61:G135">
    <cfRule type="cellIs" dxfId="1354" priority="5612" operator="lessThan">
      <formula>0</formula>
    </cfRule>
  </conditionalFormatting>
  <conditionalFormatting sqref="F136:G1048576 G61:G135">
    <cfRule type="cellIs" dxfId="1353" priority="5611" operator="lessThan">
      <formula>0</formula>
    </cfRule>
  </conditionalFormatting>
  <conditionalFormatting sqref="F136:G1048576 G61:G135">
    <cfRule type="cellIs" dxfId="1352" priority="5610" operator="lessThan">
      <formula>0</formula>
    </cfRule>
  </conditionalFormatting>
  <conditionalFormatting sqref="F136:G1048576 G61:G135">
    <cfRule type="cellIs" dxfId="1351" priority="5609" operator="lessThan">
      <formula>0</formula>
    </cfRule>
  </conditionalFormatting>
  <conditionalFormatting sqref="F136:G1048576 G61:G135">
    <cfRule type="cellIs" dxfId="1350" priority="5608" operator="lessThan">
      <formula>0</formula>
    </cfRule>
  </conditionalFormatting>
  <conditionalFormatting sqref="F136:G1048576 G61:G135">
    <cfRule type="cellIs" dxfId="1349" priority="5607" operator="lessThan">
      <formula>0</formula>
    </cfRule>
  </conditionalFormatting>
  <conditionalFormatting sqref="F136:G1048576 G61:G135">
    <cfRule type="cellIs" dxfId="1348" priority="5606" operator="lessThan">
      <formula>0</formula>
    </cfRule>
  </conditionalFormatting>
  <conditionalFormatting sqref="F136:G1048576 G61:G135">
    <cfRule type="cellIs" dxfId="1347" priority="5605" operator="lessThan">
      <formula>0</formula>
    </cfRule>
  </conditionalFormatting>
  <conditionalFormatting sqref="F136:G1048576 G61:G135">
    <cfRule type="cellIs" dxfId="1346" priority="5604" operator="lessThan">
      <formula>0</formula>
    </cfRule>
  </conditionalFormatting>
  <conditionalFormatting sqref="F136:G1048576 G61:G135">
    <cfRule type="cellIs" dxfId="1345" priority="5603" operator="lessThan">
      <formula>0</formula>
    </cfRule>
  </conditionalFormatting>
  <conditionalFormatting sqref="F136:G1048576 G61:G135">
    <cfRule type="cellIs" dxfId="1344" priority="5602" operator="lessThan">
      <formula>0</formula>
    </cfRule>
  </conditionalFormatting>
  <conditionalFormatting sqref="F136:G1048576 G61:G135">
    <cfRule type="cellIs" dxfId="1343" priority="5601" operator="lessThan">
      <formula>0</formula>
    </cfRule>
  </conditionalFormatting>
  <conditionalFormatting sqref="F136:G1048576 G61:G135">
    <cfRule type="cellIs" dxfId="1342" priority="5600" operator="lessThan">
      <formula>0</formula>
    </cfRule>
  </conditionalFormatting>
  <conditionalFormatting sqref="F136:G1048576 G61:G135">
    <cfRule type="cellIs" dxfId="1341" priority="5599" operator="lessThan">
      <formula>0</formula>
    </cfRule>
  </conditionalFormatting>
  <conditionalFormatting sqref="F136:G1048576 G61:G135">
    <cfRule type="cellIs" dxfId="1340" priority="5598" operator="lessThan">
      <formula>0</formula>
    </cfRule>
  </conditionalFormatting>
  <conditionalFormatting sqref="F136:G1048576 G61:G135">
    <cfRule type="cellIs" dxfId="1339" priority="5597" operator="lessThan">
      <formula>0</formula>
    </cfRule>
  </conditionalFormatting>
  <conditionalFormatting sqref="F136:G1048576 G61:G135">
    <cfRule type="cellIs" dxfId="1338" priority="5596" operator="lessThan">
      <formula>0</formula>
    </cfRule>
  </conditionalFormatting>
  <conditionalFormatting sqref="F136:G1048576 G61:G135">
    <cfRule type="cellIs" dxfId="1337" priority="5595" operator="lessThan">
      <formula>0</formula>
    </cfRule>
  </conditionalFormatting>
  <conditionalFormatting sqref="F136:G1048576 G61:G135">
    <cfRule type="cellIs" dxfId="1336" priority="5594" operator="lessThan">
      <formula>0</formula>
    </cfRule>
  </conditionalFormatting>
  <conditionalFormatting sqref="F136:G1048576 G61:G135">
    <cfRule type="cellIs" dxfId="1335" priority="5593" operator="lessThan">
      <formula>0</formula>
    </cfRule>
  </conditionalFormatting>
  <conditionalFormatting sqref="F136:G1048576 G61:G135">
    <cfRule type="cellIs" dxfId="1334" priority="5592" operator="lessThan">
      <formula>0</formula>
    </cfRule>
  </conditionalFormatting>
  <conditionalFormatting sqref="F136:G1048576 G61:G135">
    <cfRule type="cellIs" dxfId="1333" priority="5591" operator="lessThan">
      <formula>0</formula>
    </cfRule>
  </conditionalFormatting>
  <conditionalFormatting sqref="F136:G1048576 G61:G135">
    <cfRule type="cellIs" dxfId="1332" priority="5590" operator="lessThan">
      <formula>0</formula>
    </cfRule>
  </conditionalFormatting>
  <conditionalFormatting sqref="F136:G1048576 G61:G135">
    <cfRule type="cellIs" dxfId="1331" priority="5589" operator="lessThan">
      <formula>0</formula>
    </cfRule>
  </conditionalFormatting>
  <conditionalFormatting sqref="F136:G1048576 G61:G135">
    <cfRule type="cellIs" dxfId="1330" priority="5588" operator="lessThan">
      <formula>0</formula>
    </cfRule>
  </conditionalFormatting>
  <conditionalFormatting sqref="F136:G1048576 G61:G135">
    <cfRule type="cellIs" dxfId="1329" priority="5587" operator="lessThan">
      <formula>0</formula>
    </cfRule>
  </conditionalFormatting>
  <conditionalFormatting sqref="F136:G1048576 G61:G135">
    <cfRule type="cellIs" dxfId="1328" priority="5586" operator="lessThan">
      <formula>0</formula>
    </cfRule>
  </conditionalFormatting>
  <conditionalFormatting sqref="F136:G1048576 G61:G135">
    <cfRule type="cellIs" dxfId="1327" priority="5585" operator="lessThan">
      <formula>0</formula>
    </cfRule>
  </conditionalFormatting>
  <conditionalFormatting sqref="F136:G1048576 G61:G135">
    <cfRule type="cellIs" dxfId="1326" priority="5584" operator="lessThan">
      <formula>0</formula>
    </cfRule>
  </conditionalFormatting>
  <conditionalFormatting sqref="F136:G1048576 G61:G135">
    <cfRule type="cellIs" dxfId="1325" priority="5583" operator="lessThan">
      <formula>0</formula>
    </cfRule>
  </conditionalFormatting>
  <conditionalFormatting sqref="F136:G1048576 G61:G135">
    <cfRule type="cellIs" dxfId="1324" priority="5582" operator="lessThan">
      <formula>0</formula>
    </cfRule>
  </conditionalFormatting>
  <conditionalFormatting sqref="F136:G1048576 G61:G135">
    <cfRule type="cellIs" dxfId="1323" priority="5581" operator="lessThan">
      <formula>0</formula>
    </cfRule>
  </conditionalFormatting>
  <conditionalFormatting sqref="F136:G1048576 G61:G135">
    <cfRule type="cellIs" dxfId="1322" priority="5580" operator="lessThan">
      <formula>0</formula>
    </cfRule>
  </conditionalFormatting>
  <conditionalFormatting sqref="F136:G1048576 G61:G135">
    <cfRule type="cellIs" dxfId="1321" priority="5579" operator="lessThan">
      <formula>0</formula>
    </cfRule>
  </conditionalFormatting>
  <conditionalFormatting sqref="F136:G1048576 G61:G135">
    <cfRule type="cellIs" dxfId="1320" priority="5578" operator="lessThan">
      <formula>0</formula>
    </cfRule>
  </conditionalFormatting>
  <conditionalFormatting sqref="F136:G1048576 G61:G135">
    <cfRule type="cellIs" dxfId="1319" priority="5577" operator="lessThan">
      <formula>0</formula>
    </cfRule>
  </conditionalFormatting>
  <conditionalFormatting sqref="F136:G1048576 G61:G135">
    <cfRule type="cellIs" dxfId="1318" priority="5576" operator="lessThan">
      <formula>0</formula>
    </cfRule>
  </conditionalFormatting>
  <conditionalFormatting sqref="F136:G1048576 G61:G135">
    <cfRule type="cellIs" dxfId="1317" priority="5575" operator="lessThan">
      <formula>0</formula>
    </cfRule>
  </conditionalFormatting>
  <conditionalFormatting sqref="F136:G1048576 G61:G135">
    <cfRule type="cellIs" dxfId="1316" priority="5574" operator="lessThan">
      <formula>0</formula>
    </cfRule>
  </conditionalFormatting>
  <conditionalFormatting sqref="F136:G1048576 G61:G135">
    <cfRule type="cellIs" dxfId="1315" priority="5573" operator="lessThan">
      <formula>0</formula>
    </cfRule>
  </conditionalFormatting>
  <conditionalFormatting sqref="F136:G1048576 G61:G135">
    <cfRule type="cellIs" dxfId="1314" priority="5572" operator="lessThan">
      <formula>0</formula>
    </cfRule>
  </conditionalFormatting>
  <conditionalFormatting sqref="F136:G1048576 G61:G135">
    <cfRule type="cellIs" dxfId="1313" priority="5571" operator="lessThan">
      <formula>0</formula>
    </cfRule>
  </conditionalFormatting>
  <conditionalFormatting sqref="F136:G1048576 G61:G135">
    <cfRule type="cellIs" dxfId="1312" priority="5570" operator="lessThan">
      <formula>0</formula>
    </cfRule>
  </conditionalFormatting>
  <conditionalFormatting sqref="F136:G1048576 G61:G135">
    <cfRule type="cellIs" dxfId="1311" priority="5569" operator="lessThan">
      <formula>0</formula>
    </cfRule>
  </conditionalFormatting>
  <conditionalFormatting sqref="F136:G1048576 G61:G135">
    <cfRule type="cellIs" dxfId="1310" priority="5568" operator="lessThan">
      <formula>0</formula>
    </cfRule>
  </conditionalFormatting>
  <conditionalFormatting sqref="F136:G1048576 G61:G135">
    <cfRule type="cellIs" dxfId="1309" priority="5567" operator="lessThan">
      <formula>0</formula>
    </cfRule>
  </conditionalFormatting>
  <conditionalFormatting sqref="F136:G1048576 G61:G135">
    <cfRule type="cellIs" dxfId="1308" priority="5566" operator="lessThan">
      <formula>0</formula>
    </cfRule>
  </conditionalFormatting>
  <conditionalFormatting sqref="F136:G1048576 G61:G135">
    <cfRule type="cellIs" dxfId="1307" priority="5565" operator="lessThan">
      <formula>0</formula>
    </cfRule>
  </conditionalFormatting>
  <conditionalFormatting sqref="F136:G1048576 G61:G135">
    <cfRule type="cellIs" dxfId="1306" priority="5564" operator="lessThan">
      <formula>0</formula>
    </cfRule>
  </conditionalFormatting>
  <conditionalFormatting sqref="F136:G1048576 G61:G135">
    <cfRule type="cellIs" dxfId="1305" priority="5563" operator="lessThan">
      <formula>0</formula>
    </cfRule>
  </conditionalFormatting>
  <conditionalFormatting sqref="F136:G1048576 G61:G135">
    <cfRule type="cellIs" dxfId="1304" priority="5562" operator="lessThan">
      <formula>0</formula>
    </cfRule>
  </conditionalFormatting>
  <conditionalFormatting sqref="F136:G1048576 G61:G135">
    <cfRule type="cellIs" dxfId="1303" priority="5561" operator="lessThan">
      <formula>0</formula>
    </cfRule>
  </conditionalFormatting>
  <conditionalFormatting sqref="F136:G1048576 G61:G135">
    <cfRule type="cellIs" dxfId="1302" priority="5560" operator="lessThan">
      <formula>0</formula>
    </cfRule>
  </conditionalFormatting>
  <conditionalFormatting sqref="F136:G1048576 G61:G135">
    <cfRule type="cellIs" dxfId="1301" priority="5559" operator="lessThan">
      <formula>0</formula>
    </cfRule>
  </conditionalFormatting>
  <conditionalFormatting sqref="F136:G1048576 G61:G135">
    <cfRule type="cellIs" dxfId="1300" priority="5558" operator="lessThan">
      <formula>0</formula>
    </cfRule>
  </conditionalFormatting>
  <conditionalFormatting sqref="F136:G1048576 G61:G135">
    <cfRule type="cellIs" dxfId="1299" priority="5557" operator="lessThan">
      <formula>0</formula>
    </cfRule>
  </conditionalFormatting>
  <conditionalFormatting sqref="F136:G1048576 G61:G135">
    <cfRule type="cellIs" dxfId="1298" priority="5556" operator="lessThan">
      <formula>0</formula>
    </cfRule>
  </conditionalFormatting>
  <conditionalFormatting sqref="F136:G1048576 G61:G135">
    <cfRule type="cellIs" dxfId="1297" priority="5555" operator="lessThan">
      <formula>0</formula>
    </cfRule>
  </conditionalFormatting>
  <conditionalFormatting sqref="F136:G1048576 G61:G135">
    <cfRule type="cellIs" dxfId="1296" priority="5554" operator="lessThan">
      <formula>0</formula>
    </cfRule>
  </conditionalFormatting>
  <conditionalFormatting sqref="F136:G1048576 G61:G135">
    <cfRule type="cellIs" dxfId="1295" priority="5553" operator="lessThan">
      <formula>0</formula>
    </cfRule>
  </conditionalFormatting>
  <conditionalFormatting sqref="F136:G1048576 G61:G135">
    <cfRule type="cellIs" dxfId="1294" priority="5552" operator="lessThan">
      <formula>0</formula>
    </cfRule>
  </conditionalFormatting>
  <conditionalFormatting sqref="F136:G1048576 G61:G135">
    <cfRule type="cellIs" dxfId="1293" priority="5551" operator="lessThan">
      <formula>0</formula>
    </cfRule>
  </conditionalFormatting>
  <conditionalFormatting sqref="F136:G1048576 G61:G135">
    <cfRule type="cellIs" dxfId="1292" priority="5550" operator="lessThan">
      <formula>0</formula>
    </cfRule>
  </conditionalFormatting>
  <conditionalFormatting sqref="F136:G1048576 G61:G135">
    <cfRule type="cellIs" dxfId="1291" priority="5549" operator="lessThan">
      <formula>0</formula>
    </cfRule>
  </conditionalFormatting>
  <conditionalFormatting sqref="F136:G1048576 G61:G135">
    <cfRule type="cellIs" dxfId="1290" priority="5548" operator="lessThan">
      <formula>0</formula>
    </cfRule>
  </conditionalFormatting>
  <conditionalFormatting sqref="F136:G1048576 G61:G135">
    <cfRule type="cellIs" dxfId="1289" priority="5547" operator="lessThan">
      <formula>0</formula>
    </cfRule>
  </conditionalFormatting>
  <conditionalFormatting sqref="F136:G1048576 G61:G135">
    <cfRule type="cellIs" dxfId="1288" priority="5546" operator="lessThan">
      <formula>0</formula>
    </cfRule>
  </conditionalFormatting>
  <conditionalFormatting sqref="F136:G1048576 G61:G135">
    <cfRule type="cellIs" dxfId="1287" priority="5545" operator="lessThan">
      <formula>0</formula>
    </cfRule>
  </conditionalFormatting>
  <conditionalFormatting sqref="F136:G1048576 G61:G135">
    <cfRule type="cellIs" dxfId="1286" priority="5544" operator="lessThan">
      <formula>0</formula>
    </cfRule>
  </conditionalFormatting>
  <conditionalFormatting sqref="F136:G1048576 G61:G135">
    <cfRule type="cellIs" dxfId="1285" priority="5543" operator="lessThan">
      <formula>0</formula>
    </cfRule>
  </conditionalFormatting>
  <conditionalFormatting sqref="F136:G1048576 G61:G135">
    <cfRule type="cellIs" dxfId="1284" priority="5542" operator="lessThan">
      <formula>0</formula>
    </cfRule>
  </conditionalFormatting>
  <conditionalFormatting sqref="F136:G1048576 G61:G135">
    <cfRule type="cellIs" dxfId="1283" priority="5541" operator="lessThan">
      <formula>0</formula>
    </cfRule>
  </conditionalFormatting>
  <conditionalFormatting sqref="F136:G1048576 G61:G135">
    <cfRule type="cellIs" dxfId="1282" priority="5540" operator="lessThan">
      <formula>0</formula>
    </cfRule>
  </conditionalFormatting>
  <conditionalFormatting sqref="F136:G1048576 G61:G135">
    <cfRule type="cellIs" dxfId="1281" priority="5539" operator="lessThan">
      <formula>0</formula>
    </cfRule>
  </conditionalFormatting>
  <conditionalFormatting sqref="F136:G1048576 G61:G135">
    <cfRule type="cellIs" dxfId="1280" priority="5538" operator="lessThan">
      <formula>0</formula>
    </cfRule>
  </conditionalFormatting>
  <conditionalFormatting sqref="F136:G1048576 G61:G135">
    <cfRule type="cellIs" dxfId="1279" priority="5537" operator="lessThan">
      <formula>0</formula>
    </cfRule>
  </conditionalFormatting>
  <conditionalFormatting sqref="F136:G1048576 G61:G135">
    <cfRule type="cellIs" dxfId="1278" priority="5536" operator="lessThan">
      <formula>0</formula>
    </cfRule>
  </conditionalFormatting>
  <conditionalFormatting sqref="F136:G1048576 G61:G135">
    <cfRule type="cellIs" dxfId="1277" priority="5535" operator="lessThan">
      <formula>0</formula>
    </cfRule>
  </conditionalFormatting>
  <conditionalFormatting sqref="F136:G1048576 G61:G135">
    <cfRule type="cellIs" dxfId="1276" priority="5534" operator="lessThan">
      <formula>0</formula>
    </cfRule>
  </conditionalFormatting>
  <conditionalFormatting sqref="F136:G1048576 G61:G135">
    <cfRule type="cellIs" dxfId="1275" priority="5533" operator="lessThan">
      <formula>0</formula>
    </cfRule>
  </conditionalFormatting>
  <conditionalFormatting sqref="F136:G1048576 G61:G135">
    <cfRule type="cellIs" dxfId="1274" priority="5532" operator="lessThan">
      <formula>0</formula>
    </cfRule>
  </conditionalFormatting>
  <conditionalFormatting sqref="F136:G1048576 G61:G135">
    <cfRule type="cellIs" dxfId="1273" priority="5531" operator="lessThan">
      <formula>0</formula>
    </cfRule>
  </conditionalFormatting>
  <conditionalFormatting sqref="F136:G1048576 G61:G135">
    <cfRule type="cellIs" dxfId="1272" priority="5530" operator="lessThan">
      <formula>0</formula>
    </cfRule>
  </conditionalFormatting>
  <conditionalFormatting sqref="F136:G1048576 G61:G135">
    <cfRule type="cellIs" dxfId="1271" priority="5529" operator="lessThan">
      <formula>0</formula>
    </cfRule>
  </conditionalFormatting>
  <conditionalFormatting sqref="F136:G1048576 G61:G135">
    <cfRule type="cellIs" dxfId="1270" priority="5528" operator="lessThan">
      <formula>0</formula>
    </cfRule>
  </conditionalFormatting>
  <conditionalFormatting sqref="F136:G1048576 G61:G135">
    <cfRule type="cellIs" dxfId="1269" priority="5527" operator="lessThan">
      <formula>0</formula>
    </cfRule>
  </conditionalFormatting>
  <conditionalFormatting sqref="F136:G1048576 G61:G135">
    <cfRule type="cellIs" dxfId="1268" priority="5526" operator="lessThan">
      <formula>0</formula>
    </cfRule>
  </conditionalFormatting>
  <conditionalFormatting sqref="F136:G1048576 G61:G135">
    <cfRule type="cellIs" dxfId="1267" priority="5525" operator="lessThan">
      <formula>0</formula>
    </cfRule>
  </conditionalFormatting>
  <conditionalFormatting sqref="F136:G1048576 G61:G135">
    <cfRule type="cellIs" dxfId="1266" priority="5524" operator="lessThan">
      <formula>0</formula>
    </cfRule>
  </conditionalFormatting>
  <conditionalFormatting sqref="F136:G1048576 G61:G135">
    <cfRule type="cellIs" dxfId="1265" priority="5523" operator="lessThan">
      <formula>0</formula>
    </cfRule>
  </conditionalFormatting>
  <conditionalFormatting sqref="F136:G1048576 G61:G135">
    <cfRule type="cellIs" dxfId="1264" priority="5522" operator="lessThan">
      <formula>0</formula>
    </cfRule>
  </conditionalFormatting>
  <conditionalFormatting sqref="F136:G1048576 G61:G135">
    <cfRule type="cellIs" dxfId="1263" priority="5521" operator="lessThan">
      <formula>0</formula>
    </cfRule>
  </conditionalFormatting>
  <conditionalFormatting sqref="F136:G1048576 G61:G135">
    <cfRule type="cellIs" dxfId="1262" priority="5520" operator="lessThan">
      <formula>0</formula>
    </cfRule>
  </conditionalFormatting>
  <conditionalFormatting sqref="F136:G1048576 G61:G135">
    <cfRule type="cellIs" dxfId="1261" priority="5519" operator="lessThan">
      <formula>0</formula>
    </cfRule>
  </conditionalFormatting>
  <conditionalFormatting sqref="F136:G1048576 G61:G135">
    <cfRule type="cellIs" dxfId="1260" priority="5518" operator="lessThan">
      <formula>0</formula>
    </cfRule>
  </conditionalFormatting>
  <conditionalFormatting sqref="F136:G1048576 G61:G135">
    <cfRule type="cellIs" dxfId="1259" priority="5517" operator="lessThan">
      <formula>0</formula>
    </cfRule>
  </conditionalFormatting>
  <conditionalFormatting sqref="F136:G1048576 G61:G135">
    <cfRule type="cellIs" dxfId="1258" priority="5516" operator="lessThan">
      <formula>0</formula>
    </cfRule>
  </conditionalFormatting>
  <conditionalFormatting sqref="F136:G1048576 G61:G135">
    <cfRule type="cellIs" dxfId="1257" priority="5515" operator="lessThan">
      <formula>0</formula>
    </cfRule>
  </conditionalFormatting>
  <conditionalFormatting sqref="F136:G1048576 G61:G135">
    <cfRule type="cellIs" dxfId="1256" priority="5514" operator="lessThan">
      <formula>0</formula>
    </cfRule>
  </conditionalFormatting>
  <conditionalFormatting sqref="F136:G1048576 G61:G135">
    <cfRule type="cellIs" dxfId="1255" priority="5513" operator="lessThan">
      <formula>0</formula>
    </cfRule>
  </conditionalFormatting>
  <conditionalFormatting sqref="F136:G1048576 G61:G135">
    <cfRule type="cellIs" dxfId="1254" priority="5512" operator="lessThan">
      <formula>0</formula>
    </cfRule>
  </conditionalFormatting>
  <conditionalFormatting sqref="F136:G1048576 G61:G135">
    <cfRule type="cellIs" dxfId="1253" priority="5511" operator="lessThan">
      <formula>0</formula>
    </cfRule>
  </conditionalFormatting>
  <conditionalFormatting sqref="F136:G1048576 G61:G135">
    <cfRule type="cellIs" dxfId="1252" priority="5510" operator="lessThan">
      <formula>0</formula>
    </cfRule>
  </conditionalFormatting>
  <conditionalFormatting sqref="F136:G1048576 G61:G135">
    <cfRule type="cellIs" dxfId="1251" priority="5509" operator="lessThan">
      <formula>0</formula>
    </cfRule>
  </conditionalFormatting>
  <conditionalFormatting sqref="F136:G1048576 G61:G135">
    <cfRule type="cellIs" dxfId="1250" priority="5508" operator="lessThan">
      <formula>0</formula>
    </cfRule>
  </conditionalFormatting>
  <conditionalFormatting sqref="F136:G1048576 G61:G135">
    <cfRule type="cellIs" dxfId="1249" priority="5507" operator="lessThan">
      <formula>0</formula>
    </cfRule>
  </conditionalFormatting>
  <conditionalFormatting sqref="F136:G1048576 G61:G135">
    <cfRule type="cellIs" dxfId="1248" priority="5506" operator="lessThan">
      <formula>0</formula>
    </cfRule>
  </conditionalFormatting>
  <conditionalFormatting sqref="F136:G1048576 G61:G135">
    <cfRule type="cellIs" dxfId="1247" priority="5505" operator="lessThan">
      <formula>0</formula>
    </cfRule>
  </conditionalFormatting>
  <conditionalFormatting sqref="F136:G1048576 G61:G135">
    <cfRule type="cellIs" dxfId="1246" priority="5504" operator="lessThan">
      <formula>0</formula>
    </cfRule>
  </conditionalFormatting>
  <conditionalFormatting sqref="F136:G1048576 G61:G135">
    <cfRule type="cellIs" dxfId="1245" priority="5503" operator="lessThan">
      <formula>0</formula>
    </cfRule>
  </conditionalFormatting>
  <conditionalFormatting sqref="F136:G1048576 G61:G135">
    <cfRule type="cellIs" dxfId="1244" priority="5502" operator="lessThan">
      <formula>0</formula>
    </cfRule>
  </conditionalFormatting>
  <conditionalFormatting sqref="F136:G1048576 G61:G135">
    <cfRule type="cellIs" dxfId="1243" priority="5501" operator="lessThan">
      <formula>0</formula>
    </cfRule>
  </conditionalFormatting>
  <conditionalFormatting sqref="F136:G1048576 G61:G135">
    <cfRule type="cellIs" dxfId="1242" priority="5500" operator="lessThan">
      <formula>0</formula>
    </cfRule>
  </conditionalFormatting>
  <conditionalFormatting sqref="F136:G1048576 G61:G135">
    <cfRule type="cellIs" dxfId="1241" priority="5499" operator="lessThan">
      <formula>0</formula>
    </cfRule>
  </conditionalFormatting>
  <conditionalFormatting sqref="F136:G1048576 G61:G135">
    <cfRule type="cellIs" dxfId="1240" priority="5498" operator="lessThan">
      <formula>0</formula>
    </cfRule>
  </conditionalFormatting>
  <conditionalFormatting sqref="F136:G1048576 G61:G135">
    <cfRule type="cellIs" dxfId="1239" priority="5497" operator="lessThan">
      <formula>0</formula>
    </cfRule>
  </conditionalFormatting>
  <conditionalFormatting sqref="F136:G1048576 G61:G135">
    <cfRule type="cellIs" dxfId="1238" priority="5496" operator="lessThan">
      <formula>0</formula>
    </cfRule>
  </conditionalFormatting>
  <conditionalFormatting sqref="F136:G1048576 G61:G135">
    <cfRule type="cellIs" dxfId="1237" priority="5495" operator="lessThan">
      <formula>0</formula>
    </cfRule>
  </conditionalFormatting>
  <conditionalFormatting sqref="G42">
    <cfRule type="cellIs" dxfId="1236" priority="4792" operator="lessThan">
      <formula>0</formula>
    </cfRule>
  </conditionalFormatting>
  <conditionalFormatting sqref="G42">
    <cfRule type="cellIs" dxfId="1235" priority="4791" operator="lessThan">
      <formula>0</formula>
    </cfRule>
  </conditionalFormatting>
  <conditionalFormatting sqref="G42">
    <cfRule type="cellIs" dxfId="1234" priority="4790" operator="lessThan">
      <formula>0</formula>
    </cfRule>
  </conditionalFormatting>
  <conditionalFormatting sqref="G42">
    <cfRule type="cellIs" dxfId="1233" priority="4789" operator="lessThan">
      <formula>0</formula>
    </cfRule>
  </conditionalFormatting>
  <conditionalFormatting sqref="G42">
    <cfRule type="cellIs" dxfId="1232" priority="4788" operator="lessThan">
      <formula>0</formula>
    </cfRule>
  </conditionalFormatting>
  <conditionalFormatting sqref="G42">
    <cfRule type="cellIs" dxfId="1231" priority="4787" operator="lessThan">
      <formula>0</formula>
    </cfRule>
  </conditionalFormatting>
  <conditionalFormatting sqref="G42">
    <cfRule type="cellIs" dxfId="1230" priority="4786" operator="lessThan">
      <formula>0</formula>
    </cfRule>
  </conditionalFormatting>
  <conditionalFormatting sqref="G42">
    <cfRule type="cellIs" dxfId="1229" priority="4785" operator="lessThan">
      <formula>0</formula>
    </cfRule>
  </conditionalFormatting>
  <conditionalFormatting sqref="G42">
    <cfRule type="cellIs" dxfId="1228" priority="4784" operator="lessThan">
      <formula>0</formula>
    </cfRule>
  </conditionalFormatting>
  <conditionalFormatting sqref="G42">
    <cfRule type="cellIs" dxfId="1227" priority="4783" operator="lessThan">
      <formula>0</formula>
    </cfRule>
  </conditionalFormatting>
  <conditionalFormatting sqref="G42">
    <cfRule type="cellIs" dxfId="1226" priority="4782" operator="lessThan">
      <formula>0</formula>
    </cfRule>
  </conditionalFormatting>
  <conditionalFormatting sqref="G42">
    <cfRule type="cellIs" dxfId="1225" priority="4781" operator="lessThan">
      <formula>0</formula>
    </cfRule>
  </conditionalFormatting>
  <conditionalFormatting sqref="G42">
    <cfRule type="cellIs" dxfId="1224" priority="4780" operator="lessThan">
      <formula>0</formula>
    </cfRule>
  </conditionalFormatting>
  <conditionalFormatting sqref="G42">
    <cfRule type="cellIs" dxfId="1223" priority="4779" operator="lessThan">
      <formula>0</formula>
    </cfRule>
  </conditionalFormatting>
  <conditionalFormatting sqref="G42">
    <cfRule type="cellIs" dxfId="1222" priority="4778" operator="lessThan">
      <formula>0</formula>
    </cfRule>
  </conditionalFormatting>
  <conditionalFormatting sqref="G42">
    <cfRule type="cellIs" dxfId="1221" priority="4777" operator="lessThan">
      <formula>0</formula>
    </cfRule>
  </conditionalFormatting>
  <conditionalFormatting sqref="G42">
    <cfRule type="cellIs" dxfId="1220" priority="4776" operator="lessThan">
      <formula>0</formula>
    </cfRule>
  </conditionalFormatting>
  <conditionalFormatting sqref="G42">
    <cfRule type="cellIs" dxfId="1219" priority="4775" operator="lessThan">
      <formula>0</formula>
    </cfRule>
  </conditionalFormatting>
  <conditionalFormatting sqref="G42">
    <cfRule type="cellIs" dxfId="1218" priority="4774" operator="lessThan">
      <formula>0</formula>
    </cfRule>
  </conditionalFormatting>
  <conditionalFormatting pivot="1" sqref="F13:F56">
    <cfRule type="cellIs" dxfId="1217" priority="3719" operator="lessThan">
      <formula>0</formula>
    </cfRule>
  </conditionalFormatting>
  <conditionalFormatting sqref="H86:H1048576">
    <cfRule type="cellIs" dxfId="1216" priority="3515" operator="lessThan">
      <formula>0</formula>
    </cfRule>
  </conditionalFormatting>
  <conditionalFormatting sqref="H86:H1048576">
    <cfRule type="cellIs" dxfId="1215" priority="3514" operator="lessThan">
      <formula>0</formula>
    </cfRule>
  </conditionalFormatting>
  <conditionalFormatting sqref="H86:H1048576">
    <cfRule type="cellIs" dxfId="1214" priority="3513" operator="lessThan">
      <formula>0</formula>
    </cfRule>
  </conditionalFormatting>
  <conditionalFormatting sqref="H86:H1048576">
    <cfRule type="cellIs" dxfId="1213" priority="3512" operator="lessThan">
      <formula>0</formula>
    </cfRule>
  </conditionalFormatting>
  <conditionalFormatting sqref="H86:H1048576">
    <cfRule type="cellIs" dxfId="1212" priority="3511" operator="lessThan">
      <formula>0</formula>
    </cfRule>
  </conditionalFormatting>
  <conditionalFormatting sqref="H86:H1048576">
    <cfRule type="cellIs" dxfId="1211" priority="3510" operator="lessThan">
      <formula>0</formula>
    </cfRule>
  </conditionalFormatting>
  <conditionalFormatting sqref="H86:H1048576">
    <cfRule type="cellIs" dxfId="1210" priority="3509" operator="lessThan">
      <formula>0</formula>
    </cfRule>
  </conditionalFormatting>
  <conditionalFormatting sqref="H86:H1048576">
    <cfRule type="cellIs" dxfId="1209" priority="3508" operator="lessThan">
      <formula>0</formula>
    </cfRule>
  </conditionalFormatting>
  <conditionalFormatting sqref="H86:H1048576">
    <cfRule type="cellIs" dxfId="1208" priority="3507" operator="lessThan">
      <formula>0</formula>
    </cfRule>
  </conditionalFormatting>
  <conditionalFormatting sqref="H86:H1048576">
    <cfRule type="cellIs" dxfId="1207" priority="3506" operator="lessThan">
      <formula>0</formula>
    </cfRule>
  </conditionalFormatting>
  <conditionalFormatting sqref="H86:H1048576">
    <cfRule type="cellIs" dxfId="1206" priority="3505" operator="lessThan">
      <formula>0</formula>
    </cfRule>
  </conditionalFormatting>
  <conditionalFormatting sqref="H86:H1048576">
    <cfRule type="cellIs" dxfId="1205" priority="3504" operator="lessThan">
      <formula>0</formula>
    </cfRule>
  </conditionalFormatting>
  <conditionalFormatting sqref="H86:H1048576">
    <cfRule type="cellIs" dxfId="1204" priority="3503" operator="lessThan">
      <formula>0</formula>
    </cfRule>
  </conditionalFormatting>
  <conditionalFormatting sqref="H86:H1048576">
    <cfRule type="cellIs" dxfId="1203" priority="3502" operator="lessThan">
      <formula>0</formula>
    </cfRule>
  </conditionalFormatting>
  <conditionalFormatting sqref="H86:H1048576">
    <cfRule type="cellIs" dxfId="1202" priority="3501" operator="lessThan">
      <formula>0</formula>
    </cfRule>
  </conditionalFormatting>
  <conditionalFormatting sqref="H86:H1048576">
    <cfRule type="cellIs" dxfId="1201" priority="3500" operator="lessThan">
      <formula>0</formula>
    </cfRule>
  </conditionalFormatting>
  <conditionalFormatting sqref="H86:H1048576">
    <cfRule type="cellIs" dxfId="1200" priority="3499" operator="lessThan">
      <formula>0</formula>
    </cfRule>
  </conditionalFormatting>
  <conditionalFormatting sqref="H86:H1048576">
    <cfRule type="cellIs" dxfId="1199" priority="3498" operator="lessThan">
      <formula>0</formula>
    </cfRule>
  </conditionalFormatting>
  <conditionalFormatting sqref="H86:H1048576">
    <cfRule type="cellIs" dxfId="1198" priority="3497" operator="lessThan">
      <formula>0</formula>
    </cfRule>
  </conditionalFormatting>
  <conditionalFormatting sqref="H86:H1048576">
    <cfRule type="cellIs" dxfId="1197" priority="3496" operator="lessThan">
      <formula>0</formula>
    </cfRule>
  </conditionalFormatting>
  <conditionalFormatting sqref="H86:H1048576">
    <cfRule type="cellIs" dxfId="1196" priority="3495" operator="lessThan">
      <formula>0</formula>
    </cfRule>
  </conditionalFormatting>
  <conditionalFormatting sqref="H86:H1048576">
    <cfRule type="cellIs" dxfId="1195" priority="3494" operator="lessThan">
      <formula>0</formula>
    </cfRule>
  </conditionalFormatting>
  <conditionalFormatting sqref="H86:H1048576">
    <cfRule type="cellIs" dxfId="1194" priority="3493" operator="lessThan">
      <formula>0</formula>
    </cfRule>
  </conditionalFormatting>
  <conditionalFormatting sqref="H86:H1048576">
    <cfRule type="cellIs" dxfId="1193" priority="3492" operator="lessThan">
      <formula>0</formula>
    </cfRule>
  </conditionalFormatting>
  <conditionalFormatting sqref="H86:H1048576">
    <cfRule type="cellIs" dxfId="1192" priority="3491" operator="lessThan">
      <formula>0</formula>
    </cfRule>
  </conditionalFormatting>
  <conditionalFormatting sqref="H86:H1048576">
    <cfRule type="cellIs" dxfId="1191" priority="3490" operator="lessThan">
      <formula>0</formula>
    </cfRule>
  </conditionalFormatting>
  <conditionalFormatting sqref="H86:H1048576">
    <cfRule type="cellIs" dxfId="1190" priority="3489" operator="lessThan">
      <formula>0</formula>
    </cfRule>
  </conditionalFormatting>
  <conditionalFormatting sqref="H86:H1048576">
    <cfRule type="cellIs" dxfId="1189" priority="3488" operator="lessThan">
      <formula>0</formula>
    </cfRule>
  </conditionalFormatting>
  <conditionalFormatting sqref="H86:H1048576">
    <cfRule type="cellIs" dxfId="1188" priority="3487" operator="lessThan">
      <formula>0</formula>
    </cfRule>
  </conditionalFormatting>
  <conditionalFormatting sqref="H86:H1048576">
    <cfRule type="cellIs" dxfId="1187" priority="3486" operator="lessThan">
      <formula>0</formula>
    </cfRule>
  </conditionalFormatting>
  <conditionalFormatting sqref="H86:H1048576">
    <cfRule type="cellIs" dxfId="1186" priority="3485" operator="lessThan">
      <formula>0</formula>
    </cfRule>
  </conditionalFormatting>
  <conditionalFormatting sqref="H86:H1048576">
    <cfRule type="cellIs" dxfId="1185" priority="3484" operator="lessThan">
      <formula>0</formula>
    </cfRule>
  </conditionalFormatting>
  <conditionalFormatting sqref="H86:H1048576">
    <cfRule type="cellIs" dxfId="1184" priority="3483" operator="lessThan">
      <formula>0</formula>
    </cfRule>
  </conditionalFormatting>
  <conditionalFormatting sqref="H86:H1048576">
    <cfRule type="cellIs" dxfId="1183" priority="3482" operator="lessThan">
      <formula>0</formula>
    </cfRule>
  </conditionalFormatting>
  <conditionalFormatting sqref="H86:H1048576">
    <cfRule type="cellIs" dxfId="1182" priority="3481" operator="lessThan">
      <formula>0</formula>
    </cfRule>
  </conditionalFormatting>
  <conditionalFormatting sqref="H86:H1048576">
    <cfRule type="cellIs" dxfId="1181" priority="3480" operator="lessThan">
      <formula>0</formula>
    </cfRule>
  </conditionalFormatting>
  <conditionalFormatting sqref="H86:H1048576">
    <cfRule type="cellIs" dxfId="1180" priority="3479" operator="lessThan">
      <formula>0</formula>
    </cfRule>
  </conditionalFormatting>
  <conditionalFormatting sqref="H86:H1048576">
    <cfRule type="cellIs" dxfId="1179" priority="3478" operator="lessThan">
      <formula>0</formula>
    </cfRule>
  </conditionalFormatting>
  <conditionalFormatting sqref="H86:H1048576">
    <cfRule type="cellIs" dxfId="1178" priority="3477" operator="lessThan">
      <formula>0</formula>
    </cfRule>
  </conditionalFormatting>
  <conditionalFormatting sqref="H86:H1048576">
    <cfRule type="cellIs" dxfId="1177" priority="3476" operator="lessThan">
      <formula>0</formula>
    </cfRule>
  </conditionalFormatting>
  <conditionalFormatting sqref="H86:H1048576">
    <cfRule type="cellIs" dxfId="1176" priority="3475" operator="lessThan">
      <formula>0</formula>
    </cfRule>
  </conditionalFormatting>
  <conditionalFormatting sqref="H86:H1048576">
    <cfRule type="cellIs" dxfId="1175" priority="3474" operator="lessThan">
      <formula>0</formula>
    </cfRule>
  </conditionalFormatting>
  <conditionalFormatting sqref="H86:H1048576">
    <cfRule type="cellIs" dxfId="1174" priority="3473" operator="lessThan">
      <formula>0</formula>
    </cfRule>
  </conditionalFormatting>
  <conditionalFormatting sqref="H86:H1048576">
    <cfRule type="cellIs" dxfId="1173" priority="3472" operator="lessThan">
      <formula>0</formula>
    </cfRule>
  </conditionalFormatting>
  <conditionalFormatting sqref="H86:H1048576">
    <cfRule type="cellIs" dxfId="1172" priority="3471" operator="lessThan">
      <formula>0</formula>
    </cfRule>
  </conditionalFormatting>
  <conditionalFormatting sqref="H86:H1048576">
    <cfRule type="cellIs" dxfId="1171" priority="3470" operator="lessThan">
      <formula>0</formula>
    </cfRule>
  </conditionalFormatting>
  <conditionalFormatting sqref="H86:H1048576">
    <cfRule type="cellIs" dxfId="1170" priority="3469" operator="lessThan">
      <formula>0</formula>
    </cfRule>
  </conditionalFormatting>
  <conditionalFormatting sqref="H86:H1048576">
    <cfRule type="cellIs" dxfId="1169" priority="3468" operator="lessThan">
      <formula>0</formula>
    </cfRule>
  </conditionalFormatting>
  <conditionalFormatting sqref="H86:H1048576">
    <cfRule type="cellIs" dxfId="1168" priority="3467" operator="lessThan">
      <formula>0</formula>
    </cfRule>
  </conditionalFormatting>
  <conditionalFormatting sqref="H86:H1048576">
    <cfRule type="cellIs" dxfId="1167" priority="3466" operator="lessThan">
      <formula>0</formula>
    </cfRule>
  </conditionalFormatting>
  <conditionalFormatting sqref="H86:H1048576">
    <cfRule type="cellIs" dxfId="1166" priority="3465" operator="lessThan">
      <formula>0</formula>
    </cfRule>
  </conditionalFormatting>
  <conditionalFormatting sqref="H86:H1048576">
    <cfRule type="cellIs" dxfId="1165" priority="3464" operator="lessThan">
      <formula>0</formula>
    </cfRule>
  </conditionalFormatting>
  <conditionalFormatting sqref="H86:H1048576">
    <cfRule type="cellIs" dxfId="1164" priority="3463" operator="lessThan">
      <formula>0</formula>
    </cfRule>
  </conditionalFormatting>
  <conditionalFormatting sqref="H86:H1048576">
    <cfRule type="cellIs" dxfId="1163" priority="3462" operator="lessThan">
      <formula>0</formula>
    </cfRule>
  </conditionalFormatting>
  <conditionalFormatting sqref="H86:H1048576">
    <cfRule type="cellIs" dxfId="1162" priority="3461" operator="lessThan">
      <formula>0</formula>
    </cfRule>
  </conditionalFormatting>
  <conditionalFormatting sqref="H86:H1048576">
    <cfRule type="cellIs" dxfId="1161" priority="3460" operator="lessThan">
      <formula>0</formula>
    </cfRule>
  </conditionalFormatting>
  <conditionalFormatting sqref="H86:H1048576">
    <cfRule type="cellIs" dxfId="1160" priority="3459" operator="lessThan">
      <formula>0</formula>
    </cfRule>
  </conditionalFormatting>
  <conditionalFormatting sqref="H86:H1048576">
    <cfRule type="cellIs" dxfId="1159" priority="3458" operator="lessThan">
      <formula>0</formula>
    </cfRule>
  </conditionalFormatting>
  <conditionalFormatting sqref="H86:H1048576">
    <cfRule type="cellIs" dxfId="1158" priority="3457" operator="lessThan">
      <formula>0</formula>
    </cfRule>
  </conditionalFormatting>
  <conditionalFormatting sqref="H86:H1048576">
    <cfRule type="cellIs" dxfId="1157" priority="3456" operator="lessThan">
      <formula>0</formula>
    </cfRule>
  </conditionalFormatting>
  <conditionalFormatting sqref="H86:H1048576">
    <cfRule type="cellIs" dxfId="1156" priority="3455" operator="lessThan">
      <formula>0</formula>
    </cfRule>
  </conditionalFormatting>
  <conditionalFormatting sqref="H86:H1048576">
    <cfRule type="cellIs" dxfId="1155" priority="3454" operator="lessThan">
      <formula>0</formula>
    </cfRule>
  </conditionalFormatting>
  <conditionalFormatting sqref="H86:H1048576">
    <cfRule type="cellIs" dxfId="1154" priority="3453" operator="lessThan">
      <formula>0</formula>
    </cfRule>
  </conditionalFormatting>
  <conditionalFormatting sqref="H86:H1048576">
    <cfRule type="cellIs" dxfId="1153" priority="3452" operator="lessThan">
      <formula>0</formula>
    </cfRule>
  </conditionalFormatting>
  <conditionalFormatting sqref="H86:H1048576">
    <cfRule type="cellIs" dxfId="1152" priority="3451" operator="lessThan">
      <formula>0</formula>
    </cfRule>
  </conditionalFormatting>
  <conditionalFormatting sqref="H86:H1048576">
    <cfRule type="cellIs" dxfId="1151" priority="3450" operator="lessThan">
      <formula>0</formula>
    </cfRule>
  </conditionalFormatting>
  <conditionalFormatting sqref="H86:H1048576">
    <cfRule type="cellIs" dxfId="1150" priority="3449" operator="lessThan">
      <formula>0</formula>
    </cfRule>
  </conditionalFormatting>
  <conditionalFormatting sqref="H86:H1048576">
    <cfRule type="cellIs" dxfId="1149" priority="3448" operator="lessThan">
      <formula>0</formula>
    </cfRule>
  </conditionalFormatting>
  <conditionalFormatting sqref="H86:H1048576">
    <cfRule type="cellIs" dxfId="1148" priority="3447" operator="lessThan">
      <formula>0</formula>
    </cfRule>
  </conditionalFormatting>
  <conditionalFormatting sqref="H86:H1048576">
    <cfRule type="cellIs" dxfId="1147" priority="3446" operator="lessThan">
      <formula>0</formula>
    </cfRule>
  </conditionalFormatting>
  <conditionalFormatting sqref="H86:H1048576">
    <cfRule type="cellIs" dxfId="1146" priority="3445" operator="lessThan">
      <formula>0</formula>
    </cfRule>
  </conditionalFormatting>
  <conditionalFormatting sqref="H86:H1048576">
    <cfRule type="cellIs" dxfId="1145" priority="3444" operator="lessThan">
      <formula>0</formula>
    </cfRule>
  </conditionalFormatting>
  <conditionalFormatting sqref="H86:H1048576">
    <cfRule type="cellIs" dxfId="1144" priority="3443" operator="lessThan">
      <formula>0</formula>
    </cfRule>
  </conditionalFormatting>
  <conditionalFormatting sqref="H86:H1048576">
    <cfRule type="cellIs" dxfId="1143" priority="3442" operator="lessThan">
      <formula>0</formula>
    </cfRule>
  </conditionalFormatting>
  <conditionalFormatting sqref="H86:H1048576">
    <cfRule type="cellIs" dxfId="1142" priority="3441" operator="lessThan">
      <formula>0</formula>
    </cfRule>
  </conditionalFormatting>
  <conditionalFormatting sqref="H86:H1048576">
    <cfRule type="cellIs" dxfId="1141" priority="3440" operator="lessThan">
      <formula>0</formula>
    </cfRule>
  </conditionalFormatting>
  <conditionalFormatting sqref="H86:H1048576">
    <cfRule type="cellIs" dxfId="1140" priority="3439" operator="lessThan">
      <formula>0</formula>
    </cfRule>
  </conditionalFormatting>
  <conditionalFormatting sqref="H86:H1048576">
    <cfRule type="cellIs" dxfId="1139" priority="3438" operator="lessThan">
      <formula>0</formula>
    </cfRule>
  </conditionalFormatting>
  <conditionalFormatting sqref="H86:H1048576">
    <cfRule type="cellIs" dxfId="1138" priority="3437" operator="lessThan">
      <formula>0</formula>
    </cfRule>
  </conditionalFormatting>
  <conditionalFormatting sqref="H86:H1048576">
    <cfRule type="cellIs" dxfId="1137" priority="3436" operator="lessThan">
      <formula>0</formula>
    </cfRule>
  </conditionalFormatting>
  <conditionalFormatting sqref="H86:H1048576">
    <cfRule type="cellIs" dxfId="1136" priority="3435" operator="lessThan">
      <formula>0</formula>
    </cfRule>
  </conditionalFormatting>
  <conditionalFormatting sqref="H86:H1048576">
    <cfRule type="cellIs" dxfId="1135" priority="3434" operator="lessThan">
      <formula>0</formula>
    </cfRule>
  </conditionalFormatting>
  <conditionalFormatting sqref="H86:H1048576">
    <cfRule type="cellIs" dxfId="1134" priority="3433" operator="lessThan">
      <formula>0</formula>
    </cfRule>
  </conditionalFormatting>
  <conditionalFormatting sqref="H86:H1048576">
    <cfRule type="cellIs" dxfId="1133" priority="3432" operator="lessThan">
      <formula>0</formula>
    </cfRule>
  </conditionalFormatting>
  <conditionalFormatting sqref="H86:H1048576">
    <cfRule type="cellIs" dxfId="1132" priority="3431" operator="lessThan">
      <formula>0</formula>
    </cfRule>
  </conditionalFormatting>
  <conditionalFormatting sqref="H86:H1048576">
    <cfRule type="cellIs" dxfId="1131" priority="3430" operator="lessThan">
      <formula>0</formula>
    </cfRule>
  </conditionalFormatting>
  <conditionalFormatting sqref="H86:H1048576">
    <cfRule type="cellIs" dxfId="1130" priority="3429" operator="lessThan">
      <formula>0</formula>
    </cfRule>
  </conditionalFormatting>
  <conditionalFormatting sqref="H86:H1048576">
    <cfRule type="cellIs" dxfId="1129" priority="3428" operator="lessThan">
      <formula>0</formula>
    </cfRule>
  </conditionalFormatting>
  <conditionalFormatting sqref="H86:H1048576">
    <cfRule type="cellIs" dxfId="1128" priority="3427" operator="lessThan">
      <formula>0</formula>
    </cfRule>
  </conditionalFormatting>
  <conditionalFormatting sqref="H86:H1048576">
    <cfRule type="cellIs" dxfId="1127" priority="3426" operator="lessThan">
      <formula>0</formula>
    </cfRule>
  </conditionalFormatting>
  <conditionalFormatting sqref="H86:H1048576">
    <cfRule type="cellIs" dxfId="1126" priority="3425" operator="lessThan">
      <formula>0</formula>
    </cfRule>
  </conditionalFormatting>
  <conditionalFormatting sqref="H86:H1048576">
    <cfRule type="cellIs" dxfId="1125" priority="3424" operator="lessThan">
      <formula>0</formula>
    </cfRule>
  </conditionalFormatting>
  <conditionalFormatting sqref="H86:H1048576">
    <cfRule type="cellIs" dxfId="1124" priority="3423" operator="lessThan">
      <formula>0</formula>
    </cfRule>
  </conditionalFormatting>
  <conditionalFormatting sqref="H86:H1048576">
    <cfRule type="cellIs" dxfId="1123" priority="3422" operator="lessThan">
      <formula>0</formula>
    </cfRule>
  </conditionalFormatting>
  <conditionalFormatting sqref="H86:H1048576">
    <cfRule type="cellIs" dxfId="1122" priority="3421" operator="lessThan">
      <formula>0</formula>
    </cfRule>
  </conditionalFormatting>
  <conditionalFormatting sqref="H86:H1048576">
    <cfRule type="cellIs" dxfId="1121" priority="3420" operator="lessThan">
      <formula>0</formula>
    </cfRule>
  </conditionalFormatting>
  <conditionalFormatting sqref="H86:H1048576">
    <cfRule type="cellIs" dxfId="1120" priority="3419" operator="lessThan">
      <formula>0</formula>
    </cfRule>
  </conditionalFormatting>
  <conditionalFormatting sqref="H86:H1048576">
    <cfRule type="cellIs" dxfId="1119" priority="3418" operator="lessThan">
      <formula>0</formula>
    </cfRule>
  </conditionalFormatting>
  <conditionalFormatting sqref="H86:H1048576">
    <cfRule type="cellIs" dxfId="1118" priority="3417" operator="lessThan">
      <formula>0</formula>
    </cfRule>
  </conditionalFormatting>
  <conditionalFormatting sqref="H86:H1048576">
    <cfRule type="cellIs" dxfId="1117" priority="3416" operator="lessThan">
      <formula>0</formula>
    </cfRule>
  </conditionalFormatting>
  <conditionalFormatting sqref="H86:H1048576">
    <cfRule type="cellIs" dxfId="1116" priority="3415" operator="lessThan">
      <formula>0</formula>
    </cfRule>
  </conditionalFormatting>
  <conditionalFormatting sqref="H86:H1048576">
    <cfRule type="cellIs" dxfId="1115" priority="3414" operator="lessThan">
      <formula>0</formula>
    </cfRule>
  </conditionalFormatting>
  <conditionalFormatting sqref="H86:H1048576">
    <cfRule type="cellIs" dxfId="1114" priority="3413" operator="lessThan">
      <formula>0</formula>
    </cfRule>
  </conditionalFormatting>
  <conditionalFormatting sqref="H86:H1048576">
    <cfRule type="cellIs" dxfId="1113" priority="3412" operator="lessThan">
      <formula>0</formula>
    </cfRule>
  </conditionalFormatting>
  <conditionalFormatting sqref="H86:H1048576">
    <cfRule type="cellIs" dxfId="1112" priority="3411" operator="lessThan">
      <formula>0</formula>
    </cfRule>
  </conditionalFormatting>
  <conditionalFormatting sqref="H86:H1048576">
    <cfRule type="cellIs" dxfId="1111" priority="3410" operator="lessThan">
      <formula>0</formula>
    </cfRule>
  </conditionalFormatting>
  <conditionalFormatting sqref="H86:H1048576">
    <cfRule type="cellIs" dxfId="1110" priority="3409" operator="lessThan">
      <formula>0</formula>
    </cfRule>
  </conditionalFormatting>
  <conditionalFormatting sqref="H86:H1048576">
    <cfRule type="cellIs" dxfId="1109" priority="3408" operator="lessThan">
      <formula>0</formula>
    </cfRule>
  </conditionalFormatting>
  <conditionalFormatting sqref="H86:H1048576">
    <cfRule type="cellIs" dxfId="1108" priority="3407" operator="lessThan">
      <formula>0</formula>
    </cfRule>
  </conditionalFormatting>
  <conditionalFormatting sqref="H86:H1048576">
    <cfRule type="cellIs" dxfId="1107" priority="3406" operator="lessThan">
      <formula>0</formula>
    </cfRule>
  </conditionalFormatting>
  <conditionalFormatting sqref="H86:H1048576">
    <cfRule type="cellIs" dxfId="1106" priority="3405" operator="lessThan">
      <formula>0</formula>
    </cfRule>
  </conditionalFormatting>
  <conditionalFormatting sqref="H86:H1048576">
    <cfRule type="cellIs" dxfId="1105" priority="3404" operator="lessThan">
      <formula>0</formula>
    </cfRule>
  </conditionalFormatting>
  <conditionalFormatting sqref="H86:H1048576">
    <cfRule type="cellIs" dxfId="1104" priority="3403" operator="lessThan">
      <formula>0</formula>
    </cfRule>
  </conditionalFormatting>
  <conditionalFormatting sqref="H86:H1048576">
    <cfRule type="cellIs" dxfId="1103" priority="3402" operator="lessThan">
      <formula>0</formula>
    </cfRule>
  </conditionalFormatting>
  <conditionalFormatting sqref="H86:H1048576">
    <cfRule type="cellIs" dxfId="1102" priority="3401" operator="lessThan">
      <formula>0</formula>
    </cfRule>
  </conditionalFormatting>
  <conditionalFormatting sqref="H86:H1048576">
    <cfRule type="cellIs" dxfId="1101" priority="3400" operator="lessThan">
      <formula>0</formula>
    </cfRule>
  </conditionalFormatting>
  <conditionalFormatting sqref="H86:H1048576">
    <cfRule type="cellIs" dxfId="1100" priority="3399" operator="lessThan">
      <formula>0</formula>
    </cfRule>
  </conditionalFormatting>
  <conditionalFormatting sqref="H86:H1048576">
    <cfRule type="cellIs" dxfId="1099" priority="3398" operator="lessThan">
      <formula>0</formula>
    </cfRule>
  </conditionalFormatting>
  <conditionalFormatting sqref="H86:H1048576">
    <cfRule type="cellIs" dxfId="1098" priority="3397" operator="lessThan">
      <formula>0</formula>
    </cfRule>
  </conditionalFormatting>
  <conditionalFormatting sqref="H86:H1048576">
    <cfRule type="cellIs" dxfId="1097" priority="3396" operator="lessThan">
      <formula>0</formula>
    </cfRule>
  </conditionalFormatting>
  <conditionalFormatting sqref="H86:H1048576">
    <cfRule type="cellIs" dxfId="1096" priority="3395" operator="lessThan">
      <formula>0</formula>
    </cfRule>
  </conditionalFormatting>
  <conditionalFormatting sqref="H86:H1048576">
    <cfRule type="cellIs" dxfId="1095" priority="3394" operator="lessThan">
      <formula>0</formula>
    </cfRule>
  </conditionalFormatting>
  <conditionalFormatting sqref="H86:H1048576">
    <cfRule type="cellIs" dxfId="1094" priority="3393" operator="lessThan">
      <formula>0</formula>
    </cfRule>
  </conditionalFormatting>
  <conditionalFormatting sqref="H86:H1048576">
    <cfRule type="cellIs" dxfId="1093" priority="3392" operator="lessThan">
      <formula>0</formula>
    </cfRule>
  </conditionalFormatting>
  <conditionalFormatting sqref="H86:H1048576">
    <cfRule type="cellIs" dxfId="1092" priority="3391" operator="lessThan">
      <formula>0</formula>
    </cfRule>
  </conditionalFormatting>
  <conditionalFormatting sqref="H86:H1048576">
    <cfRule type="cellIs" dxfId="1091" priority="3390" operator="lessThan">
      <formula>0</formula>
    </cfRule>
  </conditionalFormatting>
  <conditionalFormatting sqref="H86:H1048576">
    <cfRule type="cellIs" dxfId="1090" priority="3389" operator="lessThan">
      <formula>0</formula>
    </cfRule>
  </conditionalFormatting>
  <conditionalFormatting sqref="H86:H1048576">
    <cfRule type="cellIs" dxfId="1089" priority="3388" operator="lessThan">
      <formula>0</formula>
    </cfRule>
  </conditionalFormatting>
  <conditionalFormatting sqref="H86:H1048576">
    <cfRule type="cellIs" dxfId="1088" priority="3387" operator="lessThan">
      <formula>0</formula>
    </cfRule>
  </conditionalFormatting>
  <conditionalFormatting sqref="H86:H1048576">
    <cfRule type="cellIs" dxfId="1087" priority="3386" operator="lessThan">
      <formula>0</formula>
    </cfRule>
  </conditionalFormatting>
  <conditionalFormatting sqref="H86:H1048576">
    <cfRule type="cellIs" dxfId="1086" priority="3385" operator="lessThan">
      <formula>0</formula>
    </cfRule>
  </conditionalFormatting>
  <conditionalFormatting sqref="H86:H1048576">
    <cfRule type="cellIs" dxfId="1085" priority="3384" operator="lessThan">
      <formula>0</formula>
    </cfRule>
  </conditionalFormatting>
  <conditionalFormatting sqref="H86:H1048576">
    <cfRule type="cellIs" dxfId="1084" priority="3383" operator="lessThan">
      <formula>0</formula>
    </cfRule>
  </conditionalFormatting>
  <conditionalFormatting sqref="H86:H1048576">
    <cfRule type="cellIs" dxfId="1083" priority="3382" operator="lessThan">
      <formula>0</formula>
    </cfRule>
  </conditionalFormatting>
  <conditionalFormatting sqref="H86:H1048576">
    <cfRule type="cellIs" dxfId="1082" priority="3381" operator="lessThan">
      <formula>0</formula>
    </cfRule>
  </conditionalFormatting>
  <conditionalFormatting sqref="H86:H1048576">
    <cfRule type="cellIs" dxfId="1081" priority="3380" operator="lessThan">
      <formula>0</formula>
    </cfRule>
  </conditionalFormatting>
  <conditionalFormatting sqref="H86:H1048576">
    <cfRule type="cellIs" dxfId="1080" priority="3379" operator="lessThan">
      <formula>0</formula>
    </cfRule>
  </conditionalFormatting>
  <conditionalFormatting sqref="H86:H1048576">
    <cfRule type="cellIs" dxfId="1079" priority="3378" operator="lessThan">
      <formula>0</formula>
    </cfRule>
  </conditionalFormatting>
  <conditionalFormatting sqref="H86:H1048576">
    <cfRule type="cellIs" dxfId="1078" priority="3377" operator="lessThan">
      <formula>0</formula>
    </cfRule>
  </conditionalFormatting>
  <conditionalFormatting sqref="H86:H1048576">
    <cfRule type="cellIs" dxfId="1077" priority="3376" operator="lessThan">
      <formula>0</formula>
    </cfRule>
  </conditionalFormatting>
  <conditionalFormatting sqref="H86:H1048576">
    <cfRule type="cellIs" dxfId="1076" priority="3375" operator="lessThan">
      <formula>0</formula>
    </cfRule>
  </conditionalFormatting>
  <conditionalFormatting sqref="H86:H1048576">
    <cfRule type="cellIs" dxfId="1075" priority="3374" operator="lessThan">
      <formula>0</formula>
    </cfRule>
  </conditionalFormatting>
  <conditionalFormatting sqref="H86:H1048576">
    <cfRule type="cellIs" dxfId="1074" priority="3373" operator="lessThan">
      <formula>0</formula>
    </cfRule>
  </conditionalFormatting>
  <conditionalFormatting sqref="H86:H1048576">
    <cfRule type="cellIs" dxfId="1073" priority="3372" operator="lessThan">
      <formula>0</formula>
    </cfRule>
  </conditionalFormatting>
  <conditionalFormatting sqref="H86:H1048576">
    <cfRule type="cellIs" dxfId="1072" priority="3371" operator="lessThan">
      <formula>0</formula>
    </cfRule>
  </conditionalFormatting>
  <conditionalFormatting sqref="H86:H1048576">
    <cfRule type="cellIs" dxfId="1071" priority="3370" operator="lessThan">
      <formula>0</formula>
    </cfRule>
  </conditionalFormatting>
  <conditionalFormatting sqref="H86:H1048576">
    <cfRule type="cellIs" dxfId="1070" priority="3369" operator="lessThan">
      <formula>0</formula>
    </cfRule>
  </conditionalFormatting>
  <conditionalFormatting sqref="H86:H1048576">
    <cfRule type="cellIs" dxfId="1069" priority="3368" operator="lessThan">
      <formula>0</formula>
    </cfRule>
  </conditionalFormatting>
  <conditionalFormatting sqref="H86:H1048576">
    <cfRule type="cellIs" dxfId="1068" priority="3367" operator="lessThan">
      <formula>0</formula>
    </cfRule>
  </conditionalFormatting>
  <conditionalFormatting sqref="H86:H1048576">
    <cfRule type="cellIs" dxfId="1067" priority="3366" operator="lessThan">
      <formula>0</formula>
    </cfRule>
  </conditionalFormatting>
  <conditionalFormatting sqref="H86:H1048576">
    <cfRule type="cellIs" dxfId="1066" priority="3365" operator="lessThan">
      <formula>0</formula>
    </cfRule>
  </conditionalFormatting>
  <conditionalFormatting sqref="H86:H1048576">
    <cfRule type="cellIs" dxfId="1065" priority="3364" operator="lessThan">
      <formula>0</formula>
    </cfRule>
  </conditionalFormatting>
  <conditionalFormatting sqref="H86:H1048576">
    <cfRule type="cellIs" dxfId="1064" priority="3363" operator="lessThan">
      <formula>0</formula>
    </cfRule>
  </conditionalFormatting>
  <conditionalFormatting sqref="H86:H1048576">
    <cfRule type="cellIs" dxfId="1063" priority="3362" operator="lessThan">
      <formula>0</formula>
    </cfRule>
  </conditionalFormatting>
  <conditionalFormatting sqref="H86:H1048576">
    <cfRule type="cellIs" dxfId="1062" priority="3361" operator="lessThan">
      <formula>0</formula>
    </cfRule>
  </conditionalFormatting>
  <conditionalFormatting sqref="H86:H1048576">
    <cfRule type="cellIs" dxfId="1061" priority="3360" operator="lessThan">
      <formula>0</formula>
    </cfRule>
  </conditionalFormatting>
  <conditionalFormatting sqref="H86:H1048576">
    <cfRule type="cellIs" dxfId="1060" priority="3359" operator="lessThan">
      <formula>0</formula>
    </cfRule>
  </conditionalFormatting>
  <conditionalFormatting sqref="H86:H1048576">
    <cfRule type="cellIs" dxfId="1059" priority="3358" operator="lessThan">
      <formula>0</formula>
    </cfRule>
  </conditionalFormatting>
  <conditionalFormatting sqref="H86:H1048576">
    <cfRule type="cellIs" dxfId="1058" priority="3357" operator="lessThan">
      <formula>0</formula>
    </cfRule>
  </conditionalFormatting>
  <conditionalFormatting sqref="H86:H1048576">
    <cfRule type="cellIs" dxfId="1057" priority="3356" operator="lessThan">
      <formula>0</formula>
    </cfRule>
  </conditionalFormatting>
  <conditionalFormatting sqref="H86:H1048576">
    <cfRule type="cellIs" dxfId="1056" priority="3355" operator="lessThan">
      <formula>0</formula>
    </cfRule>
  </conditionalFormatting>
  <conditionalFormatting sqref="H86:H1048576">
    <cfRule type="cellIs" dxfId="1055" priority="3354" operator="lessThan">
      <formula>0</formula>
    </cfRule>
  </conditionalFormatting>
  <conditionalFormatting sqref="H86:H1048576">
    <cfRule type="cellIs" dxfId="1054" priority="3353" operator="lessThan">
      <formula>0</formula>
    </cfRule>
  </conditionalFormatting>
  <conditionalFormatting sqref="H86:H1048576">
    <cfRule type="cellIs" dxfId="1053" priority="3352" operator="lessThan">
      <formula>0</formula>
    </cfRule>
  </conditionalFormatting>
  <conditionalFormatting sqref="H86:H1048576">
    <cfRule type="cellIs" dxfId="1052" priority="3351" operator="lessThan">
      <formula>0</formula>
    </cfRule>
  </conditionalFormatting>
  <conditionalFormatting sqref="H86:H1048576">
    <cfRule type="cellIs" dxfId="1051" priority="3350" operator="lessThan">
      <formula>0</formula>
    </cfRule>
  </conditionalFormatting>
  <conditionalFormatting sqref="H86:H1048576">
    <cfRule type="cellIs" dxfId="1050" priority="3349" operator="lessThan">
      <formula>0</formula>
    </cfRule>
  </conditionalFormatting>
  <conditionalFormatting sqref="H86:H1048576">
    <cfRule type="cellIs" dxfId="1049" priority="3348" operator="lessThan">
      <formula>0</formula>
    </cfRule>
  </conditionalFormatting>
  <conditionalFormatting sqref="H86:H1048576">
    <cfRule type="cellIs" dxfId="1048" priority="3347" operator="lessThan">
      <formula>0</formula>
    </cfRule>
  </conditionalFormatting>
  <conditionalFormatting sqref="H86:H1048576">
    <cfRule type="cellIs" dxfId="1047" priority="3346" operator="lessThan">
      <formula>0</formula>
    </cfRule>
  </conditionalFormatting>
  <conditionalFormatting sqref="H86:H1048576">
    <cfRule type="cellIs" dxfId="1046" priority="3345" operator="lessThan">
      <formula>0</formula>
    </cfRule>
  </conditionalFormatting>
  <conditionalFormatting sqref="H86:H1048576">
    <cfRule type="cellIs" dxfId="1045" priority="3344" operator="lessThan">
      <formula>0</formula>
    </cfRule>
  </conditionalFormatting>
  <conditionalFormatting sqref="H86:H1048576">
    <cfRule type="cellIs" dxfId="1044" priority="3343" operator="lessThan">
      <formula>0</formula>
    </cfRule>
  </conditionalFormatting>
  <conditionalFormatting sqref="H86:H1048576">
    <cfRule type="cellIs" dxfId="1043" priority="3342" operator="lessThan">
      <formula>0</formula>
    </cfRule>
  </conditionalFormatting>
  <conditionalFormatting sqref="H86:H1048576">
    <cfRule type="cellIs" dxfId="1042" priority="3341" operator="lessThan">
      <formula>0</formula>
    </cfRule>
  </conditionalFormatting>
  <conditionalFormatting sqref="H86:H1048576">
    <cfRule type="cellIs" dxfId="1041" priority="3340" operator="lessThan">
      <formula>0</formula>
    </cfRule>
  </conditionalFormatting>
  <conditionalFormatting sqref="H86:H1048576">
    <cfRule type="cellIs" dxfId="1040" priority="3339" operator="lessThan">
      <formula>0</formula>
    </cfRule>
  </conditionalFormatting>
  <conditionalFormatting sqref="H86:H1048576">
    <cfRule type="cellIs" dxfId="1039" priority="3338" operator="lessThan">
      <formula>0</formula>
    </cfRule>
  </conditionalFormatting>
  <conditionalFormatting sqref="H86:H1048576">
    <cfRule type="cellIs" dxfId="1038" priority="3337" operator="lessThan">
      <formula>0</formula>
    </cfRule>
  </conditionalFormatting>
  <conditionalFormatting sqref="H86:H1048576">
    <cfRule type="cellIs" dxfId="1037" priority="3336" operator="lessThan">
      <formula>0</formula>
    </cfRule>
  </conditionalFormatting>
  <conditionalFormatting sqref="H86:H1048576">
    <cfRule type="cellIs" dxfId="1036" priority="3335" operator="lessThan">
      <formula>0</formula>
    </cfRule>
  </conditionalFormatting>
  <conditionalFormatting sqref="H86:H1048576">
    <cfRule type="cellIs" dxfId="1035" priority="3334" operator="lessThan">
      <formula>0</formula>
    </cfRule>
  </conditionalFormatting>
  <conditionalFormatting sqref="H86:H1048576">
    <cfRule type="cellIs" dxfId="1034" priority="3333" operator="lessThan">
      <formula>0</formula>
    </cfRule>
  </conditionalFormatting>
  <conditionalFormatting sqref="H86:H1048576">
    <cfRule type="cellIs" dxfId="1033" priority="3332" operator="lessThan">
      <formula>0</formula>
    </cfRule>
  </conditionalFormatting>
  <conditionalFormatting sqref="H86:H1048576">
    <cfRule type="cellIs" dxfId="1032" priority="3331" operator="lessThan">
      <formula>0</formula>
    </cfRule>
  </conditionalFormatting>
  <conditionalFormatting sqref="H86:H1048576">
    <cfRule type="cellIs" dxfId="1031" priority="3330" operator="lessThan">
      <formula>0</formula>
    </cfRule>
  </conditionalFormatting>
  <conditionalFormatting sqref="H86:H1048576">
    <cfRule type="cellIs" dxfId="1030" priority="3329" operator="lessThan">
      <formula>0</formula>
    </cfRule>
  </conditionalFormatting>
  <conditionalFormatting sqref="H86:H1048576">
    <cfRule type="cellIs" dxfId="1029" priority="3328" operator="lessThan">
      <formula>0</formula>
    </cfRule>
  </conditionalFormatting>
  <conditionalFormatting sqref="H86:H1048576">
    <cfRule type="cellIs" dxfId="1028" priority="3327" operator="lessThan">
      <formula>0</formula>
    </cfRule>
  </conditionalFormatting>
  <conditionalFormatting sqref="H86:H1048576">
    <cfRule type="cellIs" dxfId="1027" priority="3326" operator="lessThan">
      <formula>0</formula>
    </cfRule>
  </conditionalFormatting>
  <conditionalFormatting sqref="H86:H1048576">
    <cfRule type="cellIs" dxfId="1026" priority="3325" operator="lessThan">
      <formula>0</formula>
    </cfRule>
  </conditionalFormatting>
  <conditionalFormatting sqref="H86:H1048576">
    <cfRule type="cellIs" dxfId="1025" priority="3324" operator="lessThan">
      <formula>0</formula>
    </cfRule>
  </conditionalFormatting>
  <conditionalFormatting sqref="H86:H1048576">
    <cfRule type="cellIs" dxfId="1024" priority="3323" operator="lessThan">
      <formula>0</formula>
    </cfRule>
  </conditionalFormatting>
  <conditionalFormatting sqref="H86:H1048576">
    <cfRule type="cellIs" dxfId="1023" priority="3322" operator="lessThan">
      <formula>0</formula>
    </cfRule>
  </conditionalFormatting>
  <conditionalFormatting sqref="H86:H1048576">
    <cfRule type="cellIs" dxfId="1022" priority="3321" operator="lessThan">
      <formula>0</formula>
    </cfRule>
  </conditionalFormatting>
  <conditionalFormatting sqref="H86:H1048576">
    <cfRule type="cellIs" dxfId="1021" priority="3320" operator="lessThan">
      <formula>0</formula>
    </cfRule>
  </conditionalFormatting>
  <conditionalFormatting sqref="H86:H1048576">
    <cfRule type="cellIs" dxfId="1020" priority="3319" operator="lessThan">
      <formula>0</formula>
    </cfRule>
  </conditionalFormatting>
  <conditionalFormatting sqref="H86:H1048576">
    <cfRule type="cellIs" dxfId="1019" priority="3318" operator="lessThan">
      <formula>0</formula>
    </cfRule>
  </conditionalFormatting>
  <conditionalFormatting sqref="H86:H1048576">
    <cfRule type="cellIs" dxfId="1018" priority="3317" operator="lessThan">
      <formula>0</formula>
    </cfRule>
  </conditionalFormatting>
  <conditionalFormatting sqref="H86:H1048576">
    <cfRule type="cellIs" dxfId="1017" priority="3316" operator="lessThan">
      <formula>0</formula>
    </cfRule>
  </conditionalFormatting>
  <conditionalFormatting sqref="H86:H1048576">
    <cfRule type="cellIs" dxfId="1016" priority="3315" operator="lessThan">
      <formula>0</formula>
    </cfRule>
  </conditionalFormatting>
  <conditionalFormatting sqref="H86:H1048576">
    <cfRule type="cellIs" dxfId="1015" priority="3314" operator="lessThan">
      <formula>0</formula>
    </cfRule>
  </conditionalFormatting>
  <conditionalFormatting sqref="H86:H1048576">
    <cfRule type="cellIs" dxfId="1014" priority="3313" operator="lessThan">
      <formula>0</formula>
    </cfRule>
  </conditionalFormatting>
  <conditionalFormatting sqref="H86:H1048576">
    <cfRule type="cellIs" dxfId="1013" priority="3312" operator="lessThan">
      <formula>0</formula>
    </cfRule>
  </conditionalFormatting>
  <conditionalFormatting sqref="H86:H1048576">
    <cfRule type="cellIs" dxfId="1012" priority="3311" operator="lessThan">
      <formula>0</formula>
    </cfRule>
  </conditionalFormatting>
  <conditionalFormatting sqref="H86:H1048576">
    <cfRule type="cellIs" dxfId="1011" priority="3310" operator="lessThan">
      <formula>0</formula>
    </cfRule>
  </conditionalFormatting>
  <conditionalFormatting sqref="H86:H1048576">
    <cfRule type="cellIs" dxfId="1010" priority="3309" operator="lessThan">
      <formula>0</formula>
    </cfRule>
  </conditionalFormatting>
  <conditionalFormatting sqref="H86:H1048576">
    <cfRule type="cellIs" dxfId="1009" priority="3308" operator="lessThan">
      <formula>0</formula>
    </cfRule>
  </conditionalFormatting>
  <conditionalFormatting sqref="H86:H1048576">
    <cfRule type="cellIs" dxfId="1008" priority="3307" operator="lessThan">
      <formula>0</formula>
    </cfRule>
  </conditionalFormatting>
  <conditionalFormatting sqref="H86:H1048576">
    <cfRule type="cellIs" dxfId="1007" priority="3306" operator="lessThan">
      <formula>0</formula>
    </cfRule>
  </conditionalFormatting>
  <conditionalFormatting sqref="H86:H1048576">
    <cfRule type="cellIs" dxfId="1006" priority="3305" operator="lessThan">
      <formula>0</formula>
    </cfRule>
  </conditionalFormatting>
  <conditionalFormatting sqref="H86:H1048576">
    <cfRule type="cellIs" dxfId="1005" priority="3304" operator="lessThan">
      <formula>0</formula>
    </cfRule>
  </conditionalFormatting>
  <conditionalFormatting sqref="H86:H1048576">
    <cfRule type="cellIs" dxfId="1004" priority="3303" operator="lessThan">
      <formula>0</formula>
    </cfRule>
  </conditionalFormatting>
  <conditionalFormatting sqref="H86:H1048576">
    <cfRule type="cellIs" dxfId="1003" priority="3302" operator="lessThan">
      <formula>0</formula>
    </cfRule>
  </conditionalFormatting>
  <conditionalFormatting sqref="H86:H1048576">
    <cfRule type="cellIs" dxfId="1002" priority="3301" operator="lessThan">
      <formula>0</formula>
    </cfRule>
  </conditionalFormatting>
  <conditionalFormatting sqref="H86:H1048576">
    <cfRule type="cellIs" dxfId="1001" priority="3300" operator="lessThan">
      <formula>0</formula>
    </cfRule>
  </conditionalFormatting>
  <conditionalFormatting sqref="H86:H1048576">
    <cfRule type="cellIs" dxfId="1000" priority="3299" operator="lessThan">
      <formula>0</formula>
    </cfRule>
  </conditionalFormatting>
  <conditionalFormatting sqref="H86:H1048576">
    <cfRule type="cellIs" dxfId="999" priority="3298" operator="lessThan">
      <formula>0</formula>
    </cfRule>
  </conditionalFormatting>
  <conditionalFormatting sqref="H86:H1048576">
    <cfRule type="cellIs" dxfId="998" priority="3297" operator="lessThan">
      <formula>0</formula>
    </cfRule>
  </conditionalFormatting>
  <conditionalFormatting sqref="H86:H1048576">
    <cfRule type="cellIs" dxfId="997" priority="3296" operator="lessThan">
      <formula>0</formula>
    </cfRule>
  </conditionalFormatting>
  <conditionalFormatting sqref="H86:H1048576">
    <cfRule type="cellIs" dxfId="996" priority="3295" operator="lessThan">
      <formula>0</formula>
    </cfRule>
  </conditionalFormatting>
  <conditionalFormatting sqref="H86:H1048576">
    <cfRule type="cellIs" dxfId="995" priority="3294" operator="lessThan">
      <formula>0</formula>
    </cfRule>
  </conditionalFormatting>
  <conditionalFormatting sqref="H86:H1048576">
    <cfRule type="cellIs" dxfId="994" priority="3293" operator="lessThan">
      <formula>0</formula>
    </cfRule>
  </conditionalFormatting>
  <conditionalFormatting sqref="H86:H1048576">
    <cfRule type="cellIs" dxfId="993" priority="3292" operator="lessThan">
      <formula>0</formula>
    </cfRule>
  </conditionalFormatting>
  <conditionalFormatting sqref="H86:H1048576">
    <cfRule type="cellIs" dxfId="992" priority="3291" operator="lessThan">
      <formula>0</formula>
    </cfRule>
  </conditionalFormatting>
  <conditionalFormatting sqref="H86:H1048576">
    <cfRule type="cellIs" dxfId="991" priority="3290" operator="lessThan">
      <formula>0</formula>
    </cfRule>
  </conditionalFormatting>
  <conditionalFormatting sqref="H86:H1048576">
    <cfRule type="cellIs" dxfId="990" priority="3289" operator="lessThan">
      <formula>0</formula>
    </cfRule>
  </conditionalFormatting>
  <conditionalFormatting sqref="H86:H1048576">
    <cfRule type="cellIs" dxfId="989" priority="3288" operator="lessThan">
      <formula>0</formula>
    </cfRule>
  </conditionalFormatting>
  <conditionalFormatting sqref="H86:H1048576">
    <cfRule type="cellIs" dxfId="988" priority="3287" operator="lessThan">
      <formula>0</formula>
    </cfRule>
  </conditionalFormatting>
  <conditionalFormatting sqref="H86:H1048576">
    <cfRule type="cellIs" dxfId="987" priority="3286" operator="lessThan">
      <formula>0</formula>
    </cfRule>
  </conditionalFormatting>
  <conditionalFormatting sqref="H86:H1048576">
    <cfRule type="cellIs" dxfId="986" priority="3285" operator="lessThan">
      <formula>0</formula>
    </cfRule>
  </conditionalFormatting>
  <conditionalFormatting sqref="H86:H1048576">
    <cfRule type="cellIs" dxfId="985" priority="3284" operator="lessThan">
      <formula>0</formula>
    </cfRule>
  </conditionalFormatting>
  <conditionalFormatting sqref="H86:H1048576">
    <cfRule type="cellIs" dxfId="984" priority="3283" operator="lessThan">
      <formula>0</formula>
    </cfRule>
  </conditionalFormatting>
  <conditionalFormatting sqref="H86:H1048576">
    <cfRule type="cellIs" dxfId="983" priority="3282" operator="lessThan">
      <formula>0</formula>
    </cfRule>
  </conditionalFormatting>
  <conditionalFormatting sqref="H86:H1048576">
    <cfRule type="cellIs" dxfId="982" priority="3281" operator="lessThan">
      <formula>0</formula>
    </cfRule>
  </conditionalFormatting>
  <conditionalFormatting sqref="H86:H1048576">
    <cfRule type="cellIs" dxfId="981" priority="3280" operator="lessThan">
      <formula>0</formula>
    </cfRule>
  </conditionalFormatting>
  <conditionalFormatting sqref="H86:H1048576">
    <cfRule type="cellIs" dxfId="980" priority="3279" operator="lessThan">
      <formula>0</formula>
    </cfRule>
  </conditionalFormatting>
  <conditionalFormatting sqref="H86:H1048576">
    <cfRule type="cellIs" dxfId="979" priority="3278" operator="lessThan">
      <formula>0</formula>
    </cfRule>
  </conditionalFormatting>
  <conditionalFormatting sqref="H86:H1048576">
    <cfRule type="cellIs" dxfId="978" priority="3277" operator="lessThan">
      <formula>0</formula>
    </cfRule>
  </conditionalFormatting>
  <conditionalFormatting sqref="H86:H1048576">
    <cfRule type="cellIs" dxfId="977" priority="3276" operator="lessThan">
      <formula>0</formula>
    </cfRule>
  </conditionalFormatting>
  <conditionalFormatting sqref="H86:H1048576">
    <cfRule type="cellIs" dxfId="976" priority="3275" operator="lessThan">
      <formula>0</formula>
    </cfRule>
  </conditionalFormatting>
  <conditionalFormatting sqref="H86:H1048576">
    <cfRule type="cellIs" dxfId="975" priority="3274" operator="lessThan">
      <formula>0</formula>
    </cfRule>
  </conditionalFormatting>
  <conditionalFormatting sqref="H86:H1048576">
    <cfRule type="cellIs" dxfId="974" priority="3273" operator="lessThan">
      <formula>0</formula>
    </cfRule>
  </conditionalFormatting>
  <conditionalFormatting sqref="H86:H1048576">
    <cfRule type="cellIs" dxfId="973" priority="3272" operator="lessThan">
      <formula>0</formula>
    </cfRule>
  </conditionalFormatting>
  <conditionalFormatting sqref="H86:H1048576">
    <cfRule type="cellIs" dxfId="972" priority="3271" operator="lessThan">
      <formula>0</formula>
    </cfRule>
  </conditionalFormatting>
  <conditionalFormatting sqref="H86:H1048576">
    <cfRule type="cellIs" dxfId="971" priority="3270" operator="lessThan">
      <formula>0</formula>
    </cfRule>
  </conditionalFormatting>
  <conditionalFormatting sqref="H86:H1048576">
    <cfRule type="cellIs" dxfId="970" priority="3269" operator="lessThan">
      <formula>0</formula>
    </cfRule>
  </conditionalFormatting>
  <conditionalFormatting sqref="H86:H1048576">
    <cfRule type="cellIs" dxfId="969" priority="3268" operator="lessThan">
      <formula>0</formula>
    </cfRule>
  </conditionalFormatting>
  <conditionalFormatting sqref="H86:H1048576">
    <cfRule type="cellIs" dxfId="968" priority="3267" operator="lessThan">
      <formula>0</formula>
    </cfRule>
  </conditionalFormatting>
  <conditionalFormatting sqref="H86:H1048576">
    <cfRule type="cellIs" dxfId="967" priority="3266" operator="lessThan">
      <formula>0</formula>
    </cfRule>
  </conditionalFormatting>
  <conditionalFormatting sqref="H86:H1048576">
    <cfRule type="cellIs" dxfId="966" priority="3265" operator="lessThan">
      <formula>0</formula>
    </cfRule>
  </conditionalFormatting>
  <conditionalFormatting sqref="H86:H1048576">
    <cfRule type="cellIs" dxfId="965" priority="3264" operator="lessThan">
      <formula>0</formula>
    </cfRule>
  </conditionalFormatting>
  <conditionalFormatting sqref="H86:H1048576">
    <cfRule type="cellIs" dxfId="964" priority="3263" operator="lessThan">
      <formula>0</formula>
    </cfRule>
  </conditionalFormatting>
  <conditionalFormatting sqref="H10:H1048576">
    <cfRule type="cellIs" dxfId="963" priority="3262" operator="lessThan">
      <formula>0</formula>
    </cfRule>
  </conditionalFormatting>
  <conditionalFormatting sqref="H10:H1048576">
    <cfRule type="cellIs" dxfId="962" priority="3261" operator="lessThan">
      <formula>0</formula>
    </cfRule>
  </conditionalFormatting>
  <conditionalFormatting sqref="H10:H1048576">
    <cfRule type="cellIs" dxfId="961" priority="3260" operator="lessThan">
      <formula>0</formula>
    </cfRule>
  </conditionalFormatting>
  <conditionalFormatting sqref="H10:H1048576">
    <cfRule type="cellIs" dxfId="960" priority="3259" operator="lessThan">
      <formula>0</formula>
    </cfRule>
  </conditionalFormatting>
  <conditionalFormatting sqref="H10:H1048576">
    <cfRule type="cellIs" dxfId="959" priority="3258" operator="lessThan">
      <formula>0</formula>
    </cfRule>
  </conditionalFormatting>
  <conditionalFormatting sqref="H10:H1048576">
    <cfRule type="cellIs" dxfId="958" priority="3257" operator="lessThan">
      <formula>0</formula>
    </cfRule>
  </conditionalFormatting>
  <conditionalFormatting sqref="H10:H1048576">
    <cfRule type="cellIs" dxfId="957" priority="3256" operator="lessThan">
      <formula>0</formula>
    </cfRule>
  </conditionalFormatting>
  <conditionalFormatting sqref="H10:H1048576">
    <cfRule type="cellIs" dxfId="956" priority="3255" operator="lessThan">
      <formula>0</formula>
    </cfRule>
  </conditionalFormatting>
  <conditionalFormatting sqref="H10:H1048576">
    <cfRule type="cellIs" dxfId="955" priority="3254" operator="lessThan">
      <formula>0</formula>
    </cfRule>
  </conditionalFormatting>
  <conditionalFormatting sqref="H10:H1048576">
    <cfRule type="cellIs" dxfId="954" priority="3253" operator="lessThan">
      <formula>0</formula>
    </cfRule>
  </conditionalFormatting>
  <conditionalFormatting sqref="H10:H1048576">
    <cfRule type="cellIs" dxfId="953" priority="3252" operator="lessThan">
      <formula>0</formula>
    </cfRule>
  </conditionalFormatting>
  <conditionalFormatting sqref="H10:H1048576">
    <cfRule type="cellIs" dxfId="952" priority="3251" operator="lessThan">
      <formula>0</formula>
    </cfRule>
  </conditionalFormatting>
  <conditionalFormatting sqref="H10:H1048576">
    <cfRule type="cellIs" dxfId="951" priority="3250" operator="lessThan">
      <formula>0</formula>
    </cfRule>
  </conditionalFormatting>
  <conditionalFormatting sqref="H10:H1048576">
    <cfRule type="cellIs" dxfId="950" priority="3249" operator="lessThan">
      <formula>0</formula>
    </cfRule>
  </conditionalFormatting>
  <conditionalFormatting sqref="H10:H1048576">
    <cfRule type="cellIs" dxfId="949" priority="3248" operator="lessThan">
      <formula>0</formula>
    </cfRule>
  </conditionalFormatting>
  <conditionalFormatting sqref="H10:H1048576">
    <cfRule type="cellIs" dxfId="948" priority="3247" operator="lessThan">
      <formula>0</formula>
    </cfRule>
  </conditionalFormatting>
  <conditionalFormatting sqref="H10:H1048576">
    <cfRule type="cellIs" dxfId="947" priority="3246" operator="lessThan">
      <formula>0</formula>
    </cfRule>
  </conditionalFormatting>
  <conditionalFormatting sqref="H10:H1048576">
    <cfRule type="cellIs" dxfId="946" priority="3245" operator="lessThan">
      <formula>0</formula>
    </cfRule>
  </conditionalFormatting>
  <conditionalFormatting sqref="H10:H1048576">
    <cfRule type="cellIs" dxfId="945" priority="3244" operator="lessThan">
      <formula>0</formula>
    </cfRule>
  </conditionalFormatting>
  <conditionalFormatting sqref="H10:H1048576">
    <cfRule type="cellIs" dxfId="944" priority="3243" operator="lessThan">
      <formula>0</formula>
    </cfRule>
  </conditionalFormatting>
  <conditionalFormatting sqref="H10:H1048576">
    <cfRule type="cellIs" dxfId="943" priority="3242" operator="lessThan">
      <formula>0</formula>
    </cfRule>
  </conditionalFormatting>
  <conditionalFormatting sqref="H10:H1048576">
    <cfRule type="cellIs" dxfId="942" priority="3241" operator="lessThan">
      <formula>0</formula>
    </cfRule>
  </conditionalFormatting>
  <conditionalFormatting sqref="H10:H1048576">
    <cfRule type="cellIs" dxfId="941" priority="3240" operator="lessThan">
      <formula>0</formula>
    </cfRule>
  </conditionalFormatting>
  <conditionalFormatting sqref="H10:H1048576">
    <cfRule type="cellIs" dxfId="940" priority="3239" operator="lessThan">
      <formula>0</formula>
    </cfRule>
  </conditionalFormatting>
  <conditionalFormatting sqref="H10:H1048576">
    <cfRule type="cellIs" dxfId="939" priority="3238" operator="lessThan">
      <formula>0</formula>
    </cfRule>
  </conditionalFormatting>
  <conditionalFormatting sqref="H10:H1048576">
    <cfRule type="cellIs" dxfId="938" priority="3237" operator="lessThan">
      <formula>0</formula>
    </cfRule>
  </conditionalFormatting>
  <conditionalFormatting sqref="H10:H1048576">
    <cfRule type="cellIs" dxfId="937" priority="3236" operator="lessThan">
      <formula>0</formula>
    </cfRule>
  </conditionalFormatting>
  <conditionalFormatting sqref="H10:H1048576">
    <cfRule type="cellIs" dxfId="936" priority="3235" operator="lessThan">
      <formula>0</formula>
    </cfRule>
  </conditionalFormatting>
  <conditionalFormatting sqref="H10:H1048576">
    <cfRule type="cellIs" dxfId="935" priority="3234" operator="lessThan">
      <formula>0</formula>
    </cfRule>
  </conditionalFormatting>
  <conditionalFormatting sqref="H10:H1048576">
    <cfRule type="cellIs" dxfId="934" priority="3233" operator="lessThan">
      <formula>0</formula>
    </cfRule>
  </conditionalFormatting>
  <conditionalFormatting sqref="H10:H1048576">
    <cfRule type="cellIs" dxfId="933" priority="3232" operator="lessThan">
      <formula>0</formula>
    </cfRule>
  </conditionalFormatting>
  <conditionalFormatting sqref="H10:H1048576">
    <cfRule type="cellIs" dxfId="932" priority="3231" operator="lessThan">
      <formula>0</formula>
    </cfRule>
  </conditionalFormatting>
  <conditionalFormatting sqref="H10:H1048576">
    <cfRule type="cellIs" dxfId="931" priority="3230" operator="lessThan">
      <formula>0</formula>
    </cfRule>
  </conditionalFormatting>
  <conditionalFormatting sqref="H10:H1048576">
    <cfRule type="cellIs" dxfId="930" priority="3229" operator="lessThan">
      <formula>0</formula>
    </cfRule>
  </conditionalFormatting>
  <conditionalFormatting sqref="H10:H1048576">
    <cfRule type="cellIs" dxfId="929" priority="3228" operator="lessThan">
      <formula>0</formula>
    </cfRule>
  </conditionalFormatting>
  <conditionalFormatting sqref="H10:H1048576">
    <cfRule type="cellIs" dxfId="928" priority="3227" operator="lessThan">
      <formula>0</formula>
    </cfRule>
  </conditionalFormatting>
  <conditionalFormatting sqref="H10:H1048576">
    <cfRule type="cellIs" dxfId="927" priority="3226" operator="lessThan">
      <formula>0</formula>
    </cfRule>
  </conditionalFormatting>
  <conditionalFormatting sqref="H10:H1048576">
    <cfRule type="cellIs" dxfId="926" priority="3225" operator="lessThan">
      <formula>0</formula>
    </cfRule>
  </conditionalFormatting>
  <conditionalFormatting sqref="H10:H1048576">
    <cfRule type="cellIs" dxfId="925" priority="3224" operator="lessThan">
      <formula>0</formula>
    </cfRule>
  </conditionalFormatting>
  <conditionalFormatting sqref="H10:H1048576">
    <cfRule type="cellIs" dxfId="924" priority="3223" operator="lessThan">
      <formula>0</formula>
    </cfRule>
  </conditionalFormatting>
  <conditionalFormatting sqref="H10:H1048576">
    <cfRule type="cellIs" dxfId="923" priority="3222" operator="lessThan">
      <formula>0</formula>
    </cfRule>
  </conditionalFormatting>
  <conditionalFormatting sqref="H10:H1048576">
    <cfRule type="cellIs" dxfId="922" priority="3221" operator="lessThan">
      <formula>0</formula>
    </cfRule>
  </conditionalFormatting>
  <conditionalFormatting sqref="H10:H1048576">
    <cfRule type="cellIs" dxfId="921" priority="3220" operator="lessThan">
      <formula>0</formula>
    </cfRule>
  </conditionalFormatting>
  <conditionalFormatting sqref="H10:H1048576">
    <cfRule type="cellIs" dxfId="920" priority="3219" operator="lessThan">
      <formula>0</formula>
    </cfRule>
  </conditionalFormatting>
  <conditionalFormatting sqref="H10:H1048576">
    <cfRule type="cellIs" dxfId="919" priority="3218" operator="lessThan">
      <formula>0</formula>
    </cfRule>
  </conditionalFormatting>
  <conditionalFormatting sqref="H10:H1048576">
    <cfRule type="cellIs" dxfId="918" priority="3217" operator="lessThan">
      <formula>0</formula>
    </cfRule>
  </conditionalFormatting>
  <conditionalFormatting sqref="H10:H1048576">
    <cfRule type="cellIs" dxfId="917" priority="3216" operator="lessThan">
      <formula>0</formula>
    </cfRule>
  </conditionalFormatting>
  <conditionalFormatting sqref="H10:H1048576">
    <cfRule type="cellIs" dxfId="916" priority="3215" operator="lessThan">
      <formula>0</formula>
    </cfRule>
  </conditionalFormatting>
  <conditionalFormatting sqref="H10:H1048576">
    <cfRule type="cellIs" dxfId="915" priority="3214" operator="lessThan">
      <formula>0</formula>
    </cfRule>
  </conditionalFormatting>
  <conditionalFormatting sqref="H10:H1048576">
    <cfRule type="cellIs" dxfId="914" priority="3213" operator="lessThan">
      <formula>0</formula>
    </cfRule>
  </conditionalFormatting>
  <conditionalFormatting sqref="H10:H1048576">
    <cfRule type="cellIs" dxfId="913" priority="3212" operator="lessThan">
      <formula>0</formula>
    </cfRule>
  </conditionalFormatting>
  <conditionalFormatting sqref="H10:H1048576">
    <cfRule type="cellIs" dxfId="912" priority="3211" operator="lessThan">
      <formula>0</formula>
    </cfRule>
  </conditionalFormatting>
  <conditionalFormatting sqref="H10:H1048576">
    <cfRule type="cellIs" dxfId="911" priority="3210" operator="lessThan">
      <formula>0</formula>
    </cfRule>
  </conditionalFormatting>
  <conditionalFormatting sqref="H10:H1048576">
    <cfRule type="cellIs" dxfId="910" priority="3209" operator="lessThan">
      <formula>0</formula>
    </cfRule>
  </conditionalFormatting>
  <conditionalFormatting sqref="H10:H1048576">
    <cfRule type="cellIs" dxfId="909" priority="3208" operator="lessThan">
      <formula>0</formula>
    </cfRule>
  </conditionalFormatting>
  <conditionalFormatting sqref="H10:H1048576">
    <cfRule type="cellIs" dxfId="908" priority="3207" operator="lessThan">
      <formula>0</formula>
    </cfRule>
  </conditionalFormatting>
  <conditionalFormatting sqref="H10:H1048576">
    <cfRule type="cellIs" dxfId="907" priority="3206" operator="lessThan">
      <formula>0</formula>
    </cfRule>
  </conditionalFormatting>
  <conditionalFormatting sqref="H10:H1048576">
    <cfRule type="cellIs" dxfId="906" priority="3205" operator="lessThan">
      <formula>0</formula>
    </cfRule>
  </conditionalFormatting>
  <conditionalFormatting sqref="H10:H1048576">
    <cfRule type="cellIs" dxfId="905" priority="3204" operator="lessThan">
      <formula>0</formula>
    </cfRule>
  </conditionalFormatting>
  <conditionalFormatting sqref="H10:H1048576">
    <cfRule type="cellIs" dxfId="904" priority="3203" operator="lessThan">
      <formula>0</formula>
    </cfRule>
  </conditionalFormatting>
  <conditionalFormatting sqref="H10:H1048576">
    <cfRule type="cellIs" dxfId="903" priority="3202" operator="lessThan">
      <formula>0</formula>
    </cfRule>
  </conditionalFormatting>
  <conditionalFormatting sqref="H10:H1048576">
    <cfRule type="cellIs" dxfId="902" priority="3201" operator="lessThan">
      <formula>0</formula>
    </cfRule>
  </conditionalFormatting>
  <conditionalFormatting sqref="H10:H1048576">
    <cfRule type="cellIs" dxfId="901" priority="3200" operator="lessThan">
      <formula>0</formula>
    </cfRule>
  </conditionalFormatting>
  <conditionalFormatting sqref="H10:H1048576">
    <cfRule type="cellIs" dxfId="900" priority="3199" operator="lessThan">
      <formula>0</formula>
    </cfRule>
  </conditionalFormatting>
  <conditionalFormatting sqref="H10:H1048576">
    <cfRule type="cellIs" dxfId="899" priority="3198" operator="lessThan">
      <formula>0</formula>
    </cfRule>
  </conditionalFormatting>
  <conditionalFormatting sqref="H10:H1048576">
    <cfRule type="cellIs" dxfId="898" priority="3197" operator="lessThan">
      <formula>0</formula>
    </cfRule>
  </conditionalFormatting>
  <conditionalFormatting sqref="H10:H1048576">
    <cfRule type="cellIs" dxfId="897" priority="3196" operator="lessThan">
      <formula>0</formula>
    </cfRule>
  </conditionalFormatting>
  <conditionalFormatting sqref="H10:H1048576">
    <cfRule type="cellIs" dxfId="896" priority="3195" operator="lessThan">
      <formula>0</formula>
    </cfRule>
  </conditionalFormatting>
  <conditionalFormatting sqref="H10:H1048576">
    <cfRule type="cellIs" dxfId="895" priority="3194" operator="lessThan">
      <formula>0</formula>
    </cfRule>
  </conditionalFormatting>
  <conditionalFormatting sqref="H10:H1048576">
    <cfRule type="cellIs" dxfId="894" priority="3193" operator="lessThan">
      <formula>0</formula>
    </cfRule>
  </conditionalFormatting>
  <conditionalFormatting sqref="H10:H1048576">
    <cfRule type="cellIs" dxfId="893" priority="3192" operator="lessThan">
      <formula>0</formula>
    </cfRule>
  </conditionalFormatting>
  <conditionalFormatting sqref="H10:H1048576">
    <cfRule type="cellIs" dxfId="892" priority="3191" operator="lessThan">
      <formula>0</formula>
    </cfRule>
  </conditionalFormatting>
  <conditionalFormatting sqref="H10:H1048576">
    <cfRule type="cellIs" dxfId="891" priority="3190" operator="lessThan">
      <formula>0</formula>
    </cfRule>
  </conditionalFormatting>
  <conditionalFormatting sqref="H10:H1048576">
    <cfRule type="cellIs" dxfId="890" priority="3189" operator="lessThan">
      <formula>0</formula>
    </cfRule>
  </conditionalFormatting>
  <conditionalFormatting sqref="H10:H1048576">
    <cfRule type="cellIs" dxfId="889" priority="3188" operator="lessThan">
      <formula>0</formula>
    </cfRule>
  </conditionalFormatting>
  <conditionalFormatting sqref="H10:H1048576">
    <cfRule type="cellIs" dxfId="888" priority="3187" operator="lessThan">
      <formula>0</formula>
    </cfRule>
  </conditionalFormatting>
  <conditionalFormatting sqref="H10:H1048576">
    <cfRule type="cellIs" dxfId="887" priority="3186" operator="lessThan">
      <formula>0</formula>
    </cfRule>
  </conditionalFormatting>
  <conditionalFormatting sqref="H10:H1048576">
    <cfRule type="cellIs" dxfId="886" priority="3185" operator="lessThan">
      <formula>0</formula>
    </cfRule>
  </conditionalFormatting>
  <conditionalFormatting sqref="H10:H1048576">
    <cfRule type="cellIs" dxfId="885" priority="3184" operator="lessThan">
      <formula>0</formula>
    </cfRule>
  </conditionalFormatting>
  <conditionalFormatting sqref="H10:H1048576">
    <cfRule type="cellIs" dxfId="884" priority="3183" operator="lessThan">
      <formula>0</formula>
    </cfRule>
  </conditionalFormatting>
  <conditionalFormatting sqref="H10:H1048576">
    <cfRule type="cellIs" dxfId="883" priority="3182" operator="lessThan">
      <formula>0</formula>
    </cfRule>
  </conditionalFormatting>
  <conditionalFormatting sqref="H10:H1048576">
    <cfRule type="cellIs" dxfId="882" priority="3181" operator="lessThan">
      <formula>0</formula>
    </cfRule>
  </conditionalFormatting>
  <conditionalFormatting sqref="H10:H1048576">
    <cfRule type="cellIs" dxfId="881" priority="3180" operator="lessThan">
      <formula>0</formula>
    </cfRule>
  </conditionalFormatting>
  <conditionalFormatting sqref="H10:H1048576">
    <cfRule type="cellIs" dxfId="880" priority="3179" operator="lessThan">
      <formula>0</formula>
    </cfRule>
  </conditionalFormatting>
  <conditionalFormatting sqref="H10:H1048576">
    <cfRule type="cellIs" dxfId="879" priority="3178" operator="lessThan">
      <formula>0</formula>
    </cfRule>
  </conditionalFormatting>
  <conditionalFormatting sqref="H10:H1048576">
    <cfRule type="cellIs" dxfId="878" priority="3177" operator="lessThan">
      <formula>0</formula>
    </cfRule>
  </conditionalFormatting>
  <conditionalFormatting sqref="H10:H1048576">
    <cfRule type="cellIs" dxfId="877" priority="3176" operator="lessThan">
      <formula>0</formula>
    </cfRule>
  </conditionalFormatting>
  <conditionalFormatting sqref="H10:H1048576">
    <cfRule type="cellIs" dxfId="876" priority="3175" operator="lessThan">
      <formula>0</formula>
    </cfRule>
  </conditionalFormatting>
  <conditionalFormatting sqref="H10:H1048576">
    <cfRule type="cellIs" dxfId="875" priority="3174" operator="lessThan">
      <formula>0</formula>
    </cfRule>
  </conditionalFormatting>
  <conditionalFormatting sqref="H10:H1048576">
    <cfRule type="cellIs" dxfId="874" priority="3173" operator="lessThan">
      <formula>0</formula>
    </cfRule>
  </conditionalFormatting>
  <conditionalFormatting sqref="H10:H1048576">
    <cfRule type="cellIs" dxfId="873" priority="3172" operator="lessThan">
      <formula>0</formula>
    </cfRule>
  </conditionalFormatting>
  <conditionalFormatting sqref="H10:H1048576">
    <cfRule type="cellIs" dxfId="872" priority="3171" operator="lessThan">
      <formula>0</formula>
    </cfRule>
  </conditionalFormatting>
  <conditionalFormatting sqref="H10:H1048576">
    <cfRule type="cellIs" dxfId="871" priority="3170" operator="lessThan">
      <formula>0</formula>
    </cfRule>
  </conditionalFormatting>
  <conditionalFormatting sqref="H10:H1048576">
    <cfRule type="cellIs" dxfId="870" priority="3169" operator="lessThan">
      <formula>0</formula>
    </cfRule>
  </conditionalFormatting>
  <conditionalFormatting sqref="H10:H1048576">
    <cfRule type="cellIs" dxfId="869" priority="3168" operator="lessThan">
      <formula>0</formula>
    </cfRule>
  </conditionalFormatting>
  <conditionalFormatting sqref="H10:H1048576">
    <cfRule type="cellIs" dxfId="868" priority="3167" operator="lessThan">
      <formula>0</formula>
    </cfRule>
  </conditionalFormatting>
  <conditionalFormatting sqref="H10:H1048576">
    <cfRule type="cellIs" dxfId="867" priority="3166" operator="lessThan">
      <formula>0</formula>
    </cfRule>
  </conditionalFormatting>
  <conditionalFormatting sqref="H10:H1048576">
    <cfRule type="cellIs" dxfId="866" priority="3165" operator="lessThan">
      <formula>0</formula>
    </cfRule>
  </conditionalFormatting>
  <conditionalFormatting sqref="H10:H1048576">
    <cfRule type="cellIs" dxfId="865" priority="3164" operator="lessThan">
      <formula>0</formula>
    </cfRule>
  </conditionalFormatting>
  <conditionalFormatting sqref="H10:H1048576">
    <cfRule type="cellIs" dxfId="864" priority="3163" operator="lessThan">
      <formula>0</formula>
    </cfRule>
  </conditionalFormatting>
  <conditionalFormatting sqref="H10:H1048576">
    <cfRule type="cellIs" dxfId="863" priority="3162" operator="lessThan">
      <formula>0</formula>
    </cfRule>
  </conditionalFormatting>
  <conditionalFormatting sqref="H10:H1048576">
    <cfRule type="cellIs" dxfId="862" priority="3161" operator="lessThan">
      <formula>0</formula>
    </cfRule>
  </conditionalFormatting>
  <conditionalFormatting sqref="H10:H1048576">
    <cfRule type="cellIs" dxfId="861" priority="3160" operator="lessThan">
      <formula>0</formula>
    </cfRule>
  </conditionalFormatting>
  <conditionalFormatting sqref="H10:H1048576">
    <cfRule type="cellIs" dxfId="860" priority="3159" operator="lessThan">
      <formula>0</formula>
    </cfRule>
  </conditionalFormatting>
  <conditionalFormatting sqref="H10:H1048576">
    <cfRule type="cellIs" dxfId="859" priority="3158" operator="lessThan">
      <formula>0</formula>
    </cfRule>
  </conditionalFormatting>
  <conditionalFormatting sqref="H10:H1048576">
    <cfRule type="cellIs" dxfId="858" priority="3157" operator="lessThan">
      <formula>0</formula>
    </cfRule>
  </conditionalFormatting>
  <conditionalFormatting sqref="H10:H1048576">
    <cfRule type="cellIs" dxfId="857" priority="3156" operator="lessThan">
      <formula>0</formula>
    </cfRule>
  </conditionalFormatting>
  <conditionalFormatting sqref="H10:H1048576">
    <cfRule type="cellIs" dxfId="856" priority="3155" operator="lessThan">
      <formula>0</formula>
    </cfRule>
  </conditionalFormatting>
  <conditionalFormatting sqref="H10:H1048576">
    <cfRule type="cellIs" dxfId="855" priority="3154" operator="lessThan">
      <formula>0</formula>
    </cfRule>
  </conditionalFormatting>
  <conditionalFormatting sqref="H10:H1048576">
    <cfRule type="cellIs" dxfId="854" priority="3153" operator="lessThan">
      <formula>0</formula>
    </cfRule>
  </conditionalFormatting>
  <conditionalFormatting sqref="H10:H1048576">
    <cfRule type="cellIs" dxfId="853" priority="3152" operator="lessThan">
      <formula>0</formula>
    </cfRule>
  </conditionalFormatting>
  <conditionalFormatting sqref="H10:H1048576">
    <cfRule type="cellIs" dxfId="852" priority="3151" operator="lessThan">
      <formula>0</formula>
    </cfRule>
  </conditionalFormatting>
  <conditionalFormatting sqref="H10:H1048576">
    <cfRule type="cellIs" dxfId="851" priority="3150" operator="lessThan">
      <formula>0</formula>
    </cfRule>
  </conditionalFormatting>
  <conditionalFormatting sqref="H10:H1048576">
    <cfRule type="cellIs" dxfId="850" priority="3149" operator="lessThan">
      <formula>0</formula>
    </cfRule>
  </conditionalFormatting>
  <conditionalFormatting sqref="H10:H1048576">
    <cfRule type="cellIs" dxfId="849" priority="3148" operator="lessThan">
      <formula>0</formula>
    </cfRule>
  </conditionalFormatting>
  <conditionalFormatting sqref="H10:H1048576">
    <cfRule type="cellIs" dxfId="848" priority="3147" operator="lessThan">
      <formula>0</formula>
    </cfRule>
  </conditionalFormatting>
  <conditionalFormatting sqref="H10:H1048576">
    <cfRule type="cellIs" dxfId="847" priority="3146" operator="lessThan">
      <formula>0</formula>
    </cfRule>
  </conditionalFormatting>
  <conditionalFormatting sqref="H10:H1048576">
    <cfRule type="cellIs" dxfId="846" priority="3145" operator="lessThan">
      <formula>0</formula>
    </cfRule>
  </conditionalFormatting>
  <conditionalFormatting sqref="H10:H1048576">
    <cfRule type="cellIs" dxfId="845" priority="3144" operator="lessThan">
      <formula>0</formula>
    </cfRule>
  </conditionalFormatting>
  <conditionalFormatting sqref="H10:H1048576">
    <cfRule type="cellIs" dxfId="844" priority="3143" operator="lessThan">
      <formula>0</formula>
    </cfRule>
  </conditionalFormatting>
  <conditionalFormatting sqref="H10:H1048576">
    <cfRule type="cellIs" dxfId="843" priority="3142" operator="lessThan">
      <formula>0</formula>
    </cfRule>
  </conditionalFormatting>
  <conditionalFormatting sqref="H10:H1048576">
    <cfRule type="cellIs" dxfId="842" priority="3141" operator="lessThan">
      <formula>0</formula>
    </cfRule>
  </conditionalFormatting>
  <conditionalFormatting sqref="H10:H1048576">
    <cfRule type="cellIs" dxfId="841" priority="3140" operator="lessThan">
      <formula>0</formula>
    </cfRule>
  </conditionalFormatting>
  <conditionalFormatting sqref="H10:H1048576">
    <cfRule type="cellIs" dxfId="840" priority="3139" operator="lessThan">
      <formula>0</formula>
    </cfRule>
  </conditionalFormatting>
  <conditionalFormatting sqref="H10:H1048576">
    <cfRule type="cellIs" dxfId="839" priority="3138" operator="lessThan">
      <formula>0</formula>
    </cfRule>
  </conditionalFormatting>
  <conditionalFormatting sqref="H10:H1048576">
    <cfRule type="cellIs" dxfId="838" priority="3137" operator="lessThan">
      <formula>0</formula>
    </cfRule>
  </conditionalFormatting>
  <conditionalFormatting sqref="H10:H1048576">
    <cfRule type="cellIs" dxfId="837" priority="3136" operator="lessThan">
      <formula>0</formula>
    </cfRule>
  </conditionalFormatting>
  <conditionalFormatting sqref="H10:H1048576">
    <cfRule type="cellIs" dxfId="836" priority="3135" operator="lessThan">
      <formula>0</formula>
    </cfRule>
  </conditionalFormatting>
  <conditionalFormatting sqref="H10:H1048576">
    <cfRule type="cellIs" dxfId="835" priority="3134" operator="lessThan">
      <formula>0</formula>
    </cfRule>
  </conditionalFormatting>
  <conditionalFormatting sqref="H10:H1048576">
    <cfRule type="cellIs" dxfId="834" priority="3133" operator="lessThan">
      <formula>0</formula>
    </cfRule>
  </conditionalFormatting>
  <conditionalFormatting sqref="H10:H1048576">
    <cfRule type="cellIs" dxfId="833" priority="3132" operator="lessThan">
      <formula>0</formula>
    </cfRule>
  </conditionalFormatting>
  <conditionalFormatting sqref="H10:H1048576">
    <cfRule type="cellIs" dxfId="832" priority="3131" operator="lessThan">
      <formula>0</formula>
    </cfRule>
  </conditionalFormatting>
  <conditionalFormatting sqref="H10:H1048576">
    <cfRule type="cellIs" dxfId="831" priority="3130" operator="lessThan">
      <formula>0</formula>
    </cfRule>
  </conditionalFormatting>
  <conditionalFormatting sqref="H10:H1048576">
    <cfRule type="cellIs" dxfId="830" priority="3129" operator="lessThan">
      <formula>0</formula>
    </cfRule>
  </conditionalFormatting>
  <conditionalFormatting sqref="H10:H1048576">
    <cfRule type="cellIs" dxfId="829" priority="3128" operator="lessThan">
      <formula>0</formula>
    </cfRule>
  </conditionalFormatting>
  <conditionalFormatting sqref="H10:H1048576">
    <cfRule type="cellIs" dxfId="828" priority="3127" operator="lessThan">
      <formula>0</formula>
    </cfRule>
  </conditionalFormatting>
  <conditionalFormatting sqref="H10:H1048576">
    <cfRule type="cellIs" dxfId="827" priority="3126" operator="lessThan">
      <formula>0</formula>
    </cfRule>
  </conditionalFormatting>
  <conditionalFormatting sqref="H10:H1048576">
    <cfRule type="cellIs" dxfId="826" priority="3125" operator="lessThan">
      <formula>0</formula>
    </cfRule>
  </conditionalFormatting>
  <conditionalFormatting sqref="H10:H1048576">
    <cfRule type="cellIs" dxfId="825" priority="3124" operator="lessThan">
      <formula>0</formula>
    </cfRule>
  </conditionalFormatting>
  <conditionalFormatting sqref="H10:H1048576">
    <cfRule type="cellIs" dxfId="824" priority="3123" operator="lessThan">
      <formula>0</formula>
    </cfRule>
  </conditionalFormatting>
  <conditionalFormatting sqref="H10:H1048576">
    <cfRule type="cellIs" dxfId="823" priority="3122" operator="lessThan">
      <formula>0</formula>
    </cfRule>
  </conditionalFormatting>
  <conditionalFormatting sqref="H10:H1048576">
    <cfRule type="cellIs" dxfId="822" priority="3121" operator="lessThan">
      <formula>0</formula>
    </cfRule>
  </conditionalFormatting>
  <conditionalFormatting sqref="H10:H1048576">
    <cfRule type="cellIs" dxfId="821" priority="3120" operator="lessThan">
      <formula>0</formula>
    </cfRule>
  </conditionalFormatting>
  <conditionalFormatting sqref="H10:H1048576">
    <cfRule type="cellIs" dxfId="820" priority="3119" operator="lessThan">
      <formula>0</formula>
    </cfRule>
  </conditionalFormatting>
  <conditionalFormatting sqref="H10:H1048576">
    <cfRule type="cellIs" dxfId="819" priority="3118" operator="lessThan">
      <formula>0</formula>
    </cfRule>
  </conditionalFormatting>
  <conditionalFormatting sqref="H10:H1048576">
    <cfRule type="cellIs" dxfId="818" priority="3117" operator="lessThan">
      <formula>0</formula>
    </cfRule>
  </conditionalFormatting>
  <conditionalFormatting sqref="H10:H1048576">
    <cfRule type="cellIs" dxfId="817" priority="3116" operator="lessThan">
      <formula>0</formula>
    </cfRule>
  </conditionalFormatting>
  <conditionalFormatting sqref="H10:H1048576">
    <cfRule type="cellIs" dxfId="816" priority="3115" operator="lessThan">
      <formula>0</formula>
    </cfRule>
  </conditionalFormatting>
  <conditionalFormatting sqref="H10:H1048576">
    <cfRule type="cellIs" dxfId="815" priority="3114" operator="lessThan">
      <formula>0</formula>
    </cfRule>
  </conditionalFormatting>
  <conditionalFormatting sqref="H10:H1048576">
    <cfRule type="cellIs" dxfId="814" priority="3113" operator="lessThan">
      <formula>0</formula>
    </cfRule>
  </conditionalFormatting>
  <conditionalFormatting sqref="H10:H1048576">
    <cfRule type="cellIs" dxfId="813" priority="3112" operator="lessThan">
      <formula>0</formula>
    </cfRule>
  </conditionalFormatting>
  <conditionalFormatting sqref="H10:H1048576">
    <cfRule type="cellIs" dxfId="812" priority="3111" operator="lessThan">
      <formula>0</formula>
    </cfRule>
  </conditionalFormatting>
  <conditionalFormatting sqref="H10:H1048576">
    <cfRule type="cellIs" dxfId="811" priority="3110" operator="lessThan">
      <formula>0</formula>
    </cfRule>
  </conditionalFormatting>
  <conditionalFormatting sqref="H10:H1048576">
    <cfRule type="cellIs" dxfId="810" priority="3109" operator="lessThan">
      <formula>0</formula>
    </cfRule>
  </conditionalFormatting>
  <conditionalFormatting sqref="H10:H1048576">
    <cfRule type="cellIs" dxfId="809" priority="3108" operator="lessThan">
      <formula>0</formula>
    </cfRule>
  </conditionalFormatting>
  <conditionalFormatting sqref="H10:H1048576">
    <cfRule type="cellIs" dxfId="808" priority="3107" operator="lessThan">
      <formula>0</formula>
    </cfRule>
  </conditionalFormatting>
  <conditionalFormatting sqref="H10:H1048576">
    <cfRule type="cellIs" dxfId="807" priority="3106" operator="lessThan">
      <formula>0</formula>
    </cfRule>
  </conditionalFormatting>
  <conditionalFormatting sqref="H10:H1048576">
    <cfRule type="cellIs" dxfId="806" priority="3105" operator="lessThan">
      <formula>0</formula>
    </cfRule>
  </conditionalFormatting>
  <conditionalFormatting sqref="H10:H1048576">
    <cfRule type="cellIs" dxfId="805" priority="3104" operator="lessThan">
      <formula>0</formula>
    </cfRule>
  </conditionalFormatting>
  <conditionalFormatting sqref="H10:H1048576">
    <cfRule type="cellIs" dxfId="804" priority="3103" operator="lessThan">
      <formula>0</formula>
    </cfRule>
  </conditionalFormatting>
  <conditionalFormatting sqref="H10:H1048576">
    <cfRule type="cellIs" dxfId="803" priority="3102" operator="lessThan">
      <formula>0</formula>
    </cfRule>
  </conditionalFormatting>
  <conditionalFormatting sqref="H10:H1048576">
    <cfRule type="cellIs" dxfId="802" priority="3101" operator="lessThan">
      <formula>0</formula>
    </cfRule>
  </conditionalFormatting>
  <conditionalFormatting sqref="H10:H1048576">
    <cfRule type="cellIs" dxfId="801" priority="3100" operator="lessThan">
      <formula>0</formula>
    </cfRule>
  </conditionalFormatting>
  <conditionalFormatting sqref="H10:H1048576">
    <cfRule type="cellIs" dxfId="800" priority="3099" operator="lessThan">
      <formula>0</formula>
    </cfRule>
  </conditionalFormatting>
  <conditionalFormatting sqref="H10:H1048576">
    <cfRule type="cellIs" dxfId="799" priority="3098" operator="lessThan">
      <formula>0</formula>
    </cfRule>
  </conditionalFormatting>
  <conditionalFormatting sqref="H10:H1048576">
    <cfRule type="cellIs" dxfId="798" priority="3097" operator="lessThan">
      <formula>0</formula>
    </cfRule>
  </conditionalFormatting>
  <conditionalFormatting sqref="H10:H1048576">
    <cfRule type="cellIs" dxfId="797" priority="3096" operator="lessThan">
      <formula>0</formula>
    </cfRule>
  </conditionalFormatting>
  <conditionalFormatting sqref="H10:H1048576">
    <cfRule type="cellIs" dxfId="796" priority="3095" operator="lessThan">
      <formula>0</formula>
    </cfRule>
  </conditionalFormatting>
  <conditionalFormatting sqref="H10:H1048576">
    <cfRule type="cellIs" dxfId="795" priority="3094" operator="lessThan">
      <formula>0</formula>
    </cfRule>
  </conditionalFormatting>
  <conditionalFormatting sqref="H10:H1048576">
    <cfRule type="cellIs" dxfId="794" priority="3093" operator="lessThan">
      <formula>0</formula>
    </cfRule>
  </conditionalFormatting>
  <conditionalFormatting sqref="H10:H1048576">
    <cfRule type="cellIs" dxfId="793" priority="3092" operator="lessThan">
      <formula>0</formula>
    </cfRule>
  </conditionalFormatting>
  <conditionalFormatting sqref="H10:H1048576">
    <cfRule type="cellIs" dxfId="792" priority="3091" operator="lessThan">
      <formula>0</formula>
    </cfRule>
  </conditionalFormatting>
  <conditionalFormatting sqref="H10:H1048576">
    <cfRule type="cellIs" dxfId="791" priority="3090" operator="lessThan">
      <formula>0</formula>
    </cfRule>
  </conditionalFormatting>
  <conditionalFormatting sqref="H10:H1048576">
    <cfRule type="cellIs" dxfId="790" priority="3089" operator="lessThan">
      <formula>0</formula>
    </cfRule>
  </conditionalFormatting>
  <conditionalFormatting sqref="H10:H1048576">
    <cfRule type="cellIs" dxfId="789" priority="3088" operator="lessThan">
      <formula>0</formula>
    </cfRule>
  </conditionalFormatting>
  <conditionalFormatting sqref="H10:H1048576">
    <cfRule type="cellIs" dxfId="788" priority="3087" operator="lessThan">
      <formula>0</formula>
    </cfRule>
  </conditionalFormatting>
  <conditionalFormatting sqref="H10:H1048576">
    <cfRule type="cellIs" dxfId="787" priority="3086" operator="lessThan">
      <formula>0</formula>
    </cfRule>
  </conditionalFormatting>
  <conditionalFormatting sqref="H10:H1048576">
    <cfRule type="cellIs" dxfId="786" priority="3085" operator="lessThan">
      <formula>0</formula>
    </cfRule>
  </conditionalFormatting>
  <conditionalFormatting sqref="H10:H1048576">
    <cfRule type="cellIs" dxfId="785" priority="3084" operator="lessThan">
      <formula>0</formula>
    </cfRule>
  </conditionalFormatting>
  <conditionalFormatting sqref="H10:H1048576">
    <cfRule type="cellIs" dxfId="784" priority="3083" operator="lessThan">
      <formula>0</formula>
    </cfRule>
  </conditionalFormatting>
  <conditionalFormatting sqref="H10:H1048576">
    <cfRule type="cellIs" dxfId="783" priority="3082" operator="lessThan">
      <formula>0</formula>
    </cfRule>
  </conditionalFormatting>
  <conditionalFormatting sqref="H10:H1048576">
    <cfRule type="cellIs" dxfId="782" priority="3081" operator="lessThan">
      <formula>0</formula>
    </cfRule>
  </conditionalFormatting>
  <conditionalFormatting sqref="H10:H1048576">
    <cfRule type="cellIs" dxfId="781" priority="3080" operator="lessThan">
      <formula>0</formula>
    </cfRule>
  </conditionalFormatting>
  <conditionalFormatting sqref="H10:H1048576">
    <cfRule type="cellIs" dxfId="780" priority="3079" operator="lessThan">
      <formula>0</formula>
    </cfRule>
  </conditionalFormatting>
  <conditionalFormatting sqref="H10:H1048576">
    <cfRule type="cellIs" dxfId="779" priority="3078" operator="lessThan">
      <formula>0</formula>
    </cfRule>
  </conditionalFormatting>
  <conditionalFormatting sqref="H10:H1048576">
    <cfRule type="cellIs" dxfId="778" priority="3077" operator="lessThan">
      <formula>0</formula>
    </cfRule>
  </conditionalFormatting>
  <conditionalFormatting sqref="H10:H1048576">
    <cfRule type="cellIs" dxfId="777" priority="3076" operator="lessThan">
      <formula>0</formula>
    </cfRule>
  </conditionalFormatting>
  <conditionalFormatting sqref="H10:H1048576">
    <cfRule type="cellIs" dxfId="776" priority="3075" operator="lessThan">
      <formula>0</formula>
    </cfRule>
  </conditionalFormatting>
  <conditionalFormatting sqref="H10:H1048576">
    <cfRule type="cellIs" dxfId="775" priority="3074" operator="lessThan">
      <formula>0</formula>
    </cfRule>
  </conditionalFormatting>
  <conditionalFormatting sqref="H10:H1048576">
    <cfRule type="cellIs" dxfId="774" priority="3073" operator="lessThan">
      <formula>0</formula>
    </cfRule>
  </conditionalFormatting>
  <conditionalFormatting sqref="H10:H1048576">
    <cfRule type="cellIs" dxfId="773" priority="3072" operator="lessThan">
      <formula>0</formula>
    </cfRule>
  </conditionalFormatting>
  <conditionalFormatting sqref="H10:H1048576">
    <cfRule type="cellIs" dxfId="772" priority="3071" operator="lessThan">
      <formula>0</formula>
    </cfRule>
  </conditionalFormatting>
  <conditionalFormatting sqref="H10:H1048576">
    <cfRule type="cellIs" dxfId="771" priority="3070" operator="lessThan">
      <formula>0</formula>
    </cfRule>
  </conditionalFormatting>
  <conditionalFormatting sqref="H10:H1048576">
    <cfRule type="cellIs" dxfId="770" priority="3069" operator="lessThan">
      <formula>0</formula>
    </cfRule>
  </conditionalFormatting>
  <conditionalFormatting sqref="H10:H1048576">
    <cfRule type="cellIs" dxfId="769" priority="3068" operator="lessThan">
      <formula>0</formula>
    </cfRule>
  </conditionalFormatting>
  <conditionalFormatting sqref="H10:H1048576">
    <cfRule type="cellIs" dxfId="768" priority="3067" operator="lessThan">
      <formula>0</formula>
    </cfRule>
  </conditionalFormatting>
  <conditionalFormatting sqref="H10:H1048576">
    <cfRule type="cellIs" dxfId="767" priority="3066" operator="lessThan">
      <formula>0</formula>
    </cfRule>
  </conditionalFormatting>
  <conditionalFormatting sqref="H10:H1048576">
    <cfRule type="cellIs" dxfId="766" priority="3065" operator="lessThan">
      <formula>0</formula>
    </cfRule>
  </conditionalFormatting>
  <conditionalFormatting sqref="H10:H1048576">
    <cfRule type="cellIs" dxfId="765" priority="3064" operator="lessThan">
      <formula>0</formula>
    </cfRule>
  </conditionalFormatting>
  <conditionalFormatting sqref="H10:H1048576">
    <cfRule type="cellIs" dxfId="764" priority="3063" operator="lessThan">
      <formula>0</formula>
    </cfRule>
  </conditionalFormatting>
  <conditionalFormatting sqref="H10:H1048576">
    <cfRule type="cellIs" dxfId="763" priority="3062" operator="lessThan">
      <formula>0</formula>
    </cfRule>
  </conditionalFormatting>
  <conditionalFormatting sqref="H10:H1048576">
    <cfRule type="cellIs" dxfId="762" priority="3061" operator="lessThan">
      <formula>0</formula>
    </cfRule>
  </conditionalFormatting>
  <conditionalFormatting sqref="H10:H1048576">
    <cfRule type="cellIs" dxfId="761" priority="3060" operator="lessThan">
      <formula>0</formula>
    </cfRule>
  </conditionalFormatting>
  <conditionalFormatting sqref="H10:H1048576">
    <cfRule type="cellIs" dxfId="760" priority="3059" operator="lessThan">
      <formula>0</formula>
    </cfRule>
  </conditionalFormatting>
  <conditionalFormatting sqref="H10:H1048576">
    <cfRule type="cellIs" dxfId="759" priority="3058" operator="lessThan">
      <formula>0</formula>
    </cfRule>
  </conditionalFormatting>
  <conditionalFormatting sqref="H10:H1048576">
    <cfRule type="cellIs" dxfId="758" priority="3057" operator="lessThan">
      <formula>0</formula>
    </cfRule>
  </conditionalFormatting>
  <conditionalFormatting sqref="H10:H1048576">
    <cfRule type="cellIs" dxfId="757" priority="3056" operator="lessThan">
      <formula>0</formula>
    </cfRule>
  </conditionalFormatting>
  <conditionalFormatting sqref="H10:H1048576">
    <cfRule type="cellIs" dxfId="756" priority="3055" operator="lessThan">
      <formula>0</formula>
    </cfRule>
  </conditionalFormatting>
  <conditionalFormatting sqref="H10:H1048576">
    <cfRule type="cellIs" dxfId="755" priority="3054" operator="lessThan">
      <formula>0</formula>
    </cfRule>
  </conditionalFormatting>
  <conditionalFormatting sqref="H10:H1048576">
    <cfRule type="cellIs" dxfId="754" priority="3053" operator="lessThan">
      <formula>0</formula>
    </cfRule>
  </conditionalFormatting>
  <conditionalFormatting sqref="H10:H1048576">
    <cfRule type="cellIs" dxfId="753" priority="3052" operator="lessThan">
      <formula>0</formula>
    </cfRule>
  </conditionalFormatting>
  <conditionalFormatting sqref="H10:H1048576">
    <cfRule type="cellIs" dxfId="752" priority="3051" operator="lessThan">
      <formula>0</formula>
    </cfRule>
  </conditionalFormatting>
  <conditionalFormatting sqref="H10:H1048576">
    <cfRule type="cellIs" dxfId="751" priority="3050" operator="lessThan">
      <formula>0</formula>
    </cfRule>
  </conditionalFormatting>
  <conditionalFormatting sqref="H10:H1048576">
    <cfRule type="cellIs" dxfId="750" priority="3049" operator="lessThan">
      <formula>0</formula>
    </cfRule>
  </conditionalFormatting>
  <conditionalFormatting sqref="H10:H1048576">
    <cfRule type="cellIs" dxfId="749" priority="3048" operator="lessThan">
      <formula>0</formula>
    </cfRule>
  </conditionalFormatting>
  <conditionalFormatting sqref="H10:H1048576">
    <cfRule type="cellIs" dxfId="748" priority="3047" operator="lessThan">
      <formula>0</formula>
    </cfRule>
  </conditionalFormatting>
  <conditionalFormatting sqref="H10:H1048576">
    <cfRule type="cellIs" dxfId="747" priority="3046" operator="lessThan">
      <formula>0</formula>
    </cfRule>
  </conditionalFormatting>
  <conditionalFormatting sqref="H10:H1048576">
    <cfRule type="cellIs" dxfId="746" priority="3045" operator="lessThan">
      <formula>0</formula>
    </cfRule>
  </conditionalFormatting>
  <conditionalFormatting sqref="H10:H1048576">
    <cfRule type="cellIs" dxfId="745" priority="3044" operator="lessThan">
      <formula>0</formula>
    </cfRule>
  </conditionalFormatting>
  <conditionalFormatting sqref="H10:H1048576">
    <cfRule type="cellIs" dxfId="744" priority="3043" operator="lessThan">
      <formula>0</formula>
    </cfRule>
  </conditionalFormatting>
  <conditionalFormatting sqref="H10:H1048576">
    <cfRule type="cellIs" dxfId="743" priority="3042" operator="lessThan">
      <formula>0</formula>
    </cfRule>
  </conditionalFormatting>
  <conditionalFormatting sqref="H10:H1048576">
    <cfRule type="cellIs" dxfId="742" priority="3041" operator="lessThan">
      <formula>0</formula>
    </cfRule>
  </conditionalFormatting>
  <conditionalFormatting sqref="H10:H1048576">
    <cfRule type="cellIs" dxfId="741" priority="3040" operator="lessThan">
      <formula>0</formula>
    </cfRule>
  </conditionalFormatting>
  <conditionalFormatting sqref="H10:H1048576">
    <cfRule type="cellIs" dxfId="740" priority="3039" operator="lessThan">
      <formula>0</formula>
    </cfRule>
  </conditionalFormatting>
  <conditionalFormatting sqref="H10:H1048576">
    <cfRule type="cellIs" dxfId="739" priority="3038" operator="lessThan">
      <formula>0</formula>
    </cfRule>
  </conditionalFormatting>
  <conditionalFormatting sqref="H10:H1048576">
    <cfRule type="cellIs" dxfId="738" priority="3037" operator="lessThan">
      <formula>0</formula>
    </cfRule>
  </conditionalFormatting>
  <conditionalFormatting sqref="H10:H1048576">
    <cfRule type="cellIs" dxfId="737" priority="3036" operator="lessThan">
      <formula>0</formula>
    </cfRule>
  </conditionalFormatting>
  <conditionalFormatting sqref="H10:H1048576">
    <cfRule type="cellIs" dxfId="736" priority="3035" operator="lessThan">
      <formula>0</formula>
    </cfRule>
  </conditionalFormatting>
  <conditionalFormatting sqref="H10:H1048576">
    <cfRule type="cellIs" dxfId="735" priority="3034" operator="lessThan">
      <formula>0</formula>
    </cfRule>
  </conditionalFormatting>
  <conditionalFormatting sqref="H10:H1048576">
    <cfRule type="cellIs" dxfId="734" priority="3033" operator="lessThan">
      <formula>0</formula>
    </cfRule>
  </conditionalFormatting>
  <conditionalFormatting sqref="H10:H1048576">
    <cfRule type="cellIs" dxfId="733" priority="3032" operator="lessThan">
      <formula>0</formula>
    </cfRule>
  </conditionalFormatting>
  <conditionalFormatting sqref="H10:H1048576">
    <cfRule type="cellIs" dxfId="732" priority="3031" operator="lessThan">
      <formula>0</formula>
    </cfRule>
  </conditionalFormatting>
  <conditionalFormatting sqref="H10:H1048576">
    <cfRule type="cellIs" dxfId="731" priority="3030" operator="lessThan">
      <formula>0</formula>
    </cfRule>
  </conditionalFormatting>
  <conditionalFormatting sqref="H10:H1048576">
    <cfRule type="cellIs" dxfId="730" priority="3029" operator="lessThan">
      <formula>0</formula>
    </cfRule>
  </conditionalFormatting>
  <conditionalFormatting sqref="H10:H1048576">
    <cfRule type="cellIs" dxfId="729" priority="3028" operator="lessThan">
      <formula>0</formula>
    </cfRule>
  </conditionalFormatting>
  <conditionalFormatting sqref="H10:H1048576">
    <cfRule type="cellIs" dxfId="728" priority="3027" operator="lessThan">
      <formula>0</formula>
    </cfRule>
  </conditionalFormatting>
  <conditionalFormatting sqref="H10:H1048576">
    <cfRule type="cellIs" dxfId="727" priority="3026" operator="lessThan">
      <formula>0</formula>
    </cfRule>
  </conditionalFormatting>
  <conditionalFormatting sqref="H10:H1048576">
    <cfRule type="cellIs" dxfId="726" priority="3025" operator="lessThan">
      <formula>0</formula>
    </cfRule>
  </conditionalFormatting>
  <conditionalFormatting sqref="H10:H1048576">
    <cfRule type="cellIs" dxfId="725" priority="3024" operator="lessThan">
      <formula>0</formula>
    </cfRule>
  </conditionalFormatting>
  <conditionalFormatting sqref="H10:H1048576">
    <cfRule type="cellIs" dxfId="724" priority="3023" operator="lessThan">
      <formula>0</formula>
    </cfRule>
  </conditionalFormatting>
  <conditionalFormatting sqref="H10:H1048576">
    <cfRule type="cellIs" dxfId="723" priority="3022" operator="lessThan">
      <formula>0</formula>
    </cfRule>
  </conditionalFormatting>
  <conditionalFormatting sqref="H10:H1048576">
    <cfRule type="cellIs" dxfId="722" priority="3021" operator="lessThan">
      <formula>0</formula>
    </cfRule>
  </conditionalFormatting>
  <conditionalFormatting sqref="H10:H1048576">
    <cfRule type="cellIs" dxfId="721" priority="3020" operator="lessThan">
      <formula>0</formula>
    </cfRule>
  </conditionalFormatting>
  <conditionalFormatting sqref="H10:H1048576">
    <cfRule type="cellIs" dxfId="720" priority="3019" operator="lessThan">
      <formula>0</formula>
    </cfRule>
  </conditionalFormatting>
  <conditionalFormatting sqref="H10:H1048576">
    <cfRule type="cellIs" dxfId="719" priority="3018" operator="lessThan">
      <formula>0</formula>
    </cfRule>
  </conditionalFormatting>
  <conditionalFormatting sqref="H10:H1048576">
    <cfRule type="cellIs" dxfId="718" priority="3017" operator="lessThan">
      <formula>0</formula>
    </cfRule>
  </conditionalFormatting>
  <conditionalFormatting sqref="H10:H1048576">
    <cfRule type="cellIs" dxfId="717" priority="3016" operator="lessThan">
      <formula>0</formula>
    </cfRule>
  </conditionalFormatting>
  <conditionalFormatting sqref="H10:H1048576">
    <cfRule type="cellIs" dxfId="716" priority="3015" operator="lessThan">
      <formula>0</formula>
    </cfRule>
  </conditionalFormatting>
  <conditionalFormatting sqref="H10:H1048576">
    <cfRule type="cellIs" dxfId="715" priority="3014" operator="lessThan">
      <formula>0</formula>
    </cfRule>
  </conditionalFormatting>
  <conditionalFormatting sqref="H10:H1048576">
    <cfRule type="cellIs" dxfId="714" priority="3013" operator="lessThan">
      <formula>0</formula>
    </cfRule>
  </conditionalFormatting>
  <conditionalFormatting sqref="H10:H1048576">
    <cfRule type="cellIs" dxfId="713" priority="3012" operator="lessThan">
      <formula>0</formula>
    </cfRule>
  </conditionalFormatting>
  <conditionalFormatting sqref="H10:H1048576">
    <cfRule type="cellIs" dxfId="712" priority="3011" operator="lessThan">
      <formula>0</formula>
    </cfRule>
  </conditionalFormatting>
  <conditionalFormatting sqref="H10:H1048576">
    <cfRule type="cellIs" dxfId="711" priority="3010" operator="lessThan">
      <formula>0</formula>
    </cfRule>
  </conditionalFormatting>
  <conditionalFormatting sqref="H10:H1048576">
    <cfRule type="cellIs" dxfId="710" priority="3009" operator="lessThan">
      <formula>0</formula>
    </cfRule>
  </conditionalFormatting>
  <conditionalFormatting sqref="H10:H1048576">
    <cfRule type="cellIs" dxfId="709" priority="3008" operator="lessThan">
      <formula>0</formula>
    </cfRule>
  </conditionalFormatting>
  <conditionalFormatting sqref="H10:H1048576">
    <cfRule type="cellIs" dxfId="708" priority="3007" operator="lessThan">
      <formula>0</formula>
    </cfRule>
  </conditionalFormatting>
  <conditionalFormatting sqref="H10:H1048576">
    <cfRule type="cellIs" dxfId="707" priority="3006" operator="lessThan">
      <formula>0</formula>
    </cfRule>
  </conditionalFormatting>
  <conditionalFormatting sqref="H10:H1048576">
    <cfRule type="cellIs" dxfId="706" priority="3005" operator="lessThan">
      <formula>0</formula>
    </cfRule>
  </conditionalFormatting>
  <conditionalFormatting sqref="H10:H1048576">
    <cfRule type="cellIs" dxfId="705" priority="3004" operator="lessThan">
      <formula>0</formula>
    </cfRule>
  </conditionalFormatting>
  <conditionalFormatting sqref="H10:H1048576">
    <cfRule type="cellIs" dxfId="704" priority="3003" operator="lessThan">
      <formula>0</formula>
    </cfRule>
  </conditionalFormatting>
  <conditionalFormatting sqref="H10:H1048576">
    <cfRule type="cellIs" dxfId="703" priority="3002" operator="lessThan">
      <formula>0</formula>
    </cfRule>
  </conditionalFormatting>
  <conditionalFormatting sqref="H10:H1048576">
    <cfRule type="cellIs" dxfId="702" priority="3001" operator="lessThan">
      <formula>0</formula>
    </cfRule>
  </conditionalFormatting>
  <conditionalFormatting sqref="H10:H1048576">
    <cfRule type="cellIs" dxfId="701" priority="3000" operator="lessThan">
      <formula>0</formula>
    </cfRule>
  </conditionalFormatting>
  <conditionalFormatting sqref="H10:H1048576">
    <cfRule type="cellIs" dxfId="700" priority="2999" operator="lessThan">
      <formula>0</formula>
    </cfRule>
  </conditionalFormatting>
  <conditionalFormatting sqref="H10:H1048576">
    <cfRule type="cellIs" dxfId="699" priority="2998" operator="lessThan">
      <formula>0</formula>
    </cfRule>
  </conditionalFormatting>
  <conditionalFormatting sqref="H10:H1048576">
    <cfRule type="cellIs" dxfId="698" priority="2997" operator="lessThan">
      <formula>0</formula>
    </cfRule>
  </conditionalFormatting>
  <conditionalFormatting sqref="H10:H1048576">
    <cfRule type="cellIs" dxfId="697" priority="2996" operator="lessThan">
      <formula>0</formula>
    </cfRule>
  </conditionalFormatting>
  <conditionalFormatting sqref="H10:H1048576">
    <cfRule type="cellIs" dxfId="696" priority="2995" operator="lessThan">
      <formula>0</formula>
    </cfRule>
  </conditionalFormatting>
  <conditionalFormatting sqref="H10:H1048576">
    <cfRule type="cellIs" dxfId="695" priority="2994" operator="lessThan">
      <formula>0</formula>
    </cfRule>
  </conditionalFormatting>
  <conditionalFormatting sqref="H10:H1048576">
    <cfRule type="cellIs" dxfId="694" priority="2993" operator="lessThan">
      <formula>0</formula>
    </cfRule>
  </conditionalFormatting>
  <conditionalFormatting sqref="H10:H1048576">
    <cfRule type="cellIs" dxfId="693" priority="2992" operator="lessThan">
      <formula>0</formula>
    </cfRule>
  </conditionalFormatting>
  <conditionalFormatting sqref="H10:H1048576">
    <cfRule type="cellIs" dxfId="692" priority="2991" operator="lessThan">
      <formula>0</formula>
    </cfRule>
  </conditionalFormatting>
  <conditionalFormatting sqref="H10:H1048576">
    <cfRule type="cellIs" dxfId="691" priority="2990" operator="lessThan">
      <formula>0</formula>
    </cfRule>
  </conditionalFormatting>
  <conditionalFormatting sqref="H10:H1048576">
    <cfRule type="cellIs" dxfId="690" priority="2989" operator="lessThan">
      <formula>0</formula>
    </cfRule>
  </conditionalFormatting>
  <conditionalFormatting sqref="H10:H1048576">
    <cfRule type="cellIs" dxfId="689" priority="2988" operator="lessThan">
      <formula>0</formula>
    </cfRule>
  </conditionalFormatting>
  <conditionalFormatting sqref="H10:H1048576">
    <cfRule type="cellIs" dxfId="688" priority="2987" operator="lessThan">
      <formula>0</formula>
    </cfRule>
  </conditionalFormatting>
  <conditionalFormatting sqref="H10:H1048576">
    <cfRule type="cellIs" dxfId="687" priority="2986" operator="lessThan">
      <formula>0</formula>
    </cfRule>
  </conditionalFormatting>
  <conditionalFormatting sqref="H10:H1048576">
    <cfRule type="cellIs" dxfId="686" priority="2985" operator="lessThan">
      <formula>0</formula>
    </cfRule>
  </conditionalFormatting>
  <conditionalFormatting sqref="H10:H1048576">
    <cfRule type="cellIs" dxfId="685" priority="2984" operator="lessThan">
      <formula>0</formula>
    </cfRule>
  </conditionalFormatting>
  <conditionalFormatting sqref="H10:H1048576">
    <cfRule type="cellIs" dxfId="684" priority="2983" operator="lessThan">
      <formula>0</formula>
    </cfRule>
  </conditionalFormatting>
  <conditionalFormatting sqref="H10:H1048576">
    <cfRule type="cellIs" dxfId="683" priority="2982" operator="lessThan">
      <formula>0</formula>
    </cfRule>
  </conditionalFormatting>
  <conditionalFormatting sqref="H10:H1048576">
    <cfRule type="cellIs" dxfId="682" priority="2981" operator="lessThan">
      <formula>0</formula>
    </cfRule>
  </conditionalFormatting>
  <conditionalFormatting sqref="H10:H1048576">
    <cfRule type="cellIs" dxfId="681" priority="2980" operator="lessThan">
      <formula>0</formula>
    </cfRule>
  </conditionalFormatting>
  <conditionalFormatting sqref="H10:H1048576">
    <cfRule type="cellIs" dxfId="680" priority="2979" operator="lessThan">
      <formula>0</formula>
    </cfRule>
  </conditionalFormatting>
  <conditionalFormatting sqref="H10:H1048576">
    <cfRule type="cellIs" dxfId="679" priority="2978" operator="lessThan">
      <formula>0</formula>
    </cfRule>
  </conditionalFormatting>
  <conditionalFormatting sqref="H10:H1048576">
    <cfRule type="cellIs" dxfId="678" priority="2977" operator="lessThan">
      <formula>0</formula>
    </cfRule>
  </conditionalFormatting>
  <conditionalFormatting sqref="H10:H1048576">
    <cfRule type="cellIs" dxfId="677" priority="2976" operator="lessThan">
      <formula>0</formula>
    </cfRule>
  </conditionalFormatting>
  <conditionalFormatting sqref="H10:H1048576">
    <cfRule type="cellIs" dxfId="676" priority="2975" operator="lessThan">
      <formula>0</formula>
    </cfRule>
  </conditionalFormatting>
  <conditionalFormatting sqref="H10:H1048576">
    <cfRule type="cellIs" dxfId="675" priority="2974" operator="lessThan">
      <formula>0</formula>
    </cfRule>
  </conditionalFormatting>
  <conditionalFormatting sqref="H10:H1048576">
    <cfRule type="cellIs" dxfId="674" priority="2973" operator="lessThan">
      <formula>0</formula>
    </cfRule>
  </conditionalFormatting>
  <conditionalFormatting sqref="H10:H1048576">
    <cfRule type="cellIs" dxfId="673" priority="2972" operator="lessThan">
      <formula>0</formula>
    </cfRule>
  </conditionalFormatting>
  <conditionalFormatting sqref="H10:H1048576">
    <cfRule type="cellIs" dxfId="672" priority="2971" operator="lessThan">
      <formula>0</formula>
    </cfRule>
  </conditionalFormatting>
  <conditionalFormatting sqref="H10:H1048576">
    <cfRule type="cellIs" dxfId="671" priority="2970" operator="lessThan">
      <formula>0</formula>
    </cfRule>
  </conditionalFormatting>
  <conditionalFormatting sqref="H10:H1048576">
    <cfRule type="cellIs" dxfId="670" priority="2969" operator="lessThan">
      <formula>0</formula>
    </cfRule>
  </conditionalFormatting>
  <conditionalFormatting sqref="H10:H1048576">
    <cfRule type="cellIs" dxfId="669" priority="2968" operator="lessThan">
      <formula>0</formula>
    </cfRule>
  </conditionalFormatting>
  <conditionalFormatting sqref="H10:H1048576">
    <cfRule type="cellIs" dxfId="668" priority="2967" operator="lessThan">
      <formula>0</formula>
    </cfRule>
  </conditionalFormatting>
  <conditionalFormatting sqref="H10:H1048576">
    <cfRule type="cellIs" dxfId="667" priority="2966" operator="lessThan">
      <formula>0</formula>
    </cfRule>
  </conditionalFormatting>
  <conditionalFormatting sqref="H10:H1048576">
    <cfRule type="cellIs" dxfId="666" priority="2965" operator="lessThan">
      <formula>0</formula>
    </cfRule>
  </conditionalFormatting>
  <conditionalFormatting sqref="H10:H1048576">
    <cfRule type="cellIs" dxfId="665" priority="2964" operator="lessThan">
      <formula>0</formula>
    </cfRule>
  </conditionalFormatting>
  <conditionalFormatting sqref="H10:H1048576">
    <cfRule type="cellIs" dxfId="664" priority="2963" operator="lessThan">
      <formula>0</formula>
    </cfRule>
  </conditionalFormatting>
  <conditionalFormatting sqref="H10:H1048576">
    <cfRule type="cellIs" dxfId="663" priority="2962" operator="lessThan">
      <formula>0</formula>
    </cfRule>
  </conditionalFormatting>
  <conditionalFormatting sqref="H10:H1048576">
    <cfRule type="cellIs" dxfId="662" priority="2961" operator="lessThan">
      <formula>0</formula>
    </cfRule>
  </conditionalFormatting>
  <conditionalFormatting sqref="H10:H1048576">
    <cfRule type="cellIs" dxfId="661" priority="2960" operator="lessThan">
      <formula>0</formula>
    </cfRule>
  </conditionalFormatting>
  <conditionalFormatting sqref="H10:H1048576">
    <cfRule type="cellIs" dxfId="660" priority="2959" operator="lessThan">
      <formula>0</formula>
    </cfRule>
  </conditionalFormatting>
  <conditionalFormatting sqref="H10:H1048576">
    <cfRule type="cellIs" dxfId="659" priority="2958" operator="lessThan">
      <formula>0</formula>
    </cfRule>
  </conditionalFormatting>
  <conditionalFormatting sqref="H10:H1048576">
    <cfRule type="cellIs" dxfId="658" priority="2957" operator="lessThan">
      <formula>0</formula>
    </cfRule>
  </conditionalFormatting>
  <conditionalFormatting sqref="H10:H1048576">
    <cfRule type="cellIs" dxfId="657" priority="2956" operator="lessThan">
      <formula>0</formula>
    </cfRule>
  </conditionalFormatting>
  <conditionalFormatting sqref="H10:H1048576">
    <cfRule type="cellIs" dxfId="656" priority="2955" operator="lessThan">
      <formula>0</formula>
    </cfRule>
  </conditionalFormatting>
  <conditionalFormatting sqref="H10:H1048576">
    <cfRule type="cellIs" dxfId="655" priority="2954" operator="lessThan">
      <formula>0</formula>
    </cfRule>
  </conditionalFormatting>
  <conditionalFormatting sqref="H10:H1048576">
    <cfRule type="cellIs" dxfId="654" priority="2953" operator="lessThan">
      <formula>0</formula>
    </cfRule>
  </conditionalFormatting>
  <conditionalFormatting sqref="H10:H1048576">
    <cfRule type="cellIs" dxfId="653" priority="2952" operator="lessThan">
      <formula>0</formula>
    </cfRule>
  </conditionalFormatting>
  <conditionalFormatting sqref="H10:H1048576">
    <cfRule type="cellIs" dxfId="652" priority="2951" operator="lessThan">
      <formula>0</formula>
    </cfRule>
  </conditionalFormatting>
  <conditionalFormatting sqref="H10:H1048576">
    <cfRule type="cellIs" dxfId="651" priority="2950" operator="lessThan">
      <formula>0</formula>
    </cfRule>
  </conditionalFormatting>
  <conditionalFormatting sqref="H10:H1048576">
    <cfRule type="cellIs" dxfId="650" priority="2949" operator="lessThan">
      <formula>0</formula>
    </cfRule>
  </conditionalFormatting>
  <conditionalFormatting sqref="H10:H1048576">
    <cfRule type="cellIs" dxfId="649" priority="2948" operator="lessThan">
      <formula>0</formula>
    </cfRule>
  </conditionalFormatting>
  <conditionalFormatting sqref="H10:H1048576">
    <cfRule type="cellIs" dxfId="648" priority="2947" operator="lessThan">
      <formula>0</formula>
    </cfRule>
  </conditionalFormatting>
  <conditionalFormatting sqref="H10:H1048576">
    <cfRule type="cellIs" dxfId="647" priority="2946" operator="lessThan">
      <formula>0</formula>
    </cfRule>
  </conditionalFormatting>
  <conditionalFormatting sqref="H10:H1048576">
    <cfRule type="cellIs" dxfId="646" priority="2945" operator="lessThan">
      <formula>0</formula>
    </cfRule>
  </conditionalFormatting>
  <conditionalFormatting sqref="H10:H1048576">
    <cfRule type="cellIs" dxfId="645" priority="2944" operator="lessThan">
      <formula>0</formula>
    </cfRule>
  </conditionalFormatting>
  <conditionalFormatting sqref="H10:H1048576">
    <cfRule type="cellIs" dxfId="644" priority="2943" operator="lessThan">
      <formula>0</formula>
    </cfRule>
  </conditionalFormatting>
  <conditionalFormatting sqref="H10:H1048576">
    <cfRule type="cellIs" dxfId="643" priority="2942" operator="lessThan">
      <formula>0</formula>
    </cfRule>
  </conditionalFormatting>
  <conditionalFormatting sqref="H10:H1048576">
    <cfRule type="cellIs" dxfId="642" priority="2941" operator="lessThan">
      <formula>0</formula>
    </cfRule>
  </conditionalFormatting>
  <conditionalFormatting sqref="H10:H1048576">
    <cfRule type="cellIs" dxfId="641" priority="2940" operator="lessThan">
      <formula>0</formula>
    </cfRule>
  </conditionalFormatting>
  <conditionalFormatting sqref="H10:H1048576">
    <cfRule type="cellIs" dxfId="640" priority="2939" operator="lessThan">
      <formula>0</formula>
    </cfRule>
  </conditionalFormatting>
  <conditionalFormatting sqref="H10:H1048576">
    <cfRule type="cellIs" dxfId="639" priority="2938" operator="lessThan">
      <formula>0</formula>
    </cfRule>
  </conditionalFormatting>
  <conditionalFormatting sqref="H10:H1048576">
    <cfRule type="cellIs" dxfId="638" priority="2937" operator="lessThan">
      <formula>0</formula>
    </cfRule>
  </conditionalFormatting>
  <conditionalFormatting sqref="H10:H1048576">
    <cfRule type="cellIs" dxfId="637" priority="2936" operator="lessThan">
      <formula>0</formula>
    </cfRule>
  </conditionalFormatting>
  <conditionalFormatting sqref="H10:H1048576">
    <cfRule type="cellIs" dxfId="636" priority="2935" operator="lessThan">
      <formula>0</formula>
    </cfRule>
  </conditionalFormatting>
  <conditionalFormatting sqref="H10:H1048576">
    <cfRule type="cellIs" dxfId="635" priority="2934" operator="lessThan">
      <formula>0</formula>
    </cfRule>
  </conditionalFormatting>
  <conditionalFormatting sqref="H10:H1048576">
    <cfRule type="cellIs" dxfId="634" priority="2933" operator="lessThan">
      <formula>0</formula>
    </cfRule>
  </conditionalFormatting>
  <conditionalFormatting sqref="H10:H1048576">
    <cfRule type="cellIs" dxfId="633" priority="2932" operator="lessThan">
      <formula>0</formula>
    </cfRule>
  </conditionalFormatting>
  <conditionalFormatting sqref="H10:H1048576">
    <cfRule type="cellIs" dxfId="632" priority="2931" operator="lessThan">
      <formula>0</formula>
    </cfRule>
  </conditionalFormatting>
  <conditionalFormatting sqref="H10:H1048576">
    <cfRule type="cellIs" dxfId="631" priority="2930" operator="lessThan">
      <formula>0</formula>
    </cfRule>
  </conditionalFormatting>
  <conditionalFormatting sqref="H10:H1048576">
    <cfRule type="cellIs" dxfId="630" priority="2929" operator="lessThan">
      <formula>0</formula>
    </cfRule>
  </conditionalFormatting>
  <conditionalFormatting sqref="H10:H1048576">
    <cfRule type="cellIs" dxfId="629" priority="2928" operator="lessThan">
      <formula>0</formula>
    </cfRule>
  </conditionalFormatting>
  <conditionalFormatting sqref="H10:H1048576">
    <cfRule type="cellIs" dxfId="628" priority="2927" operator="lessThan">
      <formula>0</formula>
    </cfRule>
  </conditionalFormatting>
  <conditionalFormatting sqref="H10:H1048576">
    <cfRule type="cellIs" dxfId="627" priority="2926" operator="lessThan">
      <formula>0</formula>
    </cfRule>
  </conditionalFormatting>
  <conditionalFormatting sqref="H10:H1048576">
    <cfRule type="cellIs" dxfId="626" priority="2925" operator="lessThan">
      <formula>0</formula>
    </cfRule>
  </conditionalFormatting>
  <conditionalFormatting sqref="H10:H1048576">
    <cfRule type="cellIs" dxfId="625" priority="2924" operator="lessThan">
      <formula>0</formula>
    </cfRule>
  </conditionalFormatting>
  <conditionalFormatting sqref="H10:H1048576">
    <cfRule type="cellIs" dxfId="624" priority="2923" operator="lessThan">
      <formula>0</formula>
    </cfRule>
  </conditionalFormatting>
  <conditionalFormatting sqref="H10:H1048576">
    <cfRule type="cellIs" dxfId="623" priority="2922" operator="lessThan">
      <formula>0</formula>
    </cfRule>
  </conditionalFormatting>
  <conditionalFormatting sqref="H10:H1048576">
    <cfRule type="cellIs" dxfId="622" priority="2921" operator="lessThan">
      <formula>0</formula>
    </cfRule>
  </conditionalFormatting>
  <conditionalFormatting sqref="H10:H1048576">
    <cfRule type="cellIs" dxfId="621" priority="2920" operator="lessThan">
      <formula>0</formula>
    </cfRule>
  </conditionalFormatting>
  <conditionalFormatting sqref="H10:H1048576">
    <cfRule type="cellIs" dxfId="620" priority="2919" operator="lessThan">
      <formula>0</formula>
    </cfRule>
  </conditionalFormatting>
  <conditionalFormatting sqref="H10:H1048576">
    <cfRule type="cellIs" dxfId="619" priority="2918" operator="lessThan">
      <formula>0</formula>
    </cfRule>
  </conditionalFormatting>
  <conditionalFormatting sqref="H10:H1048576">
    <cfRule type="cellIs" dxfId="618" priority="2917" operator="lessThan">
      <formula>0</formula>
    </cfRule>
  </conditionalFormatting>
  <conditionalFormatting sqref="H10:H1048576">
    <cfRule type="cellIs" dxfId="617" priority="2916" operator="lessThan">
      <formula>0</formula>
    </cfRule>
  </conditionalFormatting>
  <conditionalFormatting sqref="H10:H1048576">
    <cfRule type="cellIs" dxfId="616" priority="2915" operator="lessThan">
      <formula>0</formula>
    </cfRule>
  </conditionalFormatting>
  <conditionalFormatting sqref="H10:H1048576">
    <cfRule type="cellIs" dxfId="615" priority="2914" operator="lessThan">
      <formula>0</formula>
    </cfRule>
  </conditionalFormatting>
  <conditionalFormatting sqref="H10:H1048576">
    <cfRule type="cellIs" dxfId="614" priority="2913" operator="lessThan">
      <formula>0</formula>
    </cfRule>
  </conditionalFormatting>
  <conditionalFormatting sqref="H10:H1048576">
    <cfRule type="cellIs" dxfId="613" priority="2912" operator="lessThan">
      <formula>0</formula>
    </cfRule>
  </conditionalFormatting>
  <conditionalFormatting sqref="H10:H1048576">
    <cfRule type="cellIs" dxfId="612" priority="2911" operator="lessThan">
      <formula>0</formula>
    </cfRule>
  </conditionalFormatting>
  <conditionalFormatting sqref="H10:H1048576">
    <cfRule type="cellIs" dxfId="611" priority="2910" operator="lessThan">
      <formula>0</formula>
    </cfRule>
  </conditionalFormatting>
  <conditionalFormatting sqref="H10:H1048576">
    <cfRule type="cellIs" dxfId="610" priority="2909" operator="lessThan">
      <formula>0</formula>
    </cfRule>
  </conditionalFormatting>
  <conditionalFormatting sqref="H10:H1048576">
    <cfRule type="cellIs" dxfId="609" priority="2908" operator="lessThan">
      <formula>0</formula>
    </cfRule>
  </conditionalFormatting>
  <conditionalFormatting sqref="H10:H1048576">
    <cfRule type="cellIs" dxfId="608" priority="2907" operator="lessThan">
      <formula>0</formula>
    </cfRule>
  </conditionalFormatting>
  <conditionalFormatting sqref="H10:H1048576">
    <cfRule type="cellIs" dxfId="607" priority="2906" operator="lessThan">
      <formula>0</formula>
    </cfRule>
  </conditionalFormatting>
  <conditionalFormatting sqref="H10:H1048576">
    <cfRule type="cellIs" dxfId="606" priority="2905" operator="lessThan">
      <formula>0</formula>
    </cfRule>
  </conditionalFormatting>
  <conditionalFormatting sqref="H10:H1048576">
    <cfRule type="cellIs" dxfId="605" priority="2904" operator="lessThan">
      <formula>0</formula>
    </cfRule>
  </conditionalFormatting>
  <conditionalFormatting sqref="H10:H1048576">
    <cfRule type="cellIs" dxfId="604" priority="2903" operator="lessThan">
      <formula>0</formula>
    </cfRule>
  </conditionalFormatting>
  <conditionalFormatting sqref="H10:H1048576">
    <cfRule type="cellIs" dxfId="603" priority="2902" operator="lessThan">
      <formula>0</formula>
    </cfRule>
  </conditionalFormatting>
  <conditionalFormatting sqref="H10:H1048576">
    <cfRule type="cellIs" dxfId="602" priority="2901" operator="lessThan">
      <formula>0</formula>
    </cfRule>
  </conditionalFormatting>
  <conditionalFormatting sqref="H10:H1048576">
    <cfRule type="cellIs" dxfId="601" priority="2900" operator="lessThan">
      <formula>0</formula>
    </cfRule>
  </conditionalFormatting>
  <conditionalFormatting sqref="H10:H1048576">
    <cfRule type="cellIs" dxfId="600" priority="2899" operator="lessThan">
      <formula>0</formula>
    </cfRule>
  </conditionalFormatting>
  <conditionalFormatting sqref="H10:H1048576">
    <cfRule type="cellIs" dxfId="599" priority="2898" operator="lessThan">
      <formula>0</formula>
    </cfRule>
  </conditionalFormatting>
  <conditionalFormatting sqref="H10:H1048576">
    <cfRule type="cellIs" dxfId="598" priority="2897" operator="lessThan">
      <formula>0</formula>
    </cfRule>
  </conditionalFormatting>
  <conditionalFormatting sqref="H10:H1048576">
    <cfRule type="cellIs" dxfId="597" priority="2896" operator="lessThan">
      <formula>0</formula>
    </cfRule>
  </conditionalFormatting>
  <conditionalFormatting sqref="H10:H1048576">
    <cfRule type="cellIs" dxfId="596" priority="2895" operator="lessThan">
      <formula>0</formula>
    </cfRule>
  </conditionalFormatting>
  <conditionalFormatting sqref="H10:H1048576">
    <cfRule type="cellIs" dxfId="595" priority="2894" operator="lessThan">
      <formula>0</formula>
    </cfRule>
  </conditionalFormatting>
  <conditionalFormatting sqref="H10:H1048576">
    <cfRule type="cellIs" dxfId="594" priority="2893" operator="lessThan">
      <formula>0</formula>
    </cfRule>
  </conditionalFormatting>
  <conditionalFormatting sqref="H10:H1048576">
    <cfRule type="cellIs" dxfId="593" priority="2892" operator="lessThan">
      <formula>0</formula>
    </cfRule>
  </conditionalFormatting>
  <conditionalFormatting sqref="H10:H1048576">
    <cfRule type="cellIs" dxfId="592" priority="2891" operator="lessThan">
      <formula>0</formula>
    </cfRule>
  </conditionalFormatting>
  <conditionalFormatting sqref="H10:H1048576">
    <cfRule type="cellIs" dxfId="591" priority="2890" operator="lessThan">
      <formula>0</formula>
    </cfRule>
  </conditionalFormatting>
  <conditionalFormatting sqref="H10:H1048576">
    <cfRule type="cellIs" dxfId="590" priority="2889" operator="lessThan">
      <formula>0</formula>
    </cfRule>
  </conditionalFormatting>
  <conditionalFormatting sqref="H10:H1048576">
    <cfRule type="cellIs" dxfId="589" priority="2888" operator="lessThan">
      <formula>0</formula>
    </cfRule>
  </conditionalFormatting>
  <conditionalFormatting sqref="H10:H1048576">
    <cfRule type="cellIs" dxfId="588" priority="2887" operator="lessThan">
      <formula>0</formula>
    </cfRule>
  </conditionalFormatting>
  <conditionalFormatting sqref="H10:H1048576">
    <cfRule type="cellIs" dxfId="587" priority="2886" operator="lessThan">
      <formula>0</formula>
    </cfRule>
  </conditionalFormatting>
  <conditionalFormatting sqref="H10:H1048576">
    <cfRule type="cellIs" dxfId="586" priority="2885" operator="lessThan">
      <formula>0</formula>
    </cfRule>
  </conditionalFormatting>
  <conditionalFormatting sqref="H10:H1048576">
    <cfRule type="cellIs" dxfId="585" priority="2884" operator="lessThan">
      <formula>0</formula>
    </cfRule>
  </conditionalFormatting>
  <conditionalFormatting sqref="H10:H1048576">
    <cfRule type="cellIs" dxfId="584" priority="2883" operator="lessThan">
      <formula>0</formula>
    </cfRule>
  </conditionalFormatting>
  <conditionalFormatting sqref="H10:H1048576">
    <cfRule type="cellIs" dxfId="583" priority="2882" operator="lessThan">
      <formula>0</formula>
    </cfRule>
  </conditionalFormatting>
  <conditionalFormatting sqref="H10:H1048576">
    <cfRule type="cellIs" dxfId="582" priority="2881" operator="lessThan">
      <formula>0</formula>
    </cfRule>
  </conditionalFormatting>
  <conditionalFormatting sqref="H10:H1048576">
    <cfRule type="cellIs" dxfId="581" priority="2880" operator="lessThan">
      <formula>0</formula>
    </cfRule>
  </conditionalFormatting>
  <conditionalFormatting sqref="H10:H1048576">
    <cfRule type="cellIs" dxfId="580" priority="2879" operator="lessThan">
      <formula>0</formula>
    </cfRule>
  </conditionalFormatting>
  <conditionalFormatting sqref="H10:H1048576">
    <cfRule type="cellIs" dxfId="579" priority="2878" operator="lessThan">
      <formula>0</formula>
    </cfRule>
  </conditionalFormatting>
  <conditionalFormatting sqref="H10:H1048576">
    <cfRule type="cellIs" dxfId="578" priority="2877" operator="lessThan">
      <formula>0</formula>
    </cfRule>
  </conditionalFormatting>
  <conditionalFormatting sqref="H10:H1048576">
    <cfRule type="cellIs" dxfId="577" priority="2876" operator="lessThan">
      <formula>0</formula>
    </cfRule>
  </conditionalFormatting>
  <conditionalFormatting sqref="H10:H1048576">
    <cfRule type="cellIs" dxfId="576" priority="2875" operator="lessThan">
      <formula>0</formula>
    </cfRule>
  </conditionalFormatting>
  <conditionalFormatting sqref="H10:H1048576">
    <cfRule type="cellIs" dxfId="575" priority="2874" operator="lessThan">
      <formula>0</formula>
    </cfRule>
  </conditionalFormatting>
  <conditionalFormatting sqref="H10:H1048576">
    <cfRule type="cellIs" dxfId="574" priority="2873" operator="lessThan">
      <formula>0</formula>
    </cfRule>
  </conditionalFormatting>
  <conditionalFormatting sqref="H10:H1048576">
    <cfRule type="cellIs" dxfId="573" priority="2872" operator="lessThan">
      <formula>0</formula>
    </cfRule>
  </conditionalFormatting>
  <conditionalFormatting sqref="H10:H1048576">
    <cfRule type="cellIs" dxfId="572" priority="2871" operator="lessThan">
      <formula>0</formula>
    </cfRule>
  </conditionalFormatting>
  <conditionalFormatting sqref="H10:H1048576">
    <cfRule type="cellIs" dxfId="571" priority="2870" operator="lessThan">
      <formula>0</formula>
    </cfRule>
  </conditionalFormatting>
  <conditionalFormatting sqref="H10:H1048576">
    <cfRule type="cellIs" dxfId="570" priority="2869" operator="lessThan">
      <formula>0</formula>
    </cfRule>
  </conditionalFormatting>
  <conditionalFormatting sqref="H10:H1048576">
    <cfRule type="cellIs" dxfId="569" priority="2868" operator="lessThan">
      <formula>0</formula>
    </cfRule>
  </conditionalFormatting>
  <conditionalFormatting sqref="H10:H1048576">
    <cfRule type="cellIs" dxfId="568" priority="2867" operator="lessThan">
      <formula>0</formula>
    </cfRule>
  </conditionalFormatting>
  <conditionalFormatting sqref="H10:H1048576">
    <cfRule type="cellIs" dxfId="567" priority="2866" operator="lessThan">
      <formula>0</formula>
    </cfRule>
  </conditionalFormatting>
  <conditionalFormatting sqref="H10:H1048576">
    <cfRule type="cellIs" dxfId="566" priority="2865" operator="lessThan">
      <formula>0</formula>
    </cfRule>
  </conditionalFormatting>
  <conditionalFormatting sqref="H10:H1048576">
    <cfRule type="cellIs" dxfId="565" priority="2864" operator="lessThan">
      <formula>0</formula>
    </cfRule>
  </conditionalFormatting>
  <conditionalFormatting sqref="H10:H1048576">
    <cfRule type="cellIs" dxfId="564" priority="2863" operator="lessThan">
      <formula>0</formula>
    </cfRule>
  </conditionalFormatting>
  <conditionalFormatting sqref="H10:H1048576">
    <cfRule type="cellIs" dxfId="563" priority="2862" operator="lessThan">
      <formula>0</formula>
    </cfRule>
  </conditionalFormatting>
  <conditionalFormatting sqref="H10:H1048576">
    <cfRule type="cellIs" dxfId="562" priority="2861" operator="lessThan">
      <formula>0</formula>
    </cfRule>
  </conditionalFormatting>
  <conditionalFormatting sqref="H10:H1048576">
    <cfRule type="cellIs" dxfId="561" priority="2860" operator="lessThan">
      <formula>0</formula>
    </cfRule>
  </conditionalFormatting>
  <conditionalFormatting sqref="H10:H1048576">
    <cfRule type="cellIs" dxfId="560" priority="2859" operator="lessThan">
      <formula>0</formula>
    </cfRule>
  </conditionalFormatting>
  <conditionalFormatting sqref="H10:H1048576">
    <cfRule type="cellIs" dxfId="559" priority="2858" operator="lessThan">
      <formula>0</formula>
    </cfRule>
  </conditionalFormatting>
  <conditionalFormatting sqref="H10:H1048576">
    <cfRule type="cellIs" dxfId="558" priority="2857" operator="lessThan">
      <formula>0</formula>
    </cfRule>
  </conditionalFormatting>
  <conditionalFormatting sqref="H10:H1048576">
    <cfRule type="cellIs" dxfId="557" priority="2856" operator="lessThan">
      <formula>0</formula>
    </cfRule>
  </conditionalFormatting>
  <conditionalFormatting sqref="H10:H1048576">
    <cfRule type="cellIs" dxfId="556" priority="2855" operator="lessThan">
      <formula>0</formula>
    </cfRule>
  </conditionalFormatting>
  <conditionalFormatting sqref="H10:H1048576">
    <cfRule type="cellIs" dxfId="555" priority="2854" operator="lessThan">
      <formula>0</formula>
    </cfRule>
  </conditionalFormatting>
  <conditionalFormatting sqref="H10:H1048576">
    <cfRule type="cellIs" dxfId="554" priority="2853" operator="lessThan">
      <formula>0</formula>
    </cfRule>
  </conditionalFormatting>
  <conditionalFormatting sqref="H10:H1048576">
    <cfRule type="cellIs" dxfId="553" priority="2852" operator="lessThan">
      <formula>0</formula>
    </cfRule>
  </conditionalFormatting>
  <conditionalFormatting sqref="H10:H1048576">
    <cfRule type="cellIs" dxfId="552" priority="2851" operator="lessThan">
      <formula>0</formula>
    </cfRule>
  </conditionalFormatting>
  <conditionalFormatting sqref="H10:H1048576">
    <cfRule type="cellIs" dxfId="551" priority="2850" operator="lessThan">
      <formula>0</formula>
    </cfRule>
  </conditionalFormatting>
  <conditionalFormatting sqref="H10:H1048576">
    <cfRule type="cellIs" dxfId="550" priority="2849" operator="lessThan">
      <formula>0</formula>
    </cfRule>
  </conditionalFormatting>
  <conditionalFormatting sqref="H10:H1048576">
    <cfRule type="cellIs" dxfId="549" priority="2848" operator="lessThan">
      <formula>0</formula>
    </cfRule>
  </conditionalFormatting>
  <conditionalFormatting sqref="H10:H1048576">
    <cfRule type="cellIs" dxfId="548" priority="2847" operator="lessThan">
      <formula>0</formula>
    </cfRule>
  </conditionalFormatting>
  <conditionalFormatting sqref="H10:H1048576">
    <cfRule type="cellIs" dxfId="547" priority="2846" operator="lessThan">
      <formula>0</formula>
    </cfRule>
  </conditionalFormatting>
  <conditionalFormatting sqref="H10:H1048576">
    <cfRule type="cellIs" dxfId="546" priority="2845" operator="lessThan">
      <formula>0</formula>
    </cfRule>
  </conditionalFormatting>
  <conditionalFormatting sqref="H10:H1048576">
    <cfRule type="cellIs" dxfId="545" priority="2844" operator="lessThan">
      <formula>0</formula>
    </cfRule>
  </conditionalFormatting>
  <conditionalFormatting sqref="H10:H1048576">
    <cfRule type="cellIs" dxfId="544" priority="2843" operator="lessThan">
      <formula>0</formula>
    </cfRule>
  </conditionalFormatting>
  <conditionalFormatting sqref="H10:H1048576">
    <cfRule type="cellIs" dxfId="543" priority="2842" operator="lessThan">
      <formula>0</formula>
    </cfRule>
  </conditionalFormatting>
  <conditionalFormatting sqref="H10:H1048576">
    <cfRule type="cellIs" dxfId="542" priority="2841" operator="lessThan">
      <formula>0</formula>
    </cfRule>
  </conditionalFormatting>
  <conditionalFormatting sqref="H10:H1048576">
    <cfRule type="cellIs" dxfId="541" priority="2840" operator="lessThan">
      <formula>0</formula>
    </cfRule>
  </conditionalFormatting>
  <conditionalFormatting sqref="H10:H1048576">
    <cfRule type="cellIs" dxfId="540" priority="2839" operator="lessThan">
      <formula>0</formula>
    </cfRule>
  </conditionalFormatting>
  <conditionalFormatting sqref="H10:H1048576">
    <cfRule type="cellIs" dxfId="539" priority="2838" operator="lessThan">
      <formula>0</formula>
    </cfRule>
  </conditionalFormatting>
  <conditionalFormatting sqref="H10:H1048576">
    <cfRule type="cellIs" dxfId="538" priority="2837" operator="lessThan">
      <formula>0</formula>
    </cfRule>
  </conditionalFormatting>
  <conditionalFormatting sqref="H10:H1048576">
    <cfRule type="cellIs" dxfId="537" priority="2836" operator="lessThan">
      <formula>0</formula>
    </cfRule>
  </conditionalFormatting>
  <conditionalFormatting sqref="H10:H1048576">
    <cfRule type="cellIs" dxfId="536" priority="2835" operator="lessThan">
      <formula>0</formula>
    </cfRule>
  </conditionalFormatting>
  <conditionalFormatting sqref="H10:H1048576">
    <cfRule type="cellIs" dxfId="535" priority="2834" operator="lessThan">
      <formula>0</formula>
    </cfRule>
  </conditionalFormatting>
  <conditionalFormatting sqref="H10:H1048576">
    <cfRule type="cellIs" dxfId="534" priority="2833" operator="lessThan">
      <formula>0</formula>
    </cfRule>
  </conditionalFormatting>
  <conditionalFormatting sqref="H10:H1048576">
    <cfRule type="cellIs" dxfId="533" priority="2832" operator="lessThan">
      <formula>0</formula>
    </cfRule>
  </conditionalFormatting>
  <conditionalFormatting sqref="H10:H1048576">
    <cfRule type="cellIs" dxfId="532" priority="2831" operator="lessThan">
      <formula>0</formula>
    </cfRule>
  </conditionalFormatting>
  <conditionalFormatting sqref="H10:H1048576">
    <cfRule type="cellIs" dxfId="531" priority="2830" operator="lessThan">
      <formula>0</formula>
    </cfRule>
  </conditionalFormatting>
  <conditionalFormatting sqref="H10:H1048576">
    <cfRule type="cellIs" dxfId="530" priority="2829" operator="lessThan">
      <formula>0</formula>
    </cfRule>
  </conditionalFormatting>
  <conditionalFormatting sqref="H10:H1048576">
    <cfRule type="cellIs" dxfId="529" priority="2828" operator="lessThan">
      <formula>0</formula>
    </cfRule>
  </conditionalFormatting>
  <conditionalFormatting sqref="H10:H1048576">
    <cfRule type="cellIs" dxfId="528" priority="2827" operator="lessThan">
      <formula>0</formula>
    </cfRule>
  </conditionalFormatting>
  <conditionalFormatting sqref="H10:H1048576">
    <cfRule type="cellIs" dxfId="527" priority="2826" operator="lessThan">
      <formula>0</formula>
    </cfRule>
  </conditionalFormatting>
  <conditionalFormatting sqref="H10:H1048576">
    <cfRule type="cellIs" dxfId="526" priority="2825" operator="lessThan">
      <formula>0</formula>
    </cfRule>
  </conditionalFormatting>
  <conditionalFormatting sqref="H10:H1048576">
    <cfRule type="cellIs" dxfId="525" priority="2824" operator="lessThan">
      <formula>0</formula>
    </cfRule>
  </conditionalFormatting>
  <conditionalFormatting sqref="H10:H1048576">
    <cfRule type="cellIs" dxfId="524" priority="2823" operator="lessThan">
      <formula>0</formula>
    </cfRule>
  </conditionalFormatting>
  <conditionalFormatting sqref="H10:H1048576">
    <cfRule type="cellIs" dxfId="523" priority="2822" operator="lessThan">
      <formula>0</formula>
    </cfRule>
  </conditionalFormatting>
  <conditionalFormatting sqref="H10:H1048576">
    <cfRule type="cellIs" dxfId="522" priority="2821" operator="lessThan">
      <formula>0</formula>
    </cfRule>
  </conditionalFormatting>
  <conditionalFormatting sqref="H10:H1048576">
    <cfRule type="cellIs" dxfId="521" priority="2820" operator="lessThan">
      <formula>0</formula>
    </cfRule>
  </conditionalFormatting>
  <conditionalFormatting sqref="H10:H1048576">
    <cfRule type="cellIs" dxfId="520" priority="2819" operator="lessThan">
      <formula>0</formula>
    </cfRule>
  </conditionalFormatting>
  <conditionalFormatting sqref="H10:H1048576">
    <cfRule type="cellIs" dxfId="519" priority="2818" operator="lessThan">
      <formula>0</formula>
    </cfRule>
  </conditionalFormatting>
  <conditionalFormatting sqref="H10:H1048576">
    <cfRule type="cellIs" dxfId="518" priority="2817" operator="lessThan">
      <formula>0</formula>
    </cfRule>
  </conditionalFormatting>
  <conditionalFormatting sqref="H10:H1048576">
    <cfRule type="cellIs" dxfId="517" priority="2816" operator="lessThan">
      <formula>0</formula>
    </cfRule>
  </conditionalFormatting>
  <conditionalFormatting sqref="H10:H1048576">
    <cfRule type="cellIs" dxfId="516" priority="2815" operator="lessThan">
      <formula>0</formula>
    </cfRule>
  </conditionalFormatting>
  <conditionalFormatting sqref="H10:H1048576">
    <cfRule type="cellIs" dxfId="515" priority="2814" operator="lessThan">
      <formula>0</formula>
    </cfRule>
  </conditionalFormatting>
  <conditionalFormatting sqref="H10:H1048576">
    <cfRule type="cellIs" dxfId="514" priority="2813" operator="lessThan">
      <formula>0</formula>
    </cfRule>
  </conditionalFormatting>
  <conditionalFormatting sqref="H10:H1048576">
    <cfRule type="cellIs" dxfId="513" priority="2812" operator="lessThan">
      <formula>0</formula>
    </cfRule>
  </conditionalFormatting>
  <conditionalFormatting sqref="H10:H1048576">
    <cfRule type="cellIs" dxfId="512" priority="2811" operator="lessThan">
      <formula>0</formula>
    </cfRule>
  </conditionalFormatting>
  <conditionalFormatting sqref="H10:H1048576">
    <cfRule type="cellIs" dxfId="511" priority="2810" operator="lessThan">
      <formula>0</formula>
    </cfRule>
  </conditionalFormatting>
  <conditionalFormatting sqref="H10:H1048576">
    <cfRule type="cellIs" dxfId="510" priority="2809" operator="lessThan">
      <formula>0</formula>
    </cfRule>
  </conditionalFormatting>
  <conditionalFormatting sqref="H10:H1048576">
    <cfRule type="cellIs" dxfId="509" priority="2808" operator="lessThan">
      <formula>0</formula>
    </cfRule>
  </conditionalFormatting>
  <conditionalFormatting sqref="H10:H1048576">
    <cfRule type="cellIs" dxfId="508" priority="2807" operator="lessThan">
      <formula>0</formula>
    </cfRule>
  </conditionalFormatting>
  <conditionalFormatting sqref="H10:H1048576">
    <cfRule type="cellIs" dxfId="507" priority="2806" operator="lessThan">
      <formula>0</formula>
    </cfRule>
  </conditionalFormatting>
  <conditionalFormatting sqref="H10:H1048576">
    <cfRule type="cellIs" dxfId="506" priority="2805" operator="lessThan">
      <formula>0</formula>
    </cfRule>
  </conditionalFormatting>
  <conditionalFormatting sqref="H10:H1048576">
    <cfRule type="cellIs" dxfId="505" priority="2804" operator="lessThan">
      <formula>0</formula>
    </cfRule>
  </conditionalFormatting>
  <conditionalFormatting sqref="H10:H1048576">
    <cfRule type="cellIs" dxfId="504" priority="2803" operator="lessThan">
      <formula>0</formula>
    </cfRule>
  </conditionalFormatting>
  <conditionalFormatting sqref="H10:H1048576">
    <cfRule type="cellIs" dxfId="503" priority="2802" operator="lessThan">
      <formula>0</formula>
    </cfRule>
  </conditionalFormatting>
  <conditionalFormatting sqref="H10:H1048576">
    <cfRule type="cellIs" dxfId="502" priority="2801" operator="lessThan">
      <formula>0</formula>
    </cfRule>
  </conditionalFormatting>
  <conditionalFormatting sqref="H10:H1048576">
    <cfRule type="cellIs" dxfId="501" priority="2800" operator="lessThan">
      <formula>0</formula>
    </cfRule>
  </conditionalFormatting>
  <conditionalFormatting sqref="H10:H1048576">
    <cfRule type="cellIs" dxfId="500" priority="2799" operator="lessThan">
      <formula>0</formula>
    </cfRule>
  </conditionalFormatting>
  <conditionalFormatting sqref="H10:H1048576">
    <cfRule type="cellIs" dxfId="499" priority="2798" operator="lessThan">
      <formula>0</formula>
    </cfRule>
  </conditionalFormatting>
  <conditionalFormatting sqref="H10:H1048576">
    <cfRule type="cellIs" dxfId="498" priority="2797" operator="lessThan">
      <formula>0</formula>
    </cfRule>
  </conditionalFormatting>
  <conditionalFormatting sqref="H10:H1048576">
    <cfRule type="cellIs" dxfId="497" priority="2796" operator="lessThan">
      <formula>0</formula>
    </cfRule>
  </conditionalFormatting>
  <conditionalFormatting sqref="H10:H1048576">
    <cfRule type="cellIs" dxfId="496" priority="2795" operator="lessThan">
      <formula>0</formula>
    </cfRule>
  </conditionalFormatting>
  <conditionalFormatting sqref="H10:H1048576">
    <cfRule type="cellIs" dxfId="495" priority="2794" operator="lessThan">
      <formula>0</formula>
    </cfRule>
  </conditionalFormatting>
  <conditionalFormatting sqref="H10:H1048576">
    <cfRule type="cellIs" dxfId="494" priority="2793" operator="lessThan">
      <formula>0</formula>
    </cfRule>
  </conditionalFormatting>
  <conditionalFormatting sqref="H10:H1048576">
    <cfRule type="cellIs" dxfId="493" priority="2792" operator="lessThan">
      <formula>0</formula>
    </cfRule>
  </conditionalFormatting>
  <conditionalFormatting sqref="H10:H1048576">
    <cfRule type="cellIs" dxfId="492" priority="2791" operator="lessThan">
      <formula>0</formula>
    </cfRule>
  </conditionalFormatting>
  <conditionalFormatting sqref="H10:H1048576">
    <cfRule type="cellIs" dxfId="491" priority="2790" operator="lessThan">
      <formula>0</formula>
    </cfRule>
  </conditionalFormatting>
  <conditionalFormatting sqref="H10:H1048576">
    <cfRule type="cellIs" dxfId="490" priority="2789" operator="lessThan">
      <formula>0</formula>
    </cfRule>
  </conditionalFormatting>
  <conditionalFormatting sqref="H10:H1048576">
    <cfRule type="cellIs" dxfId="489" priority="2788" operator="lessThan">
      <formula>0</formula>
    </cfRule>
  </conditionalFormatting>
  <conditionalFormatting sqref="H10:H1048576">
    <cfRule type="cellIs" dxfId="488" priority="2787" operator="lessThan">
      <formula>0</formula>
    </cfRule>
  </conditionalFormatting>
  <conditionalFormatting sqref="H10:H1048576">
    <cfRule type="cellIs" dxfId="487" priority="2786" operator="lessThan">
      <formula>0</formula>
    </cfRule>
  </conditionalFormatting>
  <conditionalFormatting sqref="H10:H1048576">
    <cfRule type="cellIs" dxfId="486" priority="2785" operator="lessThan">
      <formula>0</formula>
    </cfRule>
  </conditionalFormatting>
  <conditionalFormatting sqref="H10:H1048576">
    <cfRule type="cellIs" dxfId="485" priority="2784" operator="lessThan">
      <formula>0</formula>
    </cfRule>
  </conditionalFormatting>
  <conditionalFormatting sqref="H10:H1048576">
    <cfRule type="cellIs" dxfId="484" priority="2783" operator="lessThan">
      <formula>0</formula>
    </cfRule>
  </conditionalFormatting>
  <conditionalFormatting sqref="H10:H1048576">
    <cfRule type="cellIs" dxfId="483" priority="2782" operator="lessThan">
      <formula>0</formula>
    </cfRule>
  </conditionalFormatting>
  <conditionalFormatting sqref="H10:H1048576">
    <cfRule type="cellIs" dxfId="482" priority="2781" operator="lessThan">
      <formula>0</formula>
    </cfRule>
  </conditionalFormatting>
  <conditionalFormatting sqref="H10:H1048576">
    <cfRule type="cellIs" dxfId="481" priority="2780" operator="lessThan">
      <formula>0</formula>
    </cfRule>
  </conditionalFormatting>
  <conditionalFormatting sqref="H10:H1048576">
    <cfRule type="cellIs" dxfId="480" priority="2779" operator="lessThan">
      <formula>0</formula>
    </cfRule>
  </conditionalFormatting>
  <conditionalFormatting sqref="H10:H1048576">
    <cfRule type="cellIs" dxfId="479" priority="2778" operator="lessThan">
      <formula>0</formula>
    </cfRule>
  </conditionalFormatting>
  <conditionalFormatting sqref="H10:H1048576">
    <cfRule type="cellIs" dxfId="478" priority="2777" operator="lessThan">
      <formula>0</formula>
    </cfRule>
  </conditionalFormatting>
  <conditionalFormatting sqref="H10:H1048576">
    <cfRule type="cellIs" dxfId="477" priority="2776" operator="lessThan">
      <formula>0</formula>
    </cfRule>
  </conditionalFormatting>
  <conditionalFormatting sqref="H10:H1048576">
    <cfRule type="cellIs" dxfId="476" priority="2775" operator="lessThan">
      <formula>0</formula>
    </cfRule>
  </conditionalFormatting>
  <conditionalFormatting sqref="H10:H1048576">
    <cfRule type="cellIs" dxfId="475" priority="2774" operator="lessThan">
      <formula>0</formula>
    </cfRule>
  </conditionalFormatting>
  <conditionalFormatting sqref="H10:H1048576">
    <cfRule type="cellIs" dxfId="474" priority="2773" operator="lessThan">
      <formula>0</formula>
    </cfRule>
  </conditionalFormatting>
  <conditionalFormatting sqref="H10:H1048576">
    <cfRule type="cellIs" dxfId="473" priority="2772" operator="lessThan">
      <formula>0</formula>
    </cfRule>
  </conditionalFormatting>
  <conditionalFormatting sqref="H10:H1048576">
    <cfRule type="cellIs" dxfId="472" priority="2771" operator="lessThan">
      <formula>0</formula>
    </cfRule>
  </conditionalFormatting>
  <conditionalFormatting sqref="H10:H1048576">
    <cfRule type="cellIs" dxfId="471" priority="2770" operator="lessThan">
      <formula>0</formula>
    </cfRule>
  </conditionalFormatting>
  <conditionalFormatting sqref="H10:H1048576">
    <cfRule type="cellIs" dxfId="470" priority="2769" operator="lessThan">
      <formula>0</formula>
    </cfRule>
  </conditionalFormatting>
  <conditionalFormatting sqref="H10:H1048576">
    <cfRule type="cellIs" dxfId="469" priority="2768" operator="lessThan">
      <formula>0</formula>
    </cfRule>
  </conditionalFormatting>
  <conditionalFormatting sqref="H10:H1048576">
    <cfRule type="cellIs" dxfId="468" priority="2767" operator="lessThan">
      <formula>0</formula>
    </cfRule>
  </conditionalFormatting>
  <conditionalFormatting sqref="H10:H1048576">
    <cfRule type="cellIs" dxfId="467" priority="2766" operator="lessThan">
      <formula>0</formula>
    </cfRule>
  </conditionalFormatting>
  <conditionalFormatting sqref="H10:H1048576">
    <cfRule type="cellIs" dxfId="466" priority="2765" operator="lessThan">
      <formula>0</formula>
    </cfRule>
  </conditionalFormatting>
  <conditionalFormatting sqref="H10:H1048576">
    <cfRule type="cellIs" dxfId="465" priority="2764" operator="lessThan">
      <formula>0</formula>
    </cfRule>
  </conditionalFormatting>
  <conditionalFormatting sqref="H10:H1048576">
    <cfRule type="cellIs" dxfId="464" priority="2763" operator="lessThan">
      <formula>0</formula>
    </cfRule>
  </conditionalFormatting>
  <conditionalFormatting sqref="H10:H1048576">
    <cfRule type="cellIs" dxfId="463" priority="2762" operator="lessThan">
      <formula>0</formula>
    </cfRule>
  </conditionalFormatting>
  <conditionalFormatting sqref="H10:H1048576">
    <cfRule type="cellIs" dxfId="462" priority="2761" operator="lessThan">
      <formula>0</formula>
    </cfRule>
  </conditionalFormatting>
  <conditionalFormatting sqref="H10:H1048576">
    <cfRule type="cellIs" dxfId="461" priority="2760" operator="lessThan">
      <formula>0</formula>
    </cfRule>
  </conditionalFormatting>
  <conditionalFormatting sqref="H10:H1048576">
    <cfRule type="cellIs" dxfId="460" priority="2759" operator="lessThan">
      <formula>0</formula>
    </cfRule>
  </conditionalFormatting>
  <conditionalFormatting sqref="H10:H1048576">
    <cfRule type="cellIs" dxfId="459" priority="2758" operator="lessThan">
      <formula>0</formula>
    </cfRule>
  </conditionalFormatting>
  <conditionalFormatting sqref="H10:H1048576">
    <cfRule type="cellIs" dxfId="458" priority="2757" operator="lessThan">
      <formula>0</formula>
    </cfRule>
  </conditionalFormatting>
  <conditionalFormatting sqref="H10:H1048576">
    <cfRule type="cellIs" dxfId="457" priority="2756" operator="lessThan">
      <formula>0</formula>
    </cfRule>
  </conditionalFormatting>
  <conditionalFormatting sqref="H10:H1048576">
    <cfRule type="cellIs" dxfId="456" priority="2755" operator="lessThan">
      <formula>0</formula>
    </cfRule>
  </conditionalFormatting>
  <conditionalFormatting sqref="H10:H1048576">
    <cfRule type="cellIs" dxfId="455" priority="2754" operator="lessThan">
      <formula>0</formula>
    </cfRule>
  </conditionalFormatting>
  <conditionalFormatting sqref="H10:H1048576">
    <cfRule type="cellIs" dxfId="454" priority="2753" operator="lessThan">
      <formula>0</formula>
    </cfRule>
  </conditionalFormatting>
  <conditionalFormatting sqref="H10:H1048576">
    <cfRule type="cellIs" dxfId="453" priority="2752" operator="lessThan">
      <formula>0</formula>
    </cfRule>
  </conditionalFormatting>
  <conditionalFormatting sqref="H10:H1048576">
    <cfRule type="cellIs" dxfId="452" priority="2751" operator="lessThan">
      <formula>0</formula>
    </cfRule>
  </conditionalFormatting>
  <conditionalFormatting sqref="H10:H1048576">
    <cfRule type="cellIs" dxfId="451" priority="2750" operator="lessThan">
      <formula>0</formula>
    </cfRule>
  </conditionalFormatting>
  <conditionalFormatting sqref="H10:H1048576">
    <cfRule type="cellIs" dxfId="450" priority="2749" operator="lessThan">
      <formula>0</formula>
    </cfRule>
  </conditionalFormatting>
  <conditionalFormatting sqref="H10:H1048576">
    <cfRule type="cellIs" dxfId="449" priority="2748" operator="lessThan">
      <formula>0</formula>
    </cfRule>
  </conditionalFormatting>
  <conditionalFormatting sqref="H10:H1048576">
    <cfRule type="cellIs" dxfId="448" priority="2747" operator="lessThan">
      <formula>0</formula>
    </cfRule>
  </conditionalFormatting>
  <conditionalFormatting sqref="H10:H1048576">
    <cfRule type="cellIs" dxfId="447" priority="2746" operator="lessThan">
      <formula>0</formula>
    </cfRule>
  </conditionalFormatting>
  <conditionalFormatting sqref="H10:H1048576">
    <cfRule type="cellIs" dxfId="446" priority="2745" operator="lessThan">
      <formula>0</formula>
    </cfRule>
  </conditionalFormatting>
  <conditionalFormatting sqref="H10:H1048576">
    <cfRule type="cellIs" dxfId="445" priority="2744" operator="lessThan">
      <formula>0</formula>
    </cfRule>
  </conditionalFormatting>
  <conditionalFormatting sqref="H10:H1048576">
    <cfRule type="cellIs" dxfId="444" priority="2743" operator="lessThan">
      <formula>0</formula>
    </cfRule>
  </conditionalFormatting>
  <conditionalFormatting sqref="H10:H1048576">
    <cfRule type="cellIs" dxfId="443" priority="2742" operator="lessThan">
      <formula>0</formula>
    </cfRule>
  </conditionalFormatting>
  <conditionalFormatting sqref="H10:H1048576">
    <cfRule type="cellIs" dxfId="442" priority="2741" operator="lessThan">
      <formula>0</formula>
    </cfRule>
  </conditionalFormatting>
  <conditionalFormatting sqref="H10:H1048576">
    <cfRule type="cellIs" dxfId="441" priority="2740" operator="lessThan">
      <formula>0</formula>
    </cfRule>
  </conditionalFormatting>
  <conditionalFormatting sqref="H10:H1048576">
    <cfRule type="cellIs" dxfId="440" priority="2739" operator="lessThan">
      <formula>0</formula>
    </cfRule>
  </conditionalFormatting>
  <conditionalFormatting sqref="H10:H1048576">
    <cfRule type="cellIs" dxfId="439" priority="2738" operator="lessThan">
      <formula>0</formula>
    </cfRule>
  </conditionalFormatting>
  <conditionalFormatting sqref="H10:H1048576">
    <cfRule type="cellIs" dxfId="438" priority="2737" operator="lessThan">
      <formula>0</formula>
    </cfRule>
  </conditionalFormatting>
  <conditionalFormatting sqref="H10:H1048576">
    <cfRule type="cellIs" dxfId="437" priority="2736" operator="lessThan">
      <formula>0</formula>
    </cfRule>
  </conditionalFormatting>
  <conditionalFormatting sqref="H10:H1048576">
    <cfRule type="cellIs" dxfId="436" priority="2735" operator="lessThan">
      <formula>0</formula>
    </cfRule>
  </conditionalFormatting>
  <conditionalFormatting sqref="H10:H1048576">
    <cfRule type="cellIs" dxfId="435" priority="2734" operator="lessThan">
      <formula>0</formula>
    </cfRule>
  </conditionalFormatting>
  <conditionalFormatting sqref="H10:H1048576">
    <cfRule type="cellIs" dxfId="434" priority="2733" operator="lessThan">
      <formula>0</formula>
    </cfRule>
  </conditionalFormatting>
  <conditionalFormatting sqref="H10:H1048576">
    <cfRule type="cellIs" dxfId="433" priority="2732" operator="lessThan">
      <formula>0</formula>
    </cfRule>
  </conditionalFormatting>
  <conditionalFormatting sqref="H10:H1048576">
    <cfRule type="cellIs" dxfId="432" priority="2731" operator="lessThan">
      <formula>0</formula>
    </cfRule>
  </conditionalFormatting>
  <conditionalFormatting sqref="H10:H1048576">
    <cfRule type="cellIs" dxfId="431" priority="2730" operator="lessThan">
      <formula>0</formula>
    </cfRule>
  </conditionalFormatting>
  <conditionalFormatting sqref="H10:H1048576">
    <cfRule type="cellIs" dxfId="430" priority="2729" operator="lessThan">
      <formula>0</formula>
    </cfRule>
  </conditionalFormatting>
  <conditionalFormatting sqref="H10:H1048576">
    <cfRule type="cellIs" dxfId="429" priority="2728" operator="lessThan">
      <formula>0</formula>
    </cfRule>
  </conditionalFormatting>
  <conditionalFormatting sqref="H10:H1048576">
    <cfRule type="cellIs" dxfId="428" priority="2727" operator="lessThan">
      <formula>0</formula>
    </cfRule>
  </conditionalFormatting>
  <conditionalFormatting sqref="H10:H1048576">
    <cfRule type="cellIs" dxfId="427" priority="2726" operator="lessThan">
      <formula>0</formula>
    </cfRule>
  </conditionalFormatting>
  <conditionalFormatting sqref="H10:H1048576">
    <cfRule type="cellIs" dxfId="426" priority="2725" operator="lessThan">
      <formula>0</formula>
    </cfRule>
  </conditionalFormatting>
  <conditionalFormatting sqref="H10:H1048576">
    <cfRule type="cellIs" dxfId="425" priority="2724" operator="lessThan">
      <formula>0</formula>
    </cfRule>
  </conditionalFormatting>
  <conditionalFormatting sqref="H10:H1048576">
    <cfRule type="cellIs" dxfId="424" priority="2723" operator="lessThan">
      <formula>0</formula>
    </cfRule>
  </conditionalFormatting>
  <conditionalFormatting sqref="H10:H1048576">
    <cfRule type="cellIs" dxfId="423" priority="2722" operator="lessThan">
      <formula>0</formula>
    </cfRule>
  </conditionalFormatting>
  <conditionalFormatting sqref="H10:H1048576">
    <cfRule type="cellIs" dxfId="422" priority="2721" operator="lessThan">
      <formula>0</formula>
    </cfRule>
  </conditionalFormatting>
  <conditionalFormatting sqref="H10:H1048576">
    <cfRule type="cellIs" dxfId="421" priority="2720" operator="lessThan">
      <formula>0</formula>
    </cfRule>
  </conditionalFormatting>
  <conditionalFormatting sqref="H10:H1048576">
    <cfRule type="cellIs" dxfId="420" priority="2719" operator="lessThan">
      <formula>0</formula>
    </cfRule>
  </conditionalFormatting>
  <conditionalFormatting sqref="H10:H1048576">
    <cfRule type="cellIs" dxfId="419" priority="2718" operator="lessThan">
      <formula>0</formula>
    </cfRule>
  </conditionalFormatting>
  <conditionalFormatting sqref="H10:H1048576">
    <cfRule type="cellIs" dxfId="418" priority="2717" operator="lessThan">
      <formula>0</formula>
    </cfRule>
  </conditionalFormatting>
  <conditionalFormatting sqref="H10:H1048576">
    <cfRule type="cellIs" dxfId="417" priority="2716" operator="lessThan">
      <formula>0</formula>
    </cfRule>
  </conditionalFormatting>
  <conditionalFormatting sqref="H10:H1048576">
    <cfRule type="cellIs" dxfId="416" priority="2715" operator="lessThan">
      <formula>0</formula>
    </cfRule>
  </conditionalFormatting>
  <conditionalFormatting sqref="H10:H1048576">
    <cfRule type="cellIs" dxfId="415" priority="2714" operator="lessThan">
      <formula>0</formula>
    </cfRule>
  </conditionalFormatting>
  <conditionalFormatting sqref="H10:H1048576">
    <cfRule type="cellIs" dxfId="414" priority="2713" operator="lessThan">
      <formula>0</formula>
    </cfRule>
  </conditionalFormatting>
  <conditionalFormatting sqref="H10:H1048576">
    <cfRule type="cellIs" dxfId="413" priority="2712" operator="lessThan">
      <formula>0</formula>
    </cfRule>
  </conditionalFormatting>
  <conditionalFormatting sqref="H10:H1048576">
    <cfRule type="cellIs" dxfId="412" priority="2711" operator="lessThan">
      <formula>0</formula>
    </cfRule>
  </conditionalFormatting>
  <conditionalFormatting sqref="H10:H1048576">
    <cfRule type="cellIs" dxfId="411" priority="2710" operator="lessThan">
      <formula>0</formula>
    </cfRule>
  </conditionalFormatting>
  <conditionalFormatting sqref="H10:H1048576">
    <cfRule type="cellIs" dxfId="410" priority="2709" operator="lessThan">
      <formula>0</formula>
    </cfRule>
  </conditionalFormatting>
  <conditionalFormatting sqref="H10:H1048576">
    <cfRule type="cellIs" dxfId="409" priority="2708" operator="lessThan">
      <formula>0</formula>
    </cfRule>
  </conditionalFormatting>
  <conditionalFormatting sqref="H10:H1048576">
    <cfRule type="cellIs" dxfId="408" priority="2707" operator="lessThan">
      <formula>0</formula>
    </cfRule>
  </conditionalFormatting>
  <conditionalFormatting sqref="H10:H1048576">
    <cfRule type="cellIs" dxfId="407" priority="2706" operator="lessThan">
      <formula>0</formula>
    </cfRule>
  </conditionalFormatting>
  <conditionalFormatting sqref="H10:H1048576">
    <cfRule type="cellIs" dxfId="406" priority="2705" operator="lessThan">
      <formula>0</formula>
    </cfRule>
  </conditionalFormatting>
  <conditionalFormatting sqref="H10:H1048576">
    <cfRule type="cellIs" dxfId="405" priority="2704" operator="lessThan">
      <formula>0</formula>
    </cfRule>
  </conditionalFormatting>
  <conditionalFormatting sqref="H10:H1048576">
    <cfRule type="cellIs" dxfId="404" priority="2703" operator="lessThan">
      <formula>0</formula>
    </cfRule>
  </conditionalFormatting>
  <conditionalFormatting sqref="H10:H1048576">
    <cfRule type="cellIs" dxfId="403" priority="2702" operator="lessThan">
      <formula>0</formula>
    </cfRule>
  </conditionalFormatting>
  <conditionalFormatting sqref="H10:H1048576">
    <cfRule type="cellIs" dxfId="402" priority="2701" operator="lessThan">
      <formula>0</formula>
    </cfRule>
  </conditionalFormatting>
  <conditionalFormatting sqref="H10:H1048576">
    <cfRule type="cellIs" dxfId="401" priority="2700" operator="lessThan">
      <formula>0</formula>
    </cfRule>
  </conditionalFormatting>
  <conditionalFormatting sqref="H10:H1048576">
    <cfRule type="cellIs" dxfId="400" priority="2699" operator="lessThan">
      <formula>0</formula>
    </cfRule>
  </conditionalFormatting>
  <conditionalFormatting sqref="H10:H1048576">
    <cfRule type="cellIs" dxfId="399" priority="2698" operator="lessThan">
      <formula>0</formula>
    </cfRule>
  </conditionalFormatting>
  <conditionalFormatting sqref="H10:H1048576">
    <cfRule type="cellIs" dxfId="398" priority="2697" operator="lessThan">
      <formula>0</formula>
    </cfRule>
  </conditionalFormatting>
  <conditionalFormatting sqref="H10:H1048576">
    <cfRule type="cellIs" dxfId="397" priority="2696" operator="lessThan">
      <formula>0</formula>
    </cfRule>
  </conditionalFormatting>
  <conditionalFormatting sqref="H10:H1048576">
    <cfRule type="cellIs" dxfId="396" priority="2695" operator="lessThan">
      <formula>0</formula>
    </cfRule>
  </conditionalFormatting>
  <conditionalFormatting sqref="H10:H1048576">
    <cfRule type="cellIs" dxfId="395" priority="2694" operator="lessThan">
      <formula>0</formula>
    </cfRule>
  </conditionalFormatting>
  <conditionalFormatting sqref="H10:H1048576">
    <cfRule type="cellIs" dxfId="394" priority="2693" operator="lessThan">
      <formula>0</formula>
    </cfRule>
  </conditionalFormatting>
  <conditionalFormatting sqref="H10:H1048576">
    <cfRule type="cellIs" dxfId="393" priority="2692" operator="lessThan">
      <formula>0</formula>
    </cfRule>
  </conditionalFormatting>
  <conditionalFormatting sqref="H10:H1048576">
    <cfRule type="cellIs" dxfId="392" priority="2691" operator="lessThan">
      <formula>0</formula>
    </cfRule>
  </conditionalFormatting>
  <conditionalFormatting sqref="H10:H1048576">
    <cfRule type="cellIs" dxfId="391" priority="2690" operator="lessThan">
      <formula>0</formula>
    </cfRule>
  </conditionalFormatting>
  <conditionalFormatting sqref="H10:H1048576">
    <cfRule type="cellIs" dxfId="390" priority="2689" operator="lessThan">
      <formula>0</formula>
    </cfRule>
  </conditionalFormatting>
  <conditionalFormatting sqref="H10:H1048576">
    <cfRule type="cellIs" dxfId="389" priority="2688" operator="lessThan">
      <formula>0</formula>
    </cfRule>
  </conditionalFormatting>
  <conditionalFormatting sqref="H10:H1048576">
    <cfRule type="cellIs" dxfId="388" priority="2687" operator="lessThan">
      <formula>0</formula>
    </cfRule>
  </conditionalFormatting>
  <conditionalFormatting sqref="H10:H1048576">
    <cfRule type="cellIs" dxfId="387" priority="2686" operator="lessThan">
      <formula>0</formula>
    </cfRule>
  </conditionalFormatting>
  <conditionalFormatting sqref="H10:H1048576">
    <cfRule type="cellIs" dxfId="386" priority="2685" operator="lessThan">
      <formula>0</formula>
    </cfRule>
  </conditionalFormatting>
  <conditionalFormatting sqref="H10:H1048576">
    <cfRule type="cellIs" dxfId="385" priority="2684" operator="lessThan">
      <formula>0</formula>
    </cfRule>
  </conditionalFormatting>
  <conditionalFormatting sqref="H10:H1048576">
    <cfRule type="cellIs" dxfId="384" priority="2683" operator="lessThan">
      <formula>0</formula>
    </cfRule>
  </conditionalFormatting>
  <conditionalFormatting sqref="H10:H1048576">
    <cfRule type="cellIs" dxfId="383" priority="2682" operator="lessThan">
      <formula>0</formula>
    </cfRule>
  </conditionalFormatting>
  <conditionalFormatting sqref="H10:H1048576">
    <cfRule type="cellIs" dxfId="382" priority="2681" operator="lessThan">
      <formula>0</formula>
    </cfRule>
  </conditionalFormatting>
  <conditionalFormatting sqref="H10:H1048576">
    <cfRule type="cellIs" dxfId="381" priority="2680" operator="lessThan">
      <formula>0</formula>
    </cfRule>
  </conditionalFormatting>
  <conditionalFormatting sqref="H10:H1048576">
    <cfRule type="cellIs" dxfId="380" priority="2679" operator="lessThan">
      <formula>0</formula>
    </cfRule>
  </conditionalFormatting>
  <conditionalFormatting sqref="H10:H1048576">
    <cfRule type="cellIs" dxfId="379" priority="2678" operator="lessThan">
      <formula>0</formula>
    </cfRule>
  </conditionalFormatting>
  <conditionalFormatting sqref="H10:H1048576">
    <cfRule type="cellIs" dxfId="378" priority="2677" operator="lessThan">
      <formula>0</formula>
    </cfRule>
  </conditionalFormatting>
  <conditionalFormatting sqref="H10:H1048576">
    <cfRule type="cellIs" dxfId="377" priority="2676" operator="lessThan">
      <formula>0</formula>
    </cfRule>
  </conditionalFormatting>
  <conditionalFormatting sqref="H10:H1048576">
    <cfRule type="cellIs" dxfId="376" priority="2675" operator="lessThan">
      <formula>0</formula>
    </cfRule>
  </conditionalFormatting>
  <conditionalFormatting sqref="H10:H1048576">
    <cfRule type="cellIs" dxfId="375" priority="2674" operator="lessThan">
      <formula>0</formula>
    </cfRule>
  </conditionalFormatting>
  <conditionalFormatting sqref="H10:H1048576">
    <cfRule type="cellIs" dxfId="374" priority="2673" operator="lessThan">
      <formula>0</formula>
    </cfRule>
  </conditionalFormatting>
  <conditionalFormatting sqref="H10:H1048576">
    <cfRule type="cellIs" dxfId="373" priority="2672" operator="lessThan">
      <formula>0</formula>
    </cfRule>
  </conditionalFormatting>
  <conditionalFormatting sqref="H10:H1048576">
    <cfRule type="cellIs" dxfId="372" priority="2671" operator="lessThan">
      <formula>0</formula>
    </cfRule>
  </conditionalFormatting>
  <conditionalFormatting sqref="H10:H1048576">
    <cfRule type="cellIs" dxfId="371" priority="2670" operator="lessThan">
      <formula>0</formula>
    </cfRule>
  </conditionalFormatting>
  <conditionalFormatting sqref="H10:H1048576">
    <cfRule type="cellIs" dxfId="370" priority="2669" operator="lessThan">
      <formula>0</formula>
    </cfRule>
  </conditionalFormatting>
  <conditionalFormatting sqref="H10:H1048576">
    <cfRule type="cellIs" dxfId="369" priority="2668" operator="lessThan">
      <formula>0</formula>
    </cfRule>
  </conditionalFormatting>
  <conditionalFormatting sqref="H10:H1048576">
    <cfRule type="cellIs" dxfId="368" priority="2667" operator="lessThan">
      <formula>0</formula>
    </cfRule>
  </conditionalFormatting>
  <conditionalFormatting sqref="H10:H1048576">
    <cfRule type="cellIs" dxfId="367" priority="2666" operator="lessThan">
      <formula>0</formula>
    </cfRule>
  </conditionalFormatting>
  <conditionalFormatting sqref="H10:H1048576">
    <cfRule type="cellIs" dxfId="366" priority="2665" operator="lessThan">
      <formula>0</formula>
    </cfRule>
  </conditionalFormatting>
  <conditionalFormatting sqref="H10:H1048576">
    <cfRule type="cellIs" dxfId="365" priority="2664" operator="lessThan">
      <formula>0</formula>
    </cfRule>
  </conditionalFormatting>
  <conditionalFormatting sqref="H10:H1048576">
    <cfRule type="cellIs" dxfId="364" priority="2663" operator="lessThan">
      <formula>0</formula>
    </cfRule>
  </conditionalFormatting>
  <conditionalFormatting sqref="H10:H1048576">
    <cfRule type="cellIs" dxfId="363" priority="2662" operator="lessThan">
      <formula>0</formula>
    </cfRule>
  </conditionalFormatting>
  <conditionalFormatting sqref="H10:H1048576">
    <cfRule type="cellIs" dxfId="362" priority="2661" operator="lessThan">
      <formula>0</formula>
    </cfRule>
  </conditionalFormatting>
  <conditionalFormatting sqref="H10:H1048576">
    <cfRule type="cellIs" dxfId="361" priority="2660" operator="lessThan">
      <formula>0</formula>
    </cfRule>
  </conditionalFormatting>
  <conditionalFormatting sqref="H10:H1048576">
    <cfRule type="cellIs" dxfId="360" priority="2659" operator="lessThan">
      <formula>0</formula>
    </cfRule>
  </conditionalFormatting>
  <conditionalFormatting sqref="H10:H1048576">
    <cfRule type="cellIs" dxfId="359" priority="2658" operator="lessThan">
      <formula>0</formula>
    </cfRule>
  </conditionalFormatting>
  <conditionalFormatting sqref="H10:H1048576">
    <cfRule type="cellIs" dxfId="358" priority="2657" operator="lessThan">
      <formula>0</formula>
    </cfRule>
  </conditionalFormatting>
  <conditionalFormatting sqref="H10:H1048576">
    <cfRule type="cellIs" dxfId="357" priority="2656" operator="lessThan">
      <formula>0</formula>
    </cfRule>
  </conditionalFormatting>
  <conditionalFormatting sqref="H10:H1048576">
    <cfRule type="cellIs" dxfId="356" priority="2655" operator="lessThan">
      <formula>0</formula>
    </cfRule>
  </conditionalFormatting>
  <conditionalFormatting sqref="H10:H1048576">
    <cfRule type="cellIs" dxfId="355" priority="2654" operator="lessThan">
      <formula>0</formula>
    </cfRule>
  </conditionalFormatting>
  <conditionalFormatting sqref="H10:H1048576">
    <cfRule type="cellIs" dxfId="354" priority="2653" operator="lessThan">
      <formula>0</formula>
    </cfRule>
  </conditionalFormatting>
  <conditionalFormatting sqref="H10:H1048576">
    <cfRule type="cellIs" dxfId="353" priority="2652" operator="lessThan">
      <formula>0</formula>
    </cfRule>
  </conditionalFormatting>
  <conditionalFormatting sqref="H10:H1048576">
    <cfRule type="cellIs" dxfId="352" priority="2651" operator="lessThan">
      <formula>0</formula>
    </cfRule>
  </conditionalFormatting>
  <conditionalFormatting sqref="H10:H1048576">
    <cfRule type="cellIs" dxfId="351" priority="2650" operator="lessThan">
      <formula>0</formula>
    </cfRule>
  </conditionalFormatting>
  <conditionalFormatting sqref="H10:H1048576">
    <cfRule type="cellIs" dxfId="350" priority="2649" operator="lessThan">
      <formula>0</formula>
    </cfRule>
  </conditionalFormatting>
  <conditionalFormatting sqref="H10:H1048576">
    <cfRule type="cellIs" dxfId="349" priority="2648" operator="lessThan">
      <formula>0</formula>
    </cfRule>
  </conditionalFormatting>
  <conditionalFormatting sqref="H10:H1048576">
    <cfRule type="cellIs" dxfId="348" priority="2647" operator="lessThan">
      <formula>0</formula>
    </cfRule>
  </conditionalFormatting>
  <conditionalFormatting sqref="H10:H1048576">
    <cfRule type="cellIs" dxfId="347" priority="2646" operator="lessThan">
      <formula>0</formula>
    </cfRule>
  </conditionalFormatting>
  <conditionalFormatting sqref="H10:H1048576">
    <cfRule type="cellIs" dxfId="346" priority="2645" operator="lessThan">
      <formula>0</formula>
    </cfRule>
  </conditionalFormatting>
  <conditionalFormatting sqref="H10:H1048576">
    <cfRule type="cellIs" dxfId="345" priority="2644" operator="lessThan">
      <formula>0</formula>
    </cfRule>
  </conditionalFormatting>
  <conditionalFormatting sqref="H10:H1048576">
    <cfRule type="cellIs" dxfId="344" priority="2643" operator="lessThan">
      <formula>0</formula>
    </cfRule>
  </conditionalFormatting>
  <conditionalFormatting sqref="H10:H1048576">
    <cfRule type="cellIs" dxfId="343" priority="2642" operator="lessThan">
      <formula>0</formula>
    </cfRule>
  </conditionalFormatting>
  <conditionalFormatting sqref="H10:H1048576">
    <cfRule type="cellIs" dxfId="342" priority="2641" operator="lessThan">
      <formula>0</formula>
    </cfRule>
  </conditionalFormatting>
  <conditionalFormatting sqref="H10:H1048576">
    <cfRule type="cellIs" dxfId="341" priority="2640" operator="lessThan">
      <formula>0</formula>
    </cfRule>
  </conditionalFormatting>
  <conditionalFormatting sqref="H10:H1048576">
    <cfRule type="cellIs" dxfId="340" priority="2639" operator="lessThan">
      <formula>0</formula>
    </cfRule>
  </conditionalFormatting>
  <conditionalFormatting sqref="H10:H1048576">
    <cfRule type="cellIs" dxfId="339" priority="2638" operator="lessThan">
      <formula>0</formula>
    </cfRule>
  </conditionalFormatting>
  <conditionalFormatting sqref="H10:H1048576">
    <cfRule type="cellIs" dxfId="338" priority="2637" operator="lessThan">
      <formula>0</formula>
    </cfRule>
  </conditionalFormatting>
  <conditionalFormatting sqref="H10:H1048576">
    <cfRule type="cellIs" dxfId="337" priority="2636" operator="lessThan">
      <formula>0</formula>
    </cfRule>
  </conditionalFormatting>
  <conditionalFormatting sqref="H10:H1048576">
    <cfRule type="cellIs" dxfId="336" priority="2635" operator="lessThan">
      <formula>0</formula>
    </cfRule>
  </conditionalFormatting>
  <conditionalFormatting sqref="H10:H1048576">
    <cfRule type="cellIs" dxfId="335" priority="2634" operator="lessThan">
      <formula>0</formula>
    </cfRule>
  </conditionalFormatting>
  <conditionalFormatting sqref="H10:H1048576">
    <cfRule type="cellIs" dxfId="334" priority="2633" operator="lessThan">
      <formula>0</formula>
    </cfRule>
  </conditionalFormatting>
  <conditionalFormatting sqref="H10:H1048576">
    <cfRule type="cellIs" dxfId="333" priority="2632" operator="lessThan">
      <formula>0</formula>
    </cfRule>
  </conditionalFormatting>
  <conditionalFormatting sqref="H10:H1048576">
    <cfRule type="cellIs" dxfId="332" priority="2631" operator="lessThan">
      <formula>0</formula>
    </cfRule>
  </conditionalFormatting>
  <conditionalFormatting sqref="H10:H1048576">
    <cfRule type="cellIs" dxfId="331" priority="2630" operator="lessThan">
      <formula>0</formula>
    </cfRule>
  </conditionalFormatting>
  <conditionalFormatting sqref="H10:H1048576">
    <cfRule type="cellIs" dxfId="330" priority="2629" operator="lessThan">
      <formula>0</formula>
    </cfRule>
  </conditionalFormatting>
  <conditionalFormatting sqref="H10:H1048576">
    <cfRule type="cellIs" dxfId="329" priority="2628" operator="lessThan">
      <formula>0</formula>
    </cfRule>
  </conditionalFormatting>
  <conditionalFormatting sqref="H10:H1048576">
    <cfRule type="cellIs" dxfId="328" priority="2627" operator="lessThan">
      <formula>0</formula>
    </cfRule>
  </conditionalFormatting>
  <conditionalFormatting sqref="H10:H1048576">
    <cfRule type="cellIs" dxfId="327" priority="2626" operator="lessThan">
      <formula>0</formula>
    </cfRule>
  </conditionalFormatting>
  <conditionalFormatting sqref="H10:H1048576">
    <cfRule type="cellIs" dxfId="326" priority="2625" operator="lessThan">
      <formula>0</formula>
    </cfRule>
  </conditionalFormatting>
  <conditionalFormatting sqref="H10:H1048576">
    <cfRule type="cellIs" dxfId="325" priority="2624" operator="lessThan">
      <formula>0</formula>
    </cfRule>
  </conditionalFormatting>
  <conditionalFormatting sqref="H10:H1048576">
    <cfRule type="cellIs" dxfId="324" priority="2623" operator="lessThan">
      <formula>0</formula>
    </cfRule>
  </conditionalFormatting>
  <conditionalFormatting sqref="H10:H1048576">
    <cfRule type="cellIs" dxfId="323" priority="2622" operator="lessThan">
      <formula>0</formula>
    </cfRule>
  </conditionalFormatting>
  <conditionalFormatting sqref="H10:H1048576">
    <cfRule type="cellIs" dxfId="322" priority="2621" operator="lessThan">
      <formula>0</formula>
    </cfRule>
  </conditionalFormatting>
  <conditionalFormatting sqref="H10:H1048576">
    <cfRule type="cellIs" dxfId="321" priority="2620" operator="lessThan">
      <formula>0</formula>
    </cfRule>
  </conditionalFormatting>
  <conditionalFormatting sqref="H10:H1048576">
    <cfRule type="cellIs" dxfId="320" priority="2619" operator="lessThan">
      <formula>0</formula>
    </cfRule>
  </conditionalFormatting>
  <conditionalFormatting sqref="H10:H1048576">
    <cfRule type="cellIs" dxfId="319" priority="2618" operator="lessThan">
      <formula>0</formula>
    </cfRule>
  </conditionalFormatting>
  <conditionalFormatting sqref="H10:H1048576">
    <cfRule type="cellIs" dxfId="318" priority="2617" operator="lessThan">
      <formula>0</formula>
    </cfRule>
  </conditionalFormatting>
  <conditionalFormatting sqref="H10:H1048576">
    <cfRule type="cellIs" dxfId="317" priority="2616" operator="lessThan">
      <formula>0</formula>
    </cfRule>
  </conditionalFormatting>
  <conditionalFormatting sqref="H10:H1048576">
    <cfRule type="cellIs" dxfId="316" priority="2615" operator="lessThan">
      <formula>0</formula>
    </cfRule>
  </conditionalFormatting>
  <conditionalFormatting sqref="H10:H1048576">
    <cfRule type="cellIs" dxfId="315" priority="2614" operator="lessThan">
      <formula>0</formula>
    </cfRule>
  </conditionalFormatting>
  <conditionalFormatting sqref="H10:H1048576">
    <cfRule type="cellIs" dxfId="314" priority="2613" operator="lessThan">
      <formula>0</formula>
    </cfRule>
  </conditionalFormatting>
  <conditionalFormatting sqref="H10:H1048576">
    <cfRule type="cellIs" dxfId="313" priority="2612" operator="lessThan">
      <formula>0</formula>
    </cfRule>
  </conditionalFormatting>
  <conditionalFormatting sqref="H10:H1048576">
    <cfRule type="cellIs" dxfId="312" priority="2611" operator="lessThan">
      <formula>0</formula>
    </cfRule>
  </conditionalFormatting>
  <conditionalFormatting sqref="H10:H1048576">
    <cfRule type="cellIs" dxfId="311" priority="2610" operator="lessThan">
      <formula>0</formula>
    </cfRule>
  </conditionalFormatting>
  <conditionalFormatting sqref="H10:H1048576">
    <cfRule type="cellIs" dxfId="310" priority="2609" operator="lessThan">
      <formula>0</formula>
    </cfRule>
  </conditionalFormatting>
  <conditionalFormatting sqref="H10:H1048576">
    <cfRule type="cellIs" dxfId="309" priority="2608" operator="lessThan">
      <formula>0</formula>
    </cfRule>
  </conditionalFormatting>
  <conditionalFormatting sqref="H10:H1048576">
    <cfRule type="cellIs" dxfId="308" priority="2607" operator="lessThan">
      <formula>0</formula>
    </cfRule>
  </conditionalFormatting>
  <conditionalFormatting sqref="H10:H1048576">
    <cfRule type="cellIs" dxfId="307" priority="2606" operator="lessThan">
      <formula>0</formula>
    </cfRule>
  </conditionalFormatting>
  <conditionalFormatting sqref="H10:H1048576">
    <cfRule type="cellIs" dxfId="306" priority="2605" operator="lessThan">
      <formula>0</formula>
    </cfRule>
  </conditionalFormatting>
  <conditionalFormatting sqref="H10:H1048576">
    <cfRule type="cellIs" dxfId="305" priority="2604" operator="lessThan">
      <formula>0</formula>
    </cfRule>
  </conditionalFormatting>
  <conditionalFormatting sqref="H10:H1048576">
    <cfRule type="cellIs" dxfId="304" priority="2603" operator="lessThan">
      <formula>0</formula>
    </cfRule>
  </conditionalFormatting>
  <conditionalFormatting sqref="H10:H1048576">
    <cfRule type="cellIs" dxfId="303" priority="2602" operator="lessThan">
      <formula>0</formula>
    </cfRule>
  </conditionalFormatting>
  <conditionalFormatting sqref="H10:H1048576">
    <cfRule type="cellIs" dxfId="302" priority="2601" operator="lessThan">
      <formula>0</formula>
    </cfRule>
  </conditionalFormatting>
  <conditionalFormatting sqref="H10:H1048576">
    <cfRule type="cellIs" dxfId="301" priority="2600" operator="lessThan">
      <formula>0</formula>
    </cfRule>
  </conditionalFormatting>
  <conditionalFormatting sqref="H10:H1048576">
    <cfRule type="cellIs" dxfId="300" priority="2599" operator="lessThan">
      <formula>0</formula>
    </cfRule>
  </conditionalFormatting>
  <conditionalFormatting sqref="H10:H1048576">
    <cfRule type="cellIs" dxfId="299" priority="2598" operator="lessThan">
      <formula>0</formula>
    </cfRule>
  </conditionalFormatting>
  <conditionalFormatting sqref="H10:H1048576">
    <cfRule type="cellIs" dxfId="298" priority="2597" operator="lessThan">
      <formula>0</formula>
    </cfRule>
  </conditionalFormatting>
  <conditionalFormatting sqref="H10:H1048576">
    <cfRule type="cellIs" dxfId="297" priority="2596" operator="lessThan">
      <formula>0</formula>
    </cfRule>
  </conditionalFormatting>
  <conditionalFormatting sqref="H10:H1048576">
    <cfRule type="cellIs" dxfId="296" priority="2595" operator="lessThan">
      <formula>0</formula>
    </cfRule>
  </conditionalFormatting>
  <conditionalFormatting sqref="H10:H1048576">
    <cfRule type="cellIs" dxfId="295" priority="2594" operator="lessThan">
      <formula>0</formula>
    </cfRule>
  </conditionalFormatting>
  <conditionalFormatting sqref="H10:H1048576">
    <cfRule type="cellIs" dxfId="294" priority="2593" operator="lessThan">
      <formula>0</formula>
    </cfRule>
  </conditionalFormatting>
  <conditionalFormatting sqref="H10:H1048576">
    <cfRule type="cellIs" dxfId="293" priority="2592" operator="lessThan">
      <formula>0</formula>
    </cfRule>
  </conditionalFormatting>
  <conditionalFormatting sqref="H10:H1048576">
    <cfRule type="cellIs" dxfId="292" priority="2591" operator="lessThan">
      <formula>0</formula>
    </cfRule>
  </conditionalFormatting>
  <conditionalFormatting sqref="H10:H1048576">
    <cfRule type="cellIs" dxfId="291" priority="2590" operator="lessThan">
      <formula>0</formula>
    </cfRule>
  </conditionalFormatting>
  <conditionalFormatting sqref="H10:H1048576">
    <cfRule type="cellIs" dxfId="290" priority="2589" operator="lessThan">
      <formula>0</formula>
    </cfRule>
  </conditionalFormatting>
  <conditionalFormatting sqref="H10:H1048576">
    <cfRule type="cellIs" dxfId="289" priority="2588" operator="lessThan">
      <formula>0</formula>
    </cfRule>
  </conditionalFormatting>
  <conditionalFormatting sqref="H10:H1048576">
    <cfRule type="cellIs" dxfId="288" priority="2587" operator="lessThan">
      <formula>0</formula>
    </cfRule>
  </conditionalFormatting>
  <conditionalFormatting sqref="H10:H1048576">
    <cfRule type="cellIs" dxfId="287" priority="2586" operator="lessThan">
      <formula>0</formula>
    </cfRule>
  </conditionalFormatting>
  <conditionalFormatting sqref="H10:H1048576">
    <cfRule type="cellIs" dxfId="286" priority="2585" operator="lessThan">
      <formula>0</formula>
    </cfRule>
  </conditionalFormatting>
  <conditionalFormatting sqref="H10:H1048576">
    <cfRule type="cellIs" dxfId="285" priority="2584" operator="lessThan">
      <formula>0</formula>
    </cfRule>
  </conditionalFormatting>
  <conditionalFormatting sqref="H10:H1048576">
    <cfRule type="cellIs" dxfId="284" priority="2583" operator="lessThan">
      <formula>0</formula>
    </cfRule>
  </conditionalFormatting>
  <conditionalFormatting sqref="H10:H1048576">
    <cfRule type="cellIs" dxfId="283" priority="2582" operator="lessThan">
      <formula>0</formula>
    </cfRule>
  </conditionalFormatting>
  <conditionalFormatting sqref="H10:H1048576">
    <cfRule type="cellIs" dxfId="282" priority="2581" operator="lessThan">
      <formula>0</formula>
    </cfRule>
  </conditionalFormatting>
  <conditionalFormatting sqref="H10:H1048576">
    <cfRule type="cellIs" dxfId="281" priority="2580" operator="lessThan">
      <formula>0</formula>
    </cfRule>
  </conditionalFormatting>
  <conditionalFormatting sqref="H10:H1048576">
    <cfRule type="cellIs" dxfId="280" priority="2579" operator="lessThan">
      <formula>0</formula>
    </cfRule>
  </conditionalFormatting>
  <conditionalFormatting sqref="H10:H1048576">
    <cfRule type="cellIs" dxfId="279" priority="2578" operator="lessThan">
      <formula>0</formula>
    </cfRule>
  </conditionalFormatting>
  <conditionalFormatting sqref="H10:H1048576">
    <cfRule type="cellIs" dxfId="278" priority="2577" operator="lessThan">
      <formula>0</formula>
    </cfRule>
  </conditionalFormatting>
  <conditionalFormatting sqref="H10:H1048576">
    <cfRule type="cellIs" dxfId="277" priority="2576" operator="lessThan">
      <formula>0</formula>
    </cfRule>
  </conditionalFormatting>
  <conditionalFormatting sqref="H10:H1048576">
    <cfRule type="cellIs" dxfId="276" priority="2575" operator="lessThan">
      <formula>0</formula>
    </cfRule>
  </conditionalFormatting>
  <conditionalFormatting sqref="H10:H1048576">
    <cfRule type="cellIs" dxfId="275" priority="2574" operator="lessThan">
      <formula>0</formula>
    </cfRule>
  </conditionalFormatting>
  <conditionalFormatting sqref="H10:H1048576">
    <cfRule type="cellIs" dxfId="274" priority="2573" operator="lessThan">
      <formula>0</formula>
    </cfRule>
  </conditionalFormatting>
  <conditionalFormatting sqref="H10:H1048576">
    <cfRule type="cellIs" dxfId="273" priority="2572" operator="lessThan">
      <formula>0</formula>
    </cfRule>
  </conditionalFormatting>
  <conditionalFormatting sqref="H10:H1048576">
    <cfRule type="cellIs" dxfId="272" priority="2571" operator="lessThan">
      <formula>0</formula>
    </cfRule>
  </conditionalFormatting>
  <conditionalFormatting sqref="H10:H1048576">
    <cfRule type="cellIs" dxfId="271" priority="2570" operator="lessThan">
      <formula>0</formula>
    </cfRule>
  </conditionalFormatting>
  <conditionalFormatting sqref="H10:H1048576">
    <cfRule type="cellIs" dxfId="270" priority="2569" operator="lessThan">
      <formula>0</formula>
    </cfRule>
  </conditionalFormatting>
  <conditionalFormatting sqref="H10:H1048576">
    <cfRule type="cellIs" dxfId="269" priority="2568" operator="lessThan">
      <formula>0</formula>
    </cfRule>
  </conditionalFormatting>
  <conditionalFormatting sqref="H10:H1048576">
    <cfRule type="cellIs" dxfId="268" priority="2567" operator="lessThan">
      <formula>0</formula>
    </cfRule>
  </conditionalFormatting>
  <conditionalFormatting sqref="H10:H1048576">
    <cfRule type="cellIs" dxfId="267" priority="2566" operator="lessThan">
      <formula>0</formula>
    </cfRule>
  </conditionalFormatting>
  <conditionalFormatting sqref="H10:H1048576">
    <cfRule type="cellIs" dxfId="266" priority="2565" operator="lessThan">
      <formula>0</formula>
    </cfRule>
  </conditionalFormatting>
  <conditionalFormatting sqref="H10:H1048576">
    <cfRule type="cellIs" dxfId="265" priority="2564" operator="lessThan">
      <formula>0</formula>
    </cfRule>
  </conditionalFormatting>
  <conditionalFormatting sqref="H10:H1048576">
    <cfRule type="cellIs" dxfId="264" priority="2563" operator="lessThan">
      <formula>0</formula>
    </cfRule>
  </conditionalFormatting>
  <conditionalFormatting sqref="H10:H1048576">
    <cfRule type="cellIs" dxfId="263" priority="2562" operator="lessThan">
      <formula>0</formula>
    </cfRule>
  </conditionalFormatting>
  <conditionalFormatting sqref="H10:H1048576">
    <cfRule type="cellIs" dxfId="262" priority="2561" operator="lessThan">
      <formula>0</formula>
    </cfRule>
  </conditionalFormatting>
  <conditionalFormatting sqref="H10:H1048576">
    <cfRule type="cellIs" dxfId="261" priority="2560" operator="lessThan">
      <formula>0</formula>
    </cfRule>
  </conditionalFormatting>
  <conditionalFormatting sqref="H10:H1048576">
    <cfRule type="cellIs" dxfId="260" priority="2559" operator="lessThan">
      <formula>0</formula>
    </cfRule>
  </conditionalFormatting>
  <conditionalFormatting sqref="H10:H1048576">
    <cfRule type="cellIs" dxfId="259" priority="2558" operator="lessThan">
      <formula>0</formula>
    </cfRule>
  </conditionalFormatting>
  <conditionalFormatting sqref="H10:H1048576">
    <cfRule type="cellIs" dxfId="258" priority="2557" operator="lessThan">
      <formula>0</formula>
    </cfRule>
  </conditionalFormatting>
  <conditionalFormatting sqref="H10:H1048576">
    <cfRule type="cellIs" dxfId="257" priority="2556" operator="lessThan">
      <formula>0</formula>
    </cfRule>
  </conditionalFormatting>
  <conditionalFormatting sqref="H10:H1048576">
    <cfRule type="cellIs" dxfId="256" priority="2555" operator="lessThan">
      <formula>0</formula>
    </cfRule>
  </conditionalFormatting>
  <conditionalFormatting sqref="H10:H1048576">
    <cfRule type="cellIs" dxfId="255" priority="2554" operator="lessThan">
      <formula>0</formula>
    </cfRule>
  </conditionalFormatting>
  <conditionalFormatting sqref="H10:H1048576">
    <cfRule type="cellIs" dxfId="254" priority="2553" operator="lessThan">
      <formula>0</formula>
    </cfRule>
  </conditionalFormatting>
  <conditionalFormatting sqref="H10:H1048576">
    <cfRule type="cellIs" dxfId="253" priority="2552" operator="lessThan">
      <formula>0</formula>
    </cfRule>
  </conditionalFormatting>
  <conditionalFormatting sqref="H10:H1048576">
    <cfRule type="cellIs" dxfId="252" priority="2551" operator="lessThan">
      <formula>0</formula>
    </cfRule>
  </conditionalFormatting>
  <conditionalFormatting sqref="H10:H1048576">
    <cfRule type="cellIs" dxfId="251" priority="2550" operator="lessThan">
      <formula>0</formula>
    </cfRule>
  </conditionalFormatting>
  <conditionalFormatting sqref="H10:H1048576">
    <cfRule type="cellIs" dxfId="250" priority="2549" operator="lessThan">
      <formula>0</formula>
    </cfRule>
  </conditionalFormatting>
  <conditionalFormatting sqref="H10:H1048576">
    <cfRule type="cellIs" dxfId="249" priority="2548" operator="lessThan">
      <formula>0</formula>
    </cfRule>
  </conditionalFormatting>
  <conditionalFormatting sqref="H10:H1048576">
    <cfRule type="cellIs" dxfId="248" priority="2547" operator="lessThan">
      <formula>0</formula>
    </cfRule>
  </conditionalFormatting>
  <conditionalFormatting sqref="H10:H1048576">
    <cfRule type="cellIs" dxfId="247" priority="2546" operator="lessThan">
      <formula>0</formula>
    </cfRule>
  </conditionalFormatting>
  <conditionalFormatting sqref="H10:H1048576">
    <cfRule type="cellIs" dxfId="246" priority="2545" operator="lessThan">
      <formula>0</formula>
    </cfRule>
  </conditionalFormatting>
  <conditionalFormatting sqref="H10:H1048576">
    <cfRule type="cellIs" dxfId="245" priority="2544" operator="lessThan">
      <formula>0</formula>
    </cfRule>
  </conditionalFormatting>
  <conditionalFormatting sqref="H10:H1048576">
    <cfRule type="cellIs" dxfId="244" priority="2543" operator="lessThan">
      <formula>0</formula>
    </cfRule>
  </conditionalFormatting>
  <conditionalFormatting sqref="H10:H1048576">
    <cfRule type="cellIs" dxfId="243" priority="2542" operator="lessThan">
      <formula>0</formula>
    </cfRule>
  </conditionalFormatting>
  <conditionalFormatting sqref="H10:H1048576">
    <cfRule type="cellIs" dxfId="242" priority="2541" operator="lessThan">
      <formula>0</formula>
    </cfRule>
  </conditionalFormatting>
  <conditionalFormatting sqref="H10:H1048576">
    <cfRule type="cellIs" dxfId="241" priority="2540" operator="lessThan">
      <formula>0</formula>
    </cfRule>
  </conditionalFormatting>
  <conditionalFormatting sqref="H10:H1048576">
    <cfRule type="cellIs" dxfId="240" priority="2539" operator="lessThan">
      <formula>0</formula>
    </cfRule>
  </conditionalFormatting>
  <conditionalFormatting sqref="H10:H1048576">
    <cfRule type="cellIs" dxfId="239" priority="2538" operator="lessThan">
      <formula>0</formula>
    </cfRule>
  </conditionalFormatting>
  <conditionalFormatting sqref="H10:H1048576">
    <cfRule type="cellIs" dxfId="238" priority="2537" operator="lessThan">
      <formula>0</formula>
    </cfRule>
  </conditionalFormatting>
  <conditionalFormatting sqref="H10:H1048576">
    <cfRule type="cellIs" dxfId="237" priority="2536" operator="lessThan">
      <formula>0</formula>
    </cfRule>
  </conditionalFormatting>
  <conditionalFormatting sqref="H10:H1048576">
    <cfRule type="cellIs" dxfId="236" priority="2535" operator="lessThan">
      <formula>0</formula>
    </cfRule>
  </conditionalFormatting>
  <conditionalFormatting sqref="H10:H1048576">
    <cfRule type="cellIs" dxfId="235" priority="2534" operator="lessThan">
      <formula>0</formula>
    </cfRule>
  </conditionalFormatting>
  <conditionalFormatting sqref="H10:H1048576">
    <cfRule type="cellIs" dxfId="234" priority="2533" operator="lessThan">
      <formula>0</formula>
    </cfRule>
  </conditionalFormatting>
  <conditionalFormatting sqref="H10:H1048576">
    <cfRule type="cellIs" dxfId="233" priority="2532" operator="lessThan">
      <formula>0</formula>
    </cfRule>
  </conditionalFormatting>
  <conditionalFormatting sqref="H10:H1048576">
    <cfRule type="cellIs" dxfId="232" priority="2531" operator="lessThan">
      <formula>0</formula>
    </cfRule>
  </conditionalFormatting>
  <conditionalFormatting sqref="H10:H1048576">
    <cfRule type="cellIs" dxfId="231" priority="2530" operator="lessThan">
      <formula>0</formula>
    </cfRule>
  </conditionalFormatting>
  <conditionalFormatting sqref="H10:H1048576">
    <cfRule type="cellIs" dxfId="230" priority="2529" operator="lessThan">
      <formula>0</formula>
    </cfRule>
  </conditionalFormatting>
  <conditionalFormatting sqref="H10:H1048576">
    <cfRule type="cellIs" dxfId="229" priority="2528" operator="lessThan">
      <formula>0</formula>
    </cfRule>
  </conditionalFormatting>
  <conditionalFormatting sqref="H10:H1048576">
    <cfRule type="cellIs" dxfId="228" priority="2527" operator="lessThan">
      <formula>0</formula>
    </cfRule>
  </conditionalFormatting>
  <conditionalFormatting sqref="H10:H1048576">
    <cfRule type="cellIs" dxfId="227" priority="2526" operator="lessThan">
      <formula>0</formula>
    </cfRule>
  </conditionalFormatting>
  <conditionalFormatting sqref="H10:H1048576">
    <cfRule type="cellIs" dxfId="226" priority="2525" operator="lessThan">
      <formula>0</formula>
    </cfRule>
  </conditionalFormatting>
  <conditionalFormatting sqref="H10:H1048576">
    <cfRule type="cellIs" dxfId="225" priority="2524" operator="lessThan">
      <formula>0</formula>
    </cfRule>
  </conditionalFormatting>
  <conditionalFormatting sqref="H10:H1048576">
    <cfRule type="cellIs" dxfId="224" priority="2523" operator="lessThan">
      <formula>0</formula>
    </cfRule>
  </conditionalFormatting>
  <conditionalFormatting sqref="H10:H1048576">
    <cfRule type="cellIs" dxfId="223" priority="2522" operator="lessThan">
      <formula>0</formula>
    </cfRule>
  </conditionalFormatting>
  <conditionalFormatting sqref="H10:H1048576">
    <cfRule type="cellIs" dxfId="222" priority="2521" operator="lessThan">
      <formula>0</formula>
    </cfRule>
  </conditionalFormatting>
  <conditionalFormatting sqref="H10:H1048576">
    <cfRule type="cellIs" dxfId="221" priority="2520" operator="lessThan">
      <formula>0</formula>
    </cfRule>
  </conditionalFormatting>
  <conditionalFormatting sqref="H10:H1048576">
    <cfRule type="cellIs" dxfId="220" priority="2519" operator="lessThan">
      <formula>0</formula>
    </cfRule>
  </conditionalFormatting>
  <conditionalFormatting sqref="H10:H1048576">
    <cfRule type="cellIs" dxfId="219" priority="2518" operator="lessThan">
      <formula>0</formula>
    </cfRule>
  </conditionalFormatting>
  <conditionalFormatting sqref="H1:H1048576">
    <cfRule type="cellIs" dxfId="218" priority="2517" operator="lessThan">
      <formula>0</formula>
    </cfRule>
  </conditionalFormatting>
  <conditionalFormatting sqref="H1:H1048576">
    <cfRule type="cellIs" dxfId="217" priority="2516" operator="lessThan">
      <formula>0</formula>
    </cfRule>
  </conditionalFormatting>
  <conditionalFormatting sqref="H1:H1048576">
    <cfRule type="cellIs" dxfId="216" priority="2515" operator="lessThan">
      <formula>0</formula>
    </cfRule>
  </conditionalFormatting>
  <conditionalFormatting sqref="H1:H1048576">
    <cfRule type="cellIs" dxfId="215" priority="2514" operator="lessThan">
      <formula>0</formula>
    </cfRule>
  </conditionalFormatting>
  <conditionalFormatting sqref="H1:H1048576">
    <cfRule type="cellIs" dxfId="214" priority="2513" operator="lessThan">
      <formula>0</formula>
    </cfRule>
  </conditionalFormatting>
  <conditionalFormatting sqref="H1:H1048576">
    <cfRule type="cellIs" dxfId="213" priority="2512" operator="lessThan">
      <formula>0</formula>
    </cfRule>
  </conditionalFormatting>
  <conditionalFormatting sqref="H1:H1048576">
    <cfRule type="cellIs" dxfId="212" priority="2511" operator="lessThan">
      <formula>0</formula>
    </cfRule>
  </conditionalFormatting>
  <conditionalFormatting sqref="H1:H1048576">
    <cfRule type="cellIs" dxfId="211" priority="2510" operator="lessThan">
      <formula>0</formula>
    </cfRule>
  </conditionalFormatting>
  <conditionalFormatting sqref="H1:H1048576">
    <cfRule type="cellIs" dxfId="210" priority="2509" operator="lessThan">
      <formula>0</formula>
    </cfRule>
  </conditionalFormatting>
  <conditionalFormatting sqref="H1:H1048576">
    <cfRule type="cellIs" dxfId="209" priority="2508" operator="lessThan">
      <formula>0</formula>
    </cfRule>
  </conditionalFormatting>
  <conditionalFormatting sqref="H1:H1048576">
    <cfRule type="cellIs" dxfId="208" priority="2507" operator="lessThan">
      <formula>0</formula>
    </cfRule>
  </conditionalFormatting>
  <conditionalFormatting sqref="H1:H1048576">
    <cfRule type="cellIs" dxfId="207" priority="2506" operator="lessThan">
      <formula>0</formula>
    </cfRule>
  </conditionalFormatting>
  <conditionalFormatting sqref="H1:H1048576">
    <cfRule type="cellIs" dxfId="206" priority="2505" operator="lessThan">
      <formula>0</formula>
    </cfRule>
  </conditionalFormatting>
  <conditionalFormatting sqref="H1:H1048576">
    <cfRule type="cellIs" dxfId="205" priority="2504" operator="lessThan">
      <formula>0</formula>
    </cfRule>
  </conditionalFormatting>
  <conditionalFormatting sqref="H1:H1048576">
    <cfRule type="cellIs" dxfId="204" priority="2503" operator="lessThan">
      <formula>0</formula>
    </cfRule>
  </conditionalFormatting>
  <conditionalFormatting sqref="H1:H1048576">
    <cfRule type="cellIs" dxfId="203" priority="2502" operator="lessThan">
      <formula>0</formula>
    </cfRule>
  </conditionalFormatting>
  <conditionalFormatting sqref="H1:H1048576">
    <cfRule type="cellIs" dxfId="202" priority="2501" operator="lessThan">
      <formula>0</formula>
    </cfRule>
  </conditionalFormatting>
  <conditionalFormatting sqref="H1:H1048576">
    <cfRule type="cellIs" dxfId="201" priority="2500" operator="lessThan">
      <formula>0</formula>
    </cfRule>
  </conditionalFormatting>
  <conditionalFormatting sqref="H1:H1048576">
    <cfRule type="cellIs" dxfId="200" priority="2499" operator="lessThan">
      <formula>0</formula>
    </cfRule>
  </conditionalFormatting>
  <conditionalFormatting sqref="H1:H1048576">
    <cfRule type="cellIs" dxfId="199" priority="2498" operator="lessThan">
      <formula>0</formula>
    </cfRule>
  </conditionalFormatting>
  <conditionalFormatting sqref="H1:H1048576">
    <cfRule type="cellIs" dxfId="198" priority="2497" operator="lessThan">
      <formula>0</formula>
    </cfRule>
  </conditionalFormatting>
  <conditionalFormatting sqref="H1:H1048576">
    <cfRule type="cellIs" dxfId="197" priority="2496" operator="lessThan">
      <formula>0</formula>
    </cfRule>
  </conditionalFormatting>
  <conditionalFormatting sqref="H1:H1048576">
    <cfRule type="cellIs" dxfId="196" priority="2495" operator="lessThan">
      <formula>0</formula>
    </cfRule>
  </conditionalFormatting>
  <conditionalFormatting sqref="H1:H1048576">
    <cfRule type="cellIs" dxfId="195" priority="2494" operator="lessThan">
      <formula>0</formula>
    </cfRule>
  </conditionalFormatting>
  <conditionalFormatting sqref="H1:H1048576">
    <cfRule type="cellIs" dxfId="194" priority="2493" operator="lessThan">
      <formula>0</formula>
    </cfRule>
  </conditionalFormatting>
  <conditionalFormatting sqref="H1:H1048576">
    <cfRule type="cellIs" dxfId="193" priority="2492" operator="lessThan">
      <formula>0</formula>
    </cfRule>
  </conditionalFormatting>
  <conditionalFormatting sqref="H1:H1048576">
    <cfRule type="cellIs" dxfId="192" priority="2491" operator="lessThan">
      <formula>0</formula>
    </cfRule>
  </conditionalFormatting>
  <conditionalFormatting sqref="H1:H1048576">
    <cfRule type="cellIs" dxfId="191" priority="2490" operator="lessThan">
      <formula>0</formula>
    </cfRule>
  </conditionalFormatting>
  <conditionalFormatting sqref="H1:H1048576">
    <cfRule type="cellIs" dxfId="190" priority="2489" operator="lessThan">
      <formula>0</formula>
    </cfRule>
  </conditionalFormatting>
  <conditionalFormatting sqref="H1:H1048576">
    <cfRule type="cellIs" dxfId="189" priority="2488" operator="lessThan">
      <formula>0</formula>
    </cfRule>
  </conditionalFormatting>
  <conditionalFormatting sqref="H1:H1048576">
    <cfRule type="cellIs" dxfId="188" priority="2487" operator="lessThan">
      <formula>0</formula>
    </cfRule>
  </conditionalFormatting>
  <conditionalFormatting sqref="H1:H1048576">
    <cfRule type="cellIs" dxfId="187" priority="2486" operator="lessThan">
      <formula>0</formula>
    </cfRule>
  </conditionalFormatting>
  <conditionalFormatting sqref="H1:H1048576">
    <cfRule type="cellIs" dxfId="186" priority="2485" operator="lessThan">
      <formula>0</formula>
    </cfRule>
  </conditionalFormatting>
  <conditionalFormatting sqref="H1:H1048576">
    <cfRule type="cellIs" dxfId="185" priority="2484" operator="lessThan">
      <formula>0</formula>
    </cfRule>
  </conditionalFormatting>
  <conditionalFormatting sqref="H1:H1048576">
    <cfRule type="cellIs" dxfId="184" priority="2483" operator="lessThan">
      <formula>0</formula>
    </cfRule>
  </conditionalFormatting>
  <conditionalFormatting sqref="H1:H1048576">
    <cfRule type="cellIs" dxfId="183" priority="2482" operator="lessThan">
      <formula>0</formula>
    </cfRule>
  </conditionalFormatting>
  <conditionalFormatting sqref="H1:H1048576">
    <cfRule type="cellIs" dxfId="182" priority="2481" operator="lessThan">
      <formula>0</formula>
    </cfRule>
  </conditionalFormatting>
  <conditionalFormatting sqref="H1:H1048576">
    <cfRule type="cellIs" dxfId="181" priority="2480" operator="lessThan">
      <formula>0</formula>
    </cfRule>
  </conditionalFormatting>
  <conditionalFormatting sqref="H1:H1048576">
    <cfRule type="cellIs" dxfId="180" priority="2479" operator="lessThan">
      <formula>0</formula>
    </cfRule>
  </conditionalFormatting>
  <conditionalFormatting sqref="H1:H1048576">
    <cfRule type="cellIs" dxfId="179" priority="2478" operator="lessThan">
      <formula>0</formula>
    </cfRule>
  </conditionalFormatting>
  <conditionalFormatting sqref="H1:H1048576">
    <cfRule type="cellIs" dxfId="178" priority="2477" operator="lessThan">
      <formula>0</formula>
    </cfRule>
  </conditionalFormatting>
  <conditionalFormatting sqref="H1:H1048576">
    <cfRule type="cellIs" dxfId="177" priority="2476" operator="lessThan">
      <formula>0</formula>
    </cfRule>
  </conditionalFormatting>
  <conditionalFormatting sqref="H1:H1048576">
    <cfRule type="cellIs" dxfId="176" priority="2475" operator="lessThan">
      <formula>0</formula>
    </cfRule>
  </conditionalFormatting>
  <conditionalFormatting sqref="H1:H1048576">
    <cfRule type="cellIs" dxfId="175" priority="2474" operator="lessThan">
      <formula>0</formula>
    </cfRule>
  </conditionalFormatting>
  <conditionalFormatting sqref="H1:H1048576">
    <cfRule type="cellIs" dxfId="174" priority="2473" operator="lessThan">
      <formula>0</formula>
    </cfRule>
  </conditionalFormatting>
  <conditionalFormatting sqref="H1:H1048576">
    <cfRule type="cellIs" dxfId="173" priority="2472" operator="lessThan">
      <formula>0</formula>
    </cfRule>
  </conditionalFormatting>
  <conditionalFormatting sqref="H1:H1048576">
    <cfRule type="cellIs" dxfId="172" priority="2471" operator="lessThan">
      <formula>0</formula>
    </cfRule>
  </conditionalFormatting>
  <conditionalFormatting sqref="H1:H1048576">
    <cfRule type="cellIs" dxfId="171" priority="2470" operator="lessThan">
      <formula>0</formula>
    </cfRule>
  </conditionalFormatting>
  <conditionalFormatting sqref="H1:H1048576">
    <cfRule type="cellIs" dxfId="170" priority="2469" operator="lessThan">
      <formula>0</formula>
    </cfRule>
  </conditionalFormatting>
  <conditionalFormatting sqref="H1:H1048576">
    <cfRule type="cellIs" dxfId="169" priority="2468" operator="lessThan">
      <formula>0</formula>
    </cfRule>
  </conditionalFormatting>
  <conditionalFormatting sqref="H1:H1048576">
    <cfRule type="cellIs" dxfId="168" priority="2467" operator="lessThan">
      <formula>0</formula>
    </cfRule>
  </conditionalFormatting>
  <conditionalFormatting sqref="H1:H1048576">
    <cfRule type="cellIs" dxfId="167" priority="2466" operator="lessThan">
      <formula>0</formula>
    </cfRule>
  </conditionalFormatting>
  <conditionalFormatting sqref="H1:H1048576">
    <cfRule type="cellIs" dxfId="166" priority="2465" operator="lessThan">
      <formula>0</formula>
    </cfRule>
  </conditionalFormatting>
  <conditionalFormatting sqref="H1:H1048576">
    <cfRule type="cellIs" dxfId="165" priority="2464" operator="lessThan">
      <formula>0</formula>
    </cfRule>
  </conditionalFormatting>
  <conditionalFormatting sqref="H1:H1048576">
    <cfRule type="cellIs" dxfId="164" priority="2463" operator="lessThan">
      <formula>0</formula>
    </cfRule>
  </conditionalFormatting>
  <conditionalFormatting sqref="H1:H1048576">
    <cfRule type="cellIs" dxfId="163" priority="2462" operator="lessThan">
      <formula>0</formula>
    </cfRule>
  </conditionalFormatting>
  <conditionalFormatting sqref="H1:H1048576">
    <cfRule type="cellIs" dxfId="162" priority="2461" operator="lessThan">
      <formula>0</formula>
    </cfRule>
  </conditionalFormatting>
  <conditionalFormatting sqref="H1:H1048576">
    <cfRule type="cellIs" dxfId="161" priority="2460" operator="lessThan">
      <formula>0</formula>
    </cfRule>
  </conditionalFormatting>
  <conditionalFormatting sqref="H1:H1048576">
    <cfRule type="cellIs" dxfId="160" priority="2459" operator="lessThan">
      <formula>0</formula>
    </cfRule>
  </conditionalFormatting>
  <conditionalFormatting sqref="H1:H1048576">
    <cfRule type="cellIs" dxfId="159" priority="2458" operator="lessThan">
      <formula>0</formula>
    </cfRule>
  </conditionalFormatting>
  <conditionalFormatting sqref="H1:H1048576">
    <cfRule type="cellIs" dxfId="158" priority="2457" operator="lessThan">
      <formula>0</formula>
    </cfRule>
  </conditionalFormatting>
  <conditionalFormatting sqref="H1:H1048576">
    <cfRule type="cellIs" dxfId="157" priority="2456" operator="lessThan">
      <formula>0</formula>
    </cfRule>
  </conditionalFormatting>
  <conditionalFormatting sqref="H1:H1048576">
    <cfRule type="cellIs" dxfId="156" priority="2455" operator="lessThan">
      <formula>0</formula>
    </cfRule>
  </conditionalFormatting>
  <conditionalFormatting sqref="H1:H1048576">
    <cfRule type="cellIs" dxfId="155" priority="2454" operator="lessThan">
      <formula>0</formula>
    </cfRule>
  </conditionalFormatting>
  <conditionalFormatting sqref="H1:H1048576">
    <cfRule type="cellIs" dxfId="154" priority="2453" operator="lessThan">
      <formula>0</formula>
    </cfRule>
  </conditionalFormatting>
  <conditionalFormatting sqref="H1:H1048576">
    <cfRule type="cellIs" dxfId="153" priority="2452" operator="lessThan">
      <formula>0</formula>
    </cfRule>
  </conditionalFormatting>
  <conditionalFormatting sqref="H1:H1048576">
    <cfRule type="cellIs" dxfId="152" priority="2451" operator="lessThan">
      <formula>0</formula>
    </cfRule>
  </conditionalFormatting>
  <conditionalFormatting sqref="H1:H1048576">
    <cfRule type="cellIs" dxfId="151" priority="2450" operator="lessThan">
      <formula>0</formula>
    </cfRule>
  </conditionalFormatting>
  <conditionalFormatting sqref="H1:H1048576">
    <cfRule type="cellIs" dxfId="150" priority="2449" operator="lessThan">
      <formula>0</formula>
    </cfRule>
  </conditionalFormatting>
  <conditionalFormatting sqref="H1:H1048576">
    <cfRule type="cellIs" dxfId="149" priority="2448" operator="lessThan">
      <formula>0</formula>
    </cfRule>
  </conditionalFormatting>
  <conditionalFormatting sqref="H1:H1048576">
    <cfRule type="cellIs" dxfId="148" priority="2447" operator="lessThan">
      <formula>0</formula>
    </cfRule>
  </conditionalFormatting>
  <conditionalFormatting sqref="H1:H1048576">
    <cfRule type="cellIs" dxfId="147" priority="2446" operator="lessThan">
      <formula>0</formula>
    </cfRule>
  </conditionalFormatting>
  <conditionalFormatting sqref="H1:H1048576">
    <cfRule type="cellIs" dxfId="146" priority="2445" operator="lessThan">
      <formula>0</formula>
    </cfRule>
  </conditionalFormatting>
  <conditionalFormatting sqref="H1:H1048576">
    <cfRule type="cellIs" dxfId="145" priority="2444" operator="lessThan">
      <formula>0</formula>
    </cfRule>
  </conditionalFormatting>
  <conditionalFormatting sqref="H1:H1048576">
    <cfRule type="cellIs" dxfId="144" priority="2443" operator="lessThan">
      <formula>0</formula>
    </cfRule>
  </conditionalFormatting>
  <conditionalFormatting sqref="H1:H1048576">
    <cfRule type="cellIs" dxfId="143" priority="2442" operator="lessThan">
      <formula>0</formula>
    </cfRule>
  </conditionalFormatting>
  <conditionalFormatting sqref="H1:H1048576">
    <cfRule type="cellIs" dxfId="142" priority="2441" operator="lessThan">
      <formula>0</formula>
    </cfRule>
  </conditionalFormatting>
  <conditionalFormatting sqref="H1:H1048576">
    <cfRule type="cellIs" dxfId="141" priority="2440" operator="lessThan">
      <formula>0</formula>
    </cfRule>
  </conditionalFormatting>
  <conditionalFormatting sqref="H1:H1048576">
    <cfRule type="cellIs" dxfId="140" priority="2439" operator="lessThan">
      <formula>0</formula>
    </cfRule>
  </conditionalFormatting>
  <conditionalFormatting sqref="H1:H1048576">
    <cfRule type="cellIs" dxfId="139" priority="2438" operator="lessThan">
      <formula>0</formula>
    </cfRule>
  </conditionalFormatting>
  <conditionalFormatting sqref="H1:H1048576">
    <cfRule type="cellIs" dxfId="138" priority="2437" operator="lessThan">
      <formula>0</formula>
    </cfRule>
  </conditionalFormatting>
  <conditionalFormatting sqref="H1:H1048576">
    <cfRule type="cellIs" dxfId="137" priority="2436" operator="lessThan">
      <formula>0</formula>
    </cfRule>
  </conditionalFormatting>
  <conditionalFormatting sqref="H1:H1048576">
    <cfRule type="cellIs" dxfId="136" priority="2435" operator="lessThan">
      <formula>0</formula>
    </cfRule>
  </conditionalFormatting>
  <conditionalFormatting sqref="H1:H1048576">
    <cfRule type="cellIs" dxfId="135" priority="2434" operator="lessThan">
      <formula>0</formula>
    </cfRule>
  </conditionalFormatting>
  <conditionalFormatting sqref="H1:H1048576">
    <cfRule type="cellIs" dxfId="134" priority="2433" operator="lessThan">
      <formula>0</formula>
    </cfRule>
  </conditionalFormatting>
  <conditionalFormatting sqref="H1:H1048576">
    <cfRule type="cellIs" dxfId="133" priority="2432" operator="lessThan">
      <formula>0</formula>
    </cfRule>
  </conditionalFormatting>
  <conditionalFormatting sqref="H1:H1048576">
    <cfRule type="cellIs" dxfId="132" priority="2431" operator="lessThan">
      <formula>0</formula>
    </cfRule>
  </conditionalFormatting>
  <conditionalFormatting sqref="H1:H1048576">
    <cfRule type="cellIs" dxfId="131" priority="2430" operator="lessThan">
      <formula>0</formula>
    </cfRule>
  </conditionalFormatting>
  <conditionalFormatting sqref="H1:H1048576">
    <cfRule type="cellIs" dxfId="130" priority="2429" operator="lessThan">
      <formula>0</formula>
    </cfRule>
  </conditionalFormatting>
  <conditionalFormatting sqref="H1:H1048576">
    <cfRule type="cellIs" dxfId="129" priority="2428" operator="lessThan">
      <formula>0</formula>
    </cfRule>
  </conditionalFormatting>
  <conditionalFormatting sqref="H1:H1048576">
    <cfRule type="cellIs" dxfId="128" priority="2427" operator="lessThan">
      <formula>0</formula>
    </cfRule>
  </conditionalFormatting>
  <conditionalFormatting sqref="H1:H1048576">
    <cfRule type="cellIs" dxfId="127" priority="2426" operator="lessThan">
      <formula>0</formula>
    </cfRule>
  </conditionalFormatting>
  <conditionalFormatting sqref="H1:H1048576">
    <cfRule type="cellIs" dxfId="126" priority="2425" operator="lessThan">
      <formula>0</formula>
    </cfRule>
  </conditionalFormatting>
  <conditionalFormatting sqref="H1:H1048576">
    <cfRule type="cellIs" dxfId="125" priority="2424" operator="lessThan">
      <formula>0</formula>
    </cfRule>
  </conditionalFormatting>
  <conditionalFormatting sqref="H1:H1048576">
    <cfRule type="cellIs" dxfId="124" priority="2423" operator="lessThan">
      <formula>0</formula>
    </cfRule>
  </conditionalFormatting>
  <conditionalFormatting sqref="H1:H1048576">
    <cfRule type="cellIs" dxfId="123" priority="2422" operator="lessThan">
      <formula>0</formula>
    </cfRule>
  </conditionalFormatting>
  <conditionalFormatting sqref="H1:H1048576">
    <cfRule type="cellIs" dxfId="122" priority="2421" operator="lessThan">
      <formula>0</formula>
    </cfRule>
  </conditionalFormatting>
  <conditionalFormatting sqref="H1:H1048576">
    <cfRule type="cellIs" dxfId="121" priority="2420" operator="lessThan">
      <formula>0</formula>
    </cfRule>
  </conditionalFormatting>
  <conditionalFormatting sqref="H1:H1048576">
    <cfRule type="cellIs" dxfId="120" priority="2419" operator="lessThan">
      <formula>0</formula>
    </cfRule>
  </conditionalFormatting>
  <conditionalFormatting sqref="H1:H1048576">
    <cfRule type="cellIs" dxfId="119" priority="2418" operator="lessThan">
      <formula>0</formula>
    </cfRule>
  </conditionalFormatting>
  <conditionalFormatting sqref="H1:H1048576">
    <cfRule type="cellIs" dxfId="118" priority="2417" operator="lessThan">
      <formula>0</formula>
    </cfRule>
  </conditionalFormatting>
  <conditionalFormatting sqref="H1:H1048576">
    <cfRule type="cellIs" dxfId="117" priority="2416" operator="lessThan">
      <formula>0</formula>
    </cfRule>
  </conditionalFormatting>
  <conditionalFormatting sqref="H1:H1048576">
    <cfRule type="cellIs" dxfId="116" priority="2415" operator="lessThan">
      <formula>0</formula>
    </cfRule>
  </conditionalFormatting>
  <conditionalFormatting sqref="H1:H1048576">
    <cfRule type="cellIs" dxfId="115" priority="2414" operator="lessThan">
      <formula>0</formula>
    </cfRule>
  </conditionalFormatting>
  <conditionalFormatting sqref="H1:H1048576">
    <cfRule type="cellIs" dxfId="114" priority="2413" operator="lessThan">
      <formula>0</formula>
    </cfRule>
  </conditionalFormatting>
  <conditionalFormatting sqref="H1:H1048576">
    <cfRule type="cellIs" dxfId="113" priority="2412" operator="lessThan">
      <formula>0</formula>
    </cfRule>
  </conditionalFormatting>
  <conditionalFormatting sqref="H1:H1048576">
    <cfRule type="cellIs" dxfId="112" priority="2411" operator="lessThan">
      <formula>0</formula>
    </cfRule>
  </conditionalFormatting>
  <conditionalFormatting sqref="H1:H1048576">
    <cfRule type="cellIs" dxfId="111" priority="2410" operator="lessThan">
      <formula>0</formula>
    </cfRule>
  </conditionalFormatting>
  <conditionalFormatting sqref="H1:H1048576">
    <cfRule type="cellIs" dxfId="110" priority="2409" operator="lessThan">
      <formula>0</formula>
    </cfRule>
  </conditionalFormatting>
  <conditionalFormatting sqref="H1:H1048576">
    <cfRule type="cellIs" dxfId="109" priority="2408" operator="lessThan">
      <formula>0</formula>
    </cfRule>
  </conditionalFormatting>
  <conditionalFormatting sqref="H1:H1048576">
    <cfRule type="cellIs" dxfId="108" priority="2407" operator="lessThan">
      <formula>0</formula>
    </cfRule>
  </conditionalFormatting>
  <conditionalFormatting sqref="H1:H1048576">
    <cfRule type="cellIs" dxfId="107" priority="2406" operator="lessThan">
      <formula>0</formula>
    </cfRule>
  </conditionalFormatting>
  <conditionalFormatting sqref="H1:H1048576">
    <cfRule type="cellIs" dxfId="106" priority="2405" operator="lessThan">
      <formula>0</formula>
    </cfRule>
  </conditionalFormatting>
  <conditionalFormatting sqref="H1:H1048576">
    <cfRule type="cellIs" dxfId="105" priority="2404" operator="lessThan">
      <formula>0</formula>
    </cfRule>
  </conditionalFormatting>
  <conditionalFormatting sqref="H1:H1048576">
    <cfRule type="cellIs" dxfId="104" priority="2403" operator="lessThan">
      <formula>0</formula>
    </cfRule>
  </conditionalFormatting>
  <conditionalFormatting sqref="H1:H1048576">
    <cfRule type="cellIs" dxfId="103" priority="2402" operator="lessThan">
      <formula>0</formula>
    </cfRule>
  </conditionalFormatting>
  <conditionalFormatting sqref="H1:H1048576">
    <cfRule type="cellIs" dxfId="102" priority="2401" operator="lessThan">
      <formula>0</formula>
    </cfRule>
  </conditionalFormatting>
  <conditionalFormatting sqref="H1:H1048576">
    <cfRule type="cellIs" dxfId="101" priority="2400" operator="lessThan">
      <formula>0</formula>
    </cfRule>
  </conditionalFormatting>
  <conditionalFormatting sqref="H1:H1048576">
    <cfRule type="cellIs" dxfId="100" priority="2399" operator="lessThan">
      <formula>0</formula>
    </cfRule>
  </conditionalFormatting>
  <conditionalFormatting sqref="H1:H1048576">
    <cfRule type="cellIs" dxfId="99" priority="2398" operator="lessThan">
      <formula>0</formula>
    </cfRule>
  </conditionalFormatting>
  <conditionalFormatting sqref="H1:H1048576">
    <cfRule type="cellIs" dxfId="98" priority="2397" operator="lessThan">
      <formula>0</formula>
    </cfRule>
  </conditionalFormatting>
  <conditionalFormatting sqref="H1:H1048576">
    <cfRule type="cellIs" dxfId="97" priority="2396" operator="lessThan">
      <formula>0</formula>
    </cfRule>
  </conditionalFormatting>
  <conditionalFormatting sqref="H1:H1048576">
    <cfRule type="cellIs" dxfId="96" priority="2395" operator="lessThan">
      <formula>0</formula>
    </cfRule>
  </conditionalFormatting>
  <conditionalFormatting sqref="H1:H1048576">
    <cfRule type="cellIs" dxfId="95" priority="2394" operator="lessThan">
      <formula>0</formula>
    </cfRule>
  </conditionalFormatting>
  <conditionalFormatting sqref="H1:H1048576">
    <cfRule type="cellIs" dxfId="94" priority="2393" operator="lessThan">
      <formula>0</formula>
    </cfRule>
  </conditionalFormatting>
  <conditionalFormatting sqref="H1:H1048576">
    <cfRule type="cellIs" dxfId="93" priority="2392" operator="lessThan">
      <formula>0</formula>
    </cfRule>
  </conditionalFormatting>
  <conditionalFormatting sqref="H1:H1048576">
    <cfRule type="cellIs" dxfId="92" priority="2391" operator="lessThan">
      <formula>0</formula>
    </cfRule>
  </conditionalFormatting>
  <conditionalFormatting sqref="H1:H1048576">
    <cfRule type="cellIs" dxfId="91" priority="2390" operator="lessThan">
      <formula>0</formula>
    </cfRule>
  </conditionalFormatting>
  <conditionalFormatting sqref="H1:H1048576">
    <cfRule type="cellIs" dxfId="90" priority="2389" operator="lessThan">
      <formula>0</formula>
    </cfRule>
  </conditionalFormatting>
  <conditionalFormatting sqref="H1:H1048576">
    <cfRule type="cellIs" dxfId="89" priority="2388" operator="lessThan">
      <formula>0</formula>
    </cfRule>
  </conditionalFormatting>
  <conditionalFormatting sqref="H1:H1048576">
    <cfRule type="cellIs" dxfId="88" priority="2387" operator="lessThan">
      <formula>0</formula>
    </cfRule>
  </conditionalFormatting>
  <conditionalFormatting sqref="H1:H1048576">
    <cfRule type="cellIs" dxfId="87" priority="2386" operator="lessThan">
      <formula>0</formula>
    </cfRule>
  </conditionalFormatting>
  <conditionalFormatting sqref="H1:H1048576">
    <cfRule type="cellIs" dxfId="86" priority="2385" operator="lessThan">
      <formula>0</formula>
    </cfRule>
  </conditionalFormatting>
  <conditionalFormatting sqref="H1:H1048576">
    <cfRule type="cellIs" dxfId="85" priority="2384" operator="lessThan">
      <formula>0</formula>
    </cfRule>
  </conditionalFormatting>
  <conditionalFormatting sqref="H1:H1048576">
    <cfRule type="cellIs" dxfId="84" priority="2383" operator="lessThan">
      <formula>0</formula>
    </cfRule>
  </conditionalFormatting>
  <conditionalFormatting sqref="H1:H1048576">
    <cfRule type="cellIs" dxfId="83" priority="2382" operator="lessThan">
      <formula>0</formula>
    </cfRule>
  </conditionalFormatting>
  <conditionalFormatting sqref="H1:H1048576">
    <cfRule type="cellIs" dxfId="82" priority="2381" operator="lessThan">
      <formula>0</formula>
    </cfRule>
  </conditionalFormatting>
  <conditionalFormatting sqref="H1:H1048576">
    <cfRule type="cellIs" dxfId="81" priority="2380" operator="lessThan">
      <formula>0</formula>
    </cfRule>
  </conditionalFormatting>
  <conditionalFormatting sqref="H1:H1048576">
    <cfRule type="cellIs" dxfId="80" priority="2379" operator="lessThan">
      <formula>0</formula>
    </cfRule>
  </conditionalFormatting>
  <conditionalFormatting sqref="H1:H1048576">
    <cfRule type="cellIs" dxfId="79" priority="2378" operator="lessThan">
      <formula>0</formula>
    </cfRule>
  </conditionalFormatting>
  <conditionalFormatting sqref="H1:H1048576">
    <cfRule type="cellIs" dxfId="78" priority="2377" operator="lessThan">
      <formula>0</formula>
    </cfRule>
  </conditionalFormatting>
  <conditionalFormatting sqref="H1:H1048576">
    <cfRule type="cellIs" dxfId="77" priority="2376" operator="lessThan">
      <formula>0</formula>
    </cfRule>
  </conditionalFormatting>
  <conditionalFormatting sqref="H1:H1048576">
    <cfRule type="cellIs" dxfId="76" priority="2375" operator="lessThan">
      <formula>0</formula>
    </cfRule>
  </conditionalFormatting>
  <conditionalFormatting sqref="H1:H1048576">
    <cfRule type="cellIs" dxfId="75" priority="2374" operator="lessThan">
      <formula>0</formula>
    </cfRule>
  </conditionalFormatting>
  <conditionalFormatting sqref="H1:H1048576">
    <cfRule type="cellIs" dxfId="74" priority="2373" operator="lessThan">
      <formula>0</formula>
    </cfRule>
  </conditionalFormatting>
  <conditionalFormatting sqref="H1:H1048576">
    <cfRule type="cellIs" dxfId="73" priority="2372" operator="lessThan">
      <formula>0</formula>
    </cfRule>
  </conditionalFormatting>
  <conditionalFormatting sqref="H1:H1048576">
    <cfRule type="cellIs" dxfId="72" priority="2371" operator="lessThan">
      <formula>0</formula>
    </cfRule>
  </conditionalFormatting>
  <conditionalFormatting sqref="H1:H1048576">
    <cfRule type="cellIs" dxfId="71" priority="2370" operator="lessThan">
      <formula>0</formula>
    </cfRule>
  </conditionalFormatting>
  <conditionalFormatting sqref="H1:H1048576">
    <cfRule type="cellIs" dxfId="70" priority="2369" operator="lessThan">
      <formula>0</formula>
    </cfRule>
  </conditionalFormatting>
  <conditionalFormatting sqref="H1:H1048576">
    <cfRule type="cellIs" dxfId="69" priority="2368" operator="lessThan">
      <formula>0</formula>
    </cfRule>
  </conditionalFormatting>
  <conditionalFormatting sqref="H1:H1048576">
    <cfRule type="cellIs" dxfId="68" priority="2367" operator="lessThan">
      <formula>0</formula>
    </cfRule>
  </conditionalFormatting>
  <conditionalFormatting sqref="H1:H1048576">
    <cfRule type="cellIs" dxfId="67" priority="2366" operator="lessThan">
      <formula>0</formula>
    </cfRule>
  </conditionalFormatting>
  <conditionalFormatting sqref="H1:H1048576">
    <cfRule type="cellIs" dxfId="66" priority="2365" operator="lessThan">
      <formula>0</formula>
    </cfRule>
  </conditionalFormatting>
  <conditionalFormatting sqref="H1:H1048576">
    <cfRule type="cellIs" dxfId="65" priority="2364" operator="lessThan">
      <formula>0</formula>
    </cfRule>
  </conditionalFormatting>
  <conditionalFormatting sqref="H1:H1048576">
    <cfRule type="cellIs" dxfId="64" priority="2363" operator="lessThan">
      <formula>0</formula>
    </cfRule>
  </conditionalFormatting>
  <conditionalFormatting sqref="H1:H1048576">
    <cfRule type="cellIs" dxfId="63" priority="2362" operator="lessThan">
      <formula>0</formula>
    </cfRule>
  </conditionalFormatting>
  <conditionalFormatting sqref="H1:H1048576">
    <cfRule type="cellIs" dxfId="62" priority="2361" operator="lessThan">
      <formula>0</formula>
    </cfRule>
  </conditionalFormatting>
  <conditionalFormatting sqref="H1:H1048576">
    <cfRule type="cellIs" dxfId="61" priority="2360" operator="lessThan">
      <formula>0</formula>
    </cfRule>
  </conditionalFormatting>
  <conditionalFormatting sqref="H1:H1048576">
    <cfRule type="cellIs" dxfId="60" priority="2359" operator="lessThan">
      <formula>0</formula>
    </cfRule>
  </conditionalFormatting>
  <conditionalFormatting sqref="H1:H1048576">
    <cfRule type="cellIs" dxfId="59" priority="2358" operator="lessThan">
      <formula>0</formula>
    </cfRule>
  </conditionalFormatting>
  <conditionalFormatting sqref="H1:H1048576">
    <cfRule type="cellIs" dxfId="58" priority="2357" operator="lessThan">
      <formula>0</formula>
    </cfRule>
  </conditionalFormatting>
  <conditionalFormatting sqref="H1:H1048576">
    <cfRule type="cellIs" dxfId="57" priority="2356" operator="lessThan">
      <formula>0</formula>
    </cfRule>
  </conditionalFormatting>
  <conditionalFormatting sqref="H1:H1048576">
    <cfRule type="cellIs" dxfId="56" priority="2355" operator="lessThan">
      <formula>0</formula>
    </cfRule>
  </conditionalFormatting>
  <conditionalFormatting sqref="H1:H1048576">
    <cfRule type="cellIs" dxfId="55" priority="2354" operator="lessThan">
      <formula>0</formula>
    </cfRule>
  </conditionalFormatting>
  <conditionalFormatting sqref="H1:H1048576">
    <cfRule type="cellIs" dxfId="54" priority="2353" operator="lessThan">
      <formula>0</formula>
    </cfRule>
  </conditionalFormatting>
  <conditionalFormatting sqref="H1:H1048576">
    <cfRule type="cellIs" dxfId="53" priority="2352" operator="lessThan">
      <formula>0</formula>
    </cfRule>
  </conditionalFormatting>
  <conditionalFormatting sqref="H1:H1048576">
    <cfRule type="cellIs" dxfId="52" priority="2351" operator="lessThan">
      <formula>0</formula>
    </cfRule>
  </conditionalFormatting>
  <conditionalFormatting sqref="H1:H1048576">
    <cfRule type="cellIs" dxfId="51" priority="2350" operator="lessThan">
      <formula>0</formula>
    </cfRule>
  </conditionalFormatting>
  <conditionalFormatting sqref="H1:H1048576">
    <cfRule type="cellIs" dxfId="50" priority="2349" operator="lessThan">
      <formula>0</formula>
    </cfRule>
  </conditionalFormatting>
  <conditionalFormatting sqref="H1:H1048576">
    <cfRule type="cellIs" dxfId="49" priority="2348" operator="lessThan">
      <formula>0</formula>
    </cfRule>
  </conditionalFormatting>
  <conditionalFormatting sqref="H1:H1048576">
    <cfRule type="cellIs" dxfId="48" priority="2347" operator="lessThan">
      <formula>0</formula>
    </cfRule>
  </conditionalFormatting>
  <conditionalFormatting sqref="H1:H1048576">
    <cfRule type="cellIs" dxfId="47" priority="2346" operator="lessThan">
      <formula>0</formula>
    </cfRule>
  </conditionalFormatting>
  <conditionalFormatting sqref="B1:E1048576">
    <cfRule type="cellIs" dxfId="46" priority="1" operator="lessThan">
      <formula>0</formula>
    </cfRule>
  </conditionalFormatting>
  <pageMargins left="0.51181102362204722" right="0.51181102362204722" top="0.78740157480314965" bottom="0.78740157480314965" header="0.31496062992125984" footer="0.31496062992125984"/>
  <pageSetup scale="75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5" name="Button 1">
              <controlPr defaultSize="0" print="0" autoFill="0" autoPict="0" macro="[0]!Atualizar">
                <anchor moveWithCells="1" sizeWithCells="1">
                  <from>
                    <xdr:col>10</xdr:col>
                    <xdr:colOff>0</xdr:colOff>
                    <xdr:row>25</xdr:row>
                    <xdr:rowOff>180975</xdr:rowOff>
                  </from>
                  <to>
                    <xdr:col>12</xdr:col>
                    <xdr:colOff>247650</xdr:colOff>
                    <xdr:row>29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1D89F-A80A-434B-9A12-6B02DB7CC5B6}">
  <sheetPr codeName="Sheet1">
    <tabColor rgb="FFFFFF00"/>
  </sheetPr>
  <dimension ref="A1:AM70"/>
  <sheetViews>
    <sheetView tabSelected="1" zoomScale="85" zoomScaleNormal="85" zoomScaleSheetLayoutView="90" workbookViewId="0">
      <pane xSplit="6" ySplit="11" topLeftCell="H12" activePane="bottomRight" state="frozen"/>
      <selection pane="topRight" activeCell="F1" sqref="F1"/>
      <selection pane="bottomLeft" activeCell="A14" sqref="A14"/>
      <selection pane="bottomRight" activeCell="W10" sqref="W10"/>
    </sheetView>
  </sheetViews>
  <sheetFormatPr defaultRowHeight="15" outlineLevelCol="2"/>
  <cols>
    <col min="1" max="1" width="2.140625" style="265" customWidth="1"/>
    <col min="2" max="2" width="9.7109375" customWidth="1"/>
    <col min="3" max="3" width="8.42578125" customWidth="1" outlineLevel="1"/>
    <col min="4" max="4" width="8.28515625" customWidth="1" outlineLevel="1"/>
    <col min="5" max="5" width="8.42578125" customWidth="1" outlineLevel="1"/>
    <col min="6" max="6" width="8" customWidth="1"/>
    <col min="7" max="7" width="8.85546875" hidden="1" customWidth="1"/>
    <col min="8" max="8" width="9.28515625" customWidth="1"/>
    <col min="9" max="9" width="12.140625" style="3" customWidth="1"/>
    <col min="10" max="10" width="10.85546875" bestFit="1" customWidth="1"/>
    <col min="11" max="11" width="12.42578125" style="3" customWidth="1" outlineLevel="2"/>
    <col min="12" max="12" width="8.42578125" style="1" customWidth="1" outlineLevel="2"/>
    <col min="13" max="13" width="8.5703125" style="1" customWidth="1" outlineLevel="2"/>
    <col min="14" max="14" width="13.140625" customWidth="1" outlineLevel="1"/>
    <col min="15" max="15" width="10.5703125" customWidth="1" outlineLevel="1"/>
    <col min="16" max="16" width="8.28515625" customWidth="1" outlineLevel="1"/>
    <col min="17" max="17" width="12.28515625" customWidth="1" outlineLevel="1"/>
    <col min="18" max="18" width="8.140625" customWidth="1" outlineLevel="1"/>
    <col min="19" max="19" width="8.28515625" customWidth="1" outlineLevel="1"/>
    <col min="20" max="20" width="13.7109375" customWidth="1"/>
    <col min="21" max="21" width="9.42578125" customWidth="1"/>
    <col min="22" max="22" width="8.28515625" customWidth="1"/>
    <col min="23" max="23" width="12.140625" customWidth="1"/>
    <col min="24" max="24" width="9.85546875" style="3" customWidth="1"/>
    <col min="25" max="25" width="11.85546875" style="53" customWidth="1"/>
    <col min="26" max="26" width="11.42578125" style="5" customWidth="1"/>
    <col min="27" max="27" width="9.140625" customWidth="1"/>
    <col min="28" max="28" width="8.7109375" customWidth="1"/>
    <col min="29" max="29" width="9.42578125" customWidth="1"/>
    <col min="30" max="30" width="16.140625" customWidth="1"/>
    <col min="31" max="31" width="15.28515625" customWidth="1"/>
    <col min="32" max="32" width="12" customWidth="1"/>
    <col min="33" max="33" width="10.5703125" style="3" customWidth="1"/>
    <col min="34" max="34" width="9.85546875" customWidth="1"/>
    <col min="35" max="35" width="12.140625" style="31" customWidth="1"/>
  </cols>
  <sheetData>
    <row r="1" spans="1:39">
      <c r="B1" s="413" t="s">
        <v>84</v>
      </c>
      <c r="C1" s="428" cm="1">
        <f t="array" ref="C1">_xll.BDP(B1&amp;" EQUITY","LAST_PRICE")</f>
        <v>308.05</v>
      </c>
      <c r="D1" s="32">
        <f t="shared" ref="D1:D10" si="0">C1/E1-1</f>
        <v>0</v>
      </c>
      <c r="E1" s="426">
        <f>_xll.BDP(B1&amp;" EQUITY","PX_YEST_CLOSE")</f>
        <v>308.05</v>
      </c>
      <c r="F1" t="s">
        <v>1134</v>
      </c>
      <c r="H1" s="417" cm="1">
        <f t="array" ref="H1">_xll.BDP(F1&amp;" EQUITY","LAST_PRICE")</f>
        <v>584.54999999999995</v>
      </c>
      <c r="I1" s="140">
        <f t="shared" ref="I1:I8" si="1">H1/J1-1</f>
        <v>0</v>
      </c>
      <c r="J1" s="412">
        <f>_xll.BDP(F1&amp;" EQUITY","PX_YEST_CLOSE")</f>
        <v>584.54999999999995</v>
      </c>
      <c r="K1" s="413" t="s">
        <v>6</v>
      </c>
      <c r="L1" s="428" cm="1">
        <f t="array" ref="L1">_xll.BDP(K1&amp;" EQUITY","LAST_PRICE")</f>
        <v>89.1</v>
      </c>
      <c r="M1" s="32">
        <f t="shared" ref="M1:M10" si="2">L1/N1-1</f>
        <v>0</v>
      </c>
      <c r="N1" s="426">
        <f>_xll.BDP(K1&amp;" EQUITY","PX_YEST_CLOSE")</f>
        <v>89.1</v>
      </c>
      <c r="P1" s="1" t="e">
        <f>S1/$M$6</f>
        <v>#DIV/0!</v>
      </c>
      <c r="Q1" t="s">
        <v>584</v>
      </c>
      <c r="R1" s="5">
        <f>SUM(U19:U44)</f>
        <v>2.3677412541239364E-2</v>
      </c>
      <c r="S1" s="5">
        <f>T1/R1/10000</f>
        <v>-1.1309596945077195E-2</v>
      </c>
      <c r="T1" s="206">
        <f>SUM(V19:V44)</f>
        <v>-2.677819925437332</v>
      </c>
      <c r="U1" s="340">
        <f>SUM(U16:U18)</f>
        <v>-8.7832655139462486E-4</v>
      </c>
      <c r="V1" s="296">
        <f>SUM(V16:V18)</f>
        <v>0.18095588649970371</v>
      </c>
      <c r="W1" s="206"/>
      <c r="AF1" t="s">
        <v>1145</v>
      </c>
      <c r="AG1" s="197">
        <f>_xll.BDP(AG2&amp;" index","LAST_PRICE")</f>
        <v>24761.5</v>
      </c>
      <c r="AH1" s="197"/>
      <c r="AI1" s="197">
        <f>_xll.BDP(AI2&amp;" index","LAST_PRICE")</f>
        <v>6863</v>
      </c>
    </row>
    <row r="2" spans="1:39">
      <c r="B2" s="413" t="s">
        <v>42</v>
      </c>
      <c r="C2" s="428" cm="1">
        <f t="array" ref="C2">_xll.BDP(B2&amp;" EQUITY","LAST_PRICE")</f>
        <v>174.19</v>
      </c>
      <c r="D2" s="32">
        <f t="shared" si="0"/>
        <v>0</v>
      </c>
      <c r="E2" s="426">
        <f>_xll.BDP(B2&amp;" EQUITY","PX_YEST_CLOSE")</f>
        <v>174.19</v>
      </c>
      <c r="F2" t="s">
        <v>343</v>
      </c>
      <c r="H2" s="417" cm="1">
        <f t="array" ref="H2">_xll.BDP(F2&amp;" EQUITY","LAST_PRICE")</f>
        <v>379.4</v>
      </c>
      <c r="I2" s="140">
        <f t="shared" si="1"/>
        <v>0</v>
      </c>
      <c r="J2" s="412">
        <f>_xll.BDP(F2&amp;" EQUITY","PX_YEST_CLOSE")</f>
        <v>379.4</v>
      </c>
      <c r="K2" s="413" t="s">
        <v>37</v>
      </c>
      <c r="L2" s="428" cm="1">
        <f t="array" ref="L2">_xll.BDP(K2&amp;" EQUITY","LAST_PRICE")</f>
        <v>83.84</v>
      </c>
      <c r="M2" s="32">
        <f t="shared" si="2"/>
        <v>0</v>
      </c>
      <c r="N2" s="426">
        <f>_xll.BDP(K2&amp;" EQUITY","PX_YEST_CLOSE")</f>
        <v>83.84</v>
      </c>
      <c r="O2" s="49"/>
      <c r="P2" s="1"/>
      <c r="Q2" t="s">
        <v>1132</v>
      </c>
      <c r="R2" s="5">
        <f>SUM(U27:U35)</f>
        <v>2.6860593981515883E-3</v>
      </c>
      <c r="S2" s="5">
        <f>T2/R2/10000</f>
        <v>-1.5773318382038104E-2</v>
      </c>
      <c r="T2" s="206">
        <f>SUM(V27:V35)</f>
        <v>-0.42368070080110654</v>
      </c>
      <c r="U2" s="297"/>
      <c r="V2" s="296"/>
      <c r="W2" s="206">
        <f>W5/W6</f>
        <v>2.4503477756005636</v>
      </c>
      <c r="Z2" s="18" t="s">
        <v>380</v>
      </c>
      <c r="AA2" s="5"/>
      <c r="AB2" s="1" t="str" cm="1">
        <f t="array" ref="AB2">_xll.BDP($A2&amp;" Equity","volatility_30d")</f>
        <v>#N/A Invalid Security</v>
      </c>
      <c r="AC2" s="14" t="str" cm="1">
        <f t="array" ref="AC2">_xll.BDP($A2&amp;" Equity","EQY_BETA")</f>
        <v>#N/A Invalid Security</v>
      </c>
      <c r="AD2" s="1" t="str" cm="1">
        <f t="array" ref="AD2">_xll.BDP($A2&amp;" Equity","EQY_BETA")</f>
        <v>#N/A Invalid Security</v>
      </c>
      <c r="AF2" s="3"/>
      <c r="AG2" t="s">
        <v>580</v>
      </c>
      <c r="AH2" s="31"/>
      <c r="AI2" t="s">
        <v>2</v>
      </c>
      <c r="AL2" t="s">
        <v>97</v>
      </c>
    </row>
    <row r="3" spans="1:39" ht="15.75" thickBot="1">
      <c r="B3" s="413" t="s">
        <v>44</v>
      </c>
      <c r="C3" s="428" cm="1">
        <f t="array" ref="C3">_xll.BDP(B3&amp;" EQUITY","LAST_PRICE")</f>
        <v>325.74</v>
      </c>
      <c r="D3" s="32">
        <f t="shared" si="0"/>
        <v>0</v>
      </c>
      <c r="E3" s="426">
        <f>_xll.BDP(B3&amp;" EQUITY","PX_YEST_CLOSE")</f>
        <v>325.74</v>
      </c>
      <c r="F3" t="s">
        <v>335</v>
      </c>
      <c r="H3" s="417" cm="1">
        <f t="array" ref="H3">_xll.BDP(F3&amp;" EQUITY","LAST_PRICE")</f>
        <v>1339.13</v>
      </c>
      <c r="I3" s="140">
        <f t="shared" si="1"/>
        <v>0</v>
      </c>
      <c r="J3" s="412">
        <f>_xll.BDP(F3&amp;" EQUITY","PX_YEST_CLOSE")</f>
        <v>1339.13</v>
      </c>
      <c r="K3" s="413" t="s">
        <v>83</v>
      </c>
      <c r="L3" s="428" cm="1">
        <f t="array" ref="L3">_xll.BDP(K3&amp;" EQUITY","LAST_PRICE")</f>
        <v>382.02</v>
      </c>
      <c r="M3" s="32">
        <f t="shared" si="2"/>
        <v>0</v>
      </c>
      <c r="N3" s="426">
        <f>_xll.BDP(K3&amp;" EQUITY","PX_YEST_CLOSE")</f>
        <v>382.02</v>
      </c>
      <c r="O3" s="5"/>
      <c r="P3" s="1" t="e">
        <f>S3/$M$6</f>
        <v>#DIV/0!</v>
      </c>
      <c r="Q3" t="s">
        <v>1133</v>
      </c>
      <c r="R3" s="5">
        <f>R1-R2</f>
        <v>2.0991353143087775E-2</v>
      </c>
      <c r="S3" s="5">
        <f>T3/R3/10000</f>
        <v>-1.0738417906034272E-2</v>
      </c>
      <c r="T3" s="206">
        <f>T1-T2</f>
        <v>-2.2541392246362255</v>
      </c>
      <c r="U3" s="206">
        <f>U5/-U6</f>
        <v>4.6593770542914541</v>
      </c>
      <c r="W3" s="44" t="s">
        <v>98</v>
      </c>
      <c r="X3" s="5">
        <f>_xll.BDP("SPY Equity","LAST_PRICE")/_xll.BDP("SPY Equity","PX_YEST_CLOSE")-1</f>
        <v>0</v>
      </c>
      <c r="AC3" s="92" cm="1">
        <f t="array" ref="AC3">_xll.BDP("brl Curncy","LAST_PRICE")</f>
        <v>5.2713999999999999</v>
      </c>
      <c r="AD3" s="8">
        <f>AD5*$AC$3</f>
        <v>11839749257.4552</v>
      </c>
      <c r="AF3" s="3" t="s">
        <v>1146</v>
      </c>
      <c r="AG3">
        <v>25550</v>
      </c>
      <c r="AH3" s="20">
        <f>AG3/$AG$1-1</f>
        <v>3.1843789754255614E-2</v>
      </c>
      <c r="AI3">
        <v>6904</v>
      </c>
      <c r="AJ3" s="20">
        <f t="shared" ref="AJ3:AJ4" si="3">AI3/$AI$1-1</f>
        <v>5.974063820486597E-3</v>
      </c>
    </row>
    <row r="4" spans="1:39" ht="30.75" thickBot="1">
      <c r="B4" s="413" t="s">
        <v>334</v>
      </c>
      <c r="C4" s="428" cm="1">
        <f t="array" ref="C4">_xll.BDP(B4&amp;" EQUITY","LAST_PRICE")</f>
        <v>200.19</v>
      </c>
      <c r="D4" s="32">
        <f t="shared" si="0"/>
        <v>0</v>
      </c>
      <c r="E4" s="426">
        <f>_xll.BDP(B4&amp;" EQUITY","PX_YEST_CLOSE")</f>
        <v>200.19</v>
      </c>
      <c r="F4" t="s">
        <v>1135</v>
      </c>
      <c r="H4" s="417" cm="1">
        <f t="array" ref="H4">_xll.BDP(F4&amp;" EQUITY","LAST_PRICE")</f>
        <v>297.60000000000002</v>
      </c>
      <c r="I4" s="140">
        <f t="shared" si="1"/>
        <v>0</v>
      </c>
      <c r="J4" s="412">
        <f>_xll.BDP(F4&amp;" EQUITY","PX_YEST_CLOSE")</f>
        <v>297.60000000000002</v>
      </c>
      <c r="K4" s="413" t="s">
        <v>0</v>
      </c>
      <c r="L4" s="428" cm="1">
        <f t="array" ref="L4">_xll.BDP(K4&amp;" EQUITY","LAST_PRICE")</f>
        <v>686.19</v>
      </c>
      <c r="M4" s="32">
        <f t="shared" si="2"/>
        <v>0</v>
      </c>
      <c r="N4" s="426">
        <f>_xll.BDP(K4&amp;" EQUITY","PX_YEST_CLOSE")</f>
        <v>686.19</v>
      </c>
      <c r="O4" s="11" t="s">
        <v>99</v>
      </c>
      <c r="P4" s="12" t="s">
        <v>100</v>
      </c>
      <c r="Q4" s="25"/>
      <c r="R4" s="11" t="s">
        <v>101</v>
      </c>
      <c r="S4" s="12" t="s">
        <v>102</v>
      </c>
      <c r="T4" s="11"/>
      <c r="U4" s="23" t="s">
        <v>103</v>
      </c>
      <c r="V4" s="24" t="s">
        <v>104</v>
      </c>
      <c r="W4" s="11" t="s">
        <v>105</v>
      </c>
      <c r="X4" s="11" t="s">
        <v>106</v>
      </c>
      <c r="Y4" s="11" t="s">
        <v>107</v>
      </c>
      <c r="Z4" s="11" t="s">
        <v>108</v>
      </c>
      <c r="AA4" s="23" t="s">
        <v>109</v>
      </c>
      <c r="AC4" s="83"/>
      <c r="AD4" s="84" t="s">
        <v>110</v>
      </c>
      <c r="AE4" s="85" t="s">
        <v>547</v>
      </c>
      <c r="AF4" s="3" t="s">
        <v>1147</v>
      </c>
      <c r="AG4">
        <v>24677</v>
      </c>
      <c r="AH4" s="20">
        <f t="shared" ref="AH4:AH5" si="4">AG4/$AG$1-1</f>
        <v>-3.4125557821618191E-3</v>
      </c>
      <c r="AI4">
        <v>6700</v>
      </c>
      <c r="AJ4" s="20">
        <f t="shared" si="3"/>
        <v>-2.375054640827623E-2</v>
      </c>
    </row>
    <row r="5" spans="1:39">
      <c r="B5" s="413" t="s">
        <v>318</v>
      </c>
      <c r="C5" s="428" cm="1">
        <f t="array" ref="C5">_xll.BDP(B5&amp;" EQUITY","LAST_PRICE")</f>
        <v>232.99</v>
      </c>
      <c r="D5" s="32">
        <f t="shared" si="0"/>
        <v>0</v>
      </c>
      <c r="E5" s="426">
        <f>_xll.BDP(B5&amp;" EQUITY","PX_YEST_CLOSE")</f>
        <v>232.99</v>
      </c>
      <c r="F5" t="s">
        <v>1136</v>
      </c>
      <c r="H5" s="417" cm="1">
        <f t="array" ref="H5">_xll.BDP(F5&amp;" EQUITY","LAST_PRICE")</f>
        <v>1307.22</v>
      </c>
      <c r="I5" s="140">
        <f t="shared" si="1"/>
        <v>0</v>
      </c>
      <c r="J5" s="412">
        <f>_xll.BDP(F5&amp;" EQUITY","PX_YEST_CLOSE")</f>
        <v>1307.22</v>
      </c>
      <c r="K5" s="413" t="s">
        <v>3</v>
      </c>
      <c r="L5" s="427" cm="1">
        <f t="array" ref="L5">_xll.BDP(K5&amp;" EQUITY","LAST_PRICE")</f>
        <v>200.3</v>
      </c>
      <c r="M5" s="32">
        <f t="shared" si="2"/>
        <v>0</v>
      </c>
      <c r="N5" s="426">
        <f>_xll.BDP(K5&amp;" EQUITY","PX_YEST_CLOSE")</f>
        <v>200.3</v>
      </c>
      <c r="O5" s="26">
        <f>SUMIF(O12:O48,"&gt;0")</f>
        <v>1.5795567382743694E-2</v>
      </c>
      <c r="P5" s="19">
        <f>SUMIF($F$12:$F$48,"Long",P12:P48)</f>
        <v>-0.55978886600705025</v>
      </c>
      <c r="R5" s="26">
        <f>SUMIF(R12:R48,"&gt;0")</f>
        <v>1.0725624193354688E-2</v>
      </c>
      <c r="S5" s="138">
        <f>SUMIF($F$12:$F$48,"Long",S12:S48)</f>
        <v>-2.1906561518581991</v>
      </c>
      <c r="T5" t="s">
        <v>47</v>
      </c>
      <c r="U5" s="32">
        <f>SUMIF($F$12:$F$48,"Long",U12:U48)</f>
        <v>2.5992512995023656E-2</v>
      </c>
      <c r="V5" s="38">
        <f>SUMIF($F$12:$F$48,"Long",V12:V48)</f>
        <v>-2.7504450178652493</v>
      </c>
      <c r="W5" s="5">
        <f>V5/U5/10000</f>
        <v>-1.0581681803494069E-2</v>
      </c>
      <c r="X5" s="5">
        <f>W5-$X$3</f>
        <v>-1.0581681803494069E-2</v>
      </c>
      <c r="Y5" s="54">
        <f>$U5*X5*10000</f>
        <v>-2.7504450178652493</v>
      </c>
      <c r="Z5" s="9">
        <f>U5*$X$3*10000</f>
        <v>0</v>
      </c>
      <c r="AA5" s="32" t="e">
        <f>SUMIF($F$12:$F$48,"Long",AA12:AA48)</f>
        <v>#VALUE!</v>
      </c>
      <c r="AB5" s="206" t="e">
        <f>AA5/U5</f>
        <v>#VALUE!</v>
      </c>
      <c r="AC5" s="86" t="s">
        <v>111</v>
      </c>
      <c r="AD5" s="87">
        <v>2246035068</v>
      </c>
      <c r="AE5" s="88">
        <f>AD5</f>
        <v>2246035068</v>
      </c>
      <c r="AF5" s="3" t="s">
        <v>1148</v>
      </c>
      <c r="AG5">
        <v>22750</v>
      </c>
      <c r="AH5" s="20">
        <f t="shared" si="4"/>
        <v>-8.1234981725662792E-2</v>
      </c>
      <c r="AI5">
        <v>6265</v>
      </c>
      <c r="AJ5" s="20">
        <f>AI5/$AI$1-1</f>
        <v>-8.7133906454903154E-2</v>
      </c>
    </row>
    <row r="6" spans="1:39">
      <c r="B6" s="413" t="s">
        <v>27</v>
      </c>
      <c r="C6" s="428" cm="1">
        <f t="array" ref="C6">_xll.BDP(B6&amp;" EQUITY","LAST_PRICE")</f>
        <v>276.49</v>
      </c>
      <c r="D6" s="32">
        <f t="shared" si="0"/>
        <v>0</v>
      </c>
      <c r="E6" s="426">
        <f>_xll.BDP(B6&amp;" EQUITY","PX_YEST_CLOSE")</f>
        <v>276.49</v>
      </c>
      <c r="F6" t="s">
        <v>1137</v>
      </c>
      <c r="H6" s="417" cm="1">
        <f t="array" ref="H6">_xll.BDP(F6&amp;" EQUITY","LAST_PRICE")</f>
        <v>209.78</v>
      </c>
      <c r="I6" s="140">
        <f t="shared" si="1"/>
        <v>0</v>
      </c>
      <c r="J6" s="412">
        <f>_xll.BDP(F6&amp;" EQUITY","PX_YEST_CLOSE")</f>
        <v>209.78</v>
      </c>
      <c r="K6" s="413" t="s">
        <v>82</v>
      </c>
      <c r="L6" s="416" cm="1">
        <f t="array" ref="L6">_xll.BDP(K6&amp;" EQUITY","LAST_PRICE")</f>
        <v>605.75</v>
      </c>
      <c r="M6" s="32">
        <f t="shared" si="2"/>
        <v>0</v>
      </c>
      <c r="N6" s="426">
        <f>_xll.BDP(K6&amp;" EQUITY","PX_YEST_CLOSE")</f>
        <v>605.75</v>
      </c>
      <c r="O6" s="26">
        <f>SUMIF(O12:O48,"&lt;0")</f>
        <v>-2.5717272805187408E-3</v>
      </c>
      <c r="P6" s="19">
        <f>SUMIF($F$12:$F$48,"Short",P12:P48)</f>
        <v>0.20637150801223128</v>
      </c>
      <c r="R6" s="26">
        <f>SUMIF(R12:R48,"&lt;0")</f>
        <v>-3.535489524047392E-3</v>
      </c>
      <c r="S6" s="138">
        <f>SUMIF($F$12:$F$48,"Short",S12:S48)</f>
        <v>3.45343625642308E-2</v>
      </c>
      <c r="T6" t="s">
        <v>48</v>
      </c>
      <c r="U6" s="32">
        <f>SUMIF($F$12:$F$48,"Short",U12:U48)</f>
        <v>-5.5785382234914034E-3</v>
      </c>
      <c r="V6" s="38">
        <f>SUMIF($F$12:$F$48,"Short",V12:V48)</f>
        <v>0.24090587057646207</v>
      </c>
      <c r="W6" s="5">
        <f>V6/U6/10000</f>
        <v>-4.31844079802124E-3</v>
      </c>
      <c r="X6" s="5">
        <f>$X$3-W6</f>
        <v>4.31844079802124E-3</v>
      </c>
      <c r="Y6" s="54">
        <f>-$U6*X6*10000</f>
        <v>0.24090587057646207</v>
      </c>
      <c r="Z6" s="9">
        <f>U6*$X$3*10000</f>
        <v>0</v>
      </c>
      <c r="AA6" s="32" t="e">
        <f>SUMIF($F$12:$F$48,"Short",AA12:AA48)</f>
        <v>#VALUE!</v>
      </c>
      <c r="AB6" s="206" t="e">
        <f>AA6/U6</f>
        <v>#VALUE!</v>
      </c>
      <c r="AC6" s="86" t="s">
        <v>112</v>
      </c>
      <c r="AD6" s="130">
        <v>150129038</v>
      </c>
      <c r="AE6" s="88">
        <f>AD6</f>
        <v>150129038</v>
      </c>
      <c r="AF6" s="3"/>
      <c r="AG6"/>
      <c r="AH6" s="31"/>
      <c r="AI6"/>
    </row>
    <row r="7" spans="1:39" ht="15.75" thickBot="1">
      <c r="B7" s="413" t="s">
        <v>38</v>
      </c>
      <c r="C7" s="427" cm="1">
        <f t="array" ref="C7">_xll.BDP(B7&amp;" EQUITY","LAST_PRICE")</f>
        <v>414.19</v>
      </c>
      <c r="D7" s="32">
        <f t="shared" si="0"/>
        <v>0</v>
      </c>
      <c r="E7" s="426">
        <f>_xll.BDP(B7&amp;" EQUITY","PX_YEST_CLOSE")</f>
        <v>414.19</v>
      </c>
      <c r="F7" t="s">
        <v>1142</v>
      </c>
      <c r="H7" s="417" cm="1">
        <f t="array" ref="H7">_xll.BDP(F7&amp;" EQUITY","LAST_PRICE")</f>
        <v>269.41000000000003</v>
      </c>
      <c r="I7" s="140">
        <f t="shared" si="1"/>
        <v>0</v>
      </c>
      <c r="J7" s="412">
        <f>_xll.BDP(F7&amp;" EQUITY","PX_YEST_CLOSE")</f>
        <v>269.41000000000003</v>
      </c>
      <c r="K7" s="413" t="s">
        <v>88</v>
      </c>
      <c r="L7" s="427" cm="1">
        <f t="array" ref="L7">_xll.BDP(K7&amp;" EQUITY","LAST_PRICE")</f>
        <v>101.97</v>
      </c>
      <c r="M7" s="32">
        <f t="shared" si="2"/>
        <v>0</v>
      </c>
      <c r="N7" s="426">
        <f>_xll.BDP(K7&amp;" EQUITY","PX_YEST_CLOSE")</f>
        <v>101.97</v>
      </c>
      <c r="O7" s="28">
        <f>O5+O6</f>
        <v>1.3223840102224953E-2</v>
      </c>
      <c r="P7" s="137">
        <f>SUM(P12:P48)</f>
        <v>-0.35341735799481883</v>
      </c>
      <c r="Q7" s="27"/>
      <c r="R7" s="28">
        <f>R5+R6</f>
        <v>7.1901346693072962E-3</v>
      </c>
      <c r="S7" s="137">
        <f>SUM(S12:S48)</f>
        <v>-2.1561217892939681</v>
      </c>
      <c r="T7" s="366" t="s">
        <v>936</v>
      </c>
      <c r="U7" s="272">
        <f>U5+U6</f>
        <v>2.0413974771532253E-2</v>
      </c>
      <c r="V7" s="273">
        <f>V5+V6</f>
        <v>-2.5095391472887871</v>
      </c>
      <c r="W7" s="43">
        <f>V7/U7/10000</f>
        <v>-1.2293241151587959E-2</v>
      </c>
      <c r="X7" s="43"/>
      <c r="Y7" s="55">
        <f>Y5+Y6</f>
        <v>-2.5095391472887871</v>
      </c>
      <c r="Z7" s="46">
        <f>Z5+Z6</f>
        <v>0</v>
      </c>
      <c r="AA7" s="33" t="e">
        <f>AA5+AA6</f>
        <v>#VALUE!</v>
      </c>
      <c r="AB7" s="42"/>
      <c r="AC7" s="89" t="s">
        <v>113</v>
      </c>
      <c r="AD7" s="90">
        <f>AD5+AD6</f>
        <v>2396164106</v>
      </c>
      <c r="AE7" s="91">
        <f>AE5+AE6</f>
        <v>2396164106</v>
      </c>
      <c r="AG7"/>
      <c r="AH7" s="31"/>
      <c r="AI7"/>
      <c r="AK7" s="60" t="s">
        <v>114</v>
      </c>
      <c r="AL7" s="61" t="s">
        <v>115</v>
      </c>
      <c r="AM7" s="61" t="s">
        <v>116</v>
      </c>
    </row>
    <row r="8" spans="1:39">
      <c r="B8" s="413" t="s">
        <v>231</v>
      </c>
      <c r="C8" s="416" cm="1">
        <f t="array" ref="C8">_xll.BDP(B8&amp;" EQUITY","LAST_PRICE")</f>
        <v>333.04</v>
      </c>
      <c r="D8" s="32">
        <f t="shared" si="0"/>
        <v>0</v>
      </c>
      <c r="E8" s="426">
        <f>_xll.BDP(B8&amp;" EQUITY","PX_YEST_CLOSE")</f>
        <v>333.04</v>
      </c>
      <c r="F8" t="s">
        <v>282</v>
      </c>
      <c r="H8" s="417" cm="1">
        <f t="array" ref="H8">_xll.BDP(F8&amp;" EQUITY","LAST_PRICE")</f>
        <v>418.63</v>
      </c>
      <c r="I8" s="140">
        <f t="shared" si="1"/>
        <v>0</v>
      </c>
      <c r="J8" s="412">
        <f>_xll.BDP(F8&amp;" EQUITY","PX_YEST_CLOSE")</f>
        <v>418.63</v>
      </c>
      <c r="K8" s="413" t="s">
        <v>89</v>
      </c>
      <c r="L8" s="427" cm="1">
        <f t="array" ref="L8">_xll.BDP(K8&amp;" EQUITY","LAST_PRICE")</f>
        <v>260.52</v>
      </c>
      <c r="M8" s="32">
        <f t="shared" si="2"/>
        <v>0</v>
      </c>
      <c r="N8" s="426">
        <f>_xll.BDP(K8&amp;" EQUITY","PX_YEST_CLOSE")</f>
        <v>260.52</v>
      </c>
      <c r="O8" s="29">
        <f>O5-O6</f>
        <v>1.8367294663262434E-2</v>
      </c>
      <c r="P8" s="30"/>
      <c r="Q8" s="6"/>
      <c r="R8" s="29">
        <f>R5-R6</f>
        <v>1.4261113717402079E-2</v>
      </c>
      <c r="S8" s="30"/>
      <c r="T8" s="6" t="s">
        <v>15</v>
      </c>
      <c r="U8" s="34">
        <f>U5-U6</f>
        <v>3.1571051218515056E-2</v>
      </c>
      <c r="V8" s="40"/>
      <c r="AA8" s="34" t="e">
        <f>AA5-AA6</f>
        <v>#VALUE!</v>
      </c>
      <c r="AB8" s="42"/>
      <c r="AD8" s="48">
        <f>AD5/AD7</f>
        <v>0.93734609510923039</v>
      </c>
      <c r="AG8"/>
      <c r="AH8" s="31"/>
      <c r="AI8"/>
      <c r="AK8" s="62">
        <v>2025</v>
      </c>
      <c r="AL8" s="62">
        <v>10</v>
      </c>
      <c r="AM8" s="62">
        <v>16</v>
      </c>
    </row>
    <row r="9" spans="1:39">
      <c r="B9" s="413" t="s">
        <v>29</v>
      </c>
      <c r="C9" s="427" cm="1">
        <f t="array" ref="C9">_xll.BDP(B9&amp;" EQUITY","LAST_PRICE")</f>
        <v>668.99</v>
      </c>
      <c r="D9" s="32">
        <f t="shared" si="0"/>
        <v>0</v>
      </c>
      <c r="E9" s="426">
        <f>_xll.BDP(B9&amp;" EQUITY","PX_YEST_CLOSE")</f>
        <v>668.99</v>
      </c>
      <c r="F9" t="s">
        <v>1168</v>
      </c>
      <c r="H9" s="417" cm="1">
        <f t="array" ref="H9">_xll.BDP(F9&amp;" EQUITY","LAST_PRICE")</f>
        <v>199.68</v>
      </c>
      <c r="I9" s="140">
        <f t="shared" ref="I9:I10" si="5">H9/J9-1</f>
        <v>0</v>
      </c>
      <c r="J9" s="412">
        <f>_xll.BDP(F9&amp;" EQUITY","PX_YEST_CLOSE")</f>
        <v>199.68</v>
      </c>
      <c r="K9" s="413" t="s">
        <v>339</v>
      </c>
      <c r="L9" s="427" cm="1">
        <f t="array" ref="L9">_xll.BDP(K9&amp;" EQUITY","LAST_PRICE")</f>
        <v>86.61</v>
      </c>
      <c r="M9" s="32">
        <f t="shared" si="2"/>
        <v>0</v>
      </c>
      <c r="N9" s="426">
        <f>_xll.BDP(K9&amp;" EQUITY","PX_YEST_CLOSE")</f>
        <v>86.61</v>
      </c>
      <c r="O9" s="29"/>
      <c r="P9" s="45"/>
      <c r="Q9" s="6"/>
      <c r="R9" s="29"/>
      <c r="S9" s="45"/>
      <c r="T9" s="267" t="s">
        <v>806</v>
      </c>
      <c r="U9" s="268"/>
      <c r="V9" s="269"/>
      <c r="W9" s="121">
        <v>250</v>
      </c>
      <c r="X9" s="178">
        <v>0.25</v>
      </c>
      <c r="AD9" s="17"/>
      <c r="AF9" s="3"/>
      <c r="AG9" s="206"/>
      <c r="AH9" s="31"/>
      <c r="AI9"/>
    </row>
    <row r="10" spans="1:39">
      <c r="B10" s="413" t="s">
        <v>559</v>
      </c>
      <c r="C10" s="427" cm="1">
        <f t="array" ref="C10">_xll.BDP(B10&amp;" EQUITY","LAST_PRICE")</f>
        <v>146.66999999999999</v>
      </c>
      <c r="D10" s="32">
        <f t="shared" si="0"/>
        <v>0</v>
      </c>
      <c r="E10" s="426">
        <f>_xll.BDP(B10&amp;" EQUITY","PX_YEST_CLOSE")</f>
        <v>146.66999999999999</v>
      </c>
      <c r="F10" t="s">
        <v>273</v>
      </c>
      <c r="H10" s="417" cm="1">
        <f t="array" ref="H10">_xll.BDP(F10&amp;" EQUITY","LAST_PRICE")</f>
        <v>111.07</v>
      </c>
      <c r="I10" s="140">
        <f t="shared" si="5"/>
        <v>0</v>
      </c>
      <c r="J10" s="412">
        <f>_xll.BDP(F10&amp;" EQUITY","PX_YEST_CLOSE")</f>
        <v>111.07</v>
      </c>
      <c r="K10" s="413" t="s">
        <v>78</v>
      </c>
      <c r="L10" s="427" cm="1">
        <f t="array" ref="L10">_xll.BDP(K10&amp;" EQUITY","LAST_PRICE")</f>
        <v>98.7</v>
      </c>
      <c r="M10" s="32">
        <f t="shared" si="2"/>
        <v>0</v>
      </c>
      <c r="N10" s="426">
        <f>_xll.BDP(K10&amp;" EQUITY","PX_YEST_CLOSE")</f>
        <v>98.7</v>
      </c>
      <c r="P10" s="49">
        <f>SUM(Tabelad[D1 P&amp;L bps])</f>
        <v>-0.35341735799481883</v>
      </c>
      <c r="Q10" s="6"/>
      <c r="S10" s="49">
        <f>SUM(Tabelad[Options P&amp;L bps])</f>
        <v>-2.1561217892939681</v>
      </c>
      <c r="T10" s="270" t="s">
        <v>937</v>
      </c>
      <c r="U10" s="270">
        <f>U7+U9</f>
        <v>2.0413974771532253E-2</v>
      </c>
      <c r="V10" s="271">
        <f>V7+V9</f>
        <v>-2.5095391472887871</v>
      </c>
      <c r="W10" s="16">
        <f>AE7*W9/10000</f>
        <v>59904102.649999999</v>
      </c>
      <c r="X10" s="275"/>
      <c r="Y10" s="53">
        <v>0.35</v>
      </c>
      <c r="Z10" s="37">
        <f>SUM(Tabelad[Beta Adj])</f>
        <v>6.002700085413057</v>
      </c>
      <c r="AA10" s="70" t="e">
        <f>AA7-SUM(#REF!)</f>
        <v>#VALUE!</v>
      </c>
      <c r="AD10" s="15">
        <f>SUM(Tabelad[Daily P&amp;L])</f>
        <v>-79378.777969627306</v>
      </c>
      <c r="AE10" s="140"/>
      <c r="AF10" s="186" t="str">
        <f>_xll.BDP(B10&amp;" Equity","EXPECTED_REPORT_DT")</f>
        <v>10/03/2026</v>
      </c>
      <c r="AG10" s="140"/>
      <c r="AH10" s="19" t="e">
        <f>SUM(AH12:AH48)+#REF!+#REF!</f>
        <v>#VALUE!</v>
      </c>
      <c r="AI10"/>
    </row>
    <row r="11" spans="1:39" s="10" customFormat="1" ht="36" customHeight="1" thickBot="1">
      <c r="A11" s="313"/>
      <c r="B11" s="56" t="s">
        <v>117</v>
      </c>
      <c r="C11" s="56" t="s">
        <v>548</v>
      </c>
      <c r="D11" s="56" t="s">
        <v>549</v>
      </c>
      <c r="E11" s="56" t="s">
        <v>119</v>
      </c>
      <c r="F11" s="56" t="s">
        <v>120</v>
      </c>
      <c r="G11" s="56" t="s">
        <v>121</v>
      </c>
      <c r="H11" s="56" t="s">
        <v>385</v>
      </c>
      <c r="I11" s="345" t="s">
        <v>122</v>
      </c>
      <c r="J11" s="346" t="s">
        <v>51</v>
      </c>
      <c r="K11" s="358" t="s">
        <v>123</v>
      </c>
      <c r="L11" s="347" t="s">
        <v>124</v>
      </c>
      <c r="M11" s="348" t="s">
        <v>125</v>
      </c>
      <c r="N11" s="347" t="s">
        <v>126</v>
      </c>
      <c r="O11" s="56" t="s">
        <v>99</v>
      </c>
      <c r="P11" s="346" t="s">
        <v>100</v>
      </c>
      <c r="Q11" s="347" t="s">
        <v>127</v>
      </c>
      <c r="R11" s="56" t="s">
        <v>101</v>
      </c>
      <c r="S11" s="346" t="s">
        <v>102</v>
      </c>
      <c r="T11" s="56" t="s">
        <v>11</v>
      </c>
      <c r="U11" s="56" t="s">
        <v>103</v>
      </c>
      <c r="V11" s="346" t="s">
        <v>104</v>
      </c>
      <c r="W11" s="56" t="s">
        <v>128</v>
      </c>
      <c r="X11" s="345" t="s">
        <v>129</v>
      </c>
      <c r="Y11" s="349" t="s">
        <v>130</v>
      </c>
      <c r="Z11" s="56" t="s">
        <v>132</v>
      </c>
      <c r="AA11" s="56" t="s">
        <v>131</v>
      </c>
      <c r="AB11" s="349" t="s">
        <v>375</v>
      </c>
      <c r="AC11" s="56" t="s">
        <v>379</v>
      </c>
      <c r="AD11" s="56" t="s">
        <v>381</v>
      </c>
      <c r="AE11" s="10" t="s">
        <v>133</v>
      </c>
      <c r="AF11" s="10" t="s">
        <v>134</v>
      </c>
      <c r="AG11" s="56" t="s">
        <v>135</v>
      </c>
      <c r="AH11" s="350" t="s">
        <v>136</v>
      </c>
      <c r="AI11" s="56" t="s">
        <v>479</v>
      </c>
      <c r="AJ11" s="10" t="s">
        <v>137</v>
      </c>
    </row>
    <row r="12" spans="1:39">
      <c r="B12" s="39" t="s">
        <v>336</v>
      </c>
      <c r="C12" t="s">
        <v>579</v>
      </c>
      <c r="E12" t="s">
        <v>138</v>
      </c>
      <c r="F12" s="21" t="str">
        <f t="shared" ref="F12:F16" si="6">IF(T12&gt;0,"Long","Short")</f>
        <v>Long</v>
      </c>
      <c r="G12" s="15"/>
      <c r="H12" s="365">
        <v>3378</v>
      </c>
      <c r="I12" s="35" cm="1">
        <f t="array" ref="I12">_xll.BDP(B12&amp;" Equity","LAST_PRICE")</f>
        <v>159.13999999999999</v>
      </c>
      <c r="J12" s="50">
        <f t="shared" ref="J12:J48" si="7">I12/K12-1</f>
        <v>0</v>
      </c>
      <c r="K12" s="357">
        <f>_xll.BDP(B12&amp;" equity","PX_YEST_CLOSE")</f>
        <v>159.13999999999999</v>
      </c>
      <c r="L12" s="52">
        <f>_xll.BDP(E12&amp;" Curncy","PX_LAST")</f>
        <v>1</v>
      </c>
      <c r="M12" s="51">
        <v>1</v>
      </c>
      <c r="N12" s="15">
        <f t="shared" ref="N12:N48" si="8">IFERROR(IF(((I12/L12)*H12*M12)&lt;&gt;0,((I12/L12)*H12*M12),0),"-")</f>
        <v>537574.91999999993</v>
      </c>
      <c r="O12" s="285">
        <f>IFERROR(IF(Tabelad[[#This Row],[D1 Exp USD]]&lt;&gt;0,N12/$AE$7,0),"-")</f>
        <v>2.2434812317483231E-4</v>
      </c>
      <c r="P12" s="19">
        <f>IFERROR(IF(Tabelad[[#This Row],[D1 Exp USD]]&lt;&gt;0,((I12-K12)/L12*M12*H12)/$AD$7*10000,0),"-")</f>
        <v>0</v>
      </c>
      <c r="Q12" s="15">
        <f>IF(SUM(SUMIFS(Options!$AL$4:$AL$25, Options!$D$4:$D$25, B12), SUMIFS(Options!$AL$4:$AL$25, Options!$D$4:$D$25, B12 &amp; " US"))=0,0,SUM(SUMIFS(Options!$AL$4:$AL$25, Options!$D$4:$D$25, B12), SUMIFS(Options!$AL$4:$AL$25, Options!$D$4:$D$25, B12 &amp; " US")))</f>
        <v>0</v>
      </c>
      <c r="R12" s="18">
        <f t="shared" ref="R12:R16" si="9">Q12/$AE$7</f>
        <v>0</v>
      </c>
      <c r="S12" s="19">
        <f>IF(SUM(SUMIFS(Options!$AK$4:$AK$25, Options!$D$4:$D$25, B12), SUMIFS(Options!$AK$4:$AK$25, Options!$D$4:$D$25, B12 &amp; " US"))=0,0,SUM(SUMIFS(Options!$AK$4:$AK$25, Options!$D$4:$D$25, B12), SUMIFS(Options!AK$4:$AK$25, Options!$D$4:$D$25, B12 &amp; " US")))</f>
        <v>0</v>
      </c>
      <c r="T12" s="13">
        <f t="shared" ref="T12:T48" si="10">N12+Q12</f>
        <v>537574.91999999993</v>
      </c>
      <c r="U12" s="47">
        <f t="shared" ref="U12:U48" si="11">T12/$AE$7</f>
        <v>2.2434812317483231E-4</v>
      </c>
      <c r="V12" s="19">
        <f t="shared" ref="V12:V48" si="12">P12+S12</f>
        <v>0</v>
      </c>
      <c r="W12" s="15">
        <f t="shared" ref="W12:W48" si="13">$W$10/(I12/L12*M12)</f>
        <v>376423.92013321607</v>
      </c>
      <c r="X12" s="18"/>
      <c r="Y12" s="303">
        <f>Tabelad[[#This Row],[Exp %]]*$Y$10*$AD$7/Tabelad[[#This Row],[Price Today]]</f>
        <v>1182.3</v>
      </c>
      <c r="Z12" s="196">
        <f>Tabelad[[#This Row],[Vol 10d]]/16*Tabelad[[#This Row],[Exp %]]*100</f>
        <v>3.7010170492187598E-2</v>
      </c>
      <c r="AA12" s="18">
        <f>Tabelad[[#This Row],[Exp %]]*Tabelad[[#This Row],[Beta Adj2]]</f>
        <v>1.927300207579101E-4</v>
      </c>
      <c r="AB12" s="35">
        <f>_xll.BDP($B12&amp;" Equity","volatility_10d")</f>
        <v>26.394815320720777</v>
      </c>
      <c r="AC12" s="35">
        <f>_xll.BDP(B12&amp;" EQUITY","eqy_beta")</f>
        <v>0.85906678438186646</v>
      </c>
      <c r="AD12" s="15">
        <f>Tabelad[[#This Row],[D1 P&amp;L bps]]*$AD$5/10000</f>
        <v>0</v>
      </c>
      <c r="AE12" s="207"/>
      <c r="AF12" s="186" t="str">
        <f>_xll.BDP(B12&amp;" Equity","EXPECTED_REPORT_DT")</f>
        <v>20/02/2026</v>
      </c>
      <c r="AG12" s="140" t="e">
        <f>_xll.BDP(B12&amp;" Index","CHG_PCT_1D_PRE_FROM_REGULAR")/100</f>
        <v>#VALUE!</v>
      </c>
      <c r="AH12" s="19" t="e">
        <f t="shared" ref="AH12:AH48" si="14">(T12*AG12)/$AD$7*10000</f>
        <v>#VALUE!</v>
      </c>
      <c r="AI12" s="364" t="str">
        <f>_xll.BDP(B12&amp;" Equity","DVD_EX_DT")</f>
        <v>12/06/2025</v>
      </c>
    </row>
    <row r="13" spans="1:39">
      <c r="B13" s="39" t="s">
        <v>809</v>
      </c>
      <c r="C13" t="s">
        <v>579</v>
      </c>
      <c r="E13" t="s">
        <v>138</v>
      </c>
      <c r="F13" s="21" t="str">
        <f t="shared" si="6"/>
        <v>Long</v>
      </c>
      <c r="G13" s="15"/>
      <c r="H13" s="365">
        <v>3910</v>
      </c>
      <c r="I13" s="35" cm="1">
        <f t="array" ref="I13">_xll.BDP(B13&amp;" Equity","LAST_PRICE")</f>
        <v>137.94999999999999</v>
      </c>
      <c r="J13" s="50">
        <f t="shared" si="7"/>
        <v>0</v>
      </c>
      <c r="K13" s="357">
        <f>_xll.BDP(B13&amp;" equity","PX_YEST_CLOSE")</f>
        <v>137.94999999999999</v>
      </c>
      <c r="L13" s="52">
        <f>_xll.BDP(E13&amp;" Curncy","PX_LAST")</f>
        <v>1</v>
      </c>
      <c r="M13" s="51">
        <v>1</v>
      </c>
      <c r="N13" s="15">
        <f t="shared" si="8"/>
        <v>539384.5</v>
      </c>
      <c r="O13" s="285">
        <f>IFERROR(IF(Tabelad[[#This Row],[D1 Exp USD]]&lt;&gt;0,N13/$AE$7,0),"-")</f>
        <v>2.2510332186738798E-4</v>
      </c>
      <c r="P13" s="19">
        <f>IFERROR(IF(Tabelad[[#This Row],[D1 Exp USD]]&lt;&gt;0,((I13-K13)/L13*M13*H13)/$AD$7*10000,0),"-")</f>
        <v>0</v>
      </c>
      <c r="Q13" s="15">
        <f>IF(SUM(SUMIFS(Options!$AL$4:$AL$25, Options!$D$4:$D$25, B13), SUMIFS(Options!$AL$4:$AL$25, Options!$D$4:$D$25, B13 &amp; " US"))=0,0,SUM(SUMIFS(Options!$AL$4:$AL$25, Options!$D$4:$D$25, B13), SUMIFS(Options!$AL$4:$AL$25, Options!$D$4:$D$25, B13 &amp; " US")))</f>
        <v>0</v>
      </c>
      <c r="R13" s="18">
        <f t="shared" si="9"/>
        <v>0</v>
      </c>
      <c r="S13" s="19">
        <f>IF(SUM(SUMIFS(Options!$AK$4:$AK$25, Options!$D$4:$D$25, B13), SUMIFS(Options!$AK$4:$AK$25, Options!$D$4:$D$25, B13 &amp; " US"))=0,0,SUM(SUMIFS(Options!$AK$4:$AK$25, Options!$D$4:$D$25, B13), SUMIFS(Options!AK$4:$AK$25, Options!$D$4:$D$25, B13 &amp; " US")))</f>
        <v>0</v>
      </c>
      <c r="T13" s="13">
        <f t="shared" si="10"/>
        <v>539384.5</v>
      </c>
      <c r="U13" s="47">
        <f t="shared" si="11"/>
        <v>2.2510332186738798E-4</v>
      </c>
      <c r="V13" s="19">
        <f t="shared" si="12"/>
        <v>0</v>
      </c>
      <c r="W13" s="15">
        <f t="shared" si="13"/>
        <v>434245.03552011598</v>
      </c>
      <c r="X13" s="18"/>
      <c r="Y13" s="303">
        <f>Tabelad[[#This Row],[Exp %]]*$Y$10*$AD$7/Tabelad[[#This Row],[Price Today]]</f>
        <v>1368.5</v>
      </c>
      <c r="Z13" s="196">
        <f>Tabelad[[#This Row],[Vol 10d]]/16*Tabelad[[#This Row],[Exp %]]*100</f>
        <v>4.4211607186289359E-2</v>
      </c>
      <c r="AA13" s="18">
        <f>Tabelad[[#This Row],[Exp %]]*Tabelad[[#This Row],[Beta Adj2]]</f>
        <v>2.3286361771831745E-4</v>
      </c>
      <c r="AB13" s="35">
        <f>_xll.BDP($B13&amp;" Equity","volatility_10d")</f>
        <v>31.424934519507541</v>
      </c>
      <c r="AC13" s="35">
        <f>_xll.BDP(B13&amp;" EQUITY","eqy_beta")</f>
        <v>1.0344743728637695</v>
      </c>
      <c r="AD13" s="15">
        <f>Tabelad[[#This Row],[D1 P&amp;L bps]]*$AD$5/10000</f>
        <v>0</v>
      </c>
      <c r="AE13" s="207"/>
      <c r="AF13" s="186" t="str">
        <f>_xll.BDP(B13&amp;" Equity","EXPECTED_REPORT_DT")</f>
        <v>26/02/2026</v>
      </c>
      <c r="AG13" s="140" t="e">
        <f>_xll.BDP(B13&amp;" Index","CHG_PCT_1D_PRE_FROM_REGULAR")/100</f>
        <v>#VALUE!</v>
      </c>
      <c r="AH13" s="19" t="e">
        <f t="shared" si="14"/>
        <v>#VALUE!</v>
      </c>
      <c r="AI13" s="364" t="str">
        <f>_xll.BDP(B13&amp;" Equity","DVD_EX_DT")</f>
        <v>#N/A Field Not Applicable</v>
      </c>
    </row>
    <row r="14" spans="1:39">
      <c r="B14" s="39" t="s">
        <v>7</v>
      </c>
      <c r="C14" t="s">
        <v>579</v>
      </c>
      <c r="E14" t="s">
        <v>138</v>
      </c>
      <c r="F14" s="21" t="str">
        <f t="shared" si="6"/>
        <v>Long</v>
      </c>
      <c r="G14" s="15"/>
      <c r="H14" s="365"/>
      <c r="I14" s="35" cm="1">
        <f t="array" ref="I14">_xll.BDP(B14&amp;" Equity","LAST_PRICE")</f>
        <v>33.479999999999997</v>
      </c>
      <c r="J14" s="50">
        <f t="shared" si="7"/>
        <v>0</v>
      </c>
      <c r="K14" s="357">
        <f>_xll.BDP(B14&amp;" equity","PX_YEST_CLOSE")</f>
        <v>33.479999999999997</v>
      </c>
      <c r="L14" s="52">
        <f>_xll.BDP(E14&amp;" Curncy","PX_LAST")</f>
        <v>1</v>
      </c>
      <c r="M14" s="51">
        <v>1</v>
      </c>
      <c r="N14" s="15">
        <f t="shared" si="8"/>
        <v>0</v>
      </c>
      <c r="O14" s="285">
        <f>IFERROR(IF(Tabelad[[#This Row],[D1 Exp USD]]&lt;&gt;0,N14/$AE$7,0),"-")</f>
        <v>0</v>
      </c>
      <c r="P14" s="19">
        <f>IFERROR(IF(Tabelad[[#This Row],[D1 Exp USD]]&lt;&gt;0,((I14-K14)/L14*M14*H14)/$AD$7*10000,0),"-")</f>
        <v>0</v>
      </c>
      <c r="Q14" s="15">
        <f>IF(SUM(SUMIFS(Options!$AL$4:$AL$25, Options!$D$4:$D$25, B14), SUMIFS(Options!$AL$4:$AL$25, Options!$D$4:$D$25, B14 &amp; " US"))=0,0,SUM(SUMIFS(Options!$AL$4:$AL$25, Options!$D$4:$D$25, B14), SUMIFS(Options!$AL$4:$AL$25, Options!$D$4:$D$25, B14 &amp; " US")))</f>
        <v>600652.04358100879</v>
      </c>
      <c r="R14" s="18">
        <f t="shared" si="9"/>
        <v>2.5067233169755561E-4</v>
      </c>
      <c r="S14" s="19">
        <f>IF(SUM(SUMIFS(Options!$AK$4:$AK$25, Options!$D$4:$D$25, B14), SUMIFS(Options!$AK$4:$AK$25, Options!$D$4:$D$25, B14 &amp; " US"))=0,0,SUM(SUMIFS(Options!$AK$4:$AK$25, Options!$D$4:$D$25, B14), SUMIFS(Options!AK$4:$AK$25, Options!$D$4:$D$25, B14 &amp; " US")))</f>
        <v>2.4884923440753749E-2</v>
      </c>
      <c r="T14" s="13">
        <f t="shared" si="10"/>
        <v>600652.04358100879</v>
      </c>
      <c r="U14" s="47">
        <f t="shared" si="11"/>
        <v>2.5067233169755561E-4</v>
      </c>
      <c r="V14" s="19">
        <f t="shared" si="12"/>
        <v>2.4884923440753749E-2</v>
      </c>
      <c r="W14" s="15">
        <f t="shared" si="13"/>
        <v>1789250.377837515</v>
      </c>
      <c r="X14" s="18"/>
      <c r="Y14" s="303">
        <f>Tabelad[[#This Row],[Exp %]]*$Y$10*$AD$7/Tabelad[[#This Row],[Price Today]]</f>
        <v>6279.2178988456717</v>
      </c>
      <c r="Z14" s="196">
        <f>Tabelad[[#This Row],[Vol 10d]]/16*Tabelad[[#This Row],[Exp %]]*100</f>
        <v>2.0609345803348018E-2</v>
      </c>
      <c r="AA14" s="18">
        <f>Tabelad[[#This Row],[Exp %]]*Tabelad[[#This Row],[Beta Adj2]]</f>
        <v>2.8673629013172155E-4</v>
      </c>
      <c r="AB14" s="35">
        <f>_xll.BDP($B14&amp;" Equity","volatility_10d")</f>
        <v>13.154604284425849</v>
      </c>
      <c r="AC14" s="35">
        <f>_xll.BDP(B14&amp;" EQUITY","eqy_beta")</f>
        <v>1.1438689231872559</v>
      </c>
      <c r="AD14" s="15">
        <f>Tabelad[[#This Row],[D1 P&amp;L bps]]*$AD$5/10000</f>
        <v>0</v>
      </c>
      <c r="AE14" s="207"/>
      <c r="AF14" s="186" t="str">
        <f>_xll.BDP(B14&amp;" Equity","EXPECTED_REPORT_DT")</f>
        <v>#N/A N/A</v>
      </c>
      <c r="AG14" s="140">
        <f>_xll.BDP(B14&amp;" Index","CHG_PCT_1D_PRE_FROM_REGULAR")/100</f>
        <v>0</v>
      </c>
      <c r="AH14" s="19">
        <f t="shared" si="14"/>
        <v>0</v>
      </c>
      <c r="AI14" s="364" t="str">
        <f>_xll.BDP(B14&amp;" Equity","DVD_EX_DT")</f>
        <v>19/12/2025</v>
      </c>
    </row>
    <row r="15" spans="1:39" s="489" customFormat="1" ht="15.75" thickBot="1">
      <c r="A15" s="487"/>
      <c r="B15" s="488" t="s">
        <v>82</v>
      </c>
      <c r="C15" s="489" t="s">
        <v>26</v>
      </c>
      <c r="E15" s="489" t="s">
        <v>138</v>
      </c>
      <c r="F15" s="490" t="s">
        <v>48</v>
      </c>
      <c r="G15" s="491"/>
      <c r="H15" s="492"/>
      <c r="I15" s="493" cm="1">
        <f t="array" ref="I15">_xll.BDP(B15&amp;" Equity","LAST_PRICE")</f>
        <v>605.75</v>
      </c>
      <c r="J15" s="494">
        <f t="shared" ref="J15" si="15">I15/K15-1</f>
        <v>0</v>
      </c>
      <c r="K15" s="495">
        <f>_xll.BDP(B15&amp;" equity","PX_YEST_CLOSE")</f>
        <v>605.75</v>
      </c>
      <c r="L15" s="496">
        <f>_xll.BDP(E15&amp;" Curncy","PX_LAST")</f>
        <v>1</v>
      </c>
      <c r="M15" s="497">
        <v>1</v>
      </c>
      <c r="N15" s="491">
        <f t="shared" ref="N15" si="16">IFERROR(IF(((I15/L15)*H15*M15)&lt;&gt;0,((I15/L15)*H15*M15),0),"-")</f>
        <v>0</v>
      </c>
      <c r="O15" s="498">
        <f>IFERROR(IF(Tabelad[[#This Row],[D1 Exp USD]]&lt;&gt;0,N15/$AE$7,0),"-")</f>
        <v>0</v>
      </c>
      <c r="P15" s="499">
        <f>IFERROR(IF(Tabelad[[#This Row],[D1 Exp USD]]&lt;&gt;0,((I15-K15)/L15*M15*H15)/$AD$7*10000,0),"-")</f>
        <v>0</v>
      </c>
      <c r="Q15" s="491">
        <f>IF(SUM(SUMIFS(Options!$AL$4:$AL$25, Options!$D$4:$D$25, B15), SUMIFS(Options!$AL$4:$AL$25, Options!$D$4:$D$25, B15 &amp; " US"))=0,0,SUM(SUMIFS(Options!$AL$4:$AL$25, Options!$D$4:$D$25, B15), SUMIFS(Options!$AL$4:$AL$25, Options!$D$4:$D$25, B15 &amp; " US")))</f>
        <v>-7275318.7537193298</v>
      </c>
      <c r="R15" s="500">
        <f t="shared" ref="R15" si="17">Q15/$AE$7</f>
        <v>-3.0362355965110723E-3</v>
      </c>
      <c r="S15" s="499">
        <f>IF(SUM(SUMIFS(Options!$AK$4:$AK$25, Options!$D$4:$D$25, B15), SUMIFS(Options!$AK$4:$AK$25, Options!$D$4:$D$25, B15 &amp; " US"))=0,0,SUM(SUMIFS(Options!$AK$4:$AK$25, Options!$D$4:$D$25, B15), SUMIFS(Options!AK$4:$AK$25, Options!$D$4:$D$25, B15 &amp; " US")))</f>
        <v>-3.7560031791912654E-2</v>
      </c>
      <c r="T15" s="501">
        <f t="shared" ref="T15" si="18">N15+Q15</f>
        <v>-7275318.7537193298</v>
      </c>
      <c r="U15" s="502">
        <f t="shared" ref="U15" si="19">T15/$AE$7</f>
        <v>-3.0362355965110723E-3</v>
      </c>
      <c r="V15" s="499">
        <f t="shared" ref="V15" si="20">P15+S15</f>
        <v>-3.7560031791912654E-2</v>
      </c>
      <c r="W15" s="491">
        <f t="shared" ref="W15" si="21">$W$10/(I15/L15*M15)</f>
        <v>98892.451754023932</v>
      </c>
      <c r="X15" s="500"/>
      <c r="Y15" s="503">
        <f>Tabelad[[#This Row],[Exp %]]*$Y$10*$AD$7/Tabelad[[#This Row],[Price Today]]</f>
        <v>-4203.650951385498</v>
      </c>
      <c r="Z15" s="504">
        <f>Tabelad[[#This Row],[Vol 10d]]/16*Tabelad[[#This Row],[Exp %]]*100</f>
        <v>-0.31245972227968838</v>
      </c>
      <c r="AA15" s="500">
        <f>Tabelad[[#This Row],[Exp %]]*Tabelad[[#This Row],[Beta Adj2]]</f>
        <v>-3.0389643186258851E-3</v>
      </c>
      <c r="AB15" s="493">
        <f>_xll.BDP($B15&amp;" Equity","volatility_10d")</f>
        <v>16.46563778588116</v>
      </c>
      <c r="AC15" s="493">
        <f>_xll.BDP(B15&amp;" EQUITY","eqy_beta")</f>
        <v>1.0008987188339233</v>
      </c>
      <c r="AD15" s="491">
        <f>Tabelad[[#This Row],[D1 P&amp;L bps]]*$AD$5/10000</f>
        <v>0</v>
      </c>
      <c r="AE15" s="505"/>
      <c r="AF15" s="506" t="str">
        <f>_xll.BDP(B15&amp;" Equity","EXPECTED_REPORT_DT")</f>
        <v>#N/A N/A</v>
      </c>
      <c r="AG15" s="507">
        <f>_xll.BDP(B15&amp;" Index","CHG_PCT_1D_PRE_FROM_REGULAR")/100</f>
        <v>3.3018939999999997E-4</v>
      </c>
      <c r="AH15" s="499">
        <f t="shared" ref="AH15" si="22">(T15*AG15)/$AD$7*10000</f>
        <v>-1.002532809870633E-2</v>
      </c>
      <c r="AI15" s="508" t="str">
        <f>_xll.BDP(B15&amp;" Equity","DVD_EX_DT")</f>
        <v>22/12/2025</v>
      </c>
    </row>
    <row r="16" spans="1:39" s="489" customFormat="1" ht="15.75" thickBot="1">
      <c r="A16" s="487"/>
      <c r="B16" s="488" t="s">
        <v>1130</v>
      </c>
      <c r="C16" s="489" t="s">
        <v>26</v>
      </c>
      <c r="E16" s="489" t="s">
        <v>138</v>
      </c>
      <c r="F16" s="490" t="str">
        <f t="shared" si="6"/>
        <v>Short</v>
      </c>
      <c r="G16" s="509"/>
      <c r="H16" s="492"/>
      <c r="I16" s="493" cm="1">
        <f t="array" ref="I16">_xll.BDP(B16&amp;" index","LAST_PRICE")</f>
        <v>24761.5</v>
      </c>
      <c r="J16" s="494">
        <f t="shared" si="7"/>
        <v>-9.5102853085592409E-3</v>
      </c>
      <c r="K16" s="495">
        <f>_xll.BDP(B16&amp;" index","PX_YEST_CLOSE")</f>
        <v>24999.25</v>
      </c>
      <c r="L16" s="496">
        <f>_xll.BDP(E16&amp;" Curncy","PX_LAST")</f>
        <v>1</v>
      </c>
      <c r="M16" s="497">
        <v>20</v>
      </c>
      <c r="N16" s="491">
        <f t="shared" si="8"/>
        <v>0</v>
      </c>
      <c r="O16" s="498">
        <f>IFERROR(IF(Tabelad[[#This Row],[D1 Exp USD]]&lt;&gt;0,N16/$AE$7,0),"-")</f>
        <v>0</v>
      </c>
      <c r="P16" s="499">
        <f>IFERROR(IF(Tabelad[[#This Row],[D1 Exp USD]]&lt;&gt;0,((I16-K16)/L16*M16*H16)/$AD$7*10000,0),"-")</f>
        <v>0</v>
      </c>
      <c r="Q16" s="491">
        <f>IF(SUM(SUMIFS(Options!$AL$4:$AL$25, Options!$D$4:$D$25, B16), SUMIFS(Options!$AL$4:$AL$25, Options!$D$4:$D$25, B16 &amp; " US"))=0,0,SUM(SUMIFS(Options!$AL$4:$AL$25, Options!$D$4:$D$25, B16), SUMIFS(Options!$AL$4:$AL$25, Options!$D$4:$D$25, B16 &amp; " US")))</f>
        <v>0</v>
      </c>
      <c r="R16" s="500">
        <f t="shared" si="9"/>
        <v>0</v>
      </c>
      <c r="S16" s="499">
        <f>IF(SUM(SUMIFS(Options!$AK$4:$AK$25, Options!$D$4:$D$25, B16), SUMIFS(Options!$AK$4:$AK$25, Options!$D$4:$D$25, B16 &amp; " US"))=0,0,SUM(SUMIFS(Options!$AK$4:$AK$25, Options!$D$4:$D$25, B16), SUMIFS(Options!AK$4:$AK$25, Options!$D$4:$D$25, B16 &amp; " US")))</f>
        <v>0</v>
      </c>
      <c r="T16" s="501">
        <f t="shared" si="10"/>
        <v>0</v>
      </c>
      <c r="U16" s="502">
        <f t="shared" si="11"/>
        <v>0</v>
      </c>
      <c r="V16" s="510">
        <f t="shared" si="12"/>
        <v>0</v>
      </c>
      <c r="W16" s="511">
        <f t="shared" si="13"/>
        <v>120.96218454051653</v>
      </c>
      <c r="X16" s="512"/>
      <c r="Y16" s="503">
        <f>Tabelad[[#This Row],[Exp %]]*$Y$10*$AD$7/Tabelad[[#This Row],[Price Today]]</f>
        <v>0</v>
      </c>
      <c r="Z16" s="504">
        <f>Tabelad[[#This Row],[Vol 10d]]/16*Tabelad[[#This Row],[Exp %]]*100</f>
        <v>0</v>
      </c>
      <c r="AA16" s="500" t="e">
        <f>Tabelad[[#This Row],[Exp %]]*Tabelad[[#This Row],[Beta Adj2]]</f>
        <v>#VALUE!</v>
      </c>
      <c r="AB16" s="493">
        <f>_xll.BDP($B16&amp;" index","volatility_10d")</f>
        <v>16.34809684753418</v>
      </c>
      <c r="AC16" s="493" t="str">
        <f>_xll.BDP(B16&amp;" index","eqy_beta")</f>
        <v>#N/A Field Not Applicable</v>
      </c>
      <c r="AD16" s="491">
        <f>Tabelad[[#This Row],[D1 P&amp;L bps]]*$AD$5/10000</f>
        <v>0</v>
      </c>
      <c r="AE16" s="513"/>
      <c r="AF16" s="506" t="str">
        <f>_xll.BDP(B16&amp;" index","EXPECTED_REPORT_DT")</f>
        <v>#N/A Field Not Applicable</v>
      </c>
      <c r="AG16" s="507" t="e">
        <f>_xll.BDP(B16&amp;" Index","CHG_PCT_1D_PRE_FROM_REGULAR")/100</f>
        <v>#VALUE!</v>
      </c>
      <c r="AH16" s="499" t="e">
        <f t="shared" si="14"/>
        <v>#VALUE!</v>
      </c>
      <c r="AI16" s="508" t="str">
        <f>_xll.BDP(B16&amp;" index","DVD_EX_DT")</f>
        <v>#N/A Field Not Applicable</v>
      </c>
    </row>
    <row r="17" spans="1:35" s="489" customFormat="1">
      <c r="A17" s="487"/>
      <c r="B17" s="488" t="s">
        <v>1100</v>
      </c>
      <c r="C17" s="489" t="s">
        <v>26</v>
      </c>
      <c r="E17" s="489" t="s">
        <v>138</v>
      </c>
      <c r="F17" s="490" t="s">
        <v>47</v>
      </c>
      <c r="G17" s="509"/>
      <c r="H17" s="492"/>
      <c r="I17" s="493" cm="1">
        <f t="array" ref="I17">_xll.BDP(B17&amp;" index","LAST_PRICE")</f>
        <v>24761.5</v>
      </c>
      <c r="J17" s="494">
        <f t="shared" ref="J17" si="23">I17/K17-1</f>
        <v>-9.5102853085592409E-3</v>
      </c>
      <c r="K17" s="495">
        <f>_xll.BDP(B17&amp;" index","PX_YEST_CLOSE")</f>
        <v>24999.25</v>
      </c>
      <c r="L17" s="496">
        <f>_xll.BDP(E17&amp;" Curncy","PX_LAST")</f>
        <v>1</v>
      </c>
      <c r="M17" s="497">
        <v>20</v>
      </c>
      <c r="N17" s="491">
        <f t="shared" ref="N17" si="24">IFERROR(IF(((I17/L17)*H17*M17)&lt;&gt;0,((I17/L17)*H17*M17),0),"-")</f>
        <v>0</v>
      </c>
      <c r="O17" s="498">
        <f>IFERROR(IF(Tabelad[[#This Row],[D1 Exp USD]]&lt;&gt;0,N17/$AE$7,0),"-")</f>
        <v>0</v>
      </c>
      <c r="P17" s="499">
        <f>IFERROR(IF(Tabelad[[#This Row],[D1 Exp USD]]&lt;&gt;0,((I17-K17)/L17*M17*H17)/$AD$7*10000,0),"-")</f>
        <v>0</v>
      </c>
      <c r="Q17" s="491">
        <f>IF(SUM(SUMIFS(Options!$AL$4:$AL$25, Options!$D$4:$D$25, B17), SUMIFS(Options!$AL$4:$AL$25, Options!$D$4:$D$25, B17 &amp; " US"))=0,0,SUM(SUMIFS(Options!$AL$4:$AL$25, Options!$D$4:$D$25, B17), SUMIFS(Options!$AL$4:$AL$25, Options!$D$4:$D$25, B17 &amp; " US")))</f>
        <v>371535.44420143589</v>
      </c>
      <c r="R17" s="500">
        <f t="shared" ref="R17" si="25">Q17/$AE$7</f>
        <v>1.5505425662253698E-4</v>
      </c>
      <c r="S17" s="499">
        <f>IF(SUM(SUMIFS(Options!$AK$4:$AK$25, Options!$D$4:$D$25, B17), SUMIFS(Options!$AK$4:$AK$25, Options!$D$4:$D$25, B17 &amp; " US"))=0,0,SUM(SUMIFS(Options!$AK$4:$AK$25, Options!$D$4:$D$25, B17), SUMIFS(Options!AK$4:$AK$25, Options!$D$4:$D$25, B17 &amp; " US")))</f>
        <v>-2.5415621512527572E-2</v>
      </c>
      <c r="T17" s="501">
        <f t="shared" ref="T17" si="26">N17+Q17</f>
        <v>371535.44420143589</v>
      </c>
      <c r="U17" s="502">
        <f t="shared" ref="U17" si="27">T17/$AE$7</f>
        <v>1.5505425662253698E-4</v>
      </c>
      <c r="V17" s="510">
        <f t="shared" ref="V17" si="28">P17+S17</f>
        <v>-2.5415621512527572E-2</v>
      </c>
      <c r="W17" s="511">
        <f t="shared" ref="W17" si="29">$W$10/(I17/L17*M17)</f>
        <v>120.96218454051653</v>
      </c>
      <c r="X17" s="512"/>
      <c r="Y17" s="503">
        <f>Tabelad[[#This Row],[Exp %]]*$Y$10*$AD$7/Tabelad[[#This Row],[Price Today]]</f>
        <v>5.2515964489430189</v>
      </c>
      <c r="Z17" s="504">
        <f>Tabelad[[#This Row],[Vol 10d]]/16*Tabelad[[#This Row],[Exp %]]*100</f>
        <v>1.5842762524297827E-2</v>
      </c>
      <c r="AA17" s="500" t="e">
        <f>Tabelad[[#This Row],[Exp %]]*Tabelad[[#This Row],[Beta Adj2]]</f>
        <v>#VALUE!</v>
      </c>
      <c r="AB17" s="493">
        <f>_xll.BDP($B17&amp;" index","volatility_10d")</f>
        <v>16.34809684753418</v>
      </c>
      <c r="AC17" s="493" t="str">
        <f>_xll.BDP(B17&amp;" index","eqy_beta")</f>
        <v>#N/A Field Not Applicable</v>
      </c>
      <c r="AD17" s="491">
        <f>Tabelad[[#This Row],[D1 P&amp;L bps]]*$AD$5/10000</f>
        <v>0</v>
      </c>
      <c r="AE17" s="513"/>
      <c r="AF17" s="506" t="str">
        <f>_xll.BDP(B17&amp;" index","EXPECTED_REPORT_DT")</f>
        <v>#N/A Field Not Applicable</v>
      </c>
      <c r="AG17" s="507" t="e">
        <f>_xll.BDP(B17&amp;" Index","CHG_PCT_1D_PRE_FROM_REGULAR")/100</f>
        <v>#VALUE!</v>
      </c>
      <c r="AH17" s="499" t="e">
        <f t="shared" ref="AH17" si="30">(T17*AG17)/$AD$7*10000</f>
        <v>#VALUE!</v>
      </c>
      <c r="AI17" s="508" t="str">
        <f>_xll.BDP(B17&amp;" index","DVD_EX_DT")</f>
        <v>#N/A Field Not Applicable</v>
      </c>
    </row>
    <row r="18" spans="1:35" s="489" customFormat="1">
      <c r="A18" s="487"/>
      <c r="B18" s="488" t="s">
        <v>580</v>
      </c>
      <c r="C18" s="489" t="s">
        <v>26</v>
      </c>
      <c r="E18" s="489" t="s">
        <v>138</v>
      </c>
      <c r="F18" s="490" t="s">
        <v>48</v>
      </c>
      <c r="G18" s="509"/>
      <c r="H18" s="492">
        <v>-5</v>
      </c>
      <c r="I18" s="493" cm="1">
        <f t="array" ref="I18">_xll.BDP(B18&amp;" INDEX","LAST_PRICE")</f>
        <v>24761.5</v>
      </c>
      <c r="J18" s="494">
        <f t="shared" ref="J18" si="31">I18/K18-1</f>
        <v>-1.9579505859993684E-2</v>
      </c>
      <c r="K18" s="495">
        <v>25256</v>
      </c>
      <c r="L18" s="496">
        <f>_xll.BDP(E18&amp;" Curncy","PX_LAST")</f>
        <v>1</v>
      </c>
      <c r="M18" s="497">
        <v>20</v>
      </c>
      <c r="N18" s="491">
        <f t="shared" ref="N18" si="32">IFERROR(IF(((I18/L18)*H18*M18)&lt;&gt;0,((I18/L18)*H18*M18),0),"-")</f>
        <v>-2476150</v>
      </c>
      <c r="O18" s="498">
        <f>IFERROR(IF(Tabelad[[#This Row],[D1 Exp USD]]&lt;&gt;0,N18/$AE$7,0),"-")</f>
        <v>-1.0333808080171618E-3</v>
      </c>
      <c r="P18" s="499">
        <f>IFERROR(IF(Tabelad[[#This Row],[D1 Exp USD]]&lt;&gt;0,((I18-K18)/L18*M18*H18)/$AD$7*10000,0),"-")</f>
        <v>0.20637150801223128</v>
      </c>
      <c r="Q18" s="491">
        <f>IF(SUM(SUMIFS(Options!$AL$4:$AL$25, Options!$D$4:$D$25, B18), SUMIFS(Options!$AL$4:$AL$25, Options!$D$4:$D$25, B18 &amp; " US"))=0,0,SUM(SUMIFS(Options!$AL$4:$AL$25, Options!$D$4:$D$25, B18), SUMIFS(Options!$AL$4:$AL$25, Options!$D$4:$D$25, B18 &amp; " US")))</f>
        <v>0</v>
      </c>
      <c r="R18" s="500">
        <f t="shared" ref="R18" si="33">Q18/$AE$7</f>
        <v>0</v>
      </c>
      <c r="S18" s="499">
        <f>IF(SUM(SUMIFS(Options!$AK$4:$AK$25, Options!$D$4:$D$25, B18), SUMIFS(Options!$AK$4:$AK$25, Options!$D$4:$D$25, B18 &amp; " US"))=0,0,SUM(SUMIFS(Options!$AK$4:$AK$25, Options!$D$4:$D$25, B18), SUMIFS(Options!AK$4:$AK$25, Options!$D$4:$D$25, B18 &amp; " US")))</f>
        <v>0</v>
      </c>
      <c r="T18" s="501">
        <f t="shared" ref="T18" si="34">N18+Q18</f>
        <v>-2476150</v>
      </c>
      <c r="U18" s="502">
        <f t="shared" ref="U18" si="35">T18/$AE$7</f>
        <v>-1.0333808080171618E-3</v>
      </c>
      <c r="V18" s="514">
        <f t="shared" ref="V18" si="36">P18+S18</f>
        <v>0.20637150801223128</v>
      </c>
      <c r="W18" s="511">
        <f t="shared" ref="W18" si="37">$W$10/(I18/L18*M18)</f>
        <v>120.96218454051653</v>
      </c>
      <c r="X18" s="512"/>
      <c r="Y18" s="503">
        <f>Tabelad[[#This Row],[Exp %]]*$Y$10*$AD$7/Tabelad[[#This Row],[Price Today]]</f>
        <v>-35</v>
      </c>
      <c r="Z18" s="504">
        <f>Tabelad[[#This Row],[Vol 10d]]/16*Tabelad[[#This Row],[Exp %]]*100</f>
        <v>-0.10558630956154803</v>
      </c>
      <c r="AA18" s="500" t="e">
        <f>Tabelad[[#This Row],[Exp %]]*Tabelad[[#This Row],[Beta Adj2]]</f>
        <v>#VALUE!</v>
      </c>
      <c r="AB18" s="493">
        <f>_xll.BDP($B18&amp;" index","volatility_10d")</f>
        <v>16.34809684753418</v>
      </c>
      <c r="AC18" s="493" t="str">
        <f>_xll.BDP(B18&amp;" INDEX","eqy_beta")</f>
        <v>#N/A Field Not Applicable</v>
      </c>
      <c r="AD18" s="491">
        <f>Tabelad[[#This Row],[D1 P&amp;L bps]]*$AD$5/10000</f>
        <v>46351.764403151443</v>
      </c>
      <c r="AE18" s="513"/>
      <c r="AF18" s="506" t="str">
        <f>_xll.BDP(B18&amp;" index","EXPECTED_REPORT_DT")</f>
        <v>#N/A Field Not Applicable</v>
      </c>
      <c r="AG18" s="507" t="e">
        <f>_xll.BDP(B18&amp;" Index","CHG_PCT_1D_PRE_FROM_REGULAR")/100</f>
        <v>#VALUE!</v>
      </c>
      <c r="AH18" s="499" t="e">
        <f t="shared" ref="AH18" si="38">(T18*AG18)/$AD$7*10000</f>
        <v>#VALUE!</v>
      </c>
      <c r="AI18" s="508" t="str">
        <f>_xll.BDP(B18&amp;" index","DVD_EX_DT")</f>
        <v>#N/A Field Not Applicable</v>
      </c>
    </row>
    <row r="19" spans="1:35">
      <c r="B19" s="39" t="s">
        <v>816</v>
      </c>
      <c r="C19" t="s">
        <v>913</v>
      </c>
      <c r="E19" t="s">
        <v>138</v>
      </c>
      <c r="F19" s="21" t="s">
        <v>47</v>
      </c>
      <c r="G19" s="15"/>
      <c r="H19" s="365">
        <v>14500</v>
      </c>
      <c r="I19" s="35" cm="1">
        <f t="array" ref="I19">_xll.BDP(B19&amp;" Equity","LAST_PRICE")</f>
        <v>333.34</v>
      </c>
      <c r="J19" s="50">
        <f t="shared" si="7"/>
        <v>0</v>
      </c>
      <c r="K19" s="357">
        <f>_xll.BDP(B19&amp;" equity","PX_YEST_CLOSE")</f>
        <v>333.34</v>
      </c>
      <c r="L19" s="52">
        <f>_xll.BDP(E19&amp;" Curncy","PX_LAST")</f>
        <v>1</v>
      </c>
      <c r="M19" s="51">
        <v>1</v>
      </c>
      <c r="N19" s="15">
        <f t="shared" si="8"/>
        <v>4833430</v>
      </c>
      <c r="O19" s="285">
        <f>IFERROR(IF(Tabelad[[#This Row],[D1 Exp USD]]&lt;&gt;0,N19/$AE$7,0),"-")</f>
        <v>2.0171531607109383E-3</v>
      </c>
      <c r="P19" s="19">
        <f>IFERROR(IF(Tabelad[[#This Row],[D1 Exp USD]]&lt;&gt;0,((I19-K19)/L19*M19*H19)/$AD$7*10000,0),"-")</f>
        <v>0</v>
      </c>
      <c r="Q19" s="15">
        <f>IF(SUM(SUMIFS(Options!$AL$4:$AL$25, Options!$D$4:$D$25, B19), SUMIFS(Options!$AL$4:$AL$25, Options!$D$4:$D$25, B19 &amp; " US"))=0,0,SUM(SUMIFS(Options!$AL$4:$AL$25, Options!$D$4:$D$25, B19), SUMIFS(Options!$AL$4:$AL$25, Options!$D$4:$D$25, B19 &amp; " US")))</f>
        <v>-302640.63958227629</v>
      </c>
      <c r="R19" s="18">
        <f t="shared" ref="R19:R37" si="39">Q19/$AE$7</f>
        <v>-1.2630213382483423E-4</v>
      </c>
      <c r="S19" s="19">
        <f>IF(SUM(SUMIFS(Options!$AK$4:$AK$25, Options!$D$4:$D$25, B19), SUMIFS(Options!$AK$4:$AK$25, Options!$D$4:$D$25, B19 &amp; " US"))=0,0,SUM(SUMIFS(Options!$AK$4:$AK$25, Options!$D$4:$D$25, B19), SUMIFS(Options!AK$4:$AK$25, Options!$D$4:$D$25, B19 &amp; " US")))</f>
        <v>0</v>
      </c>
      <c r="T19" s="13">
        <f t="shared" si="10"/>
        <v>4530789.3604177237</v>
      </c>
      <c r="U19" s="47">
        <f t="shared" si="11"/>
        <v>1.8908510268861041E-3</v>
      </c>
      <c r="V19" s="19">
        <f t="shared" si="12"/>
        <v>0</v>
      </c>
      <c r="W19" s="15">
        <f t="shared" si="13"/>
        <v>179708.71377572449</v>
      </c>
      <c r="X19" s="18"/>
      <c r="Y19" s="303">
        <f>Tabelad[[#This Row],[Exp %]]*$Y$10*$AD$7/Tabelad[[#This Row],[Price Today]]</f>
        <v>4757.2336837649345</v>
      </c>
      <c r="Z19" s="196">
        <f>Tabelad[[#This Row],[Vol 10d]]/16*Tabelad[[#This Row],[Exp %]]*100</f>
        <v>0.24726332245507154</v>
      </c>
      <c r="AA19" s="18">
        <f>Tabelad[[#This Row],[Exp %]]*Tabelad[[#This Row],[Beta Adj2]]</f>
        <v>1.9454346862091563E-3</v>
      </c>
      <c r="AB19" s="35">
        <f>_xll.BDP($B19&amp;" Equity","volatility_10d")</f>
        <v>20.922923609673923</v>
      </c>
      <c r="AC19" s="35">
        <f>_xll.BDP(B19&amp;" EQUITY","eqy_beta")</f>
        <v>1.028867244720459</v>
      </c>
      <c r="AD19" s="15">
        <f>Tabelad[[#This Row],[D1 P&amp;L bps]]*$AD$5/10000</f>
        <v>0</v>
      </c>
      <c r="AE19" s="207"/>
      <c r="AF19" s="186" t="str">
        <f>_xll.BDP(B19&amp;" Equity","EXPECTED_REPORT_DT")</f>
        <v>24/04/2026</v>
      </c>
      <c r="AG19" s="140">
        <f>_xll.BDP(B19&amp;" Index","CHG_PCT_1D_PRE_FROM_REGULAR")/100</f>
        <v>-3.3569339999999996E-2</v>
      </c>
      <c r="AH19" s="19">
        <f t="shared" si="14"/>
        <v>-0.63474621010888754</v>
      </c>
      <c r="AI19" s="364" t="str">
        <f>_xll.BDP(B19&amp;" Equity","DVD_EX_DT")</f>
        <v>09/03/2026</v>
      </c>
    </row>
    <row r="20" spans="1:35">
      <c r="B20" s="39" t="s">
        <v>27</v>
      </c>
      <c r="C20" t="s">
        <v>913</v>
      </c>
      <c r="E20" t="s">
        <v>138</v>
      </c>
      <c r="F20" s="21" t="s">
        <v>47</v>
      </c>
      <c r="G20" s="15"/>
      <c r="H20" s="365">
        <v>4105</v>
      </c>
      <c r="I20" s="35" cm="1">
        <f t="array" ref="I20">_xll.BDP(B20&amp;" Equity","LAST_PRICE")</f>
        <v>276.49</v>
      </c>
      <c r="J20" s="50">
        <f t="shared" si="7"/>
        <v>0</v>
      </c>
      <c r="K20" s="357">
        <f>_xll.BDP(B20&amp;" equity","PX_YEST_CLOSE")</f>
        <v>276.49</v>
      </c>
      <c r="L20" s="52">
        <f>_xll.BDP(E20&amp;" Curncy","PX_LAST")</f>
        <v>1</v>
      </c>
      <c r="M20" s="51">
        <v>1</v>
      </c>
      <c r="N20" s="15">
        <f t="shared" si="8"/>
        <v>1134991.45</v>
      </c>
      <c r="O20" s="285">
        <f>IFERROR(IF(Tabelad[[#This Row],[D1 Exp USD]]&lt;&gt;0,N20/$AE$7,0),"-")</f>
        <v>4.7367016606165622E-4</v>
      </c>
      <c r="P20" s="19">
        <f>IFERROR(IF(Tabelad[[#This Row],[D1 Exp USD]]&lt;&gt;0,((I20-K20)/L20*M20*H20)/$AD$7*10000,0),"-")</f>
        <v>0</v>
      </c>
      <c r="Q20" s="15">
        <f>IF(SUM(SUMIFS(Options!$AL$4:$AL$25, Options!$D$4:$D$25, B20), SUMIFS(Options!$AL$4:$AL$25, Options!$D$4:$D$25, B20 &amp; " US"))=0,0,SUM(SUMIFS(Options!$AL$4:$AL$25, Options!$D$4:$D$25, B20), SUMIFS(Options!$AL$4:$AL$25, Options!$D$4:$D$25, B20 &amp; " US")))</f>
        <v>2305547.1222370854</v>
      </c>
      <c r="R20" s="18">
        <f t="shared" si="39"/>
        <v>9.6218248009975217E-4</v>
      </c>
      <c r="S20" s="19">
        <f>IF(SUM(SUMIFS(Options!$AK$4:$AK$25, Options!$D$4:$D$25, B20), SUMIFS(Options!$AK$4:$AK$25, Options!$D$4:$D$25, B20 &amp; " US"))=0,0,SUM(SUMIFS(Options!$AK$4:$AK$25, Options!$D$4:$D$25, B20), SUMIFS(Options!AK$4:$AK$25, Options!$D$4:$D$25, B20 &amp; " US")))</f>
        <v>0.25853821883433237</v>
      </c>
      <c r="T20" s="13">
        <f t="shared" si="10"/>
        <v>3440538.5722370856</v>
      </c>
      <c r="U20" s="47">
        <f t="shared" si="11"/>
        <v>1.4358526461614085E-3</v>
      </c>
      <c r="V20" s="19">
        <f t="shared" si="12"/>
        <v>0.25853821883433237</v>
      </c>
      <c r="W20" s="15">
        <f t="shared" si="13"/>
        <v>216659.20159861114</v>
      </c>
      <c r="X20" s="18"/>
      <c r="Y20" s="303">
        <f>Tabelad[[#This Row],[Exp %]]*$Y$10*$AD$7/Tabelad[[#This Row],[Price Today]]</f>
        <v>4355.2696310281735</v>
      </c>
      <c r="Z20" s="196">
        <f>Tabelad[[#This Row],[Vol 10d]]/16*Tabelad[[#This Row],[Exp %]]*100</f>
        <v>0.23285945950316944</v>
      </c>
      <c r="AA20" s="18">
        <f>Tabelad[[#This Row],[Exp %]]*Tabelad[[#This Row],[Beta Adj2]]</f>
        <v>1.5375732418791799E-3</v>
      </c>
      <c r="AB20" s="35">
        <f>_xll.BDP($B20&amp;" Equity","volatility_10d")</f>
        <v>25.948006308384713</v>
      </c>
      <c r="AC20" s="35" cm="1">
        <f t="array" ref="AC20">_xll.BDP(B20&amp;" EQUITY","eqy_beta")</f>
        <v>1.0708433389663696</v>
      </c>
      <c r="AD20" s="15">
        <f>Tabelad[[#This Row],[D1 P&amp;L bps]]*$AD$5/10000</f>
        <v>0</v>
      </c>
      <c r="AE20" s="207"/>
      <c r="AF20" s="186" t="str">
        <f>_xll.BDP(B20&amp;" Equity","EXPECTED_REPORT_DT")</f>
        <v>01/05/2026</v>
      </c>
      <c r="AG20" s="140">
        <f>_xll.BDP(B20&amp;" Index","CHG_PCT_1D_PRE_FROM_REGULAR")/100</f>
        <v>-5.1719510000000002E-3</v>
      </c>
      <c r="AH20" s="19">
        <f t="shared" si="14"/>
        <v>-7.4261595291671423E-2</v>
      </c>
      <c r="AI20" s="364" t="str">
        <f>_xll.BDP(B20&amp;" Equity","DVD_EX_DT")</f>
        <v>09/02/2026</v>
      </c>
    </row>
    <row r="21" spans="1:35">
      <c r="B21" s="39" t="s">
        <v>318</v>
      </c>
      <c r="C21" t="s">
        <v>913</v>
      </c>
      <c r="E21" t="s">
        <v>138</v>
      </c>
      <c r="F21" s="21" t="s">
        <v>47</v>
      </c>
      <c r="G21" s="15"/>
      <c r="H21" s="365">
        <v>12200</v>
      </c>
      <c r="I21" s="35" cm="1">
        <f t="array" ref="I21">_xll.BDP(B21&amp;" Equity","LAST_PRICE")</f>
        <v>232.99</v>
      </c>
      <c r="J21" s="50">
        <f t="shared" si="7"/>
        <v>0</v>
      </c>
      <c r="K21" s="357">
        <f>_xll.BDP(B21&amp;" equity","PX_YEST_CLOSE")</f>
        <v>232.99</v>
      </c>
      <c r="L21" s="52">
        <f>_xll.BDP(E21&amp;" Curncy","PX_LAST")</f>
        <v>1</v>
      </c>
      <c r="M21" s="51">
        <v>1</v>
      </c>
      <c r="N21" s="15">
        <f t="shared" si="8"/>
        <v>2842478</v>
      </c>
      <c r="O21" s="285">
        <f>IFERROR(IF(Tabelad[[#This Row],[D1 Exp USD]]&lt;&gt;0,N21/$AE$7,0),"-")</f>
        <v>1.1862618227534705E-3</v>
      </c>
      <c r="P21" s="19">
        <f>IFERROR(IF(Tabelad[[#This Row],[D1 Exp USD]]&lt;&gt;0,((I21-K21)/L21*M21*H21)/$AD$7*10000,0),"-")</f>
        <v>0</v>
      </c>
      <c r="Q21" s="15">
        <f>IF(SUM(SUMIFS(Options!$AL$4:$AL$25, Options!$D$4:$D$25, B21), SUMIFS(Options!$AL$4:$AL$25, Options!$D$4:$D$25, B21 &amp; " US"))=0,0,SUM(SUMIFS(Options!$AL$4:$AL$25, Options!$D$4:$D$25, B21), SUMIFS(Options!$AL$4:$AL$25, Options!$D$4:$D$25, B21 &amp; " US")))</f>
        <v>0</v>
      </c>
      <c r="R21" s="18">
        <f t="shared" si="39"/>
        <v>0</v>
      </c>
      <c r="S21" s="19">
        <f>IF(SUM(SUMIFS(Options!$AK$4:$AK$25, Options!$D$4:$D$25, B21), SUMIFS(Options!$AK$4:$AK$25, Options!$D$4:$D$25, B21 &amp; " US"))=0,0,SUM(SUMIFS(Options!$AK$4:$AK$25, Options!$D$4:$D$25, B21), SUMIFS(Options!AK$4:$AK$25, Options!$D$4:$D$25, B21 &amp; " US")))</f>
        <v>0</v>
      </c>
      <c r="T21" s="13">
        <f t="shared" si="10"/>
        <v>2842478</v>
      </c>
      <c r="U21" s="47">
        <f t="shared" si="11"/>
        <v>1.1862618227534705E-3</v>
      </c>
      <c r="V21" s="19">
        <f t="shared" si="12"/>
        <v>0</v>
      </c>
      <c r="W21" s="15">
        <f t="shared" si="13"/>
        <v>257110.1877762994</v>
      </c>
      <c r="X21" s="18"/>
      <c r="Y21" s="303">
        <f>Tabelad[[#This Row],[Exp %]]*$Y$10*$AD$7/Tabelad[[#This Row],[Price Today]]</f>
        <v>4269.9999999999991</v>
      </c>
      <c r="Z21" s="196">
        <f>Tabelad[[#This Row],[Vol 10d]]/16*Tabelad[[#This Row],[Exp %]]*100</f>
        <v>0.20682296119242061</v>
      </c>
      <c r="AA21" s="18">
        <f>Tabelad[[#This Row],[Exp %]]*Tabelad[[#This Row],[Beta Adj2]]</f>
        <v>1.5060514644914163E-3</v>
      </c>
      <c r="AB21" s="35">
        <f>_xll.BDP($B21&amp;" Equity","volatility_10d")</f>
        <v>27.895758892397925</v>
      </c>
      <c r="AC21" s="35">
        <f>_xll.BDP(B21&amp;" EQUITY","eqy_beta")</f>
        <v>1.2695776224136353</v>
      </c>
      <c r="AD21" s="15">
        <f>Tabelad[[#This Row],[D1 P&amp;L bps]]*$AD$5/10000</f>
        <v>0</v>
      </c>
      <c r="AE21" s="207"/>
      <c r="AF21" s="186" t="str">
        <f>_xll.BDP(B21&amp;" Equity","EXPECTED_REPORT_DT")</f>
        <v>05/02/2026</v>
      </c>
      <c r="AG21" s="140">
        <f>_xll.BDP(B21&amp;" Index","CHG_PCT_1D_PRE_FROM_REGULAR")/100</f>
        <v>-1.201763E-3</v>
      </c>
      <c r="AH21" s="19">
        <f t="shared" si="14"/>
        <v>-1.4256055668976789E-2</v>
      </c>
      <c r="AI21" s="364" t="str">
        <f>_xll.BDP(B21&amp;" Equity","DVD_EX_DT")</f>
        <v>#N/A Field Not Applicable</v>
      </c>
    </row>
    <row r="22" spans="1:35" s="482" customFormat="1">
      <c r="A22" s="265"/>
      <c r="B22" s="39" t="s">
        <v>1141</v>
      </c>
      <c r="C22" s="482" t="s">
        <v>913</v>
      </c>
      <c r="E22" s="482" t="s">
        <v>138</v>
      </c>
      <c r="F22" s="483" t="s">
        <v>48</v>
      </c>
      <c r="G22" s="15"/>
      <c r="H22" s="515"/>
      <c r="I22" s="35" cm="1">
        <f t="array" ref="I22">_xll.BDP(B22&amp;" Equity","LAST_PRICE")</f>
        <v>80.16</v>
      </c>
      <c r="J22" s="50">
        <f t="shared" si="7"/>
        <v>0</v>
      </c>
      <c r="K22" s="357">
        <f>_xll.BDP(B22&amp;" equity","PX_YEST_CLOSE")</f>
        <v>80.16</v>
      </c>
      <c r="L22" s="52">
        <f>_xll.BDP(E22&amp;" Curncy","PX_LAST")</f>
        <v>1</v>
      </c>
      <c r="M22" s="51">
        <v>1</v>
      </c>
      <c r="N22" s="15">
        <f t="shared" si="8"/>
        <v>0</v>
      </c>
      <c r="O22" s="285">
        <f>IFERROR(IF(Tabelad[[#This Row],[D1 Exp USD]]&lt;&gt;0,N22/$AE$7,0),"-")</f>
        <v>0</v>
      </c>
      <c r="P22" s="19">
        <f>IFERROR(IF(Tabelad[[#This Row],[D1 Exp USD]]&lt;&gt;0,((I22-K22)/L22*M22*H22)/$AD$7*10000,0),"-")</f>
        <v>0</v>
      </c>
      <c r="Q22" s="15">
        <f>IF(SUM(SUMIFS(Options!$AL$4:$AL$25, Options!$D$4:$D$25, B22), SUMIFS(Options!$AL$4:$AL$25, Options!$D$4:$D$25, B22 &amp; " US"))=0,0,SUM(SUMIFS(Options!$AL$4:$AL$25, Options!$D$4:$D$25, B22), SUMIFS(Options!$AL$4:$AL$25, Options!$D$4:$D$25, B22 &amp; " US")))</f>
        <v>-216826.30548477173</v>
      </c>
      <c r="R22" s="18">
        <f>Q22/$AE$7</f>
        <v>-9.0488921414788834E-5</v>
      </c>
      <c r="S22" s="19">
        <f>IF(SUM(SUMIFS(Options!$AK$4:$AK$25, Options!$D$4:$D$25, B22), SUMIFS(Options!$AK$4:$AK$25, Options!$D$4:$D$25, B22 &amp; " US"))=0,0,SUM(SUMIFS(Options!$AK$4:$AK$25, Options!$D$4:$D$25, B22), SUMIFS(Options!AK$4:$AK$25, Options!$D$4:$D$25, B22 &amp; " US")))</f>
        <v>-2.0866684328840653E-3</v>
      </c>
      <c r="T22" s="484">
        <f t="shared" si="10"/>
        <v>-216826.30548477173</v>
      </c>
      <c r="U22" s="47">
        <f t="shared" si="11"/>
        <v>-9.0488921414788834E-5</v>
      </c>
      <c r="V22" s="19">
        <f t="shared" si="12"/>
        <v>-2.0866684328840653E-3</v>
      </c>
      <c r="W22" s="15">
        <f t="shared" si="13"/>
        <v>747306.66978542914</v>
      </c>
      <c r="X22" s="18"/>
      <c r="Y22" s="303">
        <f>Tabelad[[#This Row],[Exp %]]*$Y$10*$AD$7/Tabelad[[#This Row],[Price Today]]</f>
        <v>-946.7216432094574</v>
      </c>
      <c r="Z22" s="196">
        <f>Tabelad[[#This Row],[Vol 10d]]/16*Tabelad[[#This Row],[Exp %]]*100</f>
        <v>-1.6110862081932482E-2</v>
      </c>
      <c r="AA22" s="18">
        <f>Tabelad[[#This Row],[Exp %]]*Tabelad[[#This Row],[Beta Adj2]]</f>
        <v>-9.9909151533744667E-5</v>
      </c>
      <c r="AB22" s="35">
        <f>_xll.BDP($B22&amp;" Equity","volatility_10d")</f>
        <v>28.486779296364904</v>
      </c>
      <c r="AC22" s="35" cm="1">
        <f t="array" ref="AC22">_xll.BDP(B22&amp;" EQUITY","eqy_beta")</f>
        <v>1.104103684425354</v>
      </c>
      <c r="AD22" s="15">
        <f>Tabelad[[#This Row],[D1 P&amp;L bps]]*$AD$5/10000</f>
        <v>0</v>
      </c>
      <c r="AE22" s="207"/>
      <c r="AF22" s="186" t="str">
        <f>_xll.BDP(B22&amp;" Equity","EXPECTED_REPORT_DT")</f>
        <v>17/04/2026</v>
      </c>
      <c r="AG22" s="140">
        <f>_xll.BDP(B22&amp;" Index","CHG_PCT_1D_PRE_FROM_REGULAR")/100</f>
        <v>1.821356E-2</v>
      </c>
      <c r="AH22" s="19">
        <f t="shared" si="14"/>
        <v>-1.6481253995235413E-2</v>
      </c>
      <c r="AI22" s="485" t="str">
        <f>_xll.BDP(B22&amp;" Equity","DVD_EX_DT")</f>
        <v>#N/A Field Not Applicable</v>
      </c>
    </row>
    <row r="23" spans="1:35" s="482" customFormat="1">
      <c r="A23" s="265" t="s">
        <v>448</v>
      </c>
      <c r="B23" s="39" t="s">
        <v>342</v>
      </c>
      <c r="C23" s="482" t="s">
        <v>913</v>
      </c>
      <c r="E23" s="482" t="s">
        <v>138</v>
      </c>
      <c r="F23" s="483" t="s">
        <v>47</v>
      </c>
      <c r="G23" s="15"/>
      <c r="H23" s="515">
        <v>585</v>
      </c>
      <c r="I23" s="35" cm="1">
        <f t="array" ref="I23">_xll.BDP(B23&amp;" Equity","LAST_PRICE")</f>
        <v>2052.7800000000002</v>
      </c>
      <c r="J23" s="50">
        <f t="shared" ref="J23" si="40">I23/K23-1</f>
        <v>-2.6440221386463514E-2</v>
      </c>
      <c r="K23" s="357">
        <v>2108.5300000000002</v>
      </c>
      <c r="L23" s="52">
        <f>_xll.BDP(E23&amp;" Curncy","PX_LAST")</f>
        <v>1</v>
      </c>
      <c r="M23" s="51">
        <v>1</v>
      </c>
      <c r="N23" s="15">
        <f t="shared" ref="N23" si="41">IFERROR(IF(((I23/L23)*H23*M23)&lt;&gt;0,((I23/L23)*H23*M23),0),"-")</f>
        <v>1200876.3</v>
      </c>
      <c r="O23" s="285">
        <f>IFERROR(IF(Tabelad[[#This Row],[D1 Exp USD]]&lt;&gt;0,N23/$AE$7,0),"-")</f>
        <v>5.0116613340171615E-4</v>
      </c>
      <c r="P23" s="19">
        <f>IFERROR(IF(Tabelad[[#This Row],[D1 Exp USD]]&lt;&gt;0,((I23-K23)/L23*M23*H23)/$AD$7*10000,0),"-")</f>
        <v>-0.13610816520594352</v>
      </c>
      <c r="Q23" s="15">
        <f>IF(SUM(SUMIFS(Options!$AL$4:$AL$25, Options!$D$4:$D$25, B23), SUMIFS(Options!$AL$4:$AL$25, Options!$D$4:$D$25, B23 &amp; " US"))=0,0,SUM(SUMIFS(Options!$AL$4:$AL$25, Options!$D$4:$D$25, B23), SUMIFS(Options!$AL$4:$AL$25, Options!$D$4:$D$25, B23 &amp; " US")))</f>
        <v>2102524.249920845</v>
      </c>
      <c r="R23" s="18">
        <f>Q23/$AE$7</f>
        <v>8.7745419633660307E-4</v>
      </c>
      <c r="S23" s="19">
        <f>IF(SUM(SUMIFS(Options!$AK$4:$AK$25, Options!$D$4:$D$25, B23), SUMIFS(Options!$AK$4:$AK$25, Options!$D$4:$D$25, B23 &amp; " US"))=0,0,SUM(SUMIFS(Options!$AK$4:$AK$25, Options!$D$4:$D$25, B23), SUMIFS(Options!AK$4:$AK$25, Options!$D$4:$D$25, B23 &amp; " US")))</f>
        <v>1.0767209113681625E-2</v>
      </c>
      <c r="T23" s="484">
        <f t="shared" ref="T23" si="42">N23+Q23</f>
        <v>3303400.5499208448</v>
      </c>
      <c r="U23" s="47">
        <f t="shared" ref="U23" si="43">T23/$AE$7</f>
        <v>1.3786203297383192E-3</v>
      </c>
      <c r="V23" s="19">
        <f t="shared" ref="V23" si="44">P23+S23</f>
        <v>-0.1253409560922619</v>
      </c>
      <c r="W23" s="15">
        <f t="shared" ref="W23" si="45">$W$10/(I23/L23*M23)</f>
        <v>29181.939930240937</v>
      </c>
      <c r="X23" s="18"/>
      <c r="Y23" s="303">
        <f>Tabelad[[#This Row],[Exp %]]*$Y$10*$AD$7/Tabelad[[#This Row],[Price Today]]</f>
        <v>563.23141908645619</v>
      </c>
      <c r="Z23" s="196">
        <f>Tabelad[[#This Row],[Vol 10d]]/16*Tabelad[[#This Row],[Exp %]]*100</f>
        <v>0.34834758516489805</v>
      </c>
      <c r="AA23" s="18">
        <f>Tabelad[[#This Row],[Exp %]]*Tabelad[[#This Row],[Beta Adj2]]</f>
        <v>1.3127375558220364E-3</v>
      </c>
      <c r="AB23" s="35">
        <f>_xll.BDP($B23&amp;" Equity","volatility_10d")</f>
        <v>40.428544700891692</v>
      </c>
      <c r="AC23" s="35" cm="1">
        <f t="array" ref="AC23">_xll.BDP(B23&amp;" EQUITY","eqy_beta")</f>
        <v>0.95221108198165894</v>
      </c>
      <c r="AD23" s="15">
        <f>Tabelad[[#This Row],[D1 P&amp;L bps]]*$AD$5/10000</f>
        <v>-30570.371209368659</v>
      </c>
      <c r="AE23" s="207"/>
      <c r="AF23" s="186" t="str">
        <f>_xll.BDP(B23&amp;" Equity","EXPECTED_REPORT_DT")</f>
        <v>24/02/2026</v>
      </c>
      <c r="AG23" s="140">
        <f>_xll.BDP(B23&amp;" Index","CHG_PCT_1D_PRE_FROM_REGULAR")/100</f>
        <v>-1.344523E-3</v>
      </c>
      <c r="AH23" s="19">
        <f t="shared" ref="AH23" si="46">(T23*AG23)/$AD$7*10000</f>
        <v>-1.8535867416007542E-2</v>
      </c>
      <c r="AI23" s="485" t="str">
        <f>_xll.BDP(B23&amp;" Equity","DVD_EX_DT")</f>
        <v>29/03/2018</v>
      </c>
    </row>
    <row r="24" spans="1:35" s="482" customFormat="1">
      <c r="A24" s="265"/>
      <c r="B24" s="39" t="s">
        <v>29</v>
      </c>
      <c r="C24" s="482" t="s">
        <v>913</v>
      </c>
      <c r="E24" s="482" t="s">
        <v>138</v>
      </c>
      <c r="F24" s="483" t="s">
        <v>47</v>
      </c>
      <c r="G24" s="15"/>
      <c r="H24" s="515">
        <v>4450</v>
      </c>
      <c r="I24" s="35" cm="1">
        <f t="array" ref="I24">_xll.BDP(B24&amp;" Equity","LAST_PRICE")</f>
        <v>668.99</v>
      </c>
      <c r="J24" s="50">
        <f t="shared" si="7"/>
        <v>0</v>
      </c>
      <c r="K24" s="357">
        <f>_xll.BDP(B24&amp;" equity","PX_YEST_CLOSE")</f>
        <v>668.99</v>
      </c>
      <c r="L24" s="52">
        <f>_xll.BDP(E24&amp;" Curncy","PX_LAST")</f>
        <v>1</v>
      </c>
      <c r="M24" s="51">
        <v>1</v>
      </c>
      <c r="N24" s="15">
        <f t="shared" si="8"/>
        <v>2977005.5</v>
      </c>
      <c r="O24" s="285">
        <f>IFERROR(IF(Tabelad[[#This Row],[D1 Exp USD]]&lt;&gt;0,N24/$AE$7,0),"-")</f>
        <v>1.242404680274432E-3</v>
      </c>
      <c r="P24" s="19">
        <f>IFERROR(IF(Tabelad[[#This Row],[D1 Exp USD]]&lt;&gt;0,((I24-K24)/L24*M24*H24)/$AD$7*10000,0),"-")</f>
        <v>0</v>
      </c>
      <c r="Q24" s="15">
        <f>IF(SUM(SUMIFS(Options!$AL$4:$AL$25, Options!$D$4:$D$25, B24), SUMIFS(Options!$AL$4:$AL$25, Options!$D$4:$D$25, B24 &amp; " US"))=0,0,SUM(SUMIFS(Options!$AL$4:$AL$25, Options!$D$4:$D$25, B24), SUMIFS(Options!$AL$4:$AL$25, Options!$D$4:$D$25, B24 &amp; " US")))</f>
        <v>3338848.4008839726</v>
      </c>
      <c r="R24" s="18">
        <f t="shared" si="39"/>
        <v>1.3934139120619865E-3</v>
      </c>
      <c r="S24" s="19">
        <f>IF(SUM(SUMIFS(Options!$AK$4:$AK$25, Options!$D$4:$D$25, B24), SUMIFS(Options!$AK$4:$AK$25, Options!$D$4:$D$25, B24 &amp; " US"))=0,0,SUM(SUMIFS(Options!$AK$4:$AK$25, Options!$D$4:$D$25, B24), SUMIFS(Options!AK$4:$AK$25, Options!$D$4:$D$25, B24 &amp; " US")))</f>
        <v>-0.47297470033966005</v>
      </c>
      <c r="T24" s="484">
        <f t="shared" si="10"/>
        <v>6315853.9008839726</v>
      </c>
      <c r="U24" s="47">
        <f t="shared" si="11"/>
        <v>2.6358185923364185E-3</v>
      </c>
      <c r="V24" s="19">
        <f t="shared" si="12"/>
        <v>-0.47297470033966005</v>
      </c>
      <c r="W24" s="15">
        <f t="shared" si="13"/>
        <v>89544.092811551745</v>
      </c>
      <c r="X24" s="18"/>
      <c r="Y24" s="303">
        <f>Tabelad[[#This Row],[Exp %]]*$Y$10*$AD$7/Tabelad[[#This Row],[Price Today]]</f>
        <v>3304.3077853322025</v>
      </c>
      <c r="Z24" s="196">
        <f>Tabelad[[#This Row],[Vol 10d]]/16*Tabelad[[#This Row],[Exp %]]*100</f>
        <v>1.0743765025163452</v>
      </c>
      <c r="AA24" s="18">
        <f>Tabelad[[#This Row],[Exp %]]*Tabelad[[#This Row],[Beta Adj2]]</f>
        <v>3.1192095897572118E-3</v>
      </c>
      <c r="AB24" s="35">
        <f>_xll.BDP($B24&amp;" Equity","volatility_10d")</f>
        <v>65.217022484935498</v>
      </c>
      <c r="AC24" s="35" cm="1">
        <f t="array" ref="AC24">_xll.BDP(B24&amp;" EQUITY","eqy_beta")</f>
        <v>1.183393120765686</v>
      </c>
      <c r="AD24" s="15">
        <f>Tabelad[[#This Row],[D1 P&amp;L bps]]*$AD$5/10000</f>
        <v>0</v>
      </c>
      <c r="AE24" s="207"/>
      <c r="AF24" s="186" t="str">
        <f>_xll.BDP(B24&amp;" Equity","EXPECTED_REPORT_DT")</f>
        <v>30/04/2026</v>
      </c>
      <c r="AG24" s="140" t="e">
        <f>_xll.BDP(B24&amp;" Index","CHG_PCT_1D_PRE_FROM_REGULAR")/100</f>
        <v>#VALUE!</v>
      </c>
      <c r="AH24" s="19" t="e">
        <f t="shared" si="14"/>
        <v>#VALUE!</v>
      </c>
      <c r="AI24" s="485" t="str">
        <f>_xll.BDP(B24&amp;" Equity","DVD_EX_DT")</f>
        <v>15/12/2025</v>
      </c>
    </row>
    <row r="25" spans="1:35" s="482" customFormat="1">
      <c r="A25" s="265"/>
      <c r="B25" s="39" t="s">
        <v>37</v>
      </c>
      <c r="C25" s="482" t="s">
        <v>913</v>
      </c>
      <c r="E25" s="482" t="s">
        <v>138</v>
      </c>
      <c r="F25" s="483" t="s">
        <v>47</v>
      </c>
      <c r="G25" s="15"/>
      <c r="H25" s="515">
        <v>-11500</v>
      </c>
      <c r="I25" s="35" cm="1">
        <f t="array" ref="I25">_xll.BDP(B25&amp;" Equity","LAST_PRICE")</f>
        <v>83.84</v>
      </c>
      <c r="J25" s="50">
        <f>I25/K25-1</f>
        <v>0</v>
      </c>
      <c r="K25" s="357">
        <f>_xll.BDP(B25&amp;" equity","PX_YEST_CLOSE")</f>
        <v>83.84</v>
      </c>
      <c r="L25" s="52">
        <f>_xll.BDP(E25&amp;" Curncy","PX_LAST")</f>
        <v>1</v>
      </c>
      <c r="M25" s="51">
        <v>1</v>
      </c>
      <c r="N25" s="15">
        <f>IFERROR(IF(((I25/L25)*H25*M25)&lt;&gt;0,((I25/L25)*H25*M25),0),"-")</f>
        <v>-964160</v>
      </c>
      <c r="O25" s="285">
        <f>IFERROR(IF(Tabelad[[#This Row],[D1 Exp USD]]&lt;&gt;0,N25/$AE$7,0),"-")</f>
        <v>-4.0237644724989464E-4</v>
      </c>
      <c r="P25" s="19">
        <f>IFERROR(IF(Tabelad[[#This Row],[D1 Exp USD]]&lt;&gt;0,((I25-K25)/L25*M25*H25)/$AD$7*10000,0),"-")</f>
        <v>0</v>
      </c>
      <c r="Q25" s="15">
        <f>IF(SUM(SUMIFS(Options!$AL$4:$AL$25, Options!$D$4:$D$25, B25), SUMIFS(Options!$AL$4:$AL$25, Options!$D$4:$D$25, B25 &amp; " US"))=0,0,SUM(SUMIFS(Options!$AL$4:$AL$25, Options!$D$4:$D$25, B25), SUMIFS(Options!$AL$4:$AL$25, Options!$D$4:$D$25, B25 &amp; " US")))</f>
        <v>0</v>
      </c>
      <c r="R25" s="18">
        <f t="shared" ref="R25" si="47">Q25/$AE$7</f>
        <v>0</v>
      </c>
      <c r="S25" s="19">
        <f>IF(SUM(SUMIFS(Options!$AK$4:$AK$25, Options!$D$4:$D$25, B25), SUMIFS(Options!$AK$4:$AK$25, Options!$D$4:$D$25, B25 &amp; " US"))=0,0,SUM(SUMIFS(Options!$AK$4:$AK$25, Options!$D$4:$D$25, B25), SUMIFS(Options!AK$4:$AK$25, Options!$D$4:$D$25, B25 &amp; " US")))</f>
        <v>0</v>
      </c>
      <c r="T25" s="484">
        <f>N25+Q25</f>
        <v>-964160</v>
      </c>
      <c r="U25" s="47">
        <f>T25/$AE$7</f>
        <v>-4.0237644724989464E-4</v>
      </c>
      <c r="V25" s="19">
        <f>P25+S25</f>
        <v>0</v>
      </c>
      <c r="W25" s="15">
        <f>$W$10/(I25/L25*M25)</f>
        <v>714505.04114980914</v>
      </c>
      <c r="X25" s="18"/>
      <c r="Y25" s="303">
        <f>Tabelad[[#This Row],[Exp %]]*$Y$10*$AD$7/Tabelad[[#This Row],[Price Today]]</f>
        <v>-4024.9999999999991</v>
      </c>
      <c r="Z25" s="196">
        <f>Tabelad[[#This Row],[Vol 10d]]/16*Tabelad[[#This Row],[Exp %]]*100</f>
        <v>-8.6946331132518595E-2</v>
      </c>
      <c r="AA25" s="18">
        <f>Tabelad[[#This Row],[Exp %]]*Tabelad[[#This Row],[Beta Adj2]]</f>
        <v>-4.019352946551665E-4</v>
      </c>
      <c r="AB25" s="35">
        <f>_xll.BDP($B25&amp;" Equity","volatility_10d")</f>
        <v>34.57312940725712</v>
      </c>
      <c r="AC25" s="35">
        <f>_xll.BDP(B25&amp;" EQUITY","eqy_beta")</f>
        <v>0.99890363216400146</v>
      </c>
      <c r="AD25" s="15">
        <f>Tabelad[[#This Row],[D1 P&amp;L bps]]*$AD$5/10000</f>
        <v>0</v>
      </c>
      <c r="AE25" s="207"/>
      <c r="AF25" s="186" t="str">
        <f>_xll.BDP(B25&amp;" Equity","EXPECTED_REPORT_DT")</f>
        <v>#N/A N/A</v>
      </c>
      <c r="AG25" s="140">
        <f>_xll.BDP(B25&amp;" Index","CHG_PCT_1D_PRE_FROM_REGULAR")/100</f>
        <v>5.8445320000000004E-3</v>
      </c>
      <c r="AH25" s="19">
        <f>(T25*AG25)/$AD$7*10000</f>
        <v>-2.3517020219983219E-2</v>
      </c>
      <c r="AI25" s="485" t="str">
        <f>_xll.BDP(B25&amp;" Equity","DVD_EX_DT")</f>
        <v>21/03/2024</v>
      </c>
    </row>
    <row r="26" spans="1:35" s="482" customFormat="1">
      <c r="A26" s="265"/>
      <c r="B26" s="39" t="s">
        <v>38</v>
      </c>
      <c r="C26" s="482" t="s">
        <v>913</v>
      </c>
      <c r="E26" s="482" t="s">
        <v>138</v>
      </c>
      <c r="F26" s="483" t="s">
        <v>47</v>
      </c>
      <c r="G26" s="15"/>
      <c r="H26" s="515">
        <v>1880</v>
      </c>
      <c r="I26" s="35" cm="1">
        <f t="array" ref="I26">_xll.BDP(B26&amp;" Equity","LAST_PRICE")</f>
        <v>414.19</v>
      </c>
      <c r="J26" s="50">
        <f t="shared" si="7"/>
        <v>0</v>
      </c>
      <c r="K26" s="357">
        <f>_xll.BDP(B26&amp;" equity","PX_YEST_CLOSE")</f>
        <v>414.19</v>
      </c>
      <c r="L26" s="52">
        <f>_xll.BDP(E26&amp;" Curncy","PX_LAST")</f>
        <v>1</v>
      </c>
      <c r="M26" s="51">
        <v>1</v>
      </c>
      <c r="N26" s="15">
        <f t="shared" si="8"/>
        <v>778677.2</v>
      </c>
      <c r="O26" s="285">
        <f>IFERROR(IF(Tabelad[[#This Row],[D1 Exp USD]]&lt;&gt;0,N26/$AE$7,0),"-")</f>
        <v>3.2496822652930597E-4</v>
      </c>
      <c r="P26" s="19">
        <f>IFERROR(IF(Tabelad[[#This Row],[D1 Exp USD]]&lt;&gt;0,((I26-K26)/L26*M26*H26)/$AD$7*10000,0),"-")</f>
        <v>0</v>
      </c>
      <c r="Q26" s="15">
        <f>IF(SUM(SUMIFS(Options!$AL$4:$AL$25, Options!$D$4:$D$25, B26), SUMIFS(Options!$AL$4:$AL$25, Options!$D$4:$D$25, B26 &amp; " US"))=0,0,SUM(SUMIFS(Options!$AL$4:$AL$25, Options!$D$4:$D$25, B26), SUMIFS(Options!$AL$4:$AL$25, Options!$D$4:$D$25, B26 &amp; " US")))</f>
        <v>0</v>
      </c>
      <c r="R26" s="18">
        <f t="shared" si="39"/>
        <v>0</v>
      </c>
      <c r="S26" s="19">
        <f>IF(SUM(SUMIFS(Options!$AK$4:$AK$25, Options!$D$4:$D$25, B26), SUMIFS(Options!$AK$4:$AK$25, Options!$D$4:$D$25, B26 &amp; " US"))=0,0,SUM(SUMIFS(Options!$AK$4:$AK$25, Options!$D$4:$D$25, B26), SUMIFS(Options!AK$4:$AK$25, Options!$D$4:$D$25, B26 &amp; " US")))</f>
        <v>0</v>
      </c>
      <c r="T26" s="484">
        <f t="shared" si="10"/>
        <v>778677.2</v>
      </c>
      <c r="U26" s="47">
        <f t="shared" si="11"/>
        <v>3.2496822652930597E-4</v>
      </c>
      <c r="V26" s="19">
        <f t="shared" si="12"/>
        <v>0</v>
      </c>
      <c r="W26" s="15">
        <f t="shared" si="13"/>
        <v>144629.52425215481</v>
      </c>
      <c r="X26" s="18"/>
      <c r="Y26" s="303">
        <f>Tabelad[[#This Row],[Exp %]]*$Y$10*$AD$7/Tabelad[[#This Row],[Price Today]]</f>
        <v>657.99999999999989</v>
      </c>
      <c r="Z26" s="196">
        <f>Tabelad[[#This Row],[Vol 10d]]/16*Tabelad[[#This Row],[Exp %]]*100</f>
        <v>0.13250497118241936</v>
      </c>
      <c r="AA26" s="18">
        <f>Tabelad[[#This Row],[Exp %]]*Tabelad[[#This Row],[Beta Adj2]]</f>
        <v>3.3081726938391634E-4</v>
      </c>
      <c r="AB26" s="35">
        <f>_xll.BDP($B26&amp;" Equity","volatility_10d")</f>
        <v>65.239594700115049</v>
      </c>
      <c r="AC26" s="35" cm="1">
        <f t="array" ref="AC26">_xll.BDP(B26&amp;" EQUITY","eqy_beta")</f>
        <v>1.0179988145828247</v>
      </c>
      <c r="AD26" s="15">
        <f>Tabelad[[#This Row],[D1 P&amp;L bps]]*$AD$5/10000</f>
        <v>0</v>
      </c>
      <c r="AE26" s="207"/>
      <c r="AF26" s="186" t="str">
        <f>_xll.BDP(B26&amp;" Equity","EXPECTED_REPORT_DT")</f>
        <v>30/04/2026</v>
      </c>
      <c r="AG26" s="140" t="e">
        <f>_xll.BDP(B26&amp;" Index","CHG_PCT_1D_PRE_FROM_REGULAR")/100</f>
        <v>#VALUE!</v>
      </c>
      <c r="AH26" s="19" t="e">
        <f t="shared" si="14"/>
        <v>#VALUE!</v>
      </c>
      <c r="AI26" s="485" t="str">
        <f>_xll.BDP(B26&amp;" Equity","DVD_EX_DT")</f>
        <v>19/02/2026</v>
      </c>
    </row>
    <row r="27" spans="1:35">
      <c r="B27" s="362" t="s">
        <v>933</v>
      </c>
      <c r="C27" t="s">
        <v>805</v>
      </c>
      <c r="E27" t="s">
        <v>779</v>
      </c>
      <c r="F27" s="21" t="s">
        <v>47</v>
      </c>
      <c r="G27" s="15"/>
      <c r="H27" s="365">
        <v>1393</v>
      </c>
      <c r="I27" s="35" cm="1">
        <f t="array" ref="I27">_xll.BDP(B27&amp;" Equity","LAST_PRICE")</f>
        <v>842000</v>
      </c>
      <c r="J27" s="50">
        <f t="shared" si="7"/>
        <v>-6.4444444444444415E-2</v>
      </c>
      <c r="K27" s="357">
        <f>_xll.BDP(B27&amp;" equity","PX_YEST_CLOSE")</f>
        <v>900000</v>
      </c>
      <c r="L27" s="52">
        <f>_xll.BDP(E27&amp;" Curncy","PX_LAST")</f>
        <v>1466.15</v>
      </c>
      <c r="M27" s="51">
        <v>1</v>
      </c>
      <c r="N27" s="15">
        <f t="shared" si="8"/>
        <v>799990.45118166623</v>
      </c>
      <c r="O27" s="285">
        <f>IFERROR(IF(Tabelad[[#This Row],[D1 Exp USD]]&lt;&gt;0,N27/$AE$7,0),"-")</f>
        <v>3.3386296421788824E-4</v>
      </c>
      <c r="P27" s="19">
        <f>IFERROR(IF(Tabelad[[#This Row],[D1 Exp USD]]&lt;&gt;0,((I27-K27)/L27*M27*H27)/$AD$7*10000,0),"-")</f>
        <v>-0.22997686371303469</v>
      </c>
      <c r="Q27" s="15">
        <f>IF(SUM(SUMIFS(Options!$AL$4:$AL$25, Options!$D$4:$D$25, B27), SUMIFS(Options!$AL$4:$AL$25, Options!$D$4:$D$25, B27 &amp; " US"))=0,0,SUM(SUMIFS(Options!$AL$4:$AL$25, Options!$D$4:$D$25, B27), SUMIFS(Options!$AL$4:$AL$25, Options!$D$4:$D$25, B27 &amp; " US")))</f>
        <v>0</v>
      </c>
      <c r="R27" s="18">
        <f t="shared" si="39"/>
        <v>0</v>
      </c>
      <c r="S27" s="19">
        <f>IF(SUM(SUMIFS(Options!$AK$4:$AK$25, Options!$D$4:$D$25, B27), SUMIFS(Options!$AK$4:$AK$25, Options!$D$4:$D$25, B27 &amp; " US"))=0,0,SUM(SUMIFS(Options!$AK$4:$AK$25, Options!$D$4:$D$25, B27), SUMIFS(Options!AK$4:$AK$25, Options!$D$4:$D$25, B27 &amp; " US")))</f>
        <v>0</v>
      </c>
      <c r="T27" s="13">
        <f t="shared" si="10"/>
        <v>799990.45118166623</v>
      </c>
      <c r="U27" s="47">
        <f t="shared" si="11"/>
        <v>3.3386296421788824E-4</v>
      </c>
      <c r="V27" s="19">
        <f t="shared" si="12"/>
        <v>-0.22997686371303469</v>
      </c>
      <c r="W27" s="15">
        <f t="shared" si="13"/>
        <v>104309.26377707542</v>
      </c>
      <c r="X27" s="18"/>
      <c r="Y27" s="303">
        <f>Tabelad[[#This Row],[Exp %]]*$Y$10*$AD$7/Tabelad[[#This Row],[Price Today]]</f>
        <v>0.332537598472189</v>
      </c>
      <c r="Z27" s="196">
        <f>Tabelad[[#This Row],[Vol 10d]]/16*Tabelad[[#This Row],[Exp %]]*100</f>
        <v>0.22036145025190651</v>
      </c>
      <c r="AA27" s="18">
        <f>Tabelad[[#This Row],[Exp %]]*Tabelad[[#This Row],[Beta Adj2]]</f>
        <v>5.57549147066088E-4</v>
      </c>
      <c r="AB27" s="35">
        <f>_xll.BDP($B27&amp;" Equity","volatility_10d")</f>
        <v>105.6057</v>
      </c>
      <c r="AC27" s="35">
        <f>_xll.BDP(B27&amp;" EQUITY","eqy_beta")</f>
        <v>1.669994</v>
      </c>
      <c r="AD27" s="15">
        <f>Tabelad[[#This Row],[D1 P&amp;L bps]]*$AD$5/10000</f>
        <v>-51653.610072813259</v>
      </c>
      <c r="AE27" s="207"/>
      <c r="AF27" s="186" t="str">
        <f>_xll.BDP(B27&amp;" Equity","EXPECTED_REPORT_DT")</f>
        <v>23/04/2026</v>
      </c>
      <c r="AG27" s="140" t="e">
        <f>_xll.BDP(B27&amp;" Index","CHG_PCT_1D_PRE_FROM_REGULAR")/100</f>
        <v>#VALUE!</v>
      </c>
      <c r="AH27" s="19" t="e">
        <f t="shared" si="14"/>
        <v>#VALUE!</v>
      </c>
      <c r="AI27" s="364" t="str">
        <f>_xll.BDP(B27&amp;" Equity","DVD_EX_DT")</f>
        <v>26/02/2026</v>
      </c>
    </row>
    <row r="28" spans="1:35">
      <c r="B28" s="362" t="s">
        <v>530</v>
      </c>
      <c r="C28" t="s">
        <v>805</v>
      </c>
      <c r="E28" t="s">
        <v>779</v>
      </c>
      <c r="F28" s="21" t="s">
        <v>47</v>
      </c>
      <c r="G28" s="15"/>
      <c r="H28" s="365">
        <v>910</v>
      </c>
      <c r="I28" s="35" cm="1">
        <f t="array" ref="I28">_xll.BDP(B28&amp;" Equity","LAST_PRICE")</f>
        <v>540000</v>
      </c>
      <c r="J28" s="50">
        <f t="shared" si="7"/>
        <v>-4.4247787610619427E-2</v>
      </c>
      <c r="K28" s="357">
        <f>_xll.BDP(B28&amp;" equity","PX_YEST_CLOSE")</f>
        <v>565000</v>
      </c>
      <c r="L28" s="52">
        <f>_xll.BDP(E28&amp;" Curncy","PX_LAST")</f>
        <v>1466.15</v>
      </c>
      <c r="M28" s="51">
        <v>1</v>
      </c>
      <c r="N28" s="15">
        <f t="shared" si="8"/>
        <v>335163.52351396513</v>
      </c>
      <c r="O28" s="285">
        <f>IFERROR(IF(Tabelad[[#This Row],[D1 Exp USD]]&lt;&gt;0,N28/$AE$7,0),"-")</f>
        <v>1.3987502887415556E-4</v>
      </c>
      <c r="P28" s="19">
        <f>IFERROR(IF(Tabelad[[#This Row],[D1 Exp USD]]&lt;&gt;0,((I28-K28)/L28*M28*H28)/$AD$7*10000,0),"-")</f>
        <v>-6.4756957812109051E-2</v>
      </c>
      <c r="Q28" s="15">
        <f>IF(SUM(SUMIFS(Options!$AL$4:$AL$25, Options!$D$4:$D$25, B28), SUMIFS(Options!$AL$4:$AL$25, Options!$D$4:$D$25, B28 &amp; " US"))=0,0,SUM(SUMIFS(Options!$AL$4:$AL$25, Options!$D$4:$D$25, B28), SUMIFS(Options!$AL$4:$AL$25, Options!$D$4:$D$25, B28 &amp; " US")))</f>
        <v>0</v>
      </c>
      <c r="R28" s="18">
        <f t="shared" si="39"/>
        <v>0</v>
      </c>
      <c r="S28" s="19">
        <f>IF(SUM(SUMIFS(Options!$AK$4:$AK$25, Options!$D$4:$D$25, B28), SUMIFS(Options!$AK$4:$AK$25, Options!$D$4:$D$25, B28 &amp; " US"))=0,0,SUM(SUMIFS(Options!$AK$4:$AK$25, Options!$D$4:$D$25, B28), SUMIFS(Options!AK$4:$AK$25, Options!$D$4:$D$25, B28 &amp; " US")))</f>
        <v>0</v>
      </c>
      <c r="T28" s="13">
        <f t="shared" si="10"/>
        <v>335163.52351396513</v>
      </c>
      <c r="U28" s="47">
        <f t="shared" si="11"/>
        <v>1.3987502887415556E-4</v>
      </c>
      <c r="V28" s="19">
        <f t="shared" si="12"/>
        <v>-6.4756957812109051E-2</v>
      </c>
      <c r="W28" s="15">
        <f t="shared" si="13"/>
        <v>162645.1853709213</v>
      </c>
      <c r="X28" s="18"/>
      <c r="Y28" s="303">
        <f>Tabelad[[#This Row],[Exp %]]*$Y$10*$AD$7/Tabelad[[#This Row],[Price Today]]</f>
        <v>0.21723561709238481</v>
      </c>
      <c r="Z28" s="196">
        <f>Tabelad[[#This Row],[Vol 10d]]/16*Tabelad[[#This Row],[Exp %]]*100</f>
        <v>9.5997805910407782E-2</v>
      </c>
      <c r="AA28" s="18">
        <f>Tabelad[[#This Row],[Exp %]]*Tabelad[[#This Row],[Beta Adj2]]</f>
        <v>2.7759528292850479E-4</v>
      </c>
      <c r="AB28" s="35">
        <f>_xll.BDP($B28&amp;" Equity","volatility_10d")</f>
        <v>109.8098</v>
      </c>
      <c r="AC28" s="35">
        <f>_xll.BDP(B28&amp;" EQUITY","eqy_beta")</f>
        <v>1.9845950000000001</v>
      </c>
      <c r="AD28" s="15">
        <f>Tabelad[[#This Row],[D1 P&amp;L bps]]*$AD$5/10000</f>
        <v>-14544.639814299348</v>
      </c>
      <c r="AE28" s="207"/>
      <c r="AF28" s="186" t="str">
        <f>_xll.BDP(B28&amp;" Equity","EXPECTED_REPORT_DT")</f>
        <v>11/03/2026</v>
      </c>
      <c r="AG28" s="140" t="e">
        <f>_xll.BDP(B28&amp;" Index","CHG_PCT_1D_PRE_FROM_REGULAR")/100</f>
        <v>#VALUE!</v>
      </c>
      <c r="AH28" s="19" t="e">
        <f t="shared" si="14"/>
        <v>#VALUE!</v>
      </c>
      <c r="AI28" s="364" t="str">
        <f>_xll.BDP(B28&amp;" Equity","DVD_EX_DT")</f>
        <v>#N/A N/A</v>
      </c>
    </row>
    <row r="29" spans="1:35">
      <c r="B29" s="362" t="s">
        <v>1091</v>
      </c>
      <c r="C29" t="s">
        <v>805</v>
      </c>
      <c r="E29" t="s">
        <v>779</v>
      </c>
      <c r="F29" s="21" t="s">
        <v>47</v>
      </c>
      <c r="G29" s="15"/>
      <c r="H29" s="365">
        <v>6180</v>
      </c>
      <c r="I29" s="35" cm="1">
        <f t="array" ref="I29">_xll.BDP(B29&amp;" Equity","LAST_PRICE")</f>
        <v>161100</v>
      </c>
      <c r="J29" s="50">
        <f t="shared" si="7"/>
        <v>-4.1641879833432482E-2</v>
      </c>
      <c r="K29" s="357">
        <f>_xll.BDP(B29&amp;" equity","PX_YEST_CLOSE")</f>
        <v>168100</v>
      </c>
      <c r="L29" s="52">
        <f>_xll.BDP(E29&amp;" Curncy","PX_LAST")</f>
        <v>1466.15</v>
      </c>
      <c r="M29" s="51">
        <v>1</v>
      </c>
      <c r="N29" s="15">
        <f t="shared" si="8"/>
        <v>679056.03110186534</v>
      </c>
      <c r="O29" s="285">
        <f>IFERROR(IF(Tabelad[[#This Row],[D1 Exp USD]]&lt;&gt;0,N29/$AE$7,0),"-")</f>
        <v>2.8339295685195665E-4</v>
      </c>
      <c r="P29" s="19">
        <f>IFERROR(IF(Tabelad[[#This Row],[D1 Exp USD]]&lt;&gt;0,((I29-K29)/L29*M29*H29)/$AD$7*10000,0),"-")</f>
        <v>-0.1231378459319489</v>
      </c>
      <c r="Q29" s="15">
        <f>IF(SUM(SUMIFS(Options!$AL$4:$AL$25, Options!$D$4:$D$25, B29), SUMIFS(Options!$AL$4:$AL$25, Options!$D$4:$D$25, B29 &amp; " US"))=0,0,SUM(SUMIFS(Options!$AL$4:$AL$25, Options!$D$4:$D$25, B29), SUMIFS(Options!$AL$4:$AL$25, Options!$D$4:$D$25, B29 &amp; " US")))</f>
        <v>0</v>
      </c>
      <c r="R29" s="18">
        <f>Q29/$AE$7</f>
        <v>0</v>
      </c>
      <c r="S29" s="19">
        <f>IF(SUM(SUMIFS(Options!$AK$4:$AK$25, Options!$D$4:$D$25, B29), SUMIFS(Options!$AK$4:$AK$25, Options!$D$4:$D$25, B29 &amp; " US"))=0,0,SUM(SUMIFS(Options!$AK$4:$AK$25, Options!$D$4:$D$25, B29), SUMIFS(Options!AK$4:$AK$25, Options!$D$4:$D$25, B29 &amp; " US")))</f>
        <v>0</v>
      </c>
      <c r="T29" s="13">
        <f t="shared" si="10"/>
        <v>679056.03110186534</v>
      </c>
      <c r="U29" s="47">
        <f t="shared" si="11"/>
        <v>2.8339295685195665E-4</v>
      </c>
      <c r="V29" s="19">
        <f t="shared" si="12"/>
        <v>-0.1231378459319489</v>
      </c>
      <c r="W29" s="15">
        <f t="shared" si="13"/>
        <v>545179.39230476413</v>
      </c>
      <c r="X29" s="18"/>
      <c r="Y29" s="303">
        <f>Tabelad[[#This Row],[Exp %]]*$Y$10*$AD$7/Tabelad[[#This Row],[Price Today]]</f>
        <v>1.47529243256147</v>
      </c>
      <c r="Z29" s="196">
        <f>Tabelad[[#This Row],[Vol 10d]]/16*Tabelad[[#This Row],[Exp %]]*100</f>
        <v>0.13972284131416229</v>
      </c>
      <c r="AA29" s="18">
        <f>Tabelad[[#This Row],[Exp %]]*Tabelad[[#This Row],[Beta Adj2]]</f>
        <v>3.3046452698506663E-4</v>
      </c>
      <c r="AB29" s="35">
        <f>_xll.BDP($B29&amp;" Equity","volatility_10d")</f>
        <v>78.885710000000003</v>
      </c>
      <c r="AC29" s="35">
        <f>_xll.BDP(B29&amp;" EQUITY","eqy_beta")</f>
        <v>1.1660999999999999</v>
      </c>
      <c r="AD29" s="15">
        <f>Tabelad[[#This Row],[D1 P&amp;L bps]]*$AD$5/10000</f>
        <v>-27657.192016113837</v>
      </c>
      <c r="AE29" s="207"/>
      <c r="AF29" s="186" t="str">
        <f>_xll.BDP(B29&amp;" Equity","EXPECTED_REPORT_DT")</f>
        <v>07/04/2026</v>
      </c>
      <c r="AG29" s="140" t="e">
        <f>_xll.BDP(B29&amp;" Index","CHG_PCT_1D_PRE_FROM_REGULAR")/100</f>
        <v>#VALUE!</v>
      </c>
      <c r="AH29" s="19" t="e">
        <f t="shared" si="14"/>
        <v>#VALUE!</v>
      </c>
      <c r="AI29" s="364" t="str">
        <f>_xll.BDP(B29&amp;" Equity","DVD_EX_DT")</f>
        <v>29/12/2025</v>
      </c>
    </row>
    <row r="30" spans="1:35" s="58" customFormat="1">
      <c r="A30" s="399"/>
      <c r="B30" s="486" t="s">
        <v>933</v>
      </c>
      <c r="C30" s="58" t="s">
        <v>805</v>
      </c>
      <c r="E30" s="58" t="s">
        <v>779</v>
      </c>
      <c r="F30" s="134" t="s">
        <v>47</v>
      </c>
      <c r="G30" s="332"/>
      <c r="H30" s="400">
        <v>170</v>
      </c>
      <c r="I30" s="14" cm="1">
        <f t="array" ref="I30">_xll.BDP(B30&amp;" Equity","LAST_PRICE")</f>
        <v>842000</v>
      </c>
      <c r="J30" s="401">
        <f t="shared" ref="J30:J33" si="48">I30/K30-1</f>
        <v>-3.1784602661419359E-2</v>
      </c>
      <c r="K30" s="415">
        <v>869641.2</v>
      </c>
      <c r="L30" s="8">
        <f>_xll.BDP(E30&amp;" Curncy","PX_LAST")</f>
        <v>1466.15</v>
      </c>
      <c r="M30" s="402">
        <v>1</v>
      </c>
      <c r="N30" s="332">
        <f t="shared" ref="N30:N33" si="49">IFERROR(IF(((I30/L30)*H30*M30)&lt;&gt;0,((I30/L30)*H30*M30),0),"-")</f>
        <v>97629.846877877426</v>
      </c>
      <c r="O30" s="403">
        <f>IFERROR(IF(Tabelad[[#This Row],[D1 Exp USD]]&lt;&gt;0,N30/$AE$7,0),"-")</f>
        <v>4.0744223917473798E-5</v>
      </c>
      <c r="P30" s="404">
        <f>IFERROR(IF(Tabelad[[#This Row],[D1 Exp USD]]&lt;&gt;0,((I30-K30)/L30*M30*H30)/$AD$7*10000,0),"-")</f>
        <v>-1.3375525441183787E-2</v>
      </c>
      <c r="Q30" s="332">
        <f>IF(SUM(SUMIFS(Options!$AL$4:$AL$25, Options!$D$4:$D$25, B30), SUMIFS(Options!$AL$4:$AL$25, Options!$D$4:$D$25, B30 &amp; " US"))=0,0,SUM(SUMIFS(Options!$AL$4:$AL$25, Options!$D$4:$D$25, B30), SUMIFS(Options!$AL$4:$AL$25, Options!$D$4:$D$25, B30 &amp; " US")))</f>
        <v>0</v>
      </c>
      <c r="R30" s="125">
        <f t="shared" ref="R30:R32" si="50">Q30/$AE$7</f>
        <v>0</v>
      </c>
      <c r="S30" s="404">
        <f>IF(SUM(SUMIFS(Options!$AK$4:$AK$25, Options!$D$4:$D$25, B30), SUMIFS(Options!$AK$4:$AK$25, Options!$D$4:$D$25, B30 &amp; " US"))=0,0,SUM(SUMIFS(Options!$AK$4:$AK$25, Options!$D$4:$D$25, B30), SUMIFS(Options!AK$4:$AK$25, Options!$D$4:$D$25, B30 &amp; " US")))</f>
        <v>0</v>
      </c>
      <c r="T30" s="405">
        <f t="shared" ref="T30:T33" si="51">N30+Q30</f>
        <v>97629.846877877426</v>
      </c>
      <c r="U30" s="406">
        <f t="shared" ref="U30:U33" si="52">T30/$AE$7</f>
        <v>4.0744223917473798E-5</v>
      </c>
      <c r="V30" s="404">
        <f t="shared" ref="V30:V33" si="53">P30+S30</f>
        <v>-1.3375525441183787E-2</v>
      </c>
      <c r="W30" s="332">
        <f t="shared" ref="W30:W33" si="54">$W$10/(I30/L30*M30)</f>
        <v>104309.26377707542</v>
      </c>
      <c r="X30" s="125"/>
      <c r="Y30" s="407">
        <f>Tabelad[[#This Row],[Exp %]]*$Y$10*$AD$7/Tabelad[[#This Row],[Price Today]]</f>
        <v>4.0582477918357597E-2</v>
      </c>
      <c r="Z30" s="408">
        <f>Tabelad[[#This Row],[Vol 10d]]/16*Tabelad[[#This Row],[Exp %]]*100</f>
        <v>2.6892639298509765E-2</v>
      </c>
      <c r="AA30" s="125">
        <f>Tabelad[[#This Row],[Exp %]]*Tabelad[[#This Row],[Beta Adj2]]</f>
        <v>6.8042609476837742E-5</v>
      </c>
      <c r="AB30" s="14">
        <f>_xll.BDP($B30&amp;" Equity","volatility_10d")</f>
        <v>105.6057</v>
      </c>
      <c r="AC30" s="14">
        <f>_xll.BDP(B30&amp;" EQUITY","eqy_beta")</f>
        <v>1.669994</v>
      </c>
      <c r="AD30" s="332">
        <f>Tabelad[[#This Row],[D1 P&amp;L bps]]*$AD$5/10000</f>
        <v>-3004.1899193824956</v>
      </c>
      <c r="AE30" s="266"/>
      <c r="AF30" s="409" t="str">
        <f>_xll.BDP(B30&amp;" Equity","EXPECTED_REPORT_DT")</f>
        <v>23/04/2026</v>
      </c>
      <c r="AG30" s="410" t="e">
        <f>_xll.BDP(B30&amp;" Index","CHG_PCT_1D_PRE_FROM_REGULAR")/100</f>
        <v>#VALUE!</v>
      </c>
      <c r="AH30" s="404" t="e">
        <f t="shared" ref="AH30:AH33" si="55">(T30*AG30)/$AD$7*10000</f>
        <v>#VALUE!</v>
      </c>
      <c r="AI30" s="411" t="str">
        <f>_xll.BDP(B30&amp;" Equity","DVD_EX_DT")</f>
        <v>26/02/2026</v>
      </c>
    </row>
    <row r="31" spans="1:35" s="58" customFormat="1">
      <c r="A31" s="399"/>
      <c r="B31" s="486" t="s">
        <v>530</v>
      </c>
      <c r="C31" s="58" t="s">
        <v>805</v>
      </c>
      <c r="E31" s="58" t="s">
        <v>779</v>
      </c>
      <c r="F31" s="134" t="s">
        <v>47</v>
      </c>
      <c r="G31" s="332"/>
      <c r="H31" s="400">
        <v>270</v>
      </c>
      <c r="I31" s="14" cm="1">
        <f t="array" ref="I31">_xll.BDP(B31&amp;" Equity","LAST_PRICE")</f>
        <v>540000</v>
      </c>
      <c r="J31" s="401">
        <f t="shared" si="48"/>
        <v>-2.5609508318949037E-2</v>
      </c>
      <c r="K31" s="415">
        <v>554192.6</v>
      </c>
      <c r="L31" s="8">
        <f>_xll.BDP(E31&amp;" Curncy","PX_LAST")</f>
        <v>1466.15</v>
      </c>
      <c r="M31" s="402">
        <v>1</v>
      </c>
      <c r="N31" s="332">
        <f t="shared" si="49"/>
        <v>99444.122361286354</v>
      </c>
      <c r="O31" s="403">
        <f>IFERROR(IF(Tabelad[[#This Row],[D1 Exp USD]]&lt;&gt;0,N31/$AE$7,0),"-")</f>
        <v>4.1501382193430768E-5</v>
      </c>
      <c r="P31" s="404">
        <f>IFERROR(IF(Tabelad[[#This Row],[D1 Exp USD]]&lt;&gt;0,((I31-K31)/L31*M31*H31)/$AD$7*10000,0),"-")</f>
        <v>-1.0907639202194161E-2</v>
      </c>
      <c r="Q31" s="332">
        <f>IF(SUM(SUMIFS(Options!$AL$4:$AL$25, Options!$D$4:$D$25, B31), SUMIFS(Options!$AL$4:$AL$25, Options!$D$4:$D$25, B31 &amp; " US"))=0,0,SUM(SUMIFS(Options!$AL$4:$AL$25, Options!$D$4:$D$25, B31), SUMIFS(Options!$AL$4:$AL$25, Options!$D$4:$D$25, B31 &amp; " US")))</f>
        <v>0</v>
      </c>
      <c r="R31" s="125">
        <f t="shared" si="50"/>
        <v>0</v>
      </c>
      <c r="S31" s="404">
        <f>IF(SUM(SUMIFS(Options!$AK$4:$AK$25, Options!$D$4:$D$25, B31), SUMIFS(Options!$AK$4:$AK$25, Options!$D$4:$D$25, B31 &amp; " US"))=0,0,SUM(SUMIFS(Options!$AK$4:$AK$25, Options!$D$4:$D$25, B31), SUMIFS(Options!AK$4:$AK$25, Options!$D$4:$D$25, B31 &amp; " US")))</f>
        <v>0</v>
      </c>
      <c r="T31" s="405">
        <f t="shared" si="51"/>
        <v>99444.122361286354</v>
      </c>
      <c r="U31" s="406">
        <f t="shared" si="52"/>
        <v>4.1501382193430768E-5</v>
      </c>
      <c r="V31" s="404">
        <f t="shared" si="53"/>
        <v>-1.0907639202194161E-2</v>
      </c>
      <c r="W31" s="332">
        <f t="shared" si="54"/>
        <v>162645.1853709213</v>
      </c>
      <c r="X31" s="125"/>
      <c r="Y31" s="407">
        <f>Tabelad[[#This Row],[Exp %]]*$Y$10*$AD$7/Tabelad[[#This Row],[Price Today]]</f>
        <v>6.4454523752685594E-2</v>
      </c>
      <c r="Z31" s="408">
        <f>Tabelad[[#This Row],[Vol 10d]]/16*Tabelad[[#This Row],[Exp %]]*100</f>
        <v>2.8482865489901213E-2</v>
      </c>
      <c r="AA31" s="125">
        <f>Tabelad[[#This Row],[Exp %]]*Tabelad[[#This Row],[Beta Adj2]]</f>
        <v>8.2363435594171733E-5</v>
      </c>
      <c r="AB31" s="14">
        <f>_xll.BDP($B31&amp;" Equity","volatility_10d")</f>
        <v>109.8098</v>
      </c>
      <c r="AC31" s="14">
        <f>_xll.BDP(B31&amp;" EQUITY","eqy_beta")</f>
        <v>1.9845950000000001</v>
      </c>
      <c r="AD31" s="332">
        <f>Tabelad[[#This Row],[D1 P&amp;L bps]]*$AD$5/10000</f>
        <v>-2449.8940157219631</v>
      </c>
      <c r="AE31" s="266"/>
      <c r="AF31" s="409" t="str">
        <f>_xll.BDP(B31&amp;" Equity","EXPECTED_REPORT_DT")</f>
        <v>11/03/2026</v>
      </c>
      <c r="AG31" s="410" t="e">
        <f>_xll.BDP(B31&amp;" Index","CHG_PCT_1D_PRE_FROM_REGULAR")/100</f>
        <v>#VALUE!</v>
      </c>
      <c r="AH31" s="404" t="e">
        <f t="shared" si="55"/>
        <v>#VALUE!</v>
      </c>
      <c r="AI31" s="411" t="str">
        <f>_xll.BDP(B31&amp;" Equity","DVD_EX_DT")</f>
        <v>#N/A N/A</v>
      </c>
    </row>
    <row r="32" spans="1:35" s="58" customFormat="1">
      <c r="A32" s="399"/>
      <c r="B32" s="486" t="s">
        <v>1091</v>
      </c>
      <c r="C32" s="58" t="s">
        <v>805</v>
      </c>
      <c r="E32" s="58" t="s">
        <v>779</v>
      </c>
      <c r="F32" s="134" t="s">
        <v>47</v>
      </c>
      <c r="G32" s="332"/>
      <c r="H32" s="400">
        <v>900</v>
      </c>
      <c r="I32" s="14" cm="1">
        <f t="array" ref="I32">_xll.BDP(B32&amp;" Equity","LAST_PRICE")</f>
        <v>161100</v>
      </c>
      <c r="J32" s="401">
        <f t="shared" si="48"/>
        <v>-9.8303988828477573E-3</v>
      </c>
      <c r="K32" s="415">
        <v>162699.4</v>
      </c>
      <c r="L32" s="8">
        <f>_xll.BDP(E32&amp;" Curncy","PX_LAST")</f>
        <v>1466.15</v>
      </c>
      <c r="M32" s="402">
        <v>1</v>
      </c>
      <c r="N32" s="332">
        <f t="shared" si="49"/>
        <v>98891.65501483476</v>
      </c>
      <c r="O32" s="403">
        <f>IFERROR(IF(Tabelad[[#This Row],[D1 Exp USD]]&lt;&gt;0,N32/$AE$7,0),"-")</f>
        <v>4.1270818959022819E-5</v>
      </c>
      <c r="P32" s="404">
        <f>IFERROR(IF(Tabelad[[#This Row],[D1 Exp USD]]&lt;&gt;0,((I32-K32)/L32*M32*H32)/$AD$7*10000,0),"-")</f>
        <v>-4.0973648568007988E-3</v>
      </c>
      <c r="Q32" s="332">
        <f>IF(SUM(SUMIFS(Options!$AL$4:$AL$25, Options!$D$4:$D$25, B32), SUMIFS(Options!$AL$4:$AL$25, Options!$D$4:$D$25, B32 &amp; " US"))=0,0,SUM(SUMIFS(Options!$AL$4:$AL$25, Options!$D$4:$D$25, B32), SUMIFS(Options!$AL$4:$AL$25, Options!$D$4:$D$25, B32 &amp; " US")))</f>
        <v>0</v>
      </c>
      <c r="R32" s="125">
        <f>Q32/$AE$7</f>
        <v>0</v>
      </c>
      <c r="S32" s="404">
        <f>IF(SUM(SUMIFS(Options!$AK$4:$AK$25, Options!$D$4:$D$25, B32), SUMIFS(Options!$AK$4:$AK$25, Options!$D$4:$D$25, B32 &amp; " US"))=0,0,SUM(SUMIFS(Options!$AK$4:$AK$25, Options!$D$4:$D$25, B32), SUMIFS(Options!AK$4:$AK$25, Options!$D$4:$D$25, B32 &amp; " US")))</f>
        <v>0</v>
      </c>
      <c r="T32" s="405">
        <f t="shared" si="51"/>
        <v>98891.65501483476</v>
      </c>
      <c r="U32" s="406">
        <f t="shared" si="52"/>
        <v>4.1270818959022819E-5</v>
      </c>
      <c r="V32" s="404">
        <f t="shared" si="53"/>
        <v>-4.0973648568007988E-3</v>
      </c>
      <c r="W32" s="332">
        <f t="shared" si="54"/>
        <v>545179.39230476413</v>
      </c>
      <c r="X32" s="125"/>
      <c r="Y32" s="407">
        <f>Tabelad[[#This Row],[Exp %]]*$Y$10*$AD$7/Tabelad[[#This Row],[Price Today]]</f>
        <v>0.21484841250895198</v>
      </c>
      <c r="Z32" s="408">
        <f>Tabelad[[#This Row],[Vol 10d]]/16*Tabelad[[#This Row],[Exp %]]*100</f>
        <v>2.0347986599149853E-2</v>
      </c>
      <c r="AA32" s="125">
        <f>Tabelad[[#This Row],[Exp %]]*Tabelad[[#This Row],[Beta Adj2]]</f>
        <v>4.8125901988116505E-5</v>
      </c>
      <c r="AB32" s="14">
        <f>_xll.BDP($B32&amp;" Equity","volatility_10d")</f>
        <v>78.885710000000003</v>
      </c>
      <c r="AC32" s="14">
        <f>_xll.BDP(B32&amp;" EQUITY","eqy_beta")</f>
        <v>1.1660999999999999</v>
      </c>
      <c r="AD32" s="332">
        <f>Tabelad[[#This Row],[D1 P&amp;L bps]]*$AD$5/10000</f>
        <v>-920.28251547653917</v>
      </c>
      <c r="AE32" s="266"/>
      <c r="AF32" s="409" t="str">
        <f>_xll.BDP(B32&amp;" Equity","EXPECTED_REPORT_DT")</f>
        <v>07/04/2026</v>
      </c>
      <c r="AG32" s="410" t="e">
        <f>_xll.BDP(B32&amp;" Index","CHG_PCT_1D_PRE_FROM_REGULAR")/100</f>
        <v>#VALUE!</v>
      </c>
      <c r="AH32" s="404" t="e">
        <f t="shared" si="55"/>
        <v>#VALUE!</v>
      </c>
      <c r="AI32" s="411" t="str">
        <f>_xll.BDP(B32&amp;" Equity","DVD_EX_DT")</f>
        <v>29/12/2025</v>
      </c>
    </row>
    <row r="33" spans="1:35" s="58" customFormat="1">
      <c r="A33" s="399"/>
      <c r="B33" s="486" t="s">
        <v>1149</v>
      </c>
      <c r="C33" s="58" t="s">
        <v>805</v>
      </c>
      <c r="E33" s="58" t="s">
        <v>1150</v>
      </c>
      <c r="F33" s="134" t="s">
        <v>47</v>
      </c>
      <c r="G33" s="332"/>
      <c r="H33" s="400">
        <v>400</v>
      </c>
      <c r="I33" s="14" cm="1">
        <f t="array" ref="I33">_xll.BDP(B33&amp;" Equity","LAST_PRICE")</f>
        <v>17180</v>
      </c>
      <c r="J33" s="401">
        <f t="shared" si="48"/>
        <v>8.8079859072225375E-3</v>
      </c>
      <c r="K33" s="415">
        <v>17030</v>
      </c>
      <c r="L33" s="8">
        <f>_xll.BDP(E33&amp;" Curncy","PX_LAST")</f>
        <v>157.16</v>
      </c>
      <c r="M33" s="402">
        <v>1</v>
      </c>
      <c r="N33" s="332">
        <f t="shared" si="49"/>
        <v>43726.138966658189</v>
      </c>
      <c r="O33" s="403">
        <f>IFERROR(IF(Tabelad[[#This Row],[D1 Exp USD]]&lt;&gt;0,N33/$AE$7,0),"-")</f>
        <v>1.8248390774725257E-5</v>
      </c>
      <c r="P33" s="404">
        <f>IFERROR(IF(Tabelad[[#This Row],[D1 Exp USD]]&lt;&gt;0,((I33-K33)/L33*M33*H33)/$AD$7*10000,0),"-")</f>
        <v>1.5932820816116342E-3</v>
      </c>
      <c r="Q33" s="332">
        <f>IF(SUM(SUMIFS(Options!$AL$4:$AL$25, Options!$D$4:$D$25, B33), SUMIFS(Options!$AL$4:$AL$25, Options!$D$4:$D$25, B33 &amp; " US"))=0,0,SUM(SUMIFS(Options!$AL$4:$AL$25, Options!$D$4:$D$25, B33), SUMIFS(Options!$AL$4:$AL$25, Options!$D$4:$D$25, B33 &amp; " US")))</f>
        <v>0</v>
      </c>
      <c r="R33" s="125">
        <f>Q33/$AE$7</f>
        <v>0</v>
      </c>
      <c r="S33" s="404">
        <f>IF(SUM(SUMIFS(Options!$AK$4:$AK$25, Options!$D$4:$D$25, B33), SUMIFS(Options!$AK$4:$AK$25, Options!$D$4:$D$25, B33 &amp; " US"))=0,0,SUM(SUMIFS(Options!$AK$4:$AK$25, Options!$D$4:$D$25, B33), SUMIFS(Options!AK$4:$AK$25, Options!$D$4:$D$25, B33 &amp; " US")))</f>
        <v>0</v>
      </c>
      <c r="T33" s="405">
        <f t="shared" si="51"/>
        <v>43726.138966658189</v>
      </c>
      <c r="U33" s="406">
        <f t="shared" si="52"/>
        <v>1.8248390774725257E-5</v>
      </c>
      <c r="V33" s="404">
        <f t="shared" si="53"/>
        <v>1.5932820816116342E-3</v>
      </c>
      <c r="W33" s="332">
        <f t="shared" si="54"/>
        <v>547993.5257551804</v>
      </c>
      <c r="X33" s="125"/>
      <c r="Y33" s="407">
        <f>Tabelad[[#This Row],[Exp %]]*$Y$10*$AD$7/Tabelad[[#This Row],[Price Today]]</f>
        <v>0.89081191142784433</v>
      </c>
      <c r="Z33" s="408">
        <f>Tabelad[[#This Row],[Vol 10d]]/16*Tabelad[[#This Row],[Exp %]]*100</f>
        <v>9.3854906732926489E-3</v>
      </c>
      <c r="AA33" s="125">
        <f>Tabelad[[#This Row],[Exp %]]*Tabelad[[#This Row],[Beta Adj2]]</f>
        <v>2.3988969544638331E-5</v>
      </c>
      <c r="AB33" s="14">
        <f>_xll.BDP($B33&amp;" Equity","volatility_10d")</f>
        <v>82.29101</v>
      </c>
      <c r="AC33" s="14">
        <f>_xll.BDP(B33&amp;" EQUITY","eqy_beta")</f>
        <v>1.3145800000000001</v>
      </c>
      <c r="AD33" s="332">
        <f>Tabelad[[#This Row],[D1 P&amp;L bps]]*$AD$5/10000</f>
        <v>357.85674285157688</v>
      </c>
      <c r="AE33" s="266"/>
      <c r="AF33" s="409" t="str">
        <f>_xll.BDP(B33&amp;" Equity","EXPECTED_REPORT_DT")</f>
        <v>05/02/2026</v>
      </c>
      <c r="AG33" s="410" t="e">
        <f>_xll.BDP(B33&amp;" Index","CHG_PCT_1D_PRE_FROM_REGULAR")/100</f>
        <v>#VALUE!</v>
      </c>
      <c r="AH33" s="404" t="e">
        <f t="shared" si="55"/>
        <v>#VALUE!</v>
      </c>
      <c r="AI33" s="411" t="str">
        <f>_xll.BDP(B33&amp;" Equity","DVD_EX_DT")</f>
        <v>30/03/2026</v>
      </c>
    </row>
    <row r="34" spans="1:35">
      <c r="B34" s="362" t="s">
        <v>1149</v>
      </c>
      <c r="C34" t="s">
        <v>805</v>
      </c>
      <c r="E34" t="s">
        <v>1150</v>
      </c>
      <c r="F34" s="21" t="s">
        <v>47</v>
      </c>
      <c r="G34" s="15"/>
      <c r="H34" s="365">
        <v>1000</v>
      </c>
      <c r="I34" s="35" cm="1">
        <f t="array" ref="I34">_xll.BDP(B34&amp;" Equity","LAST_PRICE")</f>
        <v>17180</v>
      </c>
      <c r="J34" s="50">
        <f t="shared" ref="J34" si="56">I34/K34-1</f>
        <v>4.8200122025625403E-2</v>
      </c>
      <c r="K34" s="357">
        <f>_xll.BDP(B34&amp;" equity","PX_YEST_CLOSE")</f>
        <v>16390</v>
      </c>
      <c r="L34" s="52">
        <f>_xll.BDP(E34&amp;" Curncy","PX_LAST")</f>
        <v>157.16</v>
      </c>
      <c r="M34" s="51">
        <v>1</v>
      </c>
      <c r="N34" s="15">
        <f t="shared" ref="N34" si="57">IFERROR(IF(((I34/L34)*H34*M34)&lt;&gt;0,((I34/L34)*H34*M34),0),"-")</f>
        <v>109315.34741664547</v>
      </c>
      <c r="O34" s="285">
        <f>IFERROR(IF(Tabelad[[#This Row],[D1 Exp USD]]&lt;&gt;0,N34/$AE$7,0),"-")</f>
        <v>4.5620976936813137E-5</v>
      </c>
      <c r="P34" s="19">
        <f>IFERROR(IF(Tabelad[[#This Row],[D1 Exp USD]]&lt;&gt;0,((I34-K34)/L34*M34*H34)/$AD$7*10000,0),"-")</f>
        <v>2.0978214074553185E-2</v>
      </c>
      <c r="Q34" s="15">
        <f>IF(SUM(SUMIFS(Options!$AL$4:$AL$25, Options!$D$4:$D$25, B34), SUMIFS(Options!$AL$4:$AL$25, Options!$D$4:$D$25, B34 &amp; " US"))=0,0,SUM(SUMIFS(Options!$AL$4:$AL$25, Options!$D$4:$D$25, B34), SUMIFS(Options!$AL$4:$AL$25, Options!$D$4:$D$25, B34 &amp; " US")))</f>
        <v>0</v>
      </c>
      <c r="R34" s="18">
        <f>Q34/$AE$7</f>
        <v>0</v>
      </c>
      <c r="S34" s="19">
        <f>IF(SUM(SUMIFS(Options!$AK$4:$AK$25, Options!$D$4:$D$25, B34), SUMIFS(Options!$AK$4:$AK$25, Options!$D$4:$D$25, B34 &amp; " US"))=0,0,SUM(SUMIFS(Options!$AK$4:$AK$25, Options!$D$4:$D$25, B34), SUMIFS(Options!AK$4:$AK$25, Options!$D$4:$D$25, B34 &amp; " US")))</f>
        <v>0</v>
      </c>
      <c r="T34" s="13">
        <f t="shared" ref="T34" si="58">N34+Q34</f>
        <v>109315.34741664547</v>
      </c>
      <c r="U34" s="47">
        <f t="shared" ref="U34" si="59">T34/$AE$7</f>
        <v>4.5620976936813137E-5</v>
      </c>
      <c r="V34" s="19">
        <f t="shared" ref="V34" si="60">P34+S34</f>
        <v>2.0978214074553185E-2</v>
      </c>
      <c r="W34" s="15">
        <f t="shared" ref="W34" si="61">$W$10/(I34/L34*M34)</f>
        <v>547993.5257551804</v>
      </c>
      <c r="X34" s="18"/>
      <c r="Y34" s="303">
        <f>Tabelad[[#This Row],[Exp %]]*$Y$10*$AD$7/Tabelad[[#This Row],[Price Today]]</f>
        <v>2.2270297785696109</v>
      </c>
      <c r="Z34" s="196">
        <f>Tabelad[[#This Row],[Vol 10d]]/16*Tabelad[[#This Row],[Exp %]]*100</f>
        <v>2.3463726683231618E-2</v>
      </c>
      <c r="AA34" s="18">
        <f>Tabelad[[#This Row],[Exp %]]*Tabelad[[#This Row],[Beta Adj2]]</f>
        <v>5.997242386159582E-5</v>
      </c>
      <c r="AB34" s="35">
        <f>_xll.BDP($B34&amp;" Equity","volatility_10d")</f>
        <v>82.29101</v>
      </c>
      <c r="AC34" s="35">
        <f>_xll.BDP(B34&amp;" EQUITY","eqy_beta")</f>
        <v>1.3145800000000001</v>
      </c>
      <c r="AD34" s="15">
        <f>Tabelad[[#This Row],[D1 P&amp;L bps]]*$AD$5/10000</f>
        <v>4711.7804475457624</v>
      </c>
      <c r="AE34" s="207"/>
      <c r="AF34" s="186" t="str">
        <f>_xll.BDP(B34&amp;" Equity","EXPECTED_REPORT_DT")</f>
        <v>05/02/2026</v>
      </c>
      <c r="AG34" s="140" t="e">
        <f>_xll.BDP(B34&amp;" Index","CHG_PCT_1D_PRE_FROM_REGULAR")/100</f>
        <v>#VALUE!</v>
      </c>
      <c r="AH34" s="19" t="e">
        <f t="shared" ref="AH34" si="62">(T34*AG34)/$AD$7*10000</f>
        <v>#VALUE!</v>
      </c>
      <c r="AI34" s="364" t="str">
        <f>_xll.BDP(B34&amp;" Equity","DVD_EX_DT")</f>
        <v>30/03/2026</v>
      </c>
    </row>
    <row r="35" spans="1:35">
      <c r="B35" s="39" t="s">
        <v>432</v>
      </c>
      <c r="C35" t="s">
        <v>805</v>
      </c>
      <c r="E35" t="s">
        <v>138</v>
      </c>
      <c r="F35" s="21" t="s">
        <v>47</v>
      </c>
      <c r="G35" s="15"/>
      <c r="H35" s="365">
        <v>34700</v>
      </c>
      <c r="I35" s="35" cm="1">
        <f t="array" ref="I35">_xll.BDP(B35&amp;" Equity","LAST_PRICE")</f>
        <v>120.26</v>
      </c>
      <c r="J35" s="50">
        <f t="shared" si="7"/>
        <v>0</v>
      </c>
      <c r="K35" s="357">
        <f>_xll.BDP(B35&amp;" equity","PX_YEST_CLOSE")</f>
        <v>120.26</v>
      </c>
      <c r="L35" s="52">
        <f>_xll.BDP(E35&amp;" Curncy","PX_LAST")</f>
        <v>1</v>
      </c>
      <c r="M35" s="51">
        <v>1</v>
      </c>
      <c r="N35" s="15">
        <f t="shared" si="8"/>
        <v>4173022</v>
      </c>
      <c r="O35" s="285">
        <f>IFERROR(IF(Tabelad[[#This Row],[D1 Exp USD]]&lt;&gt;0,N35/$AE$7,0),"-")</f>
        <v>1.7415426554261222E-3</v>
      </c>
      <c r="P35" s="19">
        <f>IFERROR(IF(Tabelad[[#This Row],[D1 Exp USD]]&lt;&gt;0,((I35-K35)/L35*M35*H35)/$AD$7*10000,0),"-")</f>
        <v>0</v>
      </c>
      <c r="Q35" s="15">
        <f>IF(SUM(SUMIFS(Options!$AL$4:$AL$25, Options!$D$4:$D$25, B35), SUMIFS(Options!$AL$4:$AL$25, Options!$D$4:$D$25, B35 &amp; " US"))=0,0,SUM(SUMIFS(Options!$AL$4:$AL$25, Options!$D$4:$D$25, B35), SUMIFS(Options!$AL$4:$AL$25, Options!$D$4:$D$25, B35 &amp; " US")))</f>
        <v>0</v>
      </c>
      <c r="R35" s="18">
        <f t="shared" si="39"/>
        <v>0</v>
      </c>
      <c r="S35" s="19">
        <f>IF(SUM(SUMIFS(Options!$AK$4:$AK$25, Options!$D$4:$D$25, B35), SUMIFS(Options!$AK$4:$AK$25, Options!$D$4:$D$25, B35 &amp; " US"))=0,0,SUM(SUMIFS(Options!$AK$4:$AK$25, Options!$D$4:$D$25, B35), SUMIFS(Options!AK$4:$AK$25, Options!$D$4:$D$25, B35 &amp; " US")))</f>
        <v>0</v>
      </c>
      <c r="T35" s="13">
        <f t="shared" si="10"/>
        <v>4173022</v>
      </c>
      <c r="U35" s="47">
        <f t="shared" si="11"/>
        <v>1.7415426554261222E-3</v>
      </c>
      <c r="V35" s="19">
        <f t="shared" si="12"/>
        <v>0</v>
      </c>
      <c r="W35" s="15">
        <f t="shared" si="13"/>
        <v>498121.59196740395</v>
      </c>
      <c r="X35" s="18"/>
      <c r="Y35" s="303">
        <f>Tabelad[[#This Row],[Exp %]]*$Y$10*$AD$7/Tabelad[[#This Row],[Price Today]]</f>
        <v>12145</v>
      </c>
      <c r="Z35" s="196">
        <f>Tabelad[[#This Row],[Vol 10d]]/16*Tabelad[[#This Row],[Exp %]]*100</f>
        <v>0.44254538579408242</v>
      </c>
      <c r="AA35" s="18">
        <f>Tabelad[[#This Row],[Exp %]]*Tabelad[[#This Row],[Beta Adj2]]</f>
        <v>1.6091464264804309E-3</v>
      </c>
      <c r="AB35" s="35">
        <f>_xll.BDP($B35&amp;" Equity","volatility_10d")</f>
        <v>40.657782056867283</v>
      </c>
      <c r="AC35" s="35">
        <f>_xll.BDP(B35&amp;" EQUITY","eqy_beta")</f>
        <v>0.92397761344909668</v>
      </c>
      <c r="AD35" s="15">
        <f>Tabelad[[#This Row],[D1 P&amp;L bps]]*$AD$5/10000</f>
        <v>0</v>
      </c>
      <c r="AE35" s="207"/>
      <c r="AF35" s="186" t="str">
        <f>_xll.BDP(B35&amp;" Equity","EXPECTED_REPORT_DT")</f>
        <v>#N/A N/A</v>
      </c>
      <c r="AG35" s="140">
        <f>_xll.BDP(B35&amp;" Index","CHG_PCT_1D_PRE_FROM_REGULAR")/100</f>
        <v>4.5733859999999996E-3</v>
      </c>
      <c r="AH35" s="19">
        <f t="shared" si="14"/>
        <v>7.9647467987286502E-2</v>
      </c>
      <c r="AI35" s="364" t="str">
        <f>_xll.BDP(B35&amp;" Equity","DVD_EX_DT")</f>
        <v>16/12/2025</v>
      </c>
    </row>
    <row r="36" spans="1:35">
      <c r="B36" s="39" t="s">
        <v>735</v>
      </c>
      <c r="C36" t="s">
        <v>736</v>
      </c>
      <c r="E36" t="s">
        <v>138</v>
      </c>
      <c r="F36" s="21" t="s">
        <v>47</v>
      </c>
      <c r="G36" s="15"/>
      <c r="H36" s="365">
        <v>4450</v>
      </c>
      <c r="I36" s="35" cm="1">
        <f t="array" ref="I36">_xll.BDP(B36&amp;" Equity","LAST_PRICE")</f>
        <v>465.54</v>
      </c>
      <c r="J36" s="50">
        <f t="shared" si="7"/>
        <v>0</v>
      </c>
      <c r="K36" s="357">
        <f>_xll.BDP(B36&amp;" equity","PX_YEST_CLOSE")</f>
        <v>465.54</v>
      </c>
      <c r="L36" s="52">
        <f>_xll.BDP(E36&amp;" Curncy","PX_LAST")</f>
        <v>1</v>
      </c>
      <c r="M36" s="51">
        <v>1</v>
      </c>
      <c r="N36" s="15">
        <f t="shared" si="8"/>
        <v>2071653</v>
      </c>
      <c r="O36" s="285">
        <f>IFERROR(IF(Tabelad[[#This Row],[D1 Exp USD]]&lt;&gt;0,N36/$AE$7,0),"-")</f>
        <v>8.6457058379790287E-4</v>
      </c>
      <c r="P36" s="19">
        <f>IFERROR(IF(Tabelad[[#This Row],[D1 Exp USD]]&lt;&gt;0,((I36-K36)/L36*M36*H36)/$AD$7*10000,0),"-")</f>
        <v>0</v>
      </c>
      <c r="Q36" s="15">
        <f>IF(SUM(SUMIFS(Options!$AL$4:$AL$25, Options!$D$4:$D$25, B36), SUMIFS(Options!$AL$4:$AL$25, Options!$D$4:$D$25, B36 &amp; " US"))=0,0,SUM(SUMIFS(Options!$AL$4:$AL$25, Options!$D$4:$D$25, B36), SUMIFS(Options!$AL$4:$AL$25, Options!$D$4:$D$25, B36 &amp; " US")))</f>
        <v>0</v>
      </c>
      <c r="R36" s="18">
        <f t="shared" si="39"/>
        <v>0</v>
      </c>
      <c r="S36" s="19">
        <f>IF(SUM(SUMIFS(Options!$AK$4:$AK$25, Options!$D$4:$D$25, B36), SUMIFS(Options!$AK$4:$AK$25, Options!$D$4:$D$25, B36 &amp; " US"))=0,0,SUM(SUMIFS(Options!$AK$4:$AK$25, Options!$D$4:$D$25, B36), SUMIFS(Options!AK$4:$AK$25, Options!$D$4:$D$25, B36 &amp; " US")))</f>
        <v>0</v>
      </c>
      <c r="T36" s="13">
        <f t="shared" si="10"/>
        <v>2071653</v>
      </c>
      <c r="U36" s="47">
        <f t="shared" si="11"/>
        <v>8.6457058379790287E-4</v>
      </c>
      <c r="V36" s="19">
        <f t="shared" si="12"/>
        <v>0</v>
      </c>
      <c r="W36" s="15">
        <f t="shared" si="13"/>
        <v>128676.59631825406</v>
      </c>
      <c r="X36" s="18"/>
      <c r="Y36" s="303">
        <f>Tabelad[[#This Row],[Exp %]]*$Y$10*$AD$7/Tabelad[[#This Row],[Price Today]]</f>
        <v>1557.4999999999998</v>
      </c>
      <c r="Z36" s="196">
        <f>Tabelad[[#This Row],[Vol 10d]]/16*Tabelad[[#This Row],[Exp %]]*100</f>
        <v>0.43023572953866096</v>
      </c>
      <c r="AA36" s="18">
        <f>Tabelad[[#This Row],[Exp %]]*Tabelad[[#This Row],[Beta Adj2]]</f>
        <v>1.7678113035924027E-3</v>
      </c>
      <c r="AB36" s="35">
        <f>_xll.BDP($B36&amp;" Equity","volatility_10d")</f>
        <v>79.620701902433538</v>
      </c>
      <c r="AC36" s="35">
        <f>_xll.BDP(B36&amp;" EQUITY","eqy_beta")</f>
        <v>2.0447275638580322</v>
      </c>
      <c r="AD36" s="15">
        <f>Tabelad[[#This Row],[D1 P&amp;L bps]]*$AD$5/10000</f>
        <v>0</v>
      </c>
      <c r="AE36" s="207"/>
      <c r="AF36" s="186" t="str">
        <f>_xll.BDP(B36&amp;" Equity","EXPECTED_REPORT_DT")</f>
        <v>06/05/2026</v>
      </c>
      <c r="AG36" s="140" t="e">
        <f>_xll.BDP(B36&amp;" Index","CHG_PCT_1D_PRE_FROM_REGULAR")/100</f>
        <v>#VALUE!</v>
      </c>
      <c r="AH36" s="19" t="e">
        <f t="shared" si="14"/>
        <v>#VALUE!</v>
      </c>
      <c r="AI36" s="364" t="str">
        <f>_xll.BDP(B36&amp;" Equity","DVD_EX_DT")</f>
        <v>#N/A N/A</v>
      </c>
    </row>
    <row r="37" spans="1:35">
      <c r="B37" s="39" t="s">
        <v>1004</v>
      </c>
      <c r="C37" t="s">
        <v>736</v>
      </c>
      <c r="E37" t="s">
        <v>138</v>
      </c>
      <c r="F37" s="21" t="s">
        <v>47</v>
      </c>
      <c r="G37" s="15"/>
      <c r="H37" s="365">
        <v>44721</v>
      </c>
      <c r="I37" s="35" cm="1">
        <f t="array" ref="I37">_xll.BDP(B37&amp;" Equity","LAST_PRICE")</f>
        <v>81.16</v>
      </c>
      <c r="J37" s="50">
        <f t="shared" si="7"/>
        <v>0</v>
      </c>
      <c r="K37" s="357">
        <f>_xll.BDP(B37&amp;" equity","PX_YEST_CLOSE")</f>
        <v>81.16</v>
      </c>
      <c r="L37" s="52">
        <f>_xll.BDP(E37&amp;" Curncy","PX_LAST")</f>
        <v>1</v>
      </c>
      <c r="M37" s="51">
        <v>1</v>
      </c>
      <c r="N37" s="15">
        <f t="shared" si="8"/>
        <v>3629556.36</v>
      </c>
      <c r="O37" s="285">
        <f>IFERROR(IF(Tabelad[[#This Row],[D1 Exp USD]]&lt;&gt;0,N37/$AE$7,0),"-")</f>
        <v>1.514736136357098E-3</v>
      </c>
      <c r="P37" s="19">
        <f>IFERROR(IF(Tabelad[[#This Row],[D1 Exp USD]]&lt;&gt;0,((I37-K37)/L37*M37*H37)/$AD$7*10000,0),"-")</f>
        <v>0</v>
      </c>
      <c r="Q37" s="15">
        <f>IF(SUM(SUMIFS(Options!$AL$4:$AL$25, Options!$D$4:$D$25, B37), SUMIFS(Options!$AL$4:$AL$25, Options!$D$4:$D$25, B37 &amp; " US"))=0,0,SUM(SUMIFS(Options!$AL$4:$AL$25, Options!$D$4:$D$25, B37), SUMIFS(Options!$AL$4:$AL$25, Options!$D$4:$D$25, B37 &amp; " US")))</f>
        <v>0</v>
      </c>
      <c r="R37" s="18">
        <f t="shared" si="39"/>
        <v>0</v>
      </c>
      <c r="S37" s="19">
        <f>IF(SUM(SUMIFS(Options!$AK$4:$AK$25, Options!$D$4:$D$25, B37), SUMIFS(Options!$AK$4:$AK$25, Options!$D$4:$D$25, B37 &amp; " US"))=0,0,SUM(SUMIFS(Options!$AK$4:$AK$25, Options!$D$4:$D$25, B37), SUMIFS(Options!AK$4:$AK$25, Options!$D$4:$D$25, B37 &amp; " US")))</f>
        <v>0</v>
      </c>
      <c r="T37" s="13">
        <f t="shared" si="10"/>
        <v>3629556.36</v>
      </c>
      <c r="U37" s="47">
        <f t="shared" si="11"/>
        <v>1.514736136357098E-3</v>
      </c>
      <c r="V37" s="19">
        <f t="shared" si="12"/>
        <v>0</v>
      </c>
      <c r="W37" s="15">
        <f t="shared" si="13"/>
        <v>738098.84980285855</v>
      </c>
      <c r="X37" s="18"/>
      <c r="Y37" s="303">
        <f>Tabelad[[#This Row],[Exp %]]*$Y$10*$AD$7/Tabelad[[#This Row],[Price Today]]</f>
        <v>15652.349999999999</v>
      </c>
      <c r="Z37" s="196">
        <f>Tabelad[[#This Row],[Vol 10d]]/16*Tabelad[[#This Row],[Exp %]]*100</f>
        <v>0.29656048285794634</v>
      </c>
      <c r="AA37" s="18">
        <f>Tabelad[[#This Row],[Exp %]]*Tabelad[[#This Row],[Beta Adj2]]</f>
        <v>1.4148415809778351E-3</v>
      </c>
      <c r="AB37" s="35">
        <f>_xll.BDP($B37&amp;" Equity","volatility_10d")</f>
        <v>31.325374841447097</v>
      </c>
      <c r="AC37" s="35">
        <f>_xll.BDP(B37&amp;" EQUITY","eqy_beta")</f>
        <v>0.934051513671875</v>
      </c>
      <c r="AD37" s="15">
        <f>Tabelad[[#This Row],[D1 P&amp;L bps]]*$AD$5/10000</f>
        <v>0</v>
      </c>
      <c r="AE37" s="207"/>
      <c r="AF37" s="186" t="str">
        <f>_xll.BDP(B37&amp;" Equity","EXPECTED_REPORT_DT")</f>
        <v>11/02/2026</v>
      </c>
      <c r="AG37" s="140">
        <f>_xll.BDP(B37&amp;" Index","CHG_PCT_1D_PRE_FROM_REGULAR")/100</f>
        <v>3.6963449999999998E-3</v>
      </c>
      <c r="AH37" s="19">
        <f t="shared" si="14"/>
        <v>5.5989873439428767E-2</v>
      </c>
      <c r="AI37" s="364" t="str">
        <f>_xll.BDP(B37&amp;" Equity","DVD_EX_DT")</f>
        <v>02/01/2026</v>
      </c>
    </row>
    <row r="38" spans="1:35">
      <c r="B38" s="39" t="s">
        <v>84</v>
      </c>
      <c r="C38" t="s">
        <v>552</v>
      </c>
      <c r="E38" t="s">
        <v>138</v>
      </c>
      <c r="F38" s="21" t="s">
        <v>47</v>
      </c>
      <c r="G38" s="15"/>
      <c r="H38" s="365"/>
      <c r="I38" s="35" cm="1">
        <f t="array" ref="I38">_xll.BDP(B38&amp;" Equity","LAST_PRICE")</f>
        <v>308.05</v>
      </c>
      <c r="J38" s="50">
        <f t="shared" si="7"/>
        <v>0</v>
      </c>
      <c r="K38" s="357">
        <f>_xll.BDP(B38&amp;" equity","PX_YEST_CLOSE")</f>
        <v>308.05</v>
      </c>
      <c r="L38" s="52">
        <f>_xll.BDP(E38&amp;" Curncy","PX_LAST")</f>
        <v>1</v>
      </c>
      <c r="M38" s="51">
        <v>1</v>
      </c>
      <c r="N38" s="15">
        <f t="shared" si="8"/>
        <v>0</v>
      </c>
      <c r="O38" s="285">
        <f>IFERROR(IF(Tabelad[[#This Row],[D1 Exp USD]]&lt;&gt;0,N38/$AE$7,0),"-")</f>
        <v>0</v>
      </c>
      <c r="P38" s="19">
        <f>IFERROR(IF(Tabelad[[#This Row],[D1 Exp USD]]&lt;&gt;0,((I38-K38)/L38*M38*H38)/$AD$7*10000,0),"-")</f>
        <v>0</v>
      </c>
      <c r="Q38" s="15">
        <f>IF(SUM(SUMIFS(Options!$AL$4:$AL$25, Options!$D$4:$D$25, B38), SUMIFS(Options!$AL$4:$AL$25, Options!$D$4:$D$25, B38 &amp; " US"))=0,0,SUM(SUMIFS(Options!$AL$4:$AL$25, Options!$D$4:$D$25, B38), SUMIFS(Options!$AL$4:$AL$25, Options!$D$4:$D$25, B38 &amp; " US")))</f>
        <v>3737758.3249300718</v>
      </c>
      <c r="R38" s="18">
        <f t="shared" ref="R38:R48" si="63">Q38/$AE$7</f>
        <v>1.5598924612762195E-3</v>
      </c>
      <c r="S38" s="19">
        <f>IF(SUM(SUMIFS(Options!$AK$4:$AK$25, Options!$D$4:$D$25, B38), SUMIFS(Options!$AK$4:$AK$25, Options!$D$4:$D$25, B38 &amp; " US"))=0,0,SUM(SUMIFS(Options!$AK$4:$AK$25, Options!$D$4:$D$25, B38), SUMIFS(Options!AK$4:$AK$25, Options!$D$4:$D$25, B38 &amp; " US")))</f>
        <v>-0.27168422996150166</v>
      </c>
      <c r="T38" s="13">
        <f t="shared" si="10"/>
        <v>3737758.3249300718</v>
      </c>
      <c r="U38" s="47">
        <f t="shared" si="11"/>
        <v>1.5598924612762195E-3</v>
      </c>
      <c r="V38" s="19">
        <f t="shared" si="12"/>
        <v>-0.27168422996150166</v>
      </c>
      <c r="W38" s="15">
        <f t="shared" si="13"/>
        <v>194462.27122220417</v>
      </c>
      <c r="X38" s="18"/>
      <c r="Y38" s="303">
        <f>Tabelad[[#This Row],[Exp %]]*$Y$10*$AD$7/Tabelad[[#This Row],[Price Today]]</f>
        <v>4246.7632323503494</v>
      </c>
      <c r="Z38" s="196">
        <f>Tabelad[[#This Row],[Vol 10d]]/16*Tabelad[[#This Row],[Exp %]]*100</f>
        <v>0.32587283711391807</v>
      </c>
      <c r="AA38" s="18">
        <f>Tabelad[[#This Row],[Exp %]]*Tabelad[[#This Row],[Beta Adj2]]</f>
        <v>3.1663216885282701E-3</v>
      </c>
      <c r="AB38" s="35">
        <f>_xll.BDP($B38&amp;" Equity","volatility_10d")</f>
        <v>33.425159254612367</v>
      </c>
      <c r="AC38" s="35">
        <f>_xll.BDP(B38&amp;" EQUITY","eqy_beta")</f>
        <v>2.0298333168029785</v>
      </c>
      <c r="AD38" s="15">
        <f>Tabelad[[#This Row],[D1 P&amp;L bps]]*$AD$5/10000</f>
        <v>0</v>
      </c>
      <c r="AE38" s="207"/>
      <c r="AF38" s="186" t="str">
        <f>_xll.BDP(B38&amp;" Equity","EXPECTED_REPORT_DT")</f>
        <v>04/03/2026</v>
      </c>
      <c r="AG38" s="140">
        <f>_xll.BDP(B38&amp;" Index","CHG_PCT_1D_PRE_FROM_REGULAR")/100</f>
        <v>4.7524800000000006E-2</v>
      </c>
      <c r="AH38" s="19">
        <f t="shared" si="14"/>
        <v>0.74133577243660087</v>
      </c>
      <c r="AI38" s="364" t="str">
        <f>_xll.BDP(B38&amp;" Equity","DVD_EX_DT")</f>
        <v>22/12/2025</v>
      </c>
    </row>
    <row r="39" spans="1:35">
      <c r="B39" s="39" t="s">
        <v>44</v>
      </c>
      <c r="C39" t="s">
        <v>552</v>
      </c>
      <c r="E39" t="s">
        <v>138</v>
      </c>
      <c r="F39" s="21" t="s">
        <v>47</v>
      </c>
      <c r="G39" s="15"/>
      <c r="H39" s="365">
        <v>3638</v>
      </c>
      <c r="I39" s="35" cm="1">
        <f t="array" ref="I39">_xll.BDP(B39&amp;" Equity","LAST_PRICE")</f>
        <v>325.74</v>
      </c>
      <c r="J39" s="50">
        <f t="shared" si="7"/>
        <v>0</v>
      </c>
      <c r="K39" s="357">
        <f>_xll.BDP(B39&amp;" equity","PX_YEST_CLOSE")</f>
        <v>325.74</v>
      </c>
      <c r="L39" s="52">
        <f>_xll.BDP(E39&amp;" Curncy","PX_LAST")</f>
        <v>1</v>
      </c>
      <c r="M39" s="51">
        <v>1</v>
      </c>
      <c r="N39" s="15">
        <f t="shared" si="8"/>
        <v>1185042.1200000001</v>
      </c>
      <c r="O39" s="285">
        <f>IFERROR(IF(Tabelad[[#This Row],[D1 Exp USD]]&lt;&gt;0,N39/$AE$7,0),"-")</f>
        <v>4.9455799668839551E-4</v>
      </c>
      <c r="P39" s="19">
        <f>IFERROR(IF(Tabelad[[#This Row],[D1 Exp USD]]&lt;&gt;0,((I39-K39)/L39*M39*H39)/$AD$7*10000,0),"-")</f>
        <v>0</v>
      </c>
      <c r="Q39" s="15">
        <f>IF(SUM(SUMIFS(Options!$AL$4:$AL$25, Options!$D$4:$D$25, B39), SUMIFS(Options!$AL$4:$AL$25, Options!$D$4:$D$25, B39 &amp; " US"))=0,0,SUM(SUMIFS(Options!$AL$4:$AL$25, Options!$D$4:$D$25, B39), SUMIFS(Options!$AL$4:$AL$25, Options!$D$4:$D$25, B39 &amp; " US")))</f>
        <v>11838491.165801883</v>
      </c>
      <c r="R39" s="18">
        <f t="shared" si="63"/>
        <v>4.9406011617310662E-3</v>
      </c>
      <c r="S39" s="19">
        <f>IF(SUM(SUMIFS(Options!$AK$4:$AK$25, Options!$D$4:$D$25, B39), SUMIFS(Options!$AK$4:$AK$25, Options!$D$4:$D$25, B39 &amp; " US"))=0,0,SUM(SUMIFS(Options!$AK$4:$AK$25, Options!$D$4:$D$25, B39), SUMIFS(Options!AK$4:$AK$25, Options!$D$4:$D$25, B39 &amp; " US")))</f>
        <v>-1.5785125027659499</v>
      </c>
      <c r="T39" s="13">
        <f t="shared" si="10"/>
        <v>13023533.285801884</v>
      </c>
      <c r="U39" s="47">
        <f t="shared" si="11"/>
        <v>5.4351591584194626E-3</v>
      </c>
      <c r="V39" s="19">
        <f t="shared" si="12"/>
        <v>-1.5785125027659499</v>
      </c>
      <c r="W39" s="15">
        <f t="shared" si="13"/>
        <v>183901.58608092341</v>
      </c>
      <c r="X39" s="18"/>
      <c r="Y39" s="303">
        <f>Tabelad[[#This Row],[Exp %]]*$Y$10*$AD$7/Tabelad[[#This Row],[Price Today]]</f>
        <v>13993.481457698346</v>
      </c>
      <c r="Z39" s="196">
        <f>Tabelad[[#This Row],[Vol 10d]]/16*Tabelad[[#This Row],[Exp %]]*100</f>
        <v>1.2215052590545652</v>
      </c>
      <c r="AA39" s="18">
        <f>Tabelad[[#This Row],[Exp %]]*Tabelad[[#This Row],[Beta Adj2]]</f>
        <v>7.9439842739076408E-3</v>
      </c>
      <c r="AB39" s="35">
        <f>_xll.BDP($B39&amp;" Equity","volatility_10d")</f>
        <v>35.958623427977841</v>
      </c>
      <c r="AC39" s="35" cm="1">
        <f t="array" ref="AC39">_xll.BDP(B39&amp;" EQUITY","eqy_beta")</f>
        <v>1.4615918397903442</v>
      </c>
      <c r="AD39" s="15">
        <f>Tabelad[[#This Row],[D1 P&amp;L bps]]*$AD$5/10000</f>
        <v>0</v>
      </c>
      <c r="AE39" s="207"/>
      <c r="AF39" s="186" t="str">
        <f>_xll.BDP(B39&amp;" Equity","EXPECTED_REPORT_DT")</f>
        <v>17/04/2026</v>
      </c>
      <c r="AG39" s="140" t="e">
        <f>_xll.BDP(B39&amp;" Index","CHG_PCT_1D_PRE_FROM_REGULAR")/100</f>
        <v>#VALUE!</v>
      </c>
      <c r="AH39" s="19" t="e">
        <f t="shared" si="14"/>
        <v>#VALUE!</v>
      </c>
      <c r="AI39" s="364" t="str">
        <f>_xll.BDP(B39&amp;" Equity","DVD_EX_DT")</f>
        <v>17/03/2026</v>
      </c>
    </row>
    <row r="40" spans="1:35">
      <c r="B40" s="39" t="s">
        <v>345</v>
      </c>
      <c r="C40" t="s">
        <v>552</v>
      </c>
      <c r="E40" t="s">
        <v>138</v>
      </c>
      <c r="F40" s="21" t="s">
        <v>47</v>
      </c>
      <c r="G40" s="15"/>
      <c r="H40" s="365">
        <v>1500</v>
      </c>
      <c r="I40" s="35" cm="1">
        <f t="array" ref="I40">_xll.BDP(B40&amp;" Equity","LAST_PRICE")</f>
        <v>48.6</v>
      </c>
      <c r="J40" s="50">
        <f t="shared" si="7"/>
        <v>0</v>
      </c>
      <c r="K40" s="357">
        <f>_xll.BDP(B40&amp;" equity","PX_YEST_CLOSE")</f>
        <v>48.6</v>
      </c>
      <c r="L40" s="52">
        <f>_xll.BDP(E40&amp;" Curncy","PX_LAST")</f>
        <v>1</v>
      </c>
      <c r="M40" s="51">
        <v>1</v>
      </c>
      <c r="N40" s="15">
        <f t="shared" si="8"/>
        <v>72900</v>
      </c>
      <c r="O40" s="285">
        <f>IFERROR(IF(Tabelad[[#This Row],[D1 Exp USD]]&lt;&gt;0,N40/$AE$7,0),"-")</f>
        <v>3.0423625751449263E-5</v>
      </c>
      <c r="P40" s="19">
        <f>IFERROR(IF(Tabelad[[#This Row],[D1 Exp USD]]&lt;&gt;0,((I40-K40)/L40*M40*H40)/$AD$7*10000,0),"-")</f>
        <v>0</v>
      </c>
      <c r="Q40" s="15">
        <f>IF(SUM(SUMIFS(Options!$AL$4:$AL$25, Options!$D$4:$D$25, B40), SUMIFS(Options!$AL$4:$AL$25, Options!$D$4:$D$25, B40 &amp; " US"))=0,0,SUM(SUMIFS(Options!$AL$4:$AL$25, Options!$D$4:$D$25, B40), SUMIFS(Options!$AL$4:$AL$25, Options!$D$4:$D$25, B40 &amp; " US")))</f>
        <v>529333.41613411903</v>
      </c>
      <c r="R40" s="18">
        <f>Q40/$AE$7</f>
        <v>2.2090866598354722E-4</v>
      </c>
      <c r="S40" s="19">
        <f>IF(SUM(SUMIFS(Options!$AK$4:$AK$25, Options!$D$4:$D$25, B40), SUMIFS(Options!$AK$4:$AK$25, Options!$D$4:$D$25, B40 &amp; " US"))=0,0,SUM(SUMIFS(Options!$AK$4:$AK$25, Options!$D$4:$D$25, B40), SUMIFS(Options!AK$4:$AK$25, Options!$D$4:$D$25, B40 &amp; " US")))</f>
        <v>-3.2343360709700952E-3</v>
      </c>
      <c r="T40" s="13">
        <f t="shared" si="10"/>
        <v>602233.41613411903</v>
      </c>
      <c r="U40" s="47">
        <f t="shared" si="11"/>
        <v>2.5133229173499646E-4</v>
      </c>
      <c r="V40" s="19">
        <f t="shared" si="12"/>
        <v>-3.2343360709700952E-3</v>
      </c>
      <c r="W40" s="15">
        <f t="shared" si="13"/>
        <v>1232594.7047325103</v>
      </c>
      <c r="X40" s="18"/>
      <c r="Y40" s="303">
        <f>Tabelad[[#This Row],[Exp %]]*$Y$10*$AD$7/Tabelad[[#This Row],[Price Today]]</f>
        <v>4337.0719268918028</v>
      </c>
      <c r="Z40" s="196">
        <f>Tabelad[[#This Row],[Vol 10d]]/16*Tabelad[[#This Row],[Exp %]]*100</f>
        <v>0.20775437532365598</v>
      </c>
      <c r="AA40" s="18">
        <f>Tabelad[[#This Row],[Exp %]]*Tabelad[[#This Row],[Beta Adj2]]</f>
        <v>3.701289165590401E-4</v>
      </c>
      <c r="AB40" s="35">
        <f>_xll.BDP($B40&amp;" Equity","volatility_10d")</f>
        <v>132.25797537721013</v>
      </c>
      <c r="AC40" s="35">
        <f>_xll.BDP(B40&amp;" EQUITY","eqy_beta")</f>
        <v>1.4726675748825073</v>
      </c>
      <c r="AD40" s="15">
        <f>Tabelad[[#This Row],[D1 P&amp;L bps]]*$AD$5/10000</f>
        <v>0</v>
      </c>
      <c r="AE40" s="207"/>
      <c r="AF40" s="186" t="str">
        <f>_xll.BDP(B40&amp;" Equity","EXPECTED_REPORT_DT")</f>
        <v>24/04/2026</v>
      </c>
      <c r="AG40" s="140" t="e">
        <f>_xll.BDP(B40&amp;" Index","CHG_PCT_1D_PRE_FROM_REGULAR")/100</f>
        <v>#VALUE!</v>
      </c>
      <c r="AH40" s="19" t="e">
        <f t="shared" si="14"/>
        <v>#VALUE!</v>
      </c>
      <c r="AI40" s="364" t="str">
        <f>_xll.BDP(B40&amp;" Equity","DVD_EX_DT")</f>
        <v>03/09/2024</v>
      </c>
    </row>
    <row r="41" spans="1:35">
      <c r="B41" s="39" t="s">
        <v>42</v>
      </c>
      <c r="C41" t="s">
        <v>552</v>
      </c>
      <c r="E41" t="s">
        <v>138</v>
      </c>
      <c r="F41" s="21" t="s">
        <v>47</v>
      </c>
      <c r="G41" s="15"/>
      <c r="H41" s="365">
        <v>25027</v>
      </c>
      <c r="I41" s="35" cm="1">
        <f t="array" ref="I41">_xll.BDP(B41&amp;" Equity","LAST_PRICE")</f>
        <v>174.19</v>
      </c>
      <c r="J41" s="50">
        <f t="shared" si="7"/>
        <v>0</v>
      </c>
      <c r="K41" s="357">
        <f>_xll.BDP(B41&amp;" equity","PX_YEST_CLOSE")</f>
        <v>174.19</v>
      </c>
      <c r="L41" s="52">
        <f>_xll.BDP(E41&amp;" Curncy","PX_LAST")</f>
        <v>1</v>
      </c>
      <c r="M41" s="51">
        <v>1</v>
      </c>
      <c r="N41" s="15">
        <f t="shared" si="8"/>
        <v>4359453.13</v>
      </c>
      <c r="O41" s="285">
        <f>IFERROR(IF(Tabelad[[#This Row],[D1 Exp USD]]&lt;&gt;0,N41/$AE$7,0),"-")</f>
        <v>1.8193466462017021E-3</v>
      </c>
      <c r="P41" s="19">
        <f>IFERROR(IF(Tabelad[[#This Row],[D1 Exp USD]]&lt;&gt;0,((I41-K41)/L41*M41*H41)/$AD$7*10000,0),"-")</f>
        <v>0</v>
      </c>
      <c r="Q41" s="15">
        <f>IF(SUM(SUMIFS(Options!$AL$4:$AL$25, Options!$D$4:$D$25, B41), SUMIFS(Options!$AL$4:$AL$25, Options!$D$4:$D$25, B41 &amp; " US"))=0,0,SUM(SUMIFS(Options!$AL$4:$AL$25, Options!$D$4:$D$25, B41), SUMIFS(Options!$AL$4:$AL$25, Options!$D$4:$D$25, B41 &amp; " US")))</f>
        <v>875665.5388712883</v>
      </c>
      <c r="R41" s="18">
        <f t="shared" si="63"/>
        <v>3.654447275454214E-4</v>
      </c>
      <c r="S41" s="19">
        <f>IF(SUM(SUMIFS(Options!$AK$4:$AK$25, Options!$D$4:$D$25, B41), SUMIFS(Options!$AK$4:$AK$25, Options!$D$4:$D$25, B41 &amp; " US"))=0,0,SUM(SUMIFS(Options!$AK$4:$AK$25, Options!$D$4:$D$25, B41), SUMIFS(Options!AK$4:$AK$25, Options!$D$4:$D$25, B41 &amp; " US")))</f>
        <v>-0.13302511259635738</v>
      </c>
      <c r="T41" s="13">
        <f t="shared" si="10"/>
        <v>5235118.6688712882</v>
      </c>
      <c r="U41" s="47">
        <f t="shared" si="11"/>
        <v>2.1847913737471237E-3</v>
      </c>
      <c r="V41" s="19">
        <f t="shared" si="12"/>
        <v>-0.13302511259635738</v>
      </c>
      <c r="W41" s="15">
        <f t="shared" si="13"/>
        <v>343900.92800964462</v>
      </c>
      <c r="X41" s="18"/>
      <c r="Y41" s="303">
        <f>Tabelad[[#This Row],[Exp %]]*$Y$10*$AD$7/Tabelad[[#This Row],[Price Today]]</f>
        <v>10518.924933147431</v>
      </c>
      <c r="Z41" s="196">
        <f>Tabelad[[#This Row],[Vol 10d]]/16*Tabelad[[#This Row],[Exp %]]*100</f>
        <v>0.44175206074193263</v>
      </c>
      <c r="AA41" s="18">
        <f>Tabelad[[#This Row],[Exp %]]*Tabelad[[#This Row],[Beta Adj2]]</f>
        <v>4.022897790957638E-3</v>
      </c>
      <c r="AB41" s="35">
        <f>_xll.BDP($B41&amp;" Equity","volatility_10d")</f>
        <v>32.351065904057364</v>
      </c>
      <c r="AC41" s="35" cm="1">
        <f t="array" ref="AC41">_xll.BDP(B41&amp;" EQUITY","eqy_beta")</f>
        <v>1.8413189649581909</v>
      </c>
      <c r="AD41" s="15">
        <f>Tabelad[[#This Row],[D1 P&amp;L bps]]*$AD$5/10000</f>
        <v>0</v>
      </c>
      <c r="AE41" s="207"/>
      <c r="AF41" s="186" t="str">
        <f>_xll.BDP(B41&amp;" Equity","EXPECTED_REPORT_DT")</f>
        <v>25/02/2026</v>
      </c>
      <c r="AG41" s="140">
        <f>_xll.BDP(B41&amp;" Index","CHG_PCT_1D_PRE_FROM_REGULAR")/100</f>
        <v>1.48688E-2</v>
      </c>
      <c r="AH41" s="19">
        <f t="shared" si="14"/>
        <v>0.32485225977971233</v>
      </c>
      <c r="AI41" s="364" t="str">
        <f>_xll.BDP(B41&amp;" Equity","DVD_EX_DT")</f>
        <v>04/12/2025</v>
      </c>
    </row>
    <row r="42" spans="1:35">
      <c r="B42" s="39" t="s">
        <v>85</v>
      </c>
      <c r="C42" t="s">
        <v>552</v>
      </c>
      <c r="E42" t="s">
        <v>138</v>
      </c>
      <c r="F42" s="21" t="s">
        <v>48</v>
      </c>
      <c r="G42" s="15"/>
      <c r="H42" s="365"/>
      <c r="I42" s="35" cm="1">
        <f t="array" ref="I42">_xll.BDP(B42&amp;" Equity","LAST_PRICE")</f>
        <v>73.73</v>
      </c>
      <c r="J42" s="50">
        <f t="shared" si="7"/>
        <v>0</v>
      </c>
      <c r="K42" s="357">
        <f>_xll.BDP(B42&amp;" equity","PX_YEST_CLOSE")</f>
        <v>73.73</v>
      </c>
      <c r="L42" s="52">
        <f>_xll.BDP(E42&amp;" Curncy","PX_LAST")</f>
        <v>1</v>
      </c>
      <c r="M42" s="51">
        <v>1</v>
      </c>
      <c r="N42" s="15">
        <f t="shared" si="8"/>
        <v>0</v>
      </c>
      <c r="O42" s="285">
        <f>IFERROR(IF(Tabelad[[#This Row],[D1 Exp USD]]&lt;&gt;0,N42/$AE$7,0),"-")</f>
        <v>0</v>
      </c>
      <c r="P42" s="19">
        <f>IFERROR(IF(Tabelad[[#This Row],[D1 Exp USD]]&lt;&gt;0,((I42-K42)/L42*M42*H42)/$AD$7*10000,0),"-")</f>
        <v>0</v>
      </c>
      <c r="Q42" s="15">
        <f>IF(SUM(SUMIFS(Options!$AL$4:$AL$25, Options!$D$4:$D$25, B42), SUMIFS(Options!$AL$4:$AL$25, Options!$D$4:$D$25, B42 &amp; " US"))=0,0,SUM(SUMIFS(Options!$AL$4:$AL$25, Options!$D$4:$D$25, B42), SUMIFS(Options!$AL$4:$AL$25, Options!$D$4:$D$25, B42 &amp; " US")))</f>
        <v>-676827.39587500703</v>
      </c>
      <c r="R42" s="18">
        <f t="shared" si="63"/>
        <v>-2.8246287229669693E-4</v>
      </c>
      <c r="S42" s="19">
        <f>IF(SUM(SUMIFS(Options!$AK$4:$AK$25, Options!$D$4:$D$25, B42), SUMIFS(Options!$AK$4:$AK$25, Options!$D$4:$D$25, B42 &amp; " US"))=0,0,SUM(SUMIFS(Options!$AK$4:$AK$25, Options!$D$4:$D$25, B42), SUMIFS(Options!AK$4:$AK$25, Options!$D$4:$D$25, B42 &amp; " US")))</f>
        <v>7.4181062789027516E-2</v>
      </c>
      <c r="T42" s="13">
        <f t="shared" si="10"/>
        <v>-676827.39587500703</v>
      </c>
      <c r="U42" s="47">
        <f t="shared" si="11"/>
        <v>-2.8246287229669693E-4</v>
      </c>
      <c r="V42" s="19">
        <f t="shared" si="12"/>
        <v>7.4181062789027516E-2</v>
      </c>
      <c r="W42" s="15">
        <f t="shared" si="13"/>
        <v>812479.35236674349</v>
      </c>
      <c r="X42" s="18"/>
      <c r="Y42" s="303">
        <f>Tabelad[[#This Row],[Exp %]]*$Y$10*$AD$7/Tabelad[[#This Row],[Price Today]]</f>
        <v>-3212.9335217177868</v>
      </c>
      <c r="Z42" s="196">
        <f>Tabelad[[#This Row],[Vol 10d]]/16*Tabelad[[#This Row],[Exp %]]*100</f>
        <v>-6.512446380783396E-2</v>
      </c>
      <c r="AA42" s="18">
        <f>Tabelad[[#This Row],[Exp %]]*Tabelad[[#This Row],[Beta Adj2]]</f>
        <v>-5.6066297897348731E-4</v>
      </c>
      <c r="AB42" s="35">
        <f>_xll.BDP($B42&amp;" Equity","volatility_10d")</f>
        <v>36.889500289115631</v>
      </c>
      <c r="AC42" s="35">
        <f>_xll.BDP(B42&amp;" EQUITY","eqy_beta")</f>
        <v>1.9849085807800293</v>
      </c>
      <c r="AD42" s="15">
        <f>Tabelad[[#This Row],[D1 P&amp;L bps]]*$AD$5/10000</f>
        <v>0</v>
      </c>
      <c r="AE42" s="207"/>
      <c r="AF42" s="186" t="str">
        <f>_xll.BDP(B42&amp;" Equity","EXPECTED_REPORT_DT")</f>
        <v>05/03/2026</v>
      </c>
      <c r="AG42" s="140">
        <f>_xll.BDP(B42&amp;" Index","CHG_PCT_1D_PRE_FROM_REGULAR")/100</f>
        <v>1.1528529999999999E-2</v>
      </c>
      <c r="AH42" s="19">
        <f t="shared" si="14"/>
        <v>-3.2563816971586397E-2</v>
      </c>
      <c r="AI42" s="364" t="str">
        <f>_xll.BDP(B42&amp;" Equity","DVD_EX_DT")</f>
        <v>09/01/2026</v>
      </c>
    </row>
    <row r="43" spans="1:35">
      <c r="B43" s="39" t="s">
        <v>799</v>
      </c>
      <c r="C43" t="s">
        <v>800</v>
      </c>
      <c r="E43" t="s">
        <v>138</v>
      </c>
      <c r="F43" s="21" t="s">
        <v>47</v>
      </c>
      <c r="G43" s="15"/>
      <c r="H43" s="365">
        <v>39000</v>
      </c>
      <c r="I43" s="35" cm="1">
        <f t="array" ref="I43">_xll.BDP(B43&amp;" Equity","LAST_PRICE")</f>
        <v>14.14</v>
      </c>
      <c r="J43" s="50">
        <f t="shared" si="7"/>
        <v>0</v>
      </c>
      <c r="K43" s="357">
        <f>_xll.BDP(B43&amp;" equity","PX_YEST_CLOSE")</f>
        <v>14.14</v>
      </c>
      <c r="L43" s="52">
        <f>_xll.BDP(E43&amp;" Curncy","PX_LAST")</f>
        <v>1</v>
      </c>
      <c r="M43" s="51">
        <v>1</v>
      </c>
      <c r="N43" s="15">
        <f t="shared" si="8"/>
        <v>551460</v>
      </c>
      <c r="O43" s="285">
        <f>IFERROR(IF(Tabelad[[#This Row],[D1 Exp USD]]&lt;&gt;0,N43/$AE$7,0),"-")</f>
        <v>2.3014283479964623E-4</v>
      </c>
      <c r="P43" s="19">
        <f>IFERROR(IF(Tabelad[[#This Row],[D1 Exp USD]]&lt;&gt;0,((I43-K43)/L43*M43*H43)/$AD$7*10000,0),"-")</f>
        <v>0</v>
      </c>
      <c r="Q43" s="15">
        <f>IF(SUM(SUMIFS(Options!$AL$4:$AL$25, Options!$D$4:$D$25, B43), SUMIFS(Options!$AL$4:$AL$25, Options!$D$4:$D$25, B43 &amp; " US"))=0,0,SUM(SUMIFS(Options!$AL$4:$AL$25, Options!$D$4:$D$25, B43), SUMIFS(Options!$AL$4:$AL$25, Options!$D$4:$D$25, B43 &amp; " US")))</f>
        <v>0</v>
      </c>
      <c r="R43" s="18">
        <f t="shared" si="63"/>
        <v>0</v>
      </c>
      <c r="S43" s="19">
        <f>IF(SUM(SUMIFS(Options!$AK$4:$AK$25, Options!$D$4:$D$25, B43), SUMIFS(Options!$AK$4:$AK$25, Options!$D$4:$D$25, B43 &amp; " US"))=0,0,SUM(SUMIFS(Options!$AK$4:$AK$25, Options!$D$4:$D$25, B43), SUMIFS(Options!AK$4:$AK$25, Options!$D$4:$D$25, B43 &amp; " US")))</f>
        <v>0</v>
      </c>
      <c r="T43" s="13">
        <f t="shared" si="10"/>
        <v>551460</v>
      </c>
      <c r="U43" s="47">
        <f t="shared" si="11"/>
        <v>2.3014283479964623E-4</v>
      </c>
      <c r="V43" s="19">
        <f t="shared" si="12"/>
        <v>0</v>
      </c>
      <c r="W43" s="15">
        <f t="shared" si="13"/>
        <v>4236499.4801980192</v>
      </c>
      <c r="X43" s="18"/>
      <c r="Y43" s="303">
        <f>Tabelad[[#This Row],[Exp %]]*$Y$10*$AD$7/Tabelad[[#This Row],[Price Today]]</f>
        <v>13649.999999999998</v>
      </c>
      <c r="Z43" s="196">
        <f>Tabelad[[#This Row],[Vol 10d]]/16*Tabelad[[#This Row],[Exp %]]*100</f>
        <v>0.12338424565330212</v>
      </c>
      <c r="AA43" s="18">
        <f>Tabelad[[#This Row],[Exp %]]*Tabelad[[#This Row],[Beta Adj2]]</f>
        <v>4.6733985379401877E-4</v>
      </c>
      <c r="AB43" s="35">
        <f>_xll.BDP($B43&amp;" Equity","volatility_10d")</f>
        <v>85.779248012281315</v>
      </c>
      <c r="AC43" s="35">
        <f>_xll.BDP(B43&amp;" EQUITY","eqy_beta")</f>
        <v>2.030651330947876</v>
      </c>
      <c r="AD43" s="15">
        <f>Tabelad[[#This Row],[D1 P&amp;L bps]]*$AD$5/10000</f>
        <v>0</v>
      </c>
      <c r="AE43" s="207"/>
      <c r="AF43" s="186" t="str">
        <f>_xll.BDP(B43&amp;" Equity","EXPECTED_REPORT_DT")</f>
        <v>24/02/2026</v>
      </c>
      <c r="AG43" s="140">
        <f>_xll.BDP(B43&amp;" Index","CHG_PCT_1D_PRE_FROM_REGULAR")/100</f>
        <v>-3.3239049999999999E-2</v>
      </c>
      <c r="AH43" s="19">
        <f t="shared" si="14"/>
        <v>-7.6497291930471806E-2</v>
      </c>
      <c r="AI43" s="364" t="str">
        <f>_xll.BDP(B43&amp;" Equity","DVD_EX_DT")</f>
        <v>12/10/2017</v>
      </c>
    </row>
    <row r="44" spans="1:35">
      <c r="B44" s="39" t="s">
        <v>1131</v>
      </c>
      <c r="C44" t="s">
        <v>800</v>
      </c>
      <c r="E44" t="s">
        <v>138</v>
      </c>
      <c r="F44" s="21" t="s">
        <v>47</v>
      </c>
      <c r="G44" s="15"/>
      <c r="H44" s="365">
        <v>31500</v>
      </c>
      <c r="I44" s="35" cm="1">
        <f t="array" ref="I44">_xll.BDP(B44&amp;" Equity","LAST_PRICE")</f>
        <v>66.459999999999994</v>
      </c>
      <c r="J44" s="50">
        <f t="shared" si="7"/>
        <v>0</v>
      </c>
      <c r="K44" s="357">
        <f>_xll.BDP(B44&amp;" equity","PX_YEST_CLOSE")</f>
        <v>66.459999999999994</v>
      </c>
      <c r="L44" s="52">
        <f>_xll.BDP(E44&amp;" Curncy","PX_LAST")</f>
        <v>1</v>
      </c>
      <c r="M44" s="51">
        <v>1</v>
      </c>
      <c r="N44" s="15">
        <f t="shared" si="8"/>
        <v>2093489.9999999998</v>
      </c>
      <c r="O44" s="285">
        <f>IFERROR(IF(Tabelad[[#This Row],[D1 Exp USD]]&lt;&gt;0,N44/$AE$7,0),"-")</f>
        <v>8.7368389951168052E-4</v>
      </c>
      <c r="P44" s="19">
        <f>IFERROR(IF(Tabelad[[#This Row],[D1 Exp USD]]&lt;&gt;0,((I44-K44)/L44*M44*H44)/$AD$7*10000,0),"-")</f>
        <v>0</v>
      </c>
      <c r="Q44" s="15">
        <f>IF(SUM(SUMIFS(Options!$AL$4:$AL$25, Options!$D$4:$D$25, B44), SUMIFS(Options!$AL$4:$AL$25, Options!$D$4:$D$25, B44 &amp; " US"))=0,0,SUM(SUMIFS(Options!$AL$4:$AL$25, Options!$D$4:$D$25, B44), SUMIFS(Options!$AL$4:$AL$25, Options!$D$4:$D$25, B44 &amp; " US")))</f>
        <v>0</v>
      </c>
      <c r="R44" s="18">
        <f t="shared" ref="R44" si="64">Q44/$AE$7</f>
        <v>0</v>
      </c>
      <c r="S44" s="19">
        <f>IF(SUM(SUMIFS(Options!$AK$4:$AK$25, Options!$D$4:$D$25, B44), SUMIFS(Options!$AK$4:$AK$25, Options!$D$4:$D$25, B44 &amp; " US"))=0,0,SUM(SUMIFS(Options!$AK$4:$AK$25, Options!$D$4:$D$25, B44), SUMIFS(Options!AK$4:$AK$25, Options!$D$4:$D$25, B44 &amp; " US")))</f>
        <v>0</v>
      </c>
      <c r="T44" s="13">
        <f t="shared" si="10"/>
        <v>2093489.9999999998</v>
      </c>
      <c r="U44" s="47">
        <f t="shared" si="11"/>
        <v>8.7368389951168052E-4</v>
      </c>
      <c r="V44" s="19">
        <f t="shared" si="12"/>
        <v>0</v>
      </c>
      <c r="W44" s="15">
        <f t="shared" si="13"/>
        <v>901355.74255191104</v>
      </c>
      <c r="X44" s="18"/>
      <c r="Y44" s="303">
        <f>Tabelad[[#This Row],[Exp %]]*$Y$10*$AD$7/Tabelad[[#This Row],[Price Today]]</f>
        <v>11025</v>
      </c>
      <c r="Z44" s="196">
        <f>Tabelad[[#This Row],[Vol 10d]]/16*Tabelad[[#This Row],[Exp %]]*100</f>
        <v>0.17732428202324541</v>
      </c>
      <c r="AA44" s="18">
        <f>Tabelad[[#This Row],[Exp %]]*Tabelad[[#This Row],[Beta Adj2]]</f>
        <v>6.0371592576054223E-4</v>
      </c>
      <c r="AB44" s="35">
        <f>_xll.BDP($B44&amp;" Equity","volatility_10d")</f>
        <v>32.47385597877777</v>
      </c>
      <c r="AC44" s="35">
        <f>_xll.BDP(B44&amp;" EQUITY","eqy_beta")</f>
        <v>0.69100040197372437</v>
      </c>
      <c r="AD44" s="15">
        <f>Tabelad[[#This Row],[D1 P&amp;L bps]]*$AD$5/10000</f>
        <v>0</v>
      </c>
      <c r="AE44" s="207"/>
      <c r="AF44" s="186" t="str">
        <f>_xll.BDP(B44&amp;" Equity","EXPECTED_REPORT_DT")</f>
        <v>10/02/2026</v>
      </c>
      <c r="AG44" s="140">
        <f>_xll.BDP(B44&amp;" Index","CHG_PCT_1D_PRE_FROM_REGULAR")/100</f>
        <v>0</v>
      </c>
      <c r="AH44" s="19">
        <f t="shared" si="14"/>
        <v>0</v>
      </c>
      <c r="AI44" s="364" t="str">
        <f>_xll.BDP(B44&amp;" Equity","DVD_EX_DT")</f>
        <v>13/03/2026</v>
      </c>
    </row>
    <row r="45" spans="1:35">
      <c r="B45" s="39" t="s">
        <v>36</v>
      </c>
      <c r="C45" t="s">
        <v>914</v>
      </c>
      <c r="E45" t="s">
        <v>138</v>
      </c>
      <c r="F45" s="21" t="s">
        <v>47</v>
      </c>
      <c r="G45" s="15"/>
      <c r="H45" s="365">
        <v>23500</v>
      </c>
      <c r="I45" s="35" cm="1">
        <f t="array" ref="I45">_xll.BDP(B45&amp;" Equity","LAST_PRICE")</f>
        <v>53.96</v>
      </c>
      <c r="J45" s="50">
        <f t="shared" si="7"/>
        <v>0</v>
      </c>
      <c r="K45" s="357">
        <f>_xll.BDP(B45&amp;" equity","PX_YEST_CLOSE")</f>
        <v>53.96</v>
      </c>
      <c r="L45" s="52">
        <f>_xll.BDP(E45&amp;" Curncy","PX_LAST")</f>
        <v>1</v>
      </c>
      <c r="M45" s="51">
        <v>1</v>
      </c>
      <c r="N45" s="15">
        <f t="shared" si="8"/>
        <v>1268060</v>
      </c>
      <c r="O45" s="285">
        <f>IFERROR(IF(Tabelad[[#This Row],[D1 Exp USD]]&lt;&gt;0,N45/$AE$7,0),"-")</f>
        <v>5.2920415460058648E-4</v>
      </c>
      <c r="P45" s="19">
        <f>IFERROR(IF(Tabelad[[#This Row],[D1 Exp USD]]&lt;&gt;0,((I45-K45)/L45*M45*H45)/$AD$7*10000,0),"-")</f>
        <v>0</v>
      </c>
      <c r="Q45" s="15">
        <f>IF(SUM(SUMIFS(Options!$AL$4:$AL$25, Options!$D$4:$D$25, B45), SUMIFS(Options!$AL$4:$AL$25, Options!$D$4:$D$25, B45 &amp; " US"))=0,0,SUM(SUMIFS(Options!$AL$4:$AL$25, Options!$D$4:$D$25, B45), SUMIFS(Options!$AL$4:$AL$25, Options!$D$4:$D$25, B45 &amp; " US")))</f>
        <v>0</v>
      </c>
      <c r="R45" s="18">
        <f t="shared" si="63"/>
        <v>0</v>
      </c>
      <c r="S45" s="19">
        <f>IF(SUM(SUMIFS(Options!$AK$4:$AK$25, Options!$D$4:$D$25, B45), SUMIFS(Options!$AK$4:$AK$25, Options!$D$4:$D$25, B45 &amp; " US"))=0,0,SUM(SUMIFS(Options!$AK$4:$AK$25, Options!$D$4:$D$25, B45), SUMIFS(Options!AK$4:$AK$25, Options!$D$4:$D$25, B45 &amp; " US")))</f>
        <v>0</v>
      </c>
      <c r="T45" s="13">
        <f t="shared" si="10"/>
        <v>1268060</v>
      </c>
      <c r="U45" s="47">
        <f t="shared" si="11"/>
        <v>5.2920415460058648E-4</v>
      </c>
      <c r="V45" s="19">
        <f t="shared" si="12"/>
        <v>0</v>
      </c>
      <c r="W45" s="15">
        <f t="shared" si="13"/>
        <v>1110157.5732023721</v>
      </c>
      <c r="X45" s="18"/>
      <c r="Y45" s="303">
        <f>Tabelad[[#This Row],[Exp %]]*$Y$10*$AD$7/Tabelad[[#This Row],[Price Today]]</f>
        <v>8225</v>
      </c>
      <c r="Z45" s="196">
        <f>Tabelad[[#This Row],[Vol 10d]]/16*Tabelad[[#This Row],[Exp %]]*100</f>
        <v>4.9055802235933851E-2</v>
      </c>
      <c r="AA45" s="18">
        <f>Tabelad[[#This Row],[Exp %]]*Tabelad[[#This Row],[Beta Adj2]]</f>
        <v>5.2912775739246548E-4</v>
      </c>
      <c r="AB45" s="35">
        <f>_xll.BDP($B45&amp;" Equity","volatility_10d")</f>
        <v>14.831569800644036</v>
      </c>
      <c r="AC45" s="35">
        <f>_xll.BDP(B45&amp;" EQUITY","eqy_beta")</f>
        <v>0.999855637550354</v>
      </c>
      <c r="AD45" s="15">
        <f>Tabelad[[#This Row],[D1 P&amp;L bps]]*$AD$5/10000</f>
        <v>0</v>
      </c>
      <c r="AE45" s="207"/>
      <c r="AF45" s="186" t="str">
        <f>_xll.BDP(B45&amp;" Equity","EXPECTED_REPORT_DT")</f>
        <v>#N/A N/A</v>
      </c>
      <c r="AG45" s="140">
        <f>_xll.BDP(B45&amp;" Index","CHG_PCT_1D_PRE_FROM_REGULAR")/100</f>
        <v>1.297252E-3</v>
      </c>
      <c r="AH45" s="19">
        <f t="shared" si="14"/>
        <v>6.8651114796392E-3</v>
      </c>
      <c r="AI45" s="364" t="str">
        <f>_xll.BDP(B45&amp;" Equity","DVD_EX_DT")</f>
        <v>22/12/2025</v>
      </c>
    </row>
    <row r="46" spans="1:35">
      <c r="B46" s="39" t="s">
        <v>6</v>
      </c>
      <c r="C46" t="s">
        <v>914</v>
      </c>
      <c r="E46" t="s">
        <v>138</v>
      </c>
      <c r="F46" s="21" t="s">
        <v>47</v>
      </c>
      <c r="G46" s="15"/>
      <c r="H46" s="365">
        <v>15000</v>
      </c>
      <c r="I46" s="35" cm="1">
        <f t="array" ref="I46">_xll.BDP(B46&amp;" Equity","LAST_PRICE")</f>
        <v>89.1</v>
      </c>
      <c r="J46" s="50">
        <f t="shared" si="7"/>
        <v>0</v>
      </c>
      <c r="K46" s="357">
        <f>_xll.BDP(B46&amp;" equity","PX_YEST_CLOSE")</f>
        <v>89.1</v>
      </c>
      <c r="L46" s="52">
        <f>_xll.BDP(E46&amp;" Curncy","PX_LAST")</f>
        <v>1</v>
      </c>
      <c r="M46" s="51">
        <v>1</v>
      </c>
      <c r="N46" s="15">
        <f t="shared" si="8"/>
        <v>1336500</v>
      </c>
      <c r="O46" s="285">
        <f>IFERROR(IF(Tabelad[[#This Row],[D1 Exp USD]]&lt;&gt;0,N46/$AE$7,0),"-")</f>
        <v>5.5776647210990316E-4</v>
      </c>
      <c r="P46" s="19">
        <f>IFERROR(IF(Tabelad[[#This Row],[D1 Exp USD]]&lt;&gt;0,((I46-K46)/L46*M46*H46)/$AD$7*10000,0),"-")</f>
        <v>0</v>
      </c>
      <c r="Q46" s="15">
        <f>IF(SUM(SUMIFS(Options!$AL$4:$AL$25, Options!$D$4:$D$25, B46), SUMIFS(Options!$AL$4:$AL$25, Options!$D$4:$D$25, B46 &amp; " US"))=0,0,SUM(SUMIFS(Options!$AL$4:$AL$25, Options!$D$4:$D$25, B46), SUMIFS(Options!$AL$4:$AL$25, Options!$D$4:$D$25, B46 &amp; " US")))</f>
        <v>0</v>
      </c>
      <c r="R46" s="18">
        <f>Q46/$AE$7</f>
        <v>0</v>
      </c>
      <c r="S46" s="19">
        <f>IF(SUM(SUMIFS(Options!$AK$4:$AK$25, Options!$D$4:$D$25, B46), SUMIFS(Options!$AK$4:$AK$25, Options!$D$4:$D$25, B46 &amp; " US"))=0,0,SUM(SUMIFS(Options!$AK$4:$AK$25, Options!$D$4:$D$25, B46), SUMIFS(Options!AK$4:$AK$25, Options!$D$4:$D$25, B46 &amp; " US")))</f>
        <v>0</v>
      </c>
      <c r="T46" s="13">
        <f t="shared" si="10"/>
        <v>1336500</v>
      </c>
      <c r="U46" s="47">
        <f t="shared" si="11"/>
        <v>5.5776647210990316E-4</v>
      </c>
      <c r="V46" s="19">
        <f t="shared" si="12"/>
        <v>0</v>
      </c>
      <c r="W46" s="15">
        <f t="shared" si="13"/>
        <v>672324.38439955108</v>
      </c>
      <c r="X46" s="18"/>
      <c r="Y46" s="303">
        <f>Tabelad[[#This Row],[Exp %]]*$Y$10*$AD$7/Tabelad[[#This Row],[Price Today]]</f>
        <v>5250</v>
      </c>
      <c r="Z46" s="196">
        <f>Tabelad[[#This Row],[Vol 10d]]/16*Tabelad[[#This Row],[Exp %]]*100</f>
        <v>6.4953274009961218E-2</v>
      </c>
      <c r="AA46" s="18">
        <f>Tabelad[[#This Row],[Exp %]]*Tabelad[[#This Row],[Beta Adj2]]</f>
        <v>5.5560804305735572E-4</v>
      </c>
      <c r="AB46" s="35">
        <f>_xll.BDP($B46&amp;" Equity","volatility_10d")</f>
        <v>18.63239251775255</v>
      </c>
      <c r="AC46" s="35">
        <f>_xll.BDP(B46&amp;" EQUITY","eqy_beta")</f>
        <v>0.99613022804260254</v>
      </c>
      <c r="AD46" s="15">
        <f>Tabelad[[#This Row],[D1 P&amp;L bps]]*$AD$5/10000</f>
        <v>0</v>
      </c>
      <c r="AE46" s="207"/>
      <c r="AF46" s="186" t="str">
        <f>_xll.BDP(B46&amp;" Equity","EXPECTED_REPORT_DT")</f>
        <v>#N/A N/A</v>
      </c>
      <c r="AG46" s="140">
        <f>_xll.BDP(B46&amp;" Index","CHG_PCT_1D_PRE_FROM_REGULAR")/100</f>
        <v>0</v>
      </c>
      <c r="AH46" s="19">
        <f t="shared" si="14"/>
        <v>0</v>
      </c>
      <c r="AI46" s="364" t="str">
        <f>_xll.BDP(B46&amp;" Equity","DVD_EX_DT")</f>
        <v>22/12/2025</v>
      </c>
    </row>
    <row r="47" spans="1:35">
      <c r="B47" s="39" t="s">
        <v>926</v>
      </c>
      <c r="C47" t="s">
        <v>914</v>
      </c>
      <c r="E47" t="s">
        <v>138</v>
      </c>
      <c r="F47" s="21" t="s">
        <v>48</v>
      </c>
      <c r="G47" s="15"/>
      <c r="H47" s="365">
        <v>-13470</v>
      </c>
      <c r="I47" s="35" cm="1">
        <f t="array" ref="I47">_xll.BDP(B47&amp;" Equity","LAST_PRICE")</f>
        <v>24.48</v>
      </c>
      <c r="J47" s="50">
        <f t="shared" si="7"/>
        <v>0</v>
      </c>
      <c r="K47" s="357">
        <f>_xll.BDP(B47&amp;" equity","PX_YEST_CLOSE")</f>
        <v>24.48</v>
      </c>
      <c r="L47" s="52">
        <f>_xll.BDP(E47&amp;" Curncy","PX_LAST")</f>
        <v>1</v>
      </c>
      <c r="M47" s="51">
        <v>1</v>
      </c>
      <c r="N47" s="15">
        <f t="shared" si="8"/>
        <v>-329745.59999999998</v>
      </c>
      <c r="O47" s="285">
        <f>IFERROR(IF(Tabelad[[#This Row],[D1 Exp USD]]&lt;&gt;0,N47/$AE$7,0),"-")</f>
        <v>-1.376139468804813E-4</v>
      </c>
      <c r="P47" s="19">
        <f>IFERROR(IF(Tabelad[[#This Row],[D1 Exp USD]]&lt;&gt;0,((I47-K47)/L47*M47*H47)/$AD$7*10000,0),"-")</f>
        <v>0</v>
      </c>
      <c r="Q47" s="15">
        <f>IF(SUM(SUMIFS(Options!$AL$4:$AL$25, Options!$D$4:$D$25, B47), SUMIFS(Options!$AL$4:$AL$25, Options!$D$4:$D$25, B47 &amp; " US"))=0,0,SUM(SUMIFS(Options!$AL$4:$AL$25, Options!$D$4:$D$25, B47), SUMIFS(Options!$AL$4:$AL$25, Options!$D$4:$D$25, B47 &amp; " US")))</f>
        <v>0</v>
      </c>
      <c r="R47" s="18">
        <f t="shared" si="63"/>
        <v>0</v>
      </c>
      <c r="S47" s="19">
        <f>IF(SUM(SUMIFS(Options!$AK$4:$AK$25, Options!$D$4:$D$25, B47), SUMIFS(Options!$AK$4:$AK$25, Options!$D$4:$D$25, B47 &amp; " US"))=0,0,SUM(SUMIFS(Options!$AK$4:$AK$25, Options!$D$4:$D$25, B47), SUMIFS(Options!AK$4:$AK$25, Options!$D$4:$D$25, B47 &amp; " US")))</f>
        <v>0</v>
      </c>
      <c r="T47" s="13">
        <f t="shared" si="10"/>
        <v>-329745.59999999998</v>
      </c>
      <c r="U47" s="47">
        <f t="shared" si="11"/>
        <v>-1.376139468804813E-4</v>
      </c>
      <c r="V47" s="19">
        <f t="shared" si="12"/>
        <v>0</v>
      </c>
      <c r="W47" s="15">
        <f t="shared" si="13"/>
        <v>2447063.0167483659</v>
      </c>
      <c r="X47" s="18"/>
      <c r="Y47" s="303">
        <f>Tabelad[[#This Row],[Exp %]]*$Y$10*$AD$7/Tabelad[[#This Row],[Price Today]]</f>
        <v>-4714.4999999999991</v>
      </c>
      <c r="Z47" s="196">
        <f>Tabelad[[#This Row],[Vol 10d]]/16*Tabelad[[#This Row],[Exp %]]*100</f>
        <v>-2.3131235955715496E-2</v>
      </c>
      <c r="AA47" s="18">
        <f>Tabelad[[#This Row],[Exp %]]*Tabelad[[#This Row],[Beta Adj2]]</f>
        <v>-5.1120921677249717E-5</v>
      </c>
      <c r="AB47" s="35">
        <f>_xll.BDP($B47&amp;" Equity","volatility_10d")</f>
        <v>26.894060063031418</v>
      </c>
      <c r="AC47" s="35">
        <f>_xll.BDP(B47&amp;" EQUITY","eqy_beta")</f>
        <v>0.37148067355155945</v>
      </c>
      <c r="AD47" s="15">
        <f>Tabelad[[#This Row],[D1 P&amp;L bps]]*$AD$5/10000</f>
        <v>0</v>
      </c>
      <c r="AE47" s="207"/>
      <c r="AF47" s="186" t="str">
        <f>_xll.BDP(B47&amp;" Equity","EXPECTED_REPORT_DT")</f>
        <v>11/02/2026</v>
      </c>
      <c r="AG47" s="140" t="e">
        <f>_xll.BDP(B47&amp;" Index","CHG_PCT_1D_PRE_FROM_REGULAR")/100</f>
        <v>#VALUE!</v>
      </c>
      <c r="AH47" s="19" t="e">
        <f t="shared" si="14"/>
        <v>#VALUE!</v>
      </c>
      <c r="AI47" s="364" t="str">
        <f>_xll.BDP(B47&amp;" Equity","DVD_EX_DT")</f>
        <v>28/11/2025</v>
      </c>
    </row>
    <row r="48" spans="1:35">
      <c r="B48" s="39" t="s">
        <v>4</v>
      </c>
      <c r="C48" t="s">
        <v>914</v>
      </c>
      <c r="E48" t="s">
        <v>138</v>
      </c>
      <c r="F48" s="21" t="s">
        <v>48</v>
      </c>
      <c r="G48" s="15"/>
      <c r="H48" s="365">
        <v>-27500</v>
      </c>
      <c r="I48" s="35" cm="1">
        <f t="array" ref="I48">_xll.BDP(B48&amp;" Equity","LAST_PRICE")</f>
        <v>86.99</v>
      </c>
      <c r="J48" s="50">
        <f t="shared" si="7"/>
        <v>0</v>
      </c>
      <c r="K48" s="357">
        <f>_xll.BDP(B48&amp;" equity","PX_YEST_CLOSE")</f>
        <v>86.99</v>
      </c>
      <c r="L48" s="52">
        <f>_xll.BDP(E48&amp;" Curncy","PX_LAST")</f>
        <v>1</v>
      </c>
      <c r="M48" s="51">
        <v>1</v>
      </c>
      <c r="N48" s="15">
        <f t="shared" si="8"/>
        <v>-2392225</v>
      </c>
      <c r="O48" s="285">
        <f>IFERROR(IF(Tabelad[[#This Row],[D1 Exp USD]]&lt;&gt;0,N48/$AE$7,0),"-")</f>
        <v>-9.9835607837120313E-4</v>
      </c>
      <c r="P48" s="19">
        <f>IFERROR(IF(Tabelad[[#This Row],[D1 Exp USD]]&lt;&gt;0,((I48-K48)/L48*M48*H48)/$AD$7*10000,0),"-")</f>
        <v>0</v>
      </c>
      <c r="Q48" s="15">
        <f>IF(SUM(SUMIFS(Options!$AL$4:$AL$25, Options!$D$4:$D$25, B48), SUMIFS(Options!$AL$4:$AL$25, Options!$D$4:$D$25, B48 &amp; " US"))=0,0,SUM(SUMIFS(Options!$AL$4:$AL$25, Options!$D$4:$D$25, B48), SUMIFS(Options!$AL$4:$AL$25, Options!$D$4:$D$25, B48 &amp; " US")))</f>
        <v>0</v>
      </c>
      <c r="R48" s="18">
        <f t="shared" si="63"/>
        <v>0</v>
      </c>
      <c r="S48" s="19">
        <f>IF(SUM(SUMIFS(Options!$AK$4:$AK$25, Options!$D$4:$D$25, B48), SUMIFS(Options!$AK$4:$AK$25, Options!$D$4:$D$25, B48 &amp; " US"))=0,0,SUM(SUMIFS(Options!$AK$4:$AK$25, Options!$D$4:$D$25, B48), SUMIFS(Options!AK$4:$AK$25, Options!$D$4:$D$25, B48 &amp; " US")))</f>
        <v>0</v>
      </c>
      <c r="T48" s="13">
        <f t="shared" si="10"/>
        <v>-2392225</v>
      </c>
      <c r="U48" s="47">
        <f t="shared" si="11"/>
        <v>-9.9835607837120313E-4</v>
      </c>
      <c r="V48" s="19">
        <f t="shared" si="12"/>
        <v>0</v>
      </c>
      <c r="W48" s="15">
        <f t="shared" si="13"/>
        <v>688632.05713300384</v>
      </c>
      <c r="X48" s="18"/>
      <c r="Y48" s="303">
        <f>Tabelad[[#This Row],[Exp %]]*$Y$10*$AD$7/Tabelad[[#This Row],[Price Today]]</f>
        <v>-9625</v>
      </c>
      <c r="Z48" s="196">
        <f>Tabelad[[#This Row],[Vol 10d]]/16*Tabelad[[#This Row],[Exp %]]*100</f>
        <v>-9.3388218355919775E-2</v>
      </c>
      <c r="AA48" s="18">
        <f>Tabelad[[#This Row],[Exp %]]*Tabelad[[#This Row],[Beta Adj2]]</f>
        <v>-1.0012121599962775E-3</v>
      </c>
      <c r="AB48" s="35">
        <f>_xll.BDP($B48&amp;" Equity","volatility_10d")</f>
        <v>14.966719050105759</v>
      </c>
      <c r="AC48" s="35">
        <f>_xll.BDP(B48&amp;" EQUITY","eqy_beta")</f>
        <v>1.0028607845306396</v>
      </c>
      <c r="AD48" s="15">
        <f>Tabelad[[#This Row],[D1 P&amp;L bps]]*$AD$5/10000</f>
        <v>0</v>
      </c>
      <c r="AE48" s="207"/>
      <c r="AF48" s="186" t="str">
        <f>_xll.BDP(B48&amp;" Equity","EXPECTED_REPORT_DT")</f>
        <v>#N/A N/A</v>
      </c>
      <c r="AG48" s="140">
        <f>_xll.BDP(B48&amp;" Index","CHG_PCT_1D_PRE_FROM_REGULAR")/100</f>
        <v>-1.1495400000000001E-3</v>
      </c>
      <c r="AH48" s="19">
        <f t="shared" si="14"/>
        <v>1.147650246330833E-2</v>
      </c>
      <c r="AI48" s="364" t="str">
        <f>_xll.BDP(B48&amp;" Equity","DVD_EX_DT")</f>
        <v>22/12/2025</v>
      </c>
    </row>
    <row r="49" spans="3:35">
      <c r="C49" s="39"/>
      <c r="D49" s="39"/>
      <c r="E49" s="39"/>
      <c r="H49" s="13"/>
      <c r="I49" s="52"/>
      <c r="K49" s="52"/>
      <c r="L49" s="52"/>
      <c r="M49" s="35"/>
      <c r="S49" s="207"/>
      <c r="U49" s="70"/>
      <c r="V49" s="64"/>
      <c r="X49" s="52"/>
      <c r="Y49" s="363"/>
      <c r="Z49" s="18"/>
      <c r="AG49" s="52"/>
      <c r="AI49" s="47"/>
    </row>
    <row r="50" spans="3:35">
      <c r="C50" s="20"/>
      <c r="D50" s="20"/>
      <c r="E50" s="20"/>
      <c r="H50" s="13"/>
      <c r="L50" s="3"/>
      <c r="S50" s="206"/>
    </row>
    <row r="51" spans="3:35">
      <c r="C51" s="20"/>
      <c r="D51" s="20"/>
      <c r="E51" s="20"/>
      <c r="H51" s="13"/>
      <c r="L51" s="3"/>
      <c r="S51" s="206"/>
    </row>
    <row r="52" spans="3:35">
      <c r="C52" s="20"/>
      <c r="D52" s="20"/>
      <c r="E52" s="20"/>
      <c r="H52" s="13"/>
      <c r="L52" s="3"/>
      <c r="S52" s="206"/>
    </row>
    <row r="53" spans="3:35">
      <c r="C53" s="20"/>
      <c r="D53" s="20"/>
      <c r="E53" s="20"/>
      <c r="H53" s="17">
        <f>SUM(H55:H73)</f>
        <v>120</v>
      </c>
      <c r="I53" s="3">
        <f>J53/H53</f>
        <v>25110.625</v>
      </c>
      <c r="J53" s="17">
        <f>SUM(J55:J73)</f>
        <v>3013275</v>
      </c>
      <c r="S53" s="206"/>
    </row>
    <row r="54" spans="3:35">
      <c r="C54" s="20"/>
      <c r="D54" s="20"/>
      <c r="E54" s="20"/>
      <c r="H54" s="13"/>
      <c r="S54" s="206"/>
    </row>
    <row r="55" spans="3:35">
      <c r="C55" s="20"/>
      <c r="D55" s="20"/>
      <c r="E55" s="20"/>
      <c r="H55" s="13">
        <v>20</v>
      </c>
      <c r="I55" s="3">
        <v>25250</v>
      </c>
      <c r="J55" s="17">
        <f>H55*I55</f>
        <v>505000</v>
      </c>
      <c r="K55" s="3" t="s">
        <v>269</v>
      </c>
    </row>
    <row r="56" spans="3:35">
      <c r="C56" s="20"/>
      <c r="D56" s="20"/>
      <c r="E56" s="20"/>
      <c r="H56">
        <v>10</v>
      </c>
      <c r="I56" s="3">
        <v>25240</v>
      </c>
      <c r="J56" s="17">
        <f t="shared" ref="J56:J70" si="65">H56*I56</f>
        <v>252400</v>
      </c>
      <c r="K56" s="3" t="s">
        <v>269</v>
      </c>
    </row>
    <row r="57" spans="3:35">
      <c r="C57" s="20"/>
      <c r="D57" s="20"/>
      <c r="E57" s="20"/>
      <c r="H57">
        <v>5</v>
      </c>
      <c r="I57" s="3">
        <v>25275</v>
      </c>
      <c r="J57" s="17">
        <f t="shared" si="65"/>
        <v>126375</v>
      </c>
      <c r="K57" s="3" t="s">
        <v>269</v>
      </c>
    </row>
    <row r="58" spans="3:35">
      <c r="C58" s="20"/>
      <c r="D58" s="20"/>
      <c r="E58" s="20"/>
      <c r="H58" s="13">
        <v>5</v>
      </c>
      <c r="I58" s="3">
        <v>25290</v>
      </c>
      <c r="J58" s="17">
        <f t="shared" si="65"/>
        <v>126450</v>
      </c>
      <c r="K58" s="3" t="s">
        <v>269</v>
      </c>
    </row>
    <row r="59" spans="3:35">
      <c r="C59" s="20"/>
      <c r="D59" s="20"/>
      <c r="E59" s="20"/>
      <c r="H59" s="13">
        <v>5</v>
      </c>
      <c r="I59" s="3">
        <v>25300</v>
      </c>
      <c r="J59" s="17">
        <f t="shared" si="65"/>
        <v>126500</v>
      </c>
      <c r="K59" s="3" t="s">
        <v>269</v>
      </c>
    </row>
    <row r="60" spans="3:35">
      <c r="H60" s="13">
        <v>10</v>
      </c>
      <c r="I60" s="3">
        <v>25000</v>
      </c>
      <c r="J60" s="17">
        <f t="shared" si="65"/>
        <v>250000</v>
      </c>
      <c r="K60" s="3" t="s">
        <v>269</v>
      </c>
    </row>
    <row r="61" spans="3:35">
      <c r="H61" s="13">
        <v>5</v>
      </c>
      <c r="I61" s="3">
        <v>24990</v>
      </c>
      <c r="J61" s="17">
        <f t="shared" si="65"/>
        <v>124950</v>
      </c>
      <c r="K61" s="3" t="s">
        <v>269</v>
      </c>
    </row>
    <row r="62" spans="3:35">
      <c r="H62" s="13">
        <v>5</v>
      </c>
      <c r="I62" s="3">
        <v>24946</v>
      </c>
      <c r="J62" s="17">
        <f t="shared" si="65"/>
        <v>124730</v>
      </c>
      <c r="K62" s="3" t="s">
        <v>269</v>
      </c>
    </row>
    <row r="63" spans="3:35">
      <c r="H63" s="13">
        <v>5</v>
      </c>
      <c r="I63" s="3">
        <v>24950</v>
      </c>
      <c r="J63" s="17">
        <f t="shared" si="65"/>
        <v>124750</v>
      </c>
    </row>
    <row r="64" spans="3:35">
      <c r="H64" s="13">
        <v>5</v>
      </c>
      <c r="I64" s="3">
        <v>24995</v>
      </c>
      <c r="J64" s="17">
        <f t="shared" si="65"/>
        <v>124975</v>
      </c>
    </row>
    <row r="65" spans="8:10">
      <c r="H65" s="13">
        <v>5</v>
      </c>
      <c r="I65" s="3">
        <v>24990</v>
      </c>
      <c r="J65" s="17">
        <f t="shared" si="65"/>
        <v>124950</v>
      </c>
    </row>
    <row r="66" spans="8:10">
      <c r="H66" s="13">
        <v>5</v>
      </c>
      <c r="I66" s="3">
        <v>25020</v>
      </c>
      <c r="J66" s="17">
        <f t="shared" si="65"/>
        <v>125100</v>
      </c>
    </row>
    <row r="67" spans="8:10">
      <c r="H67" s="13">
        <v>10</v>
      </c>
      <c r="I67" s="3">
        <v>25037</v>
      </c>
      <c r="J67" s="17">
        <f t="shared" si="65"/>
        <v>250370</v>
      </c>
    </row>
    <row r="68" spans="8:10">
      <c r="H68" s="13">
        <v>10</v>
      </c>
      <c r="I68" s="3">
        <v>25100</v>
      </c>
      <c r="J68" s="17">
        <f t="shared" si="65"/>
        <v>251000</v>
      </c>
    </row>
    <row r="69" spans="8:10">
      <c r="H69" s="13">
        <v>5</v>
      </c>
      <c r="I69" s="3">
        <v>25093</v>
      </c>
      <c r="J69" s="17">
        <f t="shared" si="65"/>
        <v>125465</v>
      </c>
    </row>
    <row r="70" spans="8:10">
      <c r="H70" s="13">
        <v>10</v>
      </c>
      <c r="I70" s="3">
        <v>25026</v>
      </c>
      <c r="J70" s="17">
        <f t="shared" si="65"/>
        <v>250260</v>
      </c>
    </row>
  </sheetData>
  <phoneticPr fontId="5" type="noConversion"/>
  <conditionalFormatting sqref="D1:D10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:I10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:M10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48">
    <cfRule type="colorScale" priority="575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48">
    <cfRule type="colorScale" priority="575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5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12:AB48">
    <cfRule type="dataBar" priority="575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{7C06081F-9B2B-44CE-8C8E-D105E03986F9}</x14:id>
        </ext>
      </extLst>
    </cfRule>
  </conditionalFormatting>
  <conditionalFormatting sqref="AA12:AA48">
    <cfRule type="colorScale" priority="575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2:AC48">
    <cfRule type="dataBar" priority="5752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{6967236C-8B2B-4547-83AC-9A1BCEE55E8F}</x14:id>
        </ext>
      </extLst>
    </cfRule>
  </conditionalFormatting>
  <conditionalFormatting sqref="J12:J48">
    <cfRule type="colorScale" priority="575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2:J48">
    <cfRule type="colorScale" priority="575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5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12:AF48">
    <cfRule type="colorScale" priority="57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2:U48">
    <cfRule type="colorScale" priority="575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4" r:id="rId4" name="Button 4">
              <controlPr defaultSize="0" print="0" autoFill="0" autoPict="0" macro="[0]!FImportarArquivoRelatorio2">
                <anchor moveWithCells="1" sizeWithCells="1">
                  <from>
                    <xdr:col>39</xdr:col>
                    <xdr:colOff>581025</xdr:colOff>
                    <xdr:row>3</xdr:row>
                    <xdr:rowOff>9525</xdr:rowOff>
                  </from>
                  <to>
                    <xdr:col>41</xdr:col>
                    <xdr:colOff>333375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5" name="Button 5">
              <controlPr defaultSize="0" print="0" autoFill="0" autoPict="0" macro="[0]!ImportarPrecosBTG">
                <anchor moveWithCells="1" sizeWithCells="1">
                  <from>
                    <xdr:col>40</xdr:col>
                    <xdr:colOff>600075</xdr:colOff>
                    <xdr:row>5</xdr:row>
                    <xdr:rowOff>152400</xdr:rowOff>
                  </from>
                  <to>
                    <xdr:col>42</xdr:col>
                    <xdr:colOff>342900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Cola_PL">
                <anchor moveWithCells="1" sizeWithCells="1">
                  <from>
                    <xdr:col>35</xdr:col>
                    <xdr:colOff>571500</xdr:colOff>
                    <xdr:row>2</xdr:row>
                    <xdr:rowOff>190500</xdr:rowOff>
                  </from>
                  <to>
                    <xdr:col>37</xdr:col>
                    <xdr:colOff>590550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C06081F-9B2B-44CE-8C8E-D105E03986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AB12:AB48</xm:sqref>
        </x14:conditionalFormatting>
        <x14:conditionalFormatting xmlns:xm="http://schemas.microsoft.com/office/excel/2006/main">
          <x14:cfRule type="dataBar" id="{6967236C-8B2B-4547-83AC-9A1BCEE55E8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AC12:AC48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8720F-9028-4D6D-9843-ED7DFFC9E1CA}">
  <sheetPr codeName="Sheet2"/>
  <dimension ref="A1:BD46"/>
  <sheetViews>
    <sheetView zoomScale="80" zoomScaleNormal="80" workbookViewId="0">
      <pane xSplit="8" ySplit="3" topLeftCell="I4" activePane="bottomRight" state="frozen"/>
      <selection pane="topRight" activeCell="I1" sqref="I1"/>
      <selection pane="bottomLeft" activeCell="A4" sqref="A4"/>
      <selection pane="bottomRight" activeCell="A21" sqref="A21:XFD22"/>
    </sheetView>
  </sheetViews>
  <sheetFormatPr defaultRowHeight="15" outlineLevelCol="1"/>
  <cols>
    <col min="1" max="1" width="4.42578125" style="1" customWidth="1"/>
    <col min="2" max="2" width="23.28515625" customWidth="1"/>
    <col min="3" max="3" width="6.28515625" customWidth="1" outlineLevel="1"/>
    <col min="4" max="4" width="9" customWidth="1" outlineLevel="1"/>
    <col min="5" max="5" width="11.42578125" style="261" customWidth="1" outlineLevel="1"/>
    <col min="6" max="6" width="4.5703125" customWidth="1" outlineLevel="1"/>
    <col min="7" max="7" width="6.140625" customWidth="1" outlineLevel="1"/>
    <col min="8" max="8" width="7.140625" style="35" customWidth="1"/>
    <col min="9" max="9" width="8.42578125" customWidth="1" outlineLevel="1"/>
    <col min="10" max="10" width="9.7109375" customWidth="1" outlineLevel="1"/>
    <col min="11" max="13" width="8.28515625" customWidth="1" outlineLevel="1"/>
    <col min="14" max="14" width="3" style="126" customWidth="1" outlineLevel="1"/>
    <col min="15" max="15" width="9.85546875" customWidth="1" outlineLevel="1"/>
    <col min="16" max="17" width="8.7109375" customWidth="1" outlineLevel="1"/>
    <col min="18" max="18" width="9.140625" customWidth="1" outlineLevel="1"/>
    <col min="19" max="19" width="7.140625" customWidth="1" outlineLevel="1"/>
    <col min="20" max="20" width="7.42578125" customWidth="1" outlineLevel="1"/>
    <col min="21" max="21" width="10.85546875" style="64" customWidth="1" outlineLevel="1"/>
    <col min="22" max="23" width="8.140625" style="49" customWidth="1"/>
    <col min="24" max="24" width="7.5703125" customWidth="1" outlineLevel="1"/>
    <col min="25" max="25" width="8.140625" style="204" customWidth="1" outlineLevel="1"/>
    <col min="26" max="26" width="9.85546875" style="2" customWidth="1"/>
    <col min="27" max="27" width="10.42578125" style="2" customWidth="1"/>
    <col min="28" max="29" width="8.7109375" customWidth="1"/>
    <col min="30" max="31" width="8" customWidth="1"/>
    <col min="32" max="32" width="6.7109375" customWidth="1"/>
    <col min="33" max="33" width="8.85546875" style="70" customWidth="1"/>
    <col min="34" max="34" width="8.28515625" customWidth="1"/>
    <col min="35" max="36" width="6.85546875" style="13" customWidth="1"/>
    <col min="37" max="37" width="8.28515625" style="13" customWidth="1" outlineLevel="1"/>
    <col min="38" max="39" width="13" customWidth="1" outlineLevel="1"/>
    <col min="40" max="40" width="6.5703125" style="49" customWidth="1" outlineLevel="1"/>
    <col min="41" max="41" width="7.85546875" customWidth="1" outlineLevel="1"/>
    <col min="42" max="42" width="9.85546875" customWidth="1" outlineLevel="1"/>
    <col min="43" max="43" width="11.7109375" customWidth="1" outlineLevel="1"/>
    <col min="44" max="44" width="8.7109375" style="65" customWidth="1" outlineLevel="1"/>
    <col min="45" max="45" width="13.7109375" customWidth="1" outlineLevel="1"/>
    <col min="46" max="46" width="15" customWidth="1" outlineLevel="1"/>
    <col min="47" max="47" width="9.140625" customWidth="1" outlineLevel="1"/>
    <col min="48" max="48" width="8.28515625" style="206" customWidth="1" outlineLevel="1"/>
    <col min="49" max="49" width="9.140625" customWidth="1" outlineLevel="1"/>
    <col min="50" max="51" width="9.85546875" customWidth="1" outlineLevel="1"/>
    <col min="52" max="52" width="9.140625" customWidth="1" outlineLevel="1"/>
  </cols>
  <sheetData>
    <row r="1" spans="1:56">
      <c r="B1" s="206">
        <f>'Master P&amp;L'!V10</f>
        <v>-2.5095391472887871</v>
      </c>
      <c r="C1" s="94"/>
      <c r="D1" s="94"/>
      <c r="E1" s="262"/>
      <c r="F1" s="94"/>
      <c r="G1" s="94"/>
      <c r="H1" s="265">
        <f>548-256</f>
        <v>292</v>
      </c>
      <c r="I1" s="161"/>
      <c r="J1" s="160" t="s">
        <v>376</v>
      </c>
      <c r="K1" s="73" t="str">
        <f>_xll.BDP(B1&amp;" index","PX_YEST_CLOSE")</f>
        <v>#N/A Requesting Data...</v>
      </c>
      <c r="L1" s="73" t="str">
        <f>_xll.BDP($B1&amp;" Index","mid")</f>
        <v>#N/A Requesting Data...</v>
      </c>
      <c r="O1" s="161" t="e">
        <f>#REF!-#REF!-#REF!</f>
        <v>#REF!</v>
      </c>
      <c r="P1" s="161"/>
      <c r="Q1" s="161"/>
      <c r="R1" s="161" t="e">
        <f>#REF!-#REF!-#REF!</f>
        <v>#REF!</v>
      </c>
      <c r="S1" s="94"/>
      <c r="T1" s="94"/>
      <c r="U1" s="94"/>
      <c r="V1" s="49">
        <f>SUM(V4:V25)</f>
        <v>17.640966198497924</v>
      </c>
      <c r="W1" s="49">
        <f>SUM(W4:W25)</f>
        <v>15.232324826419877</v>
      </c>
      <c r="X1" s="49">
        <f>SUM(X4:X25)</f>
        <v>16.490000000000009</v>
      </c>
      <c r="Y1" s="199"/>
      <c r="AG1" s="42"/>
      <c r="AI1" s="343">
        <f>SUM(AI4:AI25)*252</f>
        <v>-108.21019576970937</v>
      </c>
      <c r="AJ1" s="343"/>
      <c r="AK1" s="291" t="s">
        <v>574</v>
      </c>
      <c r="AL1" s="14"/>
      <c r="AM1" s="94"/>
      <c r="AN1" s="114"/>
      <c r="AO1" s="13"/>
      <c r="AP1" s="94"/>
      <c r="AQ1" s="94"/>
      <c r="AR1" s="94"/>
      <c r="AS1" s="94"/>
      <c r="AT1" s="94"/>
      <c r="AU1" s="94"/>
      <c r="AV1" s="254"/>
      <c r="AX1" s="13"/>
      <c r="AY1" s="13"/>
    </row>
    <row r="2" spans="1:56">
      <c r="I2" s="63" t="e">
        <f>#REF!-#REF!</f>
        <v>#REF!</v>
      </c>
      <c r="J2" s="63"/>
      <c r="K2" s="73" t="str" cm="1">
        <f t="array" ref="K2">_xll.BDP(B2&amp;" Equity","PX_YEST_CLOSE")</f>
        <v>#N/A Invalid Security</v>
      </c>
      <c r="L2" s="73" t="str" cm="1">
        <f t="array" ref="L2">_xll.BDP($B2&amp;" Equity","mid")</f>
        <v>#N/A Invalid Security</v>
      </c>
      <c r="P2" s="35" t="str" cm="1">
        <f t="array" ref="P2">_xll.BDP($B2&amp;" Equity","bid")</f>
        <v>#N/A Invalid Security</v>
      </c>
      <c r="Q2" s="35" t="str" cm="1">
        <f t="array" ref="Q2">_xll.BDP($B2&amp;" Equity","ask")</f>
        <v>#N/A Invalid Security</v>
      </c>
      <c r="R2" s="63" t="e">
        <f>#REF!-#REF!-0.5*#REF!</f>
        <v>#REF!</v>
      </c>
      <c r="S2" s="126" t="e">
        <f>R2/Q2-1</f>
        <v>#REF!</v>
      </c>
      <c r="U2" s="13" t="e">
        <f>SUM(#REF!)</f>
        <v>#REF!</v>
      </c>
      <c r="V2" s="117" t="s">
        <v>141</v>
      </c>
      <c r="W2" s="117" t="s">
        <v>141</v>
      </c>
      <c r="X2" s="35"/>
      <c r="Y2" s="200"/>
      <c r="AG2" s="108" t="s">
        <v>141</v>
      </c>
      <c r="AH2" s="108" t="s">
        <v>141</v>
      </c>
      <c r="AI2" s="108" t="s">
        <v>141</v>
      </c>
      <c r="AJ2" s="108"/>
      <c r="AK2" s="108" t="s">
        <v>141</v>
      </c>
      <c r="AL2" s="13"/>
      <c r="AR2" s="112"/>
      <c r="AS2" s="58"/>
    </row>
    <row r="3" spans="1:56" s="10" customFormat="1" ht="60">
      <c r="A3" s="132"/>
      <c r="B3" s="10" t="s">
        <v>142</v>
      </c>
      <c r="C3" s="10" t="s">
        <v>143</v>
      </c>
      <c r="D3" s="10" t="s">
        <v>144</v>
      </c>
      <c r="E3" s="263" t="s">
        <v>145</v>
      </c>
      <c r="F3" s="10" t="s">
        <v>146</v>
      </c>
      <c r="G3" s="10" t="s">
        <v>147</v>
      </c>
      <c r="H3" s="10" t="s">
        <v>148</v>
      </c>
      <c r="I3" s="59" t="s">
        <v>64</v>
      </c>
      <c r="J3" s="66" t="s">
        <v>149</v>
      </c>
      <c r="K3" s="66" t="s">
        <v>150</v>
      </c>
      <c r="L3" s="82" t="s">
        <v>151</v>
      </c>
      <c r="M3" s="66" t="s">
        <v>152</v>
      </c>
      <c r="N3" s="279"/>
      <c r="O3" s="10" t="s">
        <v>51</v>
      </c>
      <c r="P3" s="66" t="s">
        <v>153</v>
      </c>
      <c r="Q3" s="66" t="s">
        <v>154</v>
      </c>
      <c r="R3" s="66" t="s">
        <v>155</v>
      </c>
      <c r="S3" s="59" t="s">
        <v>124</v>
      </c>
      <c r="T3" s="10" t="s">
        <v>125</v>
      </c>
      <c r="U3" s="59" t="s">
        <v>156</v>
      </c>
      <c r="V3" s="118" t="s">
        <v>157</v>
      </c>
      <c r="W3" s="118" t="s">
        <v>158</v>
      </c>
      <c r="X3" s="67" t="s">
        <v>159</v>
      </c>
      <c r="Y3" s="201" t="s">
        <v>160</v>
      </c>
      <c r="Z3" s="119" t="s">
        <v>161</v>
      </c>
      <c r="AA3" s="119" t="s">
        <v>162</v>
      </c>
      <c r="AB3" s="68" t="s">
        <v>163</v>
      </c>
      <c r="AC3" s="68" t="s">
        <v>459</v>
      </c>
      <c r="AD3" s="10" t="s">
        <v>458</v>
      </c>
      <c r="AE3" s="10" t="s">
        <v>460</v>
      </c>
      <c r="AF3" s="10" t="s">
        <v>164</v>
      </c>
      <c r="AG3" s="93" t="s">
        <v>165</v>
      </c>
      <c r="AH3" s="10" t="s">
        <v>173</v>
      </c>
      <c r="AI3" s="67" t="s">
        <v>169</v>
      </c>
      <c r="AJ3" s="67" t="s">
        <v>793</v>
      </c>
      <c r="AK3" s="67" t="s">
        <v>104</v>
      </c>
      <c r="AL3" s="59" t="s">
        <v>166</v>
      </c>
      <c r="AM3" s="71" t="s">
        <v>172</v>
      </c>
      <c r="AN3" s="115" t="s">
        <v>167</v>
      </c>
      <c r="AO3" s="10" t="s">
        <v>168</v>
      </c>
      <c r="AP3" s="69" t="s">
        <v>170</v>
      </c>
      <c r="AQ3" s="10" t="s">
        <v>171</v>
      </c>
      <c r="AR3" s="113" t="s">
        <v>174</v>
      </c>
      <c r="AS3" s="109">
        <v>0.01</v>
      </c>
      <c r="AT3" s="109">
        <v>0.05</v>
      </c>
      <c r="AU3" s="110">
        <v>0.01</v>
      </c>
      <c r="AV3" s="255" t="s">
        <v>73</v>
      </c>
      <c r="AW3" s="10" t="s">
        <v>175</v>
      </c>
      <c r="AX3" s="10" t="s">
        <v>176</v>
      </c>
      <c r="AY3" s="10" t="s">
        <v>177</v>
      </c>
      <c r="AZ3" s="10" t="s">
        <v>354</v>
      </c>
      <c r="BA3" s="10" t="s">
        <v>518</v>
      </c>
      <c r="BB3" s="10" t="s">
        <v>521</v>
      </c>
      <c r="BC3" s="10" t="s">
        <v>522</v>
      </c>
      <c r="BD3" s="10" t="s">
        <v>523</v>
      </c>
    </row>
    <row r="4" spans="1:56" ht="15.75" customHeight="1">
      <c r="A4" s="264"/>
      <c r="B4" s="72" t="s">
        <v>895</v>
      </c>
      <c r="C4" s="72" t="str" cm="1">
        <f t="array" ref="C4">_xll.BDP($B4&amp;" Equity","opt_put_call")</f>
        <v>Call</v>
      </c>
      <c r="D4" s="72" t="str" cm="1">
        <f t="array" ref="D4">_xll.BDP(B4&amp;" Equity","OPT_UNDL_TICKER")</f>
        <v>ASHR US</v>
      </c>
      <c r="E4" s="72" t="str" cm="1">
        <f t="array" ref="E4">_xll.BDP($B4&amp;" Equity","mifid_Maturity_date")</f>
        <v>20/02/2026</v>
      </c>
      <c r="F4" s="72" cm="1">
        <f t="array" ref="F4">_xll.BDP($B4&amp;" Equity","opt_days_expire")</f>
        <v>15</v>
      </c>
      <c r="G4" s="72" t="str" cm="1">
        <f t="array" ref="G4">_xll.BDP(B4&amp;" Equity","QUOTED_CURRENCY_REALTIME")</f>
        <v>USD</v>
      </c>
      <c r="H4" s="41">
        <v>1000</v>
      </c>
      <c r="I4" s="337">
        <v>0.48</v>
      </c>
      <c r="J4" s="14">
        <f>VLOOKUP(B4,Precificação!$B:$O,14,FALSE)</f>
        <v>9.037163967070784E-2</v>
      </c>
      <c r="K4" s="14">
        <f>+J4</f>
        <v>9.037163967070784E-2</v>
      </c>
      <c r="L4" s="73" cm="1">
        <f t="array" ref="L4">_xll.BDP($B4&amp;" Equity","mid")</f>
        <v>0.15</v>
      </c>
      <c r="M4" s="74">
        <f t="shared" ref="M4:M25" si="0">L4/Z4</f>
        <v>4.4802867383512551E-3</v>
      </c>
      <c r="N4" s="280"/>
      <c r="O4" s="74">
        <f t="shared" ref="O4:O25" si="1">L4/K4-1</f>
        <v>0.65981275261313521</v>
      </c>
      <c r="P4" s="73" cm="1">
        <f t="array" ref="P4">_xll.BDP($B4&amp;" Equity","bid")</f>
        <v>0.14000000000000001</v>
      </c>
      <c r="Q4" s="73" cm="1">
        <f t="array" ref="Q4">_xll.BDP($B4&amp;" Equity","ask")</f>
        <v>0.15</v>
      </c>
      <c r="R4" s="75">
        <f t="shared" ref="R4:R25" si="2">(Q4/P4-1)</f>
        <v>7.1428571428571397E-2</v>
      </c>
      <c r="S4" s="35" cm="1">
        <f t="array" ref="S4">_xll.BDP(G4&amp;" Curncy","PX_LAST")</f>
        <v>1</v>
      </c>
      <c r="T4" s="41" cm="1">
        <f t="array" ref="T4">_xll.BDP(B4&amp;" Equity","OPT_MULTIPLIER")</f>
        <v>100</v>
      </c>
      <c r="U4" s="41">
        <f t="shared" ref="U4:U25" si="3">(L4/S4)*H4*T4</f>
        <v>15000</v>
      </c>
      <c r="V4" s="111">
        <f>U4/'Master P&amp;L'!$AD$7*10000</f>
        <v>6.2600052986521118E-2</v>
      </c>
      <c r="W4" s="111">
        <f>(Y4*H4*T4/S4)/'Master P&amp;L'!$AD$7*10000</f>
        <v>6.2600052986521118E-2</v>
      </c>
      <c r="X4" s="116">
        <f t="shared" ref="X4:X25" si="4">IF(C4="Put",IF(Z4&lt;AA4,AA4-Z4,0),IF(Z4&gt;AA4,Z4-AA4,0))</f>
        <v>0</v>
      </c>
      <c r="Y4" s="202">
        <f t="shared" ref="Y4:Y25" si="5">L4-X4</f>
        <v>0.15</v>
      </c>
      <c r="Z4" s="76">
        <f>_xll.BDP(D4&amp;" Equity","LAST_PRICE")</f>
        <v>33.479999999999997</v>
      </c>
      <c r="AA4" s="76" cm="1">
        <f t="array" ref="AA4">_xll.BDP(B4&amp;" Equity","OPT_STRIKE_PX")</f>
        <v>35</v>
      </c>
      <c r="AB4" s="75">
        <f t="shared" ref="AB4:AB25" si="6">AA4/Z4-1</f>
        <v>4.5400238948626104E-2</v>
      </c>
      <c r="AC4" s="252" cm="1">
        <f t="array" ref="AC4">_xll.BDP($D4&amp;" Equity","volatility_10d")</f>
        <v>13.154604284425849</v>
      </c>
      <c r="AD4" s="76" cm="1">
        <f t="array" ref="AD4">_xll.BDP(B4&amp;" Equity","ivol_mid")</f>
        <v>21.770009999999999</v>
      </c>
      <c r="AE4" s="76">
        <f t="shared" ref="AE4:AE25" si="7">AD4/AC4</f>
        <v>1.6549346167542418</v>
      </c>
      <c r="AF4" s="77" cm="1">
        <f t="array" ref="AF4">_xll.BDP(B4&amp;" Equity","DELTA_MID_RT")</f>
        <v>0.17940622568130493</v>
      </c>
      <c r="AG4" s="74">
        <f>AL4/'Master P&amp;L'!$AE$7</f>
        <v>2.5067233169755561E-4</v>
      </c>
      <c r="AH4" s="74">
        <f>AM4/'Master P&amp;L'!$AE$7</f>
        <v>1.3972331826591514E-3</v>
      </c>
      <c r="AI4" s="355">
        <f>AO4/'Master P&amp;L'!$AD$7*10000</f>
        <v>-5.2352376462529819E-3</v>
      </c>
      <c r="AJ4" s="278">
        <f t="shared" ref="AJ4:AJ20" si="8">(252*AI4)/$AI$1</f>
        <v>1.2191826079525949E-2</v>
      </c>
      <c r="AK4" s="77">
        <f>AP4/'Master P&amp;L'!$AD$7*10000</f>
        <v>2.4884923440753749E-2</v>
      </c>
      <c r="AL4" s="41">
        <f t="shared" ref="AL4:AL25" si="9">Z4*AF4*H4*T4/S4</f>
        <v>600652.04358100879</v>
      </c>
      <c r="AM4" s="41">
        <f t="shared" ref="AM4:AM25" si="10">IF(C4="Put",-Z4*H4*T4/S4,Z4*H4*T4/S4)</f>
        <v>3348000</v>
      </c>
      <c r="AN4" s="77" cm="1">
        <f t="array" ref="AN4">_xll.BDP($B4&amp;" Equity","theta_mid_rt")</f>
        <v>-1.2544488534331322E-2</v>
      </c>
      <c r="AO4" s="41">
        <f t="shared" ref="AO4:AO25" si="11">AN4*H4*T4/S4</f>
        <v>-1254.4488534331322</v>
      </c>
      <c r="AP4" s="41">
        <f t="shared" ref="AP4:AP25" si="12">(L4-K4)*T4/S4*H4</f>
        <v>5962.8360329292154</v>
      </c>
      <c r="AQ4" s="73" t="str" cm="1">
        <f t="array" ref="AQ4">_xll.BDP($D4&amp;" Equity","EXPECTED_REPORT_DT")</f>
        <v>#N/A N/A</v>
      </c>
      <c r="AR4" s="190" cm="1">
        <f t="array" ref="AR4">_xll.BDP($B4&amp;" Equity","GAMMA_LAST")</f>
        <v>5.6346E-2</v>
      </c>
      <c r="AS4" s="72">
        <f t="shared" ref="AS4:AS25" si="13">$Z4*($AR4*$Z4*$AS$3)*$H4*$T4/$S4</f>
        <v>63158.817398399995</v>
      </c>
      <c r="AT4" s="72">
        <f t="shared" ref="AT4:AT25" si="14">$Z4*($AR4*$Z4*$AT$3)*$H4*$T4/$S4</f>
        <v>315794.08699199994</v>
      </c>
      <c r="AU4" s="72" t="s">
        <v>95</v>
      </c>
      <c r="AV4" s="251" t="e" cm="1">
        <f t="array" ref="AV4">_xll.BDP($D4&amp;" Equity","EST_PE_NXT_YR")*(AA4/Z4)</f>
        <v>#VALUE!</v>
      </c>
      <c r="AW4" s="72"/>
      <c r="AX4" s="41"/>
      <c r="AY4" s="251">
        <v>0.15</v>
      </c>
      <c r="AZ4" s="282"/>
      <c r="BA4" s="41">
        <f t="shared" ref="BA4:BA25" si="15">+AY4</f>
        <v>0.15</v>
      </c>
      <c r="BB4" s="274">
        <f t="shared" ref="BB4:BB25" si="16">+J4</f>
        <v>9.037163967070784E-2</v>
      </c>
      <c r="BC4" s="274">
        <f t="shared" ref="BC4:BC25" si="17">(BB4-BA4)*H4*100</f>
        <v>-5962.8360329292154</v>
      </c>
      <c r="BD4" s="274">
        <f>BC4/'Master P&amp;L'!$AD$7*10000</f>
        <v>-2.4884923440753749E-2</v>
      </c>
    </row>
    <row r="5" spans="1:56" s="58" customFormat="1">
      <c r="A5" s="284"/>
      <c r="B5" t="s">
        <v>774</v>
      </c>
      <c r="C5" t="str" cm="1">
        <f t="array" ref="C5">_xll.BDP($B5&amp;" Equity","opt_put_call")</f>
        <v>Call</v>
      </c>
      <c r="D5" t="str" cm="1">
        <f t="array" ref="D5">_xll.BDP(B5&amp;" Equity","OPT_UNDL_TICKER")</f>
        <v>AVGO US</v>
      </c>
      <c r="E5" t="str" cm="1">
        <f t="array" ref="E5">_xll.BDP($B5&amp;" Equity","mifid_Maturity_date")</f>
        <v>18/06/2026</v>
      </c>
      <c r="F5" cm="1">
        <f t="array" ref="F5">_xll.BDP($B5&amp;" Equity","opt_days_expire")</f>
        <v>133</v>
      </c>
      <c r="G5" t="str" cm="1">
        <f t="array" ref="G5">_xll.BDP(B5&amp;" Equity","QUOTED_CURRENCY_REALTIME")</f>
        <v>USD</v>
      </c>
      <c r="H5" s="15">
        <v>120</v>
      </c>
      <c r="I5" s="338">
        <v>37.5</v>
      </c>
      <c r="J5" s="14">
        <f>VLOOKUP(B5,Precificação!$B:$O,14,FALSE)</f>
        <v>30.175000000000001</v>
      </c>
      <c r="K5" s="14">
        <f t="shared" ref="K5:K25" si="18">+J5</f>
        <v>30.175000000000001</v>
      </c>
      <c r="L5" s="73" cm="1">
        <f t="array" ref="L5">_xll.BDP($B5&amp;" Equity","mid")</f>
        <v>25.35</v>
      </c>
      <c r="M5" s="18">
        <f t="shared" si="0"/>
        <v>8.2291835740951141E-2</v>
      </c>
      <c r="N5" s="278"/>
      <c r="O5" s="18">
        <f t="shared" si="1"/>
        <v>-0.15990057995028994</v>
      </c>
      <c r="P5" s="35" cm="1">
        <f t="array" ref="P5">_xll.BDP($B5&amp;" Equity","bid")</f>
        <v>25.1</v>
      </c>
      <c r="Q5" s="35" cm="1">
        <f t="array" ref="Q5">_xll.BDP($B5&amp;" Equity","ask")</f>
        <v>25.6</v>
      </c>
      <c r="R5" s="39">
        <f t="shared" si="2"/>
        <v>1.9920318725099584E-2</v>
      </c>
      <c r="S5" s="35" cm="1">
        <f t="array" ref="S5">_xll.BDP(G5&amp;" Curncy","PX_LAST")</f>
        <v>1</v>
      </c>
      <c r="T5" s="15" cm="1">
        <f t="array" ref="T5">_xll.BDP(B5&amp;" Equity","OPT_MULTIPLIER")</f>
        <v>100</v>
      </c>
      <c r="U5" s="15">
        <f t="shared" si="3"/>
        <v>304200</v>
      </c>
      <c r="V5" s="122">
        <f>U5/'Master P&amp;L'!$AD$7*10000</f>
        <v>1.2695290745666483</v>
      </c>
      <c r="W5" s="122">
        <f>(Y5*H5*T5/S5)/'Master P&amp;L'!$AD$7*10000</f>
        <v>1.2695290745666483</v>
      </c>
      <c r="X5" s="341">
        <f t="shared" si="4"/>
        <v>0</v>
      </c>
      <c r="Y5" s="203">
        <f t="shared" si="5"/>
        <v>25.35</v>
      </c>
      <c r="Z5" s="36">
        <f>_xll.BDP(D5&amp;" Equity","LAST_PRICE")</f>
        <v>308.05</v>
      </c>
      <c r="AA5" s="36" cm="1">
        <f t="array" ref="AA5">_xll.BDP(B5&amp;" Equity","OPT_STRIKE_PX")</f>
        <v>350</v>
      </c>
      <c r="AB5" s="39">
        <f t="shared" si="6"/>
        <v>0.13617919168966064</v>
      </c>
      <c r="AC5" s="253" cm="1">
        <f t="array" ref="AC5">_xll.BDP($D5&amp;" Equity","volatility_10d")</f>
        <v>33.425159254612367</v>
      </c>
      <c r="AD5" s="36" cm="1">
        <f t="array" ref="AD5">_xll.BDP(B5&amp;" Equity","ivol_mid")</f>
        <v>52.640590000000003</v>
      </c>
      <c r="AE5" s="36">
        <f t="shared" si="7"/>
        <v>1.5748792578373754</v>
      </c>
      <c r="AF5" s="37" cm="1">
        <f t="array" ref="AF5">_xll.BDP(B5&amp;" Equity","DELTA_MID_RT")</f>
        <v>0.42040565609931946</v>
      </c>
      <c r="AG5" s="18">
        <f>AL5/'Master P&amp;L'!$AE$7</f>
        <v>6.4856640847150082E-4</v>
      </c>
      <c r="AH5" s="18">
        <f>AM5/'Master P&amp;L'!$AE$7</f>
        <v>1.5427157057998264E-3</v>
      </c>
      <c r="AI5" s="354">
        <f>AO5/'Master P&amp;L'!$AD$7*10000</f>
        <v>-7.0508856110398166E-3</v>
      </c>
      <c r="AJ5" s="278">
        <f t="shared" si="8"/>
        <v>1.6420108672231135E-2</v>
      </c>
      <c r="AK5" s="37">
        <f>AP5/'Master P&amp;L'!$AD$7*10000</f>
        <v>-0.24163620452797147</v>
      </c>
      <c r="AL5" s="15">
        <f t="shared" si="9"/>
        <v>1554071.5483367445</v>
      </c>
      <c r="AM5" s="15">
        <f t="shared" si="10"/>
        <v>3696600</v>
      </c>
      <c r="AN5" s="37" cm="1">
        <f t="array" ref="AN5">_xll.BDP($B5&amp;" Equity","theta_mid_rt")</f>
        <v>-0.14079232513904572</v>
      </c>
      <c r="AO5" s="15">
        <f t="shared" si="11"/>
        <v>-1689.5079016685486</v>
      </c>
      <c r="AP5" s="15">
        <f t="shared" si="12"/>
        <v>-57899.999999999993</v>
      </c>
      <c r="AQ5" s="35" t="str" cm="1">
        <f t="array" ref="AQ5">_xll.BDP($D5&amp;" Equity","EXPECTED_REPORT_DT")</f>
        <v>04/03/2026</v>
      </c>
      <c r="AR5" s="65" cm="1">
        <f t="array" ref="AR5">_xll.BDP($B5&amp;" Equity","GAMMA_LAST")</f>
        <v>1.2377000000000001E-2</v>
      </c>
      <c r="AS5">
        <f t="shared" si="13"/>
        <v>140941.55646510003</v>
      </c>
      <c r="AT5">
        <f t="shared" si="14"/>
        <v>704707.78232550016</v>
      </c>
      <c r="AU5" t="s">
        <v>95</v>
      </c>
      <c r="AV5" s="207" cm="1">
        <f t="array" ref="AV5">_xll.BDP($D5&amp;" Equity","EST_PE_NXT_YR")*(AA5/Z5)</f>
        <v>24.778761061946899</v>
      </c>
      <c r="AW5"/>
      <c r="AX5" s="15"/>
      <c r="AY5" s="207">
        <v>25.35</v>
      </c>
      <c r="AZ5" s="283"/>
      <c r="BA5" s="15">
        <f t="shared" si="15"/>
        <v>25.35</v>
      </c>
      <c r="BB5" s="342">
        <f t="shared" si="16"/>
        <v>30.175000000000001</v>
      </c>
      <c r="BC5" s="342">
        <f t="shared" si="17"/>
        <v>57899.999999999985</v>
      </c>
      <c r="BD5" s="342">
        <f>BC5/'Master P&amp;L'!$AD$7*10000</f>
        <v>0.24163620452797144</v>
      </c>
    </row>
    <row r="6" spans="1:56" s="519" customFormat="1">
      <c r="A6" s="518" t="s">
        <v>95</v>
      </c>
      <c r="B6" s="519" t="s">
        <v>1171</v>
      </c>
      <c r="C6" s="519" t="str" cm="1">
        <f t="array" ref="C6">_xll.BDP($B6&amp;" Equity","opt_put_call")</f>
        <v>Call</v>
      </c>
      <c r="D6" s="519" t="str" cm="1">
        <f t="array" ref="D6">_xll.BDP(B6&amp;" Equity","OPT_UNDL_TICKER")</f>
        <v>AVGO US</v>
      </c>
      <c r="E6" s="519" t="str" cm="1">
        <f t="array" ref="E6">_xll.BDP($B6&amp;" Equity","mifid_Maturity_date")</f>
        <v>06/02/2026</v>
      </c>
      <c r="F6" s="519" cm="1">
        <f t="array" ref="F6">_xll.BDP($B6&amp;" Equity","opt_days_expire")</f>
        <v>1</v>
      </c>
      <c r="G6" s="519" t="str" cm="1">
        <f t="array" ref="G6">_xll.BDP(B6&amp;" Equity","QUOTED_CURRENCY_REALTIME")</f>
        <v>USD</v>
      </c>
      <c r="H6" s="520">
        <v>600</v>
      </c>
      <c r="I6" s="521">
        <v>4.66</v>
      </c>
      <c r="J6" s="521"/>
      <c r="K6" s="521">
        <v>4.66</v>
      </c>
      <c r="L6" s="522" cm="1">
        <f t="array" ref="L6">_xll.BDP($B6&amp;" Equity","mid")</f>
        <v>4.4800000000000004</v>
      </c>
      <c r="M6" s="523">
        <f t="shared" ref="M6:M7" si="19">L6/Z6</f>
        <v>1.4543093653627659E-2</v>
      </c>
      <c r="N6" s="524"/>
      <c r="O6" s="523">
        <f t="shared" ref="O6:O7" si="20">L6/K6-1</f>
        <v>-3.8626609442059978E-2</v>
      </c>
      <c r="P6" s="522" cm="1">
        <f t="array" ref="P6">_xll.BDP($B6&amp;" Equity","bid")</f>
        <v>4.3</v>
      </c>
      <c r="Q6" s="522" cm="1">
        <f t="array" ref="Q6">_xll.BDP($B6&amp;" Equity","ask")</f>
        <v>4.6500000000000004</v>
      </c>
      <c r="R6" s="525">
        <f t="shared" ref="R6:R7" si="21">(Q6/P6-1)</f>
        <v>8.1395348837209447E-2</v>
      </c>
      <c r="S6" s="522" cm="1">
        <f t="array" ref="S6">_xll.BDP(G6&amp;" Curncy","PX_LAST")</f>
        <v>1</v>
      </c>
      <c r="T6" s="520" cm="1">
        <f t="array" ref="T6">_xll.BDP(B6&amp;" Equity","OPT_MULTIPLIER")</f>
        <v>100</v>
      </c>
      <c r="U6" s="520">
        <f t="shared" ref="U6:U7" si="22">(L6/S6)*H6*T6</f>
        <v>268800.00000000006</v>
      </c>
      <c r="V6" s="526">
        <f>U6/'Master P&amp;L'!$AD$7*10000</f>
        <v>1.1217929495184586</v>
      </c>
      <c r="W6" s="526">
        <f>(Y6*H6*T6/S6)/'Master P&amp;L'!$AD$7*10000</f>
        <v>1.1217929495184586</v>
      </c>
      <c r="X6" s="527">
        <f t="shared" ref="X6:X7" si="23">IF(C6="Put",IF(Z6&lt;AA6,AA6-Z6,0),IF(Z6&gt;AA6,Z6-AA6,0))</f>
        <v>0</v>
      </c>
      <c r="Y6" s="528">
        <f t="shared" ref="Y6:Y7" si="24">L6-X6</f>
        <v>4.4800000000000004</v>
      </c>
      <c r="Z6" s="529">
        <f>_xll.BDP(D6&amp;" Equity","LAST_PRICE")</f>
        <v>308.05</v>
      </c>
      <c r="AA6" s="529" cm="1">
        <f t="array" ref="AA6">_xll.BDP(B6&amp;" Equity","OPT_STRIKE_PX")</f>
        <v>315</v>
      </c>
      <c r="AB6" s="525">
        <f t="shared" ref="AB6:AB7" si="25">AA6/Z6-1</f>
        <v>2.2561272520694731E-2</v>
      </c>
      <c r="AC6" s="530" cm="1">
        <f t="array" ref="AC6">_xll.BDP($D6&amp;" Equity","volatility_10d")</f>
        <v>33.425159254612367</v>
      </c>
      <c r="AD6" s="529" cm="1">
        <f t="array" ref="AD6">_xll.BDP(B6&amp;" Equity","ivol_mid")</f>
        <v>66.711650000000006</v>
      </c>
      <c r="AE6" s="529">
        <f t="shared" ref="AE6:AE7" si="26">AD6/AC6</f>
        <v>1.995851373267411</v>
      </c>
      <c r="AF6" s="531" cm="1">
        <f t="array" ref="AF6">_xll.BDP(B6&amp;" Equity","DELTA_MID_RT")</f>
        <v>0.36670622229576111</v>
      </c>
      <c r="AG6" s="523">
        <f>AL6/'Master P&amp;L'!$AE$7</f>
        <v>2.8286172427509654E-3</v>
      </c>
      <c r="AH6" s="523">
        <f>AM6/'Master P&amp;L'!$AE$7</f>
        <v>7.7135785289991323E-3</v>
      </c>
      <c r="AI6" s="532">
        <f>AO6/'Master P&amp;L'!$AD$7*10000</f>
        <v>-0.32550417442298912</v>
      </c>
      <c r="AJ6" s="524">
        <f t="shared" ref="AJ6:AJ7" si="27">(252*AI6)/$AI$1</f>
        <v>0.75803441044651176</v>
      </c>
      <c r="AK6" s="531">
        <f>AP6/'Master P&amp;L'!$AD$7*10000</f>
        <v>-4.5072038150295139E-2</v>
      </c>
      <c r="AL6" s="520">
        <f t="shared" ref="AL6:AL7" si="28">Z6*AF6*H6*T6/S6</f>
        <v>6777831.1066925526</v>
      </c>
      <c r="AM6" s="520">
        <f t="shared" ref="AM6:AM7" si="29">IF(C6="Put",-Z6*H6*T6/S6,Z6*H6*T6/S6)</f>
        <v>18483000</v>
      </c>
      <c r="AN6" s="531" cm="1">
        <f t="array" ref="AN6">_xll.BDP($B6&amp;" Equity","theta_mid_rt")</f>
        <v>-1.2999356985092163</v>
      </c>
      <c r="AO6" s="520">
        <f t="shared" ref="AO6:AO7" si="30">AN6*H6*T6/S6</f>
        <v>-77996.141910552979</v>
      </c>
      <c r="AP6" s="520">
        <f t="shared" ref="AP6:AP7" si="31">(L6-K6)*T6/S6*H6</f>
        <v>-10799.999999999984</v>
      </c>
      <c r="AQ6" s="522" t="str" cm="1">
        <f t="array" ref="AQ6">_xll.BDP($D6&amp;" Equity","EXPECTED_REPORT_DT")</f>
        <v>04/03/2026</v>
      </c>
      <c r="AR6" s="533" cm="1">
        <f t="array" ref="AR6">_xll.BDP($B6&amp;" Equity","GAMMA_LAST")</f>
        <v>6.3062000000000007E-2</v>
      </c>
      <c r="AS6" s="519">
        <f t="shared" si="13"/>
        <v>3590553.6211530007</v>
      </c>
      <c r="AT6" s="519">
        <f t="shared" si="14"/>
        <v>17952768.105765004</v>
      </c>
      <c r="AU6" s="519" t="s">
        <v>95</v>
      </c>
      <c r="AV6" s="534" cm="1">
        <f t="array" ref="AV6">_xll.BDP($D6&amp;" Equity","EST_PE_NXT_YR")*(AA6/Z6)</f>
        <v>22.300884955752213</v>
      </c>
      <c r="AX6" s="520"/>
      <c r="AY6" s="534">
        <v>4.47</v>
      </c>
      <c r="AZ6" s="535"/>
      <c r="BA6" s="520">
        <f t="shared" ref="BA6:BA7" si="32">+AY6</f>
        <v>4.47</v>
      </c>
      <c r="BB6" s="536">
        <f t="shared" ref="BB6:BB7" si="33">+J6</f>
        <v>0</v>
      </c>
      <c r="BC6" s="536">
        <f t="shared" ref="BC6:BC7" si="34">(BB6-BA6)*H6*100</f>
        <v>-268200</v>
      </c>
      <c r="BD6" s="536">
        <f>BC6/'Master P&amp;L'!$AD$7*10000</f>
        <v>-1.1192889473989975</v>
      </c>
    </row>
    <row r="7" spans="1:56" s="519" customFormat="1">
      <c r="A7" s="518" t="s">
        <v>95</v>
      </c>
      <c r="B7" s="519" t="s">
        <v>1172</v>
      </c>
      <c r="C7" s="519" t="str" cm="1">
        <f t="array" ref="C7">_xll.BDP($B7&amp;" Equity","opt_put_call")</f>
        <v>Call</v>
      </c>
      <c r="D7" s="519" t="str" cm="1">
        <f t="array" ref="D7">_xll.BDP(B7&amp;" Equity","OPT_UNDL_TICKER")</f>
        <v>AVGO US</v>
      </c>
      <c r="E7" s="519" t="str" cm="1">
        <f t="array" ref="E7">_xll.BDP($B7&amp;" Equity","mifid_Maturity_date")</f>
        <v>13/02/2026</v>
      </c>
      <c r="F7" s="519" cm="1">
        <f t="array" ref="F7">_xll.BDP($B7&amp;" Equity","opt_days_expire")</f>
        <v>8</v>
      </c>
      <c r="G7" s="519" t="str" cm="1">
        <f t="array" ref="G7">_xll.BDP(B7&amp;" Equity","QUOTED_CURRENCY_REALTIME")</f>
        <v>USD</v>
      </c>
      <c r="H7" s="520">
        <v>-600</v>
      </c>
      <c r="I7" s="521">
        <v>4.1399999999999997</v>
      </c>
      <c r="J7" s="521"/>
      <c r="K7" s="521">
        <v>4.1399999999999997</v>
      </c>
      <c r="L7" s="522" cm="1">
        <f t="array" ref="L7">_xll.BDP($B7&amp;" Equity","mid")</f>
        <v>4.08</v>
      </c>
      <c r="M7" s="523">
        <f t="shared" si="19"/>
        <v>1.3244603148839474E-2</v>
      </c>
      <c r="N7" s="524"/>
      <c r="O7" s="523">
        <f t="shared" si="20"/>
        <v>-1.4492753623188359E-2</v>
      </c>
      <c r="P7" s="522" cm="1">
        <f t="array" ref="P7">_xll.BDP($B7&amp;" Equity","bid")</f>
        <v>3.9</v>
      </c>
      <c r="Q7" s="522" cm="1">
        <f t="array" ref="Q7">_xll.BDP($B7&amp;" Equity","ask")</f>
        <v>4.25</v>
      </c>
      <c r="R7" s="525">
        <f t="shared" si="21"/>
        <v>8.9743589743589869E-2</v>
      </c>
      <c r="S7" s="522" cm="1">
        <f t="array" ref="S7">_xll.BDP(G7&amp;" Curncy","PX_LAST")</f>
        <v>1</v>
      </c>
      <c r="T7" s="520" cm="1">
        <f t="array" ref="T7">_xll.BDP(B7&amp;" Equity","OPT_MULTIPLIER")</f>
        <v>100</v>
      </c>
      <c r="U7" s="520">
        <f t="shared" si="22"/>
        <v>-244800</v>
      </c>
      <c r="V7" s="526">
        <f>U7/'Master P&amp;L'!$AD$7*10000</f>
        <v>-1.0216328647400246</v>
      </c>
      <c r="W7" s="526">
        <f>(Y7*H7*T7/S7)/'Master P&amp;L'!$AD$7*10000</f>
        <v>-1.0216328647400246</v>
      </c>
      <c r="X7" s="527">
        <f t="shared" si="23"/>
        <v>0</v>
      </c>
      <c r="Y7" s="528">
        <f t="shared" si="24"/>
        <v>4.08</v>
      </c>
      <c r="Z7" s="529">
        <f>_xll.BDP(D7&amp;" Equity","LAST_PRICE")</f>
        <v>308.05</v>
      </c>
      <c r="AA7" s="529" cm="1">
        <f t="array" ref="AA7">_xll.BDP(B7&amp;" Equity","OPT_STRIKE_PX")</f>
        <v>330</v>
      </c>
      <c r="AB7" s="525">
        <f t="shared" si="25"/>
        <v>7.125466645025158E-2</v>
      </c>
      <c r="AC7" s="530" cm="1">
        <f t="array" ref="AC7">_xll.BDP($D7&amp;" Equity","volatility_10d")</f>
        <v>33.425159254612367</v>
      </c>
      <c r="AD7" s="529" cm="1">
        <f t="array" ref="AD7">_xll.BDP(B7&amp;" Equity","ivol_mid")</f>
        <v>56.142940000000003</v>
      </c>
      <c r="AE7" s="529">
        <f t="shared" si="26"/>
        <v>1.6796611071420038</v>
      </c>
      <c r="AF7" s="531" cm="1">
        <f t="array" ref="AF7">_xll.BDP(B7&amp;" Equity","DELTA_MID_RT")</f>
        <v>0.24856053292751312</v>
      </c>
      <c r="AG7" s="523">
        <f>AL7/'Master P&amp;L'!$AE$7</f>
        <v>-1.9172911899462469E-3</v>
      </c>
      <c r="AH7" s="523">
        <f>AM7/'Master P&amp;L'!$AE$7</f>
        <v>-7.7135785289991323E-3</v>
      </c>
      <c r="AI7" s="532">
        <f>AO7/'Master P&amp;L'!$AD$7*10000</f>
        <v>0.11420173505233219</v>
      </c>
      <c r="AJ7" s="524">
        <f t="shared" si="27"/>
        <v>-0.26595310200190581</v>
      </c>
      <c r="AK7" s="531">
        <f>AP7/'Master P&amp;L'!$AD$7*10000</f>
        <v>1.5024012716764968E-2</v>
      </c>
      <c r="AL7" s="520">
        <f t="shared" si="28"/>
        <v>-4594144.330099225</v>
      </c>
      <c r="AM7" s="520">
        <f t="shared" si="29"/>
        <v>-18483000</v>
      </c>
      <c r="AN7" s="531" cm="1">
        <f t="array" ref="AN7">_xll.BDP($B7&amp;" Equity","theta_mid_rt")</f>
        <v>-0.45607683062553406</v>
      </c>
      <c r="AO7" s="520">
        <f t="shared" si="30"/>
        <v>27364.609837532043</v>
      </c>
      <c r="AP7" s="520">
        <f t="shared" si="31"/>
        <v>3599.9999999999764</v>
      </c>
      <c r="AQ7" s="522" t="str" cm="1">
        <f t="array" ref="AQ7">_xll.BDP($D7&amp;" Equity","EXPECTED_REPORT_DT")</f>
        <v>04/03/2026</v>
      </c>
      <c r="AR7" s="533" cm="1">
        <f t="array" ref="AR7">_xll.BDP($B7&amp;" Equity","GAMMA_LAST")</f>
        <v>3.3703999999999998E-2</v>
      </c>
      <c r="AS7" s="519">
        <f t="shared" si="13"/>
        <v>-1919000.6540760002</v>
      </c>
      <c r="AT7" s="519">
        <f t="shared" si="14"/>
        <v>-9595003.2703800015</v>
      </c>
      <c r="AU7" s="519" t="s">
        <v>95</v>
      </c>
      <c r="AV7" s="534" cm="1">
        <f t="array" ref="AV7">_xll.BDP($D7&amp;" Equity","EST_PE_NXT_YR")*(AA7/Z7)</f>
        <v>23.36283185840708</v>
      </c>
      <c r="AX7" s="520"/>
      <c r="AY7" s="534">
        <v>4.08</v>
      </c>
      <c r="AZ7" s="535"/>
      <c r="BA7" s="520">
        <f t="shared" si="32"/>
        <v>4.08</v>
      </c>
      <c r="BB7" s="536">
        <f t="shared" si="33"/>
        <v>0</v>
      </c>
      <c r="BC7" s="536">
        <f t="shared" si="34"/>
        <v>244800</v>
      </c>
      <c r="BD7" s="536">
        <f>BC7/'Master P&amp;L'!$AD$7*10000</f>
        <v>1.0216328647400246</v>
      </c>
    </row>
    <row r="8" spans="1:56" s="58" customFormat="1">
      <c r="A8" s="465" t="s">
        <v>95</v>
      </c>
      <c r="B8" s="58" t="s">
        <v>1178</v>
      </c>
      <c r="C8" s="58" t="str" cm="1">
        <f t="array" ref="C8">_xll.BDP($B8&amp;" Equity","opt_put_call")</f>
        <v>Put</v>
      </c>
      <c r="D8" s="58" t="str" cm="1">
        <f t="array" ref="D8">_xll.BDP(B8&amp;" Equity","OPT_UNDL_TICKER")</f>
        <v>GOOG US</v>
      </c>
      <c r="E8" s="58" t="str" cm="1">
        <f t="array" ref="E8">_xll.BDP($B8&amp;" Equity","mifid_Maturity_date")</f>
        <v>06/02/2026</v>
      </c>
      <c r="F8" s="58" cm="1">
        <f t="array" ref="F8">_xll.BDP($B8&amp;" Equity","opt_days_expire")</f>
        <v>1</v>
      </c>
      <c r="G8" s="58" t="str" cm="1">
        <f t="array" ref="G8">_xll.BDP(B8&amp;" Equity","QUOTED_CURRENCY_REALTIME")</f>
        <v>USD</v>
      </c>
      <c r="H8" s="332">
        <v>100</v>
      </c>
      <c r="I8" s="339">
        <v>1.18</v>
      </c>
      <c r="J8" s="339"/>
      <c r="K8" s="339">
        <v>1.18</v>
      </c>
      <c r="L8" s="14" cm="1">
        <f t="array" ref="L8">_xll.BDP($B8&amp;" Equity","mid")</f>
        <v>1.18</v>
      </c>
      <c r="M8" s="125">
        <f t="shared" ref="M8" si="35">L8/Z8</f>
        <v>3.5399292014159718E-3</v>
      </c>
      <c r="N8" s="352"/>
      <c r="O8" s="125">
        <f t="shared" ref="O8" si="36">L8/K8-1</f>
        <v>0</v>
      </c>
      <c r="P8" s="14" cm="1">
        <f t="array" ref="P8">_xll.BDP($B8&amp;" Equity","bid")</f>
        <v>1.17</v>
      </c>
      <c r="Q8" s="14" cm="1">
        <f t="array" ref="Q8">_xll.BDP($B8&amp;" Equity","ask")</f>
        <v>1.2</v>
      </c>
      <c r="R8" s="351">
        <f t="shared" ref="R8" si="37">(Q8/P8-1)</f>
        <v>2.5641025641025772E-2</v>
      </c>
      <c r="S8" s="14" cm="1">
        <f t="array" ref="S8">_xll.BDP(G8&amp;" Curncy","PX_LAST")</f>
        <v>1</v>
      </c>
      <c r="T8" s="332" cm="1">
        <f t="array" ref="T8">_xll.BDP(B8&amp;" Equity","OPT_MULTIPLIER")</f>
        <v>100</v>
      </c>
      <c r="U8" s="332">
        <f t="shared" ref="U8" si="38">(L8/S8)*H8*T8</f>
        <v>11800</v>
      </c>
      <c r="V8" s="466">
        <f>U8/'Master P&amp;L'!$AD$7*10000</f>
        <v>4.9245375016063277E-2</v>
      </c>
      <c r="W8" s="466">
        <f>(Y8*H8*T8/S8)/'Master P&amp;L'!$AD$7*10000</f>
        <v>4.9245375016063277E-2</v>
      </c>
      <c r="X8" s="467">
        <f t="shared" ref="X8" si="39">IF(C8="Put",IF(Z8&lt;AA8,AA8-Z8,0),IF(Z8&gt;AA8,Z8-AA8,0))</f>
        <v>0</v>
      </c>
      <c r="Y8" s="468">
        <f t="shared" ref="Y8" si="40">L8-X8</f>
        <v>1.18</v>
      </c>
      <c r="Z8" s="469">
        <f>_xll.BDP(D8&amp;" Equity","LAST_PRICE")</f>
        <v>333.34</v>
      </c>
      <c r="AA8" s="469" cm="1">
        <f t="array" ref="AA8">_xll.BDP(B8&amp;" Equity","OPT_STRIKE_PX")</f>
        <v>300</v>
      </c>
      <c r="AB8" s="351">
        <f t="shared" ref="AB8" si="41">AA8/Z8-1</f>
        <v>-0.10001799964000713</v>
      </c>
      <c r="AC8" s="353" cm="1">
        <f t="array" ref="AC8">_xll.BDP($D8&amp;" Equity","volatility_10d")</f>
        <v>20.922923609673923</v>
      </c>
      <c r="AD8" s="469" cm="1">
        <f t="array" ref="AD8">_xll.BDP(B8&amp;" Equity","ivol_mid")</f>
        <v>93.268109999999993</v>
      </c>
      <c r="AE8" s="469">
        <f t="shared" ref="AE8" si="42">AD8/AC8</f>
        <v>4.4576996857588558</v>
      </c>
      <c r="AF8" s="470" cm="1">
        <f t="array" ref="AF8">_xll.BDP(B8&amp;" Equity","DELTA_MID_RT")</f>
        <v>-9.079037606716156E-2</v>
      </c>
      <c r="AG8" s="125">
        <f>AL8/'Master P&amp;L'!$AE$7</f>
        <v>-1.2630213382483423E-4</v>
      </c>
      <c r="AH8" s="125">
        <f>AM8/'Master P&amp;L'!$AE$7</f>
        <v>-1.3911401108351298E-3</v>
      </c>
      <c r="AI8" s="471">
        <f>AO8/'Master P&amp;L'!$AD$7*10000</f>
        <v>-3.0252728192652678E-2</v>
      </c>
      <c r="AJ8" s="352">
        <f t="shared" ref="AJ8" si="43">(252*AI8)/$AI$1</f>
        <v>7.0452580279708979E-2</v>
      </c>
      <c r="AK8" s="470">
        <f>AP8/'Master P&amp;L'!$AD$7*10000</f>
        <v>0</v>
      </c>
      <c r="AL8" s="332">
        <f t="shared" ref="AL8" si="44">Z8*AF8*H8*T8/S8</f>
        <v>-302640.63958227629</v>
      </c>
      <c r="AM8" s="332">
        <f t="shared" ref="AM8" si="45">IF(C8="Put",-Z8*H8*T8/S8,Z8*H8*T8/S8)</f>
        <v>-3333400</v>
      </c>
      <c r="AN8" s="470" cm="1">
        <f t="array" ref="AN8">_xll.BDP($B8&amp;" Equity","theta_mid_rt")</f>
        <v>-0.72490501403808594</v>
      </c>
      <c r="AO8" s="332">
        <f t="shared" ref="AO8" si="46">AN8*H8*T8/S8</f>
        <v>-7249.0501403808594</v>
      </c>
      <c r="AP8" s="332">
        <f t="shared" ref="AP8" si="47">(L8-K8)*T8/S8*H8</f>
        <v>0</v>
      </c>
      <c r="AQ8" s="14" t="str" cm="1">
        <f t="array" ref="AQ8">_xll.BDP($D8&amp;" Equity","EXPECTED_REPORT_DT")</f>
        <v>24/04/2026</v>
      </c>
      <c r="AR8" s="112" cm="1">
        <f t="array" ref="AR8">_xll.BDP($B8&amp;" Equity","GAMMA_LAST")</f>
        <v>2.0036000000000002E-2</v>
      </c>
      <c r="AS8" s="58">
        <f t="shared" si="13"/>
        <v>222631.12720016003</v>
      </c>
      <c r="AT8" s="58">
        <f t="shared" si="14"/>
        <v>1113155.6360007999</v>
      </c>
      <c r="AU8" s="58" t="s">
        <v>95</v>
      </c>
      <c r="AV8" s="266" cm="1">
        <f t="array" ref="AV8">_xll.BDP($D8&amp;" Equity","EST_PE_NXT_YR")*(AA8/Z8)</f>
        <v>21.312872975277067</v>
      </c>
      <c r="AX8" s="332"/>
      <c r="AY8" s="266">
        <v>1.18</v>
      </c>
      <c r="AZ8" s="472"/>
      <c r="BA8" s="332">
        <f t="shared" ref="BA8" si="48">+AY8</f>
        <v>1.18</v>
      </c>
      <c r="BB8" s="473">
        <f t="shared" ref="BB8" si="49">+J8</f>
        <v>0</v>
      </c>
      <c r="BC8" s="473">
        <f t="shared" ref="BC8" si="50">(BB8-BA8)*H8*100</f>
        <v>-11800</v>
      </c>
      <c r="BD8" s="473">
        <f>BC8/'Master P&amp;L'!$AD$7*10000</f>
        <v>-4.9245375016063277E-2</v>
      </c>
    </row>
    <row r="9" spans="1:56">
      <c r="A9" s="264"/>
      <c r="B9" s="72" t="s">
        <v>1043</v>
      </c>
      <c r="C9" s="72" t="str" cm="1">
        <f t="array" ref="C9">_xll.BDP($B9&amp;" Equity","opt_put_call")</f>
        <v>Call</v>
      </c>
      <c r="D9" s="72" t="str" cm="1">
        <f t="array" ref="D9">_xll.BDP(B9&amp;" Equity","OPT_UNDL_TICKER")</f>
        <v>NVDA US</v>
      </c>
      <c r="E9" s="72" t="str" cm="1">
        <f t="array" ref="E9">_xll.BDP($B9&amp;" Equity","mifid_Maturity_date")</f>
        <v>15/05/2026</v>
      </c>
      <c r="F9" s="72" cm="1">
        <f t="array" ref="F9">_xll.BDP($B9&amp;" Equity","opt_days_expire")</f>
        <v>99</v>
      </c>
      <c r="G9" s="72" t="str" cm="1">
        <f t="array" ref="G9">_xll.BDP(B9&amp;" Equity","QUOTED_CURRENCY_REALTIME")</f>
        <v>USD</v>
      </c>
      <c r="H9" s="41">
        <v>150</v>
      </c>
      <c r="I9" s="337">
        <v>14.91</v>
      </c>
      <c r="J9" s="14">
        <f>VLOOKUP(B9,Precificação!$B:$O,14,FALSE)</f>
        <v>10.175000000000001</v>
      </c>
      <c r="K9" s="14">
        <f t="shared" si="18"/>
        <v>10.175000000000001</v>
      </c>
      <c r="L9" s="73" cm="1">
        <f t="array" ref="L9">_xll.BDP($B9&amp;" Equity","mid")</f>
        <v>8.0500000000000007</v>
      </c>
      <c r="M9" s="74">
        <f t="shared" si="0"/>
        <v>4.6213904357310986E-2</v>
      </c>
      <c r="N9" s="280"/>
      <c r="O9" s="74">
        <f t="shared" si="1"/>
        <v>-0.20884520884520885</v>
      </c>
      <c r="P9" s="73" cm="1">
        <f t="array" ref="P9">_xll.BDP($B9&amp;" Equity","bid")</f>
        <v>8</v>
      </c>
      <c r="Q9" s="73" cm="1">
        <f t="array" ref="Q9">_xll.BDP($B9&amp;" Equity","ask")</f>
        <v>8.1</v>
      </c>
      <c r="R9" s="75">
        <f t="shared" si="2"/>
        <v>1.2499999999999956E-2</v>
      </c>
      <c r="S9" s="35" cm="1">
        <f t="array" ref="S9">_xll.BDP(G9&amp;" Curncy","PX_LAST")</f>
        <v>1</v>
      </c>
      <c r="T9" s="41" cm="1">
        <f t="array" ref="T9">_xll.BDP(B9&amp;" Equity","OPT_MULTIPLIER")</f>
        <v>100</v>
      </c>
      <c r="U9" s="41">
        <f t="shared" si="3"/>
        <v>120750</v>
      </c>
      <c r="V9" s="111">
        <f>U9/'Master P&amp;L'!$AD$7*10000</f>
        <v>0.503930426541495</v>
      </c>
      <c r="W9" s="111">
        <f>(Y9*H9*T9/S9)/'Master P&amp;L'!$AD$7*10000</f>
        <v>0.503930426541495</v>
      </c>
      <c r="X9" s="116">
        <f t="shared" si="4"/>
        <v>0</v>
      </c>
      <c r="Y9" s="202">
        <f t="shared" si="5"/>
        <v>8.0500000000000007</v>
      </c>
      <c r="Z9" s="76">
        <f>_xll.BDP(D9&amp;" Equity","LAST_PRICE")</f>
        <v>174.19</v>
      </c>
      <c r="AA9" s="76" cm="1">
        <f t="array" ref="AA9">_xll.BDP(B9&amp;" Equity","OPT_STRIKE_PX")</f>
        <v>200</v>
      </c>
      <c r="AB9" s="75">
        <f t="shared" si="6"/>
        <v>0.14817153682760198</v>
      </c>
      <c r="AC9" s="252" cm="1">
        <f t="array" ref="AC9">_xll.BDP($D9&amp;" Equity","volatility_10d")</f>
        <v>32.351065904057364</v>
      </c>
      <c r="AD9" s="76" cm="1">
        <f t="array" ref="AD9">_xll.BDP(B9&amp;" Equity","ivol_mid")</f>
        <v>44.692779999999999</v>
      </c>
      <c r="AE9" s="76">
        <f t="shared" si="7"/>
        <v>1.3814932754470628</v>
      </c>
      <c r="AF9" s="77" cm="1">
        <f t="array" ref="AF9">_xll.BDP(B9&amp;" Equity","DELTA_MID_RT")</f>
        <v>0.33513808250427246</v>
      </c>
      <c r="AG9" s="74">
        <f>AL9/'Master P&amp;L'!$AE$7</f>
        <v>3.654447275454214E-4</v>
      </c>
      <c r="AH9" s="74">
        <f>AM9/'Master P&amp;L'!$AE$7</f>
        <v>1.0904303229722113E-3</v>
      </c>
      <c r="AI9" s="355">
        <f>AO9/'Master P&amp;L'!$AD$7*10000</f>
        <v>-4.5652003663282118E-3</v>
      </c>
      <c r="AJ9" s="278">
        <f t="shared" si="8"/>
        <v>1.0631442667038797E-2</v>
      </c>
      <c r="AK9" s="77">
        <f>AP9/'Master P&amp;L'!$AD$7*10000</f>
        <v>-0.13302511259635738</v>
      </c>
      <c r="AL9" s="41">
        <f t="shared" si="9"/>
        <v>875665.5388712883</v>
      </c>
      <c r="AM9" s="41">
        <f t="shared" si="10"/>
        <v>2612850</v>
      </c>
      <c r="AN9" s="77" cm="1">
        <f t="array" ref="AN9">_xll.BDP($B9&amp;" Equity","theta_mid_rt")</f>
        <v>-7.2926461696624756E-2</v>
      </c>
      <c r="AO9" s="41">
        <f t="shared" si="11"/>
        <v>-1093.8969254493713</v>
      </c>
      <c r="AP9" s="41">
        <f t="shared" si="12"/>
        <v>-31875</v>
      </c>
      <c r="AQ9" s="73" t="str" cm="1">
        <f t="array" ref="AQ9">_xll.BDP($D9&amp;" Equity","EXPECTED_REPORT_DT")</f>
        <v>25/02/2026</v>
      </c>
      <c r="AR9" s="190" cm="1">
        <f t="array" ref="AR9">_xll.BDP($B9&amp;" Equity","GAMMA_LAST")</f>
        <v>1.5540999999999999E-2</v>
      </c>
      <c r="AS9" s="72">
        <f t="shared" si="13"/>
        <v>70732.117192514997</v>
      </c>
      <c r="AT9" s="72">
        <f t="shared" si="14"/>
        <v>353660.58596257505</v>
      </c>
      <c r="AU9" s="72" t="s">
        <v>95</v>
      </c>
      <c r="AV9" s="251" cm="1">
        <f t="array" ref="AV9">_xll.BDP($D9&amp;" Equity","EST_PE_NXT_YR")*(AA9/Z9)</f>
        <v>25.859839668994052</v>
      </c>
      <c r="AW9" s="72"/>
      <c r="AX9" s="41"/>
      <c r="AY9" s="251">
        <v>8.0500000000000007</v>
      </c>
      <c r="AZ9" s="282"/>
      <c r="BA9" s="41">
        <f t="shared" si="15"/>
        <v>8.0500000000000007</v>
      </c>
      <c r="BB9" s="274">
        <f t="shared" si="16"/>
        <v>10.175000000000001</v>
      </c>
      <c r="BC9" s="274">
        <f t="shared" si="17"/>
        <v>31875</v>
      </c>
      <c r="BD9" s="274">
        <f>BC9/'Master P&amp;L'!$AD$7*10000</f>
        <v>0.13302511259635738</v>
      </c>
    </row>
    <row r="10" spans="1:56" s="312" customFormat="1">
      <c r="A10" s="434"/>
      <c r="B10" s="312" t="s">
        <v>1139</v>
      </c>
      <c r="C10" s="312" t="str" cm="1">
        <f t="array" ref="C10">_xll.BDP($B10&amp;" Equity","opt_put_call")</f>
        <v>Call</v>
      </c>
      <c r="D10" s="312" t="str" cm="1">
        <f t="array" ref="D10">_xll.BDP(B10&amp;" Equity","OPT_UNDL_TICKER")</f>
        <v>NFLX US</v>
      </c>
      <c r="E10" s="312" t="str" cm="1">
        <f t="array" ref="E10">_xll.BDP($B10&amp;" Equity","mifid_Maturity_date")</f>
        <v>15/05/2026</v>
      </c>
      <c r="F10" s="312" cm="1">
        <f t="array" ref="F10">_xll.BDP($B10&amp;" Equity","opt_days_expire")</f>
        <v>99</v>
      </c>
      <c r="G10" s="312" t="str" cm="1">
        <f t="array" ref="G10">_xll.BDP(B10&amp;" Equity","QUOTED_CURRENCY_REALTIME")</f>
        <v>USD</v>
      </c>
      <c r="H10" s="414">
        <v>-200</v>
      </c>
      <c r="I10" s="430">
        <v>3.22</v>
      </c>
      <c r="J10" s="14">
        <f>VLOOKUP(B10,Precificação!$B:$O,14,FALSE)</f>
        <v>3.1749999999999998</v>
      </c>
      <c r="K10" s="14">
        <f t="shared" si="18"/>
        <v>3.1749999999999998</v>
      </c>
      <c r="L10" s="121" cm="1">
        <f t="array" ref="L10">_xll.BDP($B10&amp;" Equity","mid")</f>
        <v>3.28</v>
      </c>
      <c r="M10" s="340">
        <f t="shared" si="0"/>
        <v>4.0918163672654689E-2</v>
      </c>
      <c r="N10" s="418"/>
      <c r="O10" s="340">
        <f t="shared" si="1"/>
        <v>3.3070866141732269E-2</v>
      </c>
      <c r="P10" s="121" cm="1">
        <f t="array" ref="P10">_xll.BDP($B10&amp;" Equity","bid")</f>
        <v>3.2</v>
      </c>
      <c r="Q10" s="121" cm="1">
        <f t="array" ref="Q10">_xll.BDP($B10&amp;" Equity","ask")</f>
        <v>3.35</v>
      </c>
      <c r="R10" s="419">
        <f t="shared" si="2"/>
        <v>4.6875E-2</v>
      </c>
      <c r="S10" s="121" cm="1">
        <f t="array" ref="S10">_xll.BDP(G10&amp;" Curncy","PX_LAST")</f>
        <v>1</v>
      </c>
      <c r="T10" s="414" cm="1">
        <f t="array" ref="T10">_xll.BDP(B10&amp;" Equity","OPT_MULTIPLIER")</f>
        <v>100</v>
      </c>
      <c r="U10" s="414">
        <f t="shared" si="3"/>
        <v>-65600</v>
      </c>
      <c r="V10" s="433">
        <f>U10/'Master P&amp;L'!$AD$7*10000</f>
        <v>-0.27377089839438568</v>
      </c>
      <c r="W10" s="433">
        <f>(Y10*H10*T10/S10)/'Master P&amp;L'!$AD$7*10000</f>
        <v>-0.27377089839438568</v>
      </c>
      <c r="X10" s="425">
        <f t="shared" si="4"/>
        <v>0</v>
      </c>
      <c r="Y10" s="432">
        <f t="shared" si="5"/>
        <v>3.28</v>
      </c>
      <c r="Z10" s="424">
        <f>_xll.BDP(D10&amp;" Equity","LAST_PRICE")</f>
        <v>80.16</v>
      </c>
      <c r="AA10" s="424" cm="1">
        <f t="array" ref="AA10">_xll.BDP(B10&amp;" Equity","OPT_STRIKE_PX")</f>
        <v>90</v>
      </c>
      <c r="AB10" s="419">
        <f t="shared" si="6"/>
        <v>0.1227544910179641</v>
      </c>
      <c r="AC10" s="431" cm="1">
        <f t="array" ref="AC10">_xll.BDP($D10&amp;" Equity","volatility_10d")</f>
        <v>28.486779296364904</v>
      </c>
      <c r="AD10" s="424" cm="1">
        <f t="array" ref="AD10">_xll.BDP(B10&amp;" Equity","ivol_mid")</f>
        <v>37.475740000000002</v>
      </c>
      <c r="AE10" s="424">
        <f t="shared" si="7"/>
        <v>1.3155485079628551</v>
      </c>
      <c r="AF10" s="429" cm="1">
        <f t="array" ref="AF10">_xll.BDP(B10&amp;" Equity","DELTA_MID_RT")</f>
        <v>0.34412029385566711</v>
      </c>
      <c r="AG10" s="340">
        <f>AL10/'Master P&amp;L'!$AE$7</f>
        <v>-2.3024034694784195E-4</v>
      </c>
      <c r="AH10" s="340">
        <f>AM10/'Master P&amp;L'!$AE$7</f>
        <v>-6.6906936631993771E-4</v>
      </c>
      <c r="AI10" s="423">
        <f>AO10/'Master P&amp;L'!$AD$7*10000</f>
        <v>2.3802872092610976E-3</v>
      </c>
      <c r="AJ10" s="418">
        <f t="shared" si="8"/>
        <v>-5.5432149666409169E-3</v>
      </c>
      <c r="AK10" s="429">
        <f>AP10/'Master P&amp;L'!$AD$7*10000</f>
        <v>-8.764007418112953E-3</v>
      </c>
      <c r="AL10" s="414">
        <f t="shared" si="9"/>
        <v>-551693.65510940552</v>
      </c>
      <c r="AM10" s="414">
        <f t="shared" si="10"/>
        <v>-1603200</v>
      </c>
      <c r="AN10" s="429" cm="1">
        <f t="array" ref="AN10">_xll.BDP($B10&amp;" Equity","theta_mid_rt")</f>
        <v>-2.8517793864011765E-2</v>
      </c>
      <c r="AO10" s="414">
        <f t="shared" si="11"/>
        <v>570.35587728023529</v>
      </c>
      <c r="AP10" s="414">
        <f t="shared" si="12"/>
        <v>-2099.9999999999995</v>
      </c>
      <c r="AQ10" s="121" t="str" cm="1">
        <f t="array" ref="AQ10">_xll.BDP($D10&amp;" Equity","EXPECTED_REPORT_DT")</f>
        <v>17/04/2026</v>
      </c>
      <c r="AR10" s="421" cm="1">
        <f t="array" ref="AR10">_xll.BDP($B10&amp;" Equity","GAMMA_LAST")</f>
        <v>1.8679000000000001E-2</v>
      </c>
      <c r="AS10" s="312">
        <f t="shared" si="13"/>
        <v>-24004.852116479997</v>
      </c>
      <c r="AT10" s="312">
        <f t="shared" si="14"/>
        <v>-120024.26058239999</v>
      </c>
      <c r="AU10" s="312" t="s">
        <v>95</v>
      </c>
      <c r="AV10" s="296" cm="1">
        <f t="array" ref="AV10">_xll.BDP($D10&amp;" Equity","EST_PE_NXT_YR")*(AA10/Z10)</f>
        <v>23.677979479084449</v>
      </c>
      <c r="AX10" s="414"/>
      <c r="AY10" s="296">
        <v>3.28</v>
      </c>
      <c r="AZ10" s="422"/>
      <c r="BA10" s="414">
        <f t="shared" si="15"/>
        <v>3.28</v>
      </c>
      <c r="BB10" s="420">
        <f t="shared" si="16"/>
        <v>3.1749999999999998</v>
      </c>
      <c r="BC10" s="420">
        <f t="shared" si="17"/>
        <v>2099.9999999999995</v>
      </c>
      <c r="BD10" s="420">
        <f>BC10/'Master P&amp;L'!$AD$7*10000</f>
        <v>8.764007418112953E-3</v>
      </c>
    </row>
    <row r="11" spans="1:56" s="312" customFormat="1">
      <c r="A11" s="434"/>
      <c r="B11" s="312" t="s">
        <v>1140</v>
      </c>
      <c r="C11" s="312" t="str" cm="1">
        <f t="array" ref="C11">_xll.BDP($B11&amp;" Equity","opt_put_call")</f>
        <v>Put</v>
      </c>
      <c r="D11" s="312" t="str" cm="1">
        <f t="array" ref="D11">_xll.BDP(B11&amp;" Equity","OPT_UNDL_TICKER")</f>
        <v>NFLX US</v>
      </c>
      <c r="E11" s="312" t="str" cm="1">
        <f t="array" ref="E11">_xll.BDP($B11&amp;" Equity","mifid_Maturity_date")</f>
        <v>15/05/2026</v>
      </c>
      <c r="F11" s="312" cm="1">
        <f t="array" ref="F11">_xll.BDP($B11&amp;" Equity","opt_days_expire")</f>
        <v>99</v>
      </c>
      <c r="G11" s="312" t="str" cm="1">
        <f t="array" ref="G11">_xll.BDP(B11&amp;" Equity","QUOTED_CURRENCY_REALTIME")</f>
        <v>USD</v>
      </c>
      <c r="H11" s="414">
        <v>-200</v>
      </c>
      <c r="I11" s="430">
        <v>2.13</v>
      </c>
      <c r="J11" s="14">
        <f>VLOOKUP(B11,Precificação!$B:$O,14,FALSE)</f>
        <v>2.2699999999999996</v>
      </c>
      <c r="K11" s="14">
        <f t="shared" si="18"/>
        <v>2.2699999999999996</v>
      </c>
      <c r="L11" s="121" cm="1">
        <f t="array" ref="L11">_xll.BDP($B11&amp;" Equity","mid")</f>
        <v>2.19</v>
      </c>
      <c r="M11" s="340">
        <f t="shared" si="0"/>
        <v>2.7320359281437126E-2</v>
      </c>
      <c r="N11" s="418"/>
      <c r="O11" s="340">
        <f t="shared" si="1"/>
        <v>-3.5242290748898508E-2</v>
      </c>
      <c r="P11" s="121" cm="1">
        <f t="array" ref="P11">_xll.BDP($B11&amp;" Equity","bid")</f>
        <v>2.0299999999999998</v>
      </c>
      <c r="Q11" s="121" cm="1">
        <f t="array" ref="Q11">_xll.BDP($B11&amp;" Equity","ask")</f>
        <v>2.36</v>
      </c>
      <c r="R11" s="419">
        <f t="shared" si="2"/>
        <v>0.16256157635467994</v>
      </c>
      <c r="S11" s="121" cm="1">
        <f t="array" ref="S11">_xll.BDP(G11&amp;" Curncy","PX_LAST")</f>
        <v>1</v>
      </c>
      <c r="T11" s="414" cm="1">
        <f t="array" ref="T11">_xll.BDP(B11&amp;" Equity","OPT_MULTIPLIER")</f>
        <v>100</v>
      </c>
      <c r="U11" s="414">
        <f t="shared" si="3"/>
        <v>-43800</v>
      </c>
      <c r="V11" s="433">
        <f>U11/'Master P&amp;L'!$AD$7*10000</f>
        <v>-0.18279215472064167</v>
      </c>
      <c r="W11" s="433">
        <f>(Y11*H11*T11/S11)/'Master P&amp;L'!$AD$7*10000</f>
        <v>-0.18279215472064167</v>
      </c>
      <c r="X11" s="425">
        <f t="shared" si="4"/>
        <v>0</v>
      </c>
      <c r="Y11" s="432">
        <f t="shared" si="5"/>
        <v>2.19</v>
      </c>
      <c r="Z11" s="424">
        <f>_xll.BDP(D11&amp;" Equity","LAST_PRICE")</f>
        <v>80.16</v>
      </c>
      <c r="AA11" s="424" cm="1">
        <f t="array" ref="AA11">_xll.BDP(B11&amp;" Equity","OPT_STRIKE_PX")</f>
        <v>70</v>
      </c>
      <c r="AB11" s="419">
        <f t="shared" si="6"/>
        <v>-0.12674650698602785</v>
      </c>
      <c r="AC11" s="431" cm="1">
        <f t="array" ref="AC11">_xll.BDP($D11&amp;" Equity","volatility_10d")</f>
        <v>28.486779296364904</v>
      </c>
      <c r="AD11" s="424" cm="1">
        <f t="array" ref="AD11">_xll.BDP(B11&amp;" Equity","ivol_mid")</f>
        <v>40.04336</v>
      </c>
      <c r="AE11" s="424">
        <f t="shared" si="7"/>
        <v>1.4056822494184096</v>
      </c>
      <c r="AF11" s="429" cm="1">
        <f t="array" ref="AF11">_xll.BDP(B11&amp;" Equity","DELTA_MID_RT")</f>
        <v>-0.20887434482574463</v>
      </c>
      <c r="AG11" s="340">
        <f>AL11/'Master P&amp;L'!$AE$7</f>
        <v>1.3975142553305313E-4</v>
      </c>
      <c r="AH11" s="340">
        <f>AM11/'Master P&amp;L'!$AE$7</f>
        <v>6.6906936631993771E-4</v>
      </c>
      <c r="AI11" s="423">
        <f>AO11/'Master P&amp;L'!$AD$7*10000</f>
        <v>2.0145629147644535E-3</v>
      </c>
      <c r="AJ11" s="418">
        <f t="shared" si="8"/>
        <v>-4.6915159048510954E-3</v>
      </c>
      <c r="AK11" s="429">
        <f>AP11/'Master P&amp;L'!$AD$7*10000</f>
        <v>6.6773389852288877E-3</v>
      </c>
      <c r="AL11" s="414">
        <f t="shared" si="9"/>
        <v>334867.34962463379</v>
      </c>
      <c r="AM11" s="414">
        <f t="shared" si="10"/>
        <v>1603200</v>
      </c>
      <c r="AN11" s="429" cm="1">
        <f t="array" ref="AN11">_xll.BDP($B11&amp;" Equity","theta_mid_rt")</f>
        <v>-2.4136116728186607E-2</v>
      </c>
      <c r="AO11" s="414">
        <f t="shared" si="11"/>
        <v>482.72233456373215</v>
      </c>
      <c r="AP11" s="414">
        <f t="shared" si="12"/>
        <v>1599.9999999999925</v>
      </c>
      <c r="AQ11" s="121" t="str" cm="1">
        <f t="array" ref="AQ11">_xll.BDP($D11&amp;" Equity","EXPECTED_REPORT_DT")</f>
        <v>17/04/2026</v>
      </c>
      <c r="AR11" s="421" cm="1">
        <f t="array" ref="AR11">_xll.BDP($B11&amp;" Equity","GAMMA_LAST")</f>
        <v>1.3483999999999999E-2</v>
      </c>
      <c r="AS11" s="312">
        <f t="shared" si="13"/>
        <v>-17328.627118079999</v>
      </c>
      <c r="AT11" s="312">
        <f t="shared" si="14"/>
        <v>-86643.135590399979</v>
      </c>
      <c r="AU11" s="312" t="s">
        <v>95</v>
      </c>
      <c r="AV11" s="296" cm="1">
        <f t="array" ref="AV11">_xll.BDP($D11&amp;" Equity","EST_PE_NXT_YR")*(AA11/Z11)</f>
        <v>18.41620626151013</v>
      </c>
      <c r="AX11" s="414"/>
      <c r="AY11" s="296">
        <v>2.19</v>
      </c>
      <c r="AZ11" s="422"/>
      <c r="BA11" s="414">
        <f t="shared" si="15"/>
        <v>2.19</v>
      </c>
      <c r="BB11" s="420">
        <f t="shared" si="16"/>
        <v>2.2699999999999996</v>
      </c>
      <c r="BC11" s="420">
        <f t="shared" si="17"/>
        <v>-1599.9999999999925</v>
      </c>
      <c r="BD11" s="420">
        <f>BC11/'Master P&amp;L'!$AD$7*10000</f>
        <v>-6.6773389852288877E-3</v>
      </c>
    </row>
    <row r="12" spans="1:56">
      <c r="A12" s="264"/>
      <c r="B12" s="72" t="s">
        <v>1094</v>
      </c>
      <c r="C12" s="72" t="str" cm="1">
        <f t="array" ref="C12">_xll.BDP($B12&amp;" Equity","opt_put_call")</f>
        <v>Call</v>
      </c>
      <c r="D12" s="72" t="str" cm="1">
        <f t="array" ref="D12">_xll.BDP(B12&amp;" Equity","OPT_UNDL_TICKER")</f>
        <v>META US</v>
      </c>
      <c r="E12" s="72" t="str" cm="1">
        <f t="array" ref="E12">_xll.BDP($B12&amp;" Equity","mifid_Maturity_date")</f>
        <v>17/07/2026</v>
      </c>
      <c r="F12" s="72" cm="1">
        <f t="array" ref="F12">_xll.BDP($B12&amp;" Equity","opt_days_expire")</f>
        <v>162</v>
      </c>
      <c r="G12" s="72" t="str" cm="1">
        <f t="array" ref="G12">_xll.BDP(B12&amp;" Equity","QUOTED_CURRENCY_REALTIME")</f>
        <v>USD</v>
      </c>
      <c r="H12" s="41">
        <v>135</v>
      </c>
      <c r="I12" s="337">
        <v>55</v>
      </c>
      <c r="J12" s="14">
        <f>VLOOKUP(B12,Precificação!$B:$O,14,FALSE)</f>
        <v>41.974999999999994</v>
      </c>
      <c r="K12" s="14">
        <f t="shared" si="18"/>
        <v>41.974999999999994</v>
      </c>
      <c r="L12" s="73" cm="1">
        <f t="array" ref="L12">_xll.BDP($B12&amp;" Equity","mid")</f>
        <v>33.58</v>
      </c>
      <c r="M12" s="74">
        <f t="shared" si="0"/>
        <v>5.0195070180421228E-2</v>
      </c>
      <c r="N12" s="280"/>
      <c r="O12" s="74">
        <f t="shared" si="1"/>
        <v>-0.19999999999999996</v>
      </c>
      <c r="P12" s="73" cm="1">
        <f t="array" ref="P12">_xll.BDP($B12&amp;" Equity","bid")</f>
        <v>33.35</v>
      </c>
      <c r="Q12" s="73" cm="1">
        <f t="array" ref="Q12">_xll.BDP($B12&amp;" Equity","ask")</f>
        <v>33.799999999999997</v>
      </c>
      <c r="R12" s="75">
        <f t="shared" si="2"/>
        <v>1.3493253373313197E-2</v>
      </c>
      <c r="S12" s="35" cm="1">
        <f t="array" ref="S12">_xll.BDP(G12&amp;" Curncy","PX_LAST")</f>
        <v>1</v>
      </c>
      <c r="T12" s="41" cm="1">
        <f t="array" ref="T12">_xll.BDP(B12&amp;" Equity","OPT_MULTIPLIER")</f>
        <v>100</v>
      </c>
      <c r="U12" s="41">
        <f t="shared" si="3"/>
        <v>453330</v>
      </c>
      <c r="V12" s="111">
        <f>U12/'Master P&amp;L'!$AD$7*10000</f>
        <v>1.8918988013586413</v>
      </c>
      <c r="W12" s="111">
        <f>(Y12*H12*T12/S12)/'Master P&amp;L'!$AD$7*10000</f>
        <v>1.8918988013586413</v>
      </c>
      <c r="X12" s="116">
        <f t="shared" si="4"/>
        <v>0</v>
      </c>
      <c r="Y12" s="202">
        <f t="shared" si="5"/>
        <v>33.58</v>
      </c>
      <c r="Z12" s="76">
        <f>_xll.BDP(D12&amp;" Equity","LAST_PRICE")</f>
        <v>668.99</v>
      </c>
      <c r="AA12" s="76" cm="1">
        <f t="array" ref="AA12">_xll.BDP(B12&amp;" Equity","OPT_STRIKE_PX")</f>
        <v>750</v>
      </c>
      <c r="AB12" s="75">
        <f t="shared" si="6"/>
        <v>0.12109299092662074</v>
      </c>
      <c r="AC12" s="252" cm="1">
        <f t="array" ref="AC12">_xll.BDP($D12&amp;" Equity","volatility_10d")</f>
        <v>65.217022484935498</v>
      </c>
      <c r="AD12" s="76" cm="1">
        <f t="array" ref="AD12">_xll.BDP(B12&amp;" Equity","ivol_mid")</f>
        <v>33.352919999999997</v>
      </c>
      <c r="AE12" s="76">
        <f t="shared" si="7"/>
        <v>0.51141433216617949</v>
      </c>
      <c r="AF12" s="77" cm="1">
        <f t="array" ref="AF12">_xll.BDP(B12&amp;" Equity","DELTA_MID_RT")</f>
        <v>0.36969476938247681</v>
      </c>
      <c r="AG12" s="74">
        <f>AL12/'Master P&amp;L'!$AE$7</f>
        <v>1.3934139120619865E-3</v>
      </c>
      <c r="AH12" s="74">
        <f>AM12/'Master P&amp;L'!$AE$7</f>
        <v>3.7690928502707487E-3</v>
      </c>
      <c r="AI12" s="355">
        <f>AO12/'Master P&amp;L'!$AD$7*10000</f>
        <v>-9.8889841506345083E-3</v>
      </c>
      <c r="AJ12" s="278">
        <f t="shared" si="8"/>
        <v>2.3029475071492968E-2</v>
      </c>
      <c r="AK12" s="77">
        <f>AP12/'Master P&amp;L'!$AD$7*10000</f>
        <v>-0.47297470033966005</v>
      </c>
      <c r="AL12" s="41">
        <f t="shared" si="9"/>
        <v>3338848.4008839726</v>
      </c>
      <c r="AM12" s="41">
        <f t="shared" si="10"/>
        <v>9031365</v>
      </c>
      <c r="AN12" s="77" cm="1">
        <f t="array" ref="AN12">_xll.BDP($B12&amp;" Equity","theta_mid_rt")</f>
        <v>-0.17552317678928375</v>
      </c>
      <c r="AO12" s="41">
        <f t="shared" si="11"/>
        <v>-2369.5628866553307</v>
      </c>
      <c r="AP12" s="41">
        <f t="shared" si="12"/>
        <v>-113332.49999999994</v>
      </c>
      <c r="AQ12" s="73" t="str" cm="1">
        <f t="array" ref="AQ12">_xll.BDP($D12&amp;" Equity","EXPECTED_REPORT_DT")</f>
        <v>30/04/2026</v>
      </c>
      <c r="AR12" s="190" cm="1">
        <f t="array" ref="AR12">_xll.BDP($B12&amp;" Equity","GAMMA_LAST")</f>
        <v>1.7113E-2</v>
      </c>
      <c r="AS12" s="72">
        <f t="shared" si="13"/>
        <v>1033949.1270741253</v>
      </c>
      <c r="AT12" s="72">
        <f t="shared" si="14"/>
        <v>5169745.635370628</v>
      </c>
      <c r="AU12" s="72" t="s">
        <v>95</v>
      </c>
      <c r="AV12" s="251" cm="1">
        <f t="array" ref="AV12">_xll.BDP($D12&amp;" Equity","EST_PE_NXT_YR")*(AA12/Z12)</f>
        <v>19.921906127978325</v>
      </c>
      <c r="AW12" s="72"/>
      <c r="AX12" s="41"/>
      <c r="AY12" s="251">
        <v>33.58</v>
      </c>
      <c r="AZ12" s="282"/>
      <c r="BA12" s="41">
        <f t="shared" si="15"/>
        <v>33.58</v>
      </c>
      <c r="BB12" s="274">
        <f t="shared" si="16"/>
        <v>41.974999999999994</v>
      </c>
      <c r="BC12" s="274">
        <f t="shared" si="17"/>
        <v>113332.49999999994</v>
      </c>
      <c r="BD12" s="274">
        <f>BC12/'Master P&amp;L'!$AD$7*10000</f>
        <v>0.47297470033966005</v>
      </c>
    </row>
    <row r="13" spans="1:56" s="312" customFormat="1">
      <c r="A13" s="434"/>
      <c r="B13" s="312" t="s">
        <v>935</v>
      </c>
      <c r="C13" s="312" t="str" cm="1">
        <f t="array" ref="C13">_xll.BDP($B13&amp;" Equity","opt_put_call")</f>
        <v>Put</v>
      </c>
      <c r="D13" s="312" t="str" cm="1">
        <f t="array" ref="D13">_xll.BDP(B13&amp;" Equity","OPT_UNDL_TICKER")</f>
        <v>MRVL US</v>
      </c>
      <c r="E13" s="312" t="str" cm="1">
        <f t="array" ref="E13">_xll.BDP($B13&amp;" Equity","mifid_Maturity_date")</f>
        <v>20/03/2026</v>
      </c>
      <c r="F13" s="312" cm="1">
        <f t="array" ref="F13">_xll.BDP($B13&amp;" Equity","opt_days_expire")</f>
        <v>43</v>
      </c>
      <c r="G13" s="312" t="str" cm="1">
        <f t="array" ref="G13">_xll.BDP(B13&amp;" Equity","QUOTED_CURRENCY_REALTIME")</f>
        <v>USD</v>
      </c>
      <c r="H13" s="414">
        <v>450</v>
      </c>
      <c r="I13" s="430">
        <v>4.82</v>
      </c>
      <c r="J13" s="14">
        <f>VLOOKUP(B13,Precificação!$B:$O,14,FALSE)</f>
        <v>4.0999999999999996</v>
      </c>
      <c r="K13" s="14">
        <f t="shared" si="18"/>
        <v>4.0999999999999996</v>
      </c>
      <c r="L13" s="121" cm="1">
        <f t="array" ref="L13">_xll.BDP($B13&amp;" Equity","mid")</f>
        <v>4.68</v>
      </c>
      <c r="M13" s="340">
        <f t="shared" si="0"/>
        <v>6.3474840634748397E-2</v>
      </c>
      <c r="N13" s="418"/>
      <c r="O13" s="340">
        <f t="shared" si="1"/>
        <v>0.14146341463414647</v>
      </c>
      <c r="P13" s="121" cm="1">
        <f t="array" ref="P13">_xll.BDP($B13&amp;" Equity","bid")</f>
        <v>4.5999999999999996</v>
      </c>
      <c r="Q13" s="121" cm="1">
        <f t="array" ref="Q13">_xll.BDP($B13&amp;" Equity","ask")</f>
        <v>4.75</v>
      </c>
      <c r="R13" s="419">
        <f t="shared" si="2"/>
        <v>3.2608695652174058E-2</v>
      </c>
      <c r="S13" s="121" cm="1">
        <f t="array" ref="S13">_xll.BDP(G13&amp;" Curncy","PX_LAST")</f>
        <v>1</v>
      </c>
      <c r="T13" s="414" cm="1">
        <f t="array" ref="T13">_xll.BDP(B13&amp;" Equity","OPT_MULTIPLIER")</f>
        <v>100</v>
      </c>
      <c r="U13" s="414">
        <f t="shared" si="3"/>
        <v>210600</v>
      </c>
      <c r="V13" s="433">
        <f>U13/'Master P&amp;L'!$AD$7*10000</f>
        <v>0.87890474393075646</v>
      </c>
      <c r="W13" s="433">
        <f>(Y13*H13*T13/S13)/'Master P&amp;L'!$AD$7*10000</f>
        <v>0.87890474393075646</v>
      </c>
      <c r="X13" s="425">
        <f t="shared" si="4"/>
        <v>0</v>
      </c>
      <c r="Y13" s="432">
        <f t="shared" si="5"/>
        <v>4.68</v>
      </c>
      <c r="Z13" s="424">
        <f>_xll.BDP(D13&amp;" Equity","LAST_PRICE")</f>
        <v>73.73</v>
      </c>
      <c r="AA13" s="424" cm="1">
        <f t="array" ref="AA13">_xll.BDP(B13&amp;" Equity","OPT_STRIKE_PX")</f>
        <v>70</v>
      </c>
      <c r="AB13" s="419">
        <f t="shared" si="6"/>
        <v>-5.0589990505899962E-2</v>
      </c>
      <c r="AC13" s="431" cm="1">
        <f t="array" ref="AC13">_xll.BDP($D13&amp;" Equity","volatility_10d")</f>
        <v>36.889500289115631</v>
      </c>
      <c r="AD13" s="424" cm="1">
        <f t="array" ref="AD13">_xll.BDP(B13&amp;" Equity","ivol_mid")</f>
        <v>64.765929999999997</v>
      </c>
      <c r="AE13" s="424">
        <f t="shared" si="7"/>
        <v>1.755673822968792</v>
      </c>
      <c r="AF13" s="429" cm="1">
        <f t="array" ref="AF13">_xll.BDP(B13&amp;" Equity","DELTA_MID_RT")</f>
        <v>-0.36003792285919189</v>
      </c>
      <c r="AG13" s="340">
        <f>AL13/'Master P&amp;L'!$AE$7</f>
        <v>-4.9852671583186221E-4</v>
      </c>
      <c r="AH13" s="340">
        <f>AM13/'Master P&amp;L'!$AE$7</f>
        <v>-1.3846505720088605E-3</v>
      </c>
      <c r="AI13" s="423">
        <f>AO13/'Master P&amp;L'!$AD$7*10000</f>
        <v>-1.3161055598948449E-2</v>
      </c>
      <c r="AJ13" s="418">
        <f t="shared" si="8"/>
        <v>3.0649477965951535E-2</v>
      </c>
      <c r="AK13" s="429">
        <f>AP13/'Master P&amp;L'!$AD$7*10000</f>
        <v>0.10892409219654675</v>
      </c>
      <c r="AL13" s="414">
        <f t="shared" si="9"/>
        <v>-1194551.8223583701</v>
      </c>
      <c r="AM13" s="414">
        <f t="shared" si="10"/>
        <v>-3317850</v>
      </c>
      <c r="AN13" s="429" cm="1">
        <f t="array" ref="AN13">_xll.BDP($B13&amp;" Equity","theta_mid_rt")</f>
        <v>-7.0080108940601349E-2</v>
      </c>
      <c r="AO13" s="414">
        <f t="shared" si="11"/>
        <v>-3153.6049023270607</v>
      </c>
      <c r="AP13" s="414">
        <f t="shared" si="12"/>
        <v>26100.000000000004</v>
      </c>
      <c r="AQ13" s="121" t="str" cm="1">
        <f t="array" ref="AQ13">_xll.BDP($D13&amp;" Equity","EXPECTED_REPORT_DT")</f>
        <v>05/03/2026</v>
      </c>
      <c r="AR13" s="421" cm="1">
        <f t="array" ref="AR13">_xll.BDP($B13&amp;" Equity","GAMMA_LAST")</f>
        <v>1.6354E-2</v>
      </c>
      <c r="AS13" s="312">
        <f t="shared" si="13"/>
        <v>40005.985664970009</v>
      </c>
      <c r="AT13" s="312">
        <f t="shared" si="14"/>
        <v>200029.92832485007</v>
      </c>
      <c r="AU13" s="312" t="s">
        <v>95</v>
      </c>
      <c r="AV13" s="296" cm="1">
        <f t="array" ref="AV13">_xll.BDP($D13&amp;" Equity","EST_PE_NXT_YR")*(AA13/Z13)</f>
        <v>19.746121297602258</v>
      </c>
      <c r="AX13" s="414"/>
      <c r="AY13" s="296">
        <v>4.67</v>
      </c>
      <c r="AZ13" s="422"/>
      <c r="BA13" s="414">
        <f t="shared" si="15"/>
        <v>4.67</v>
      </c>
      <c r="BB13" s="420">
        <f t="shared" si="16"/>
        <v>4.0999999999999996</v>
      </c>
      <c r="BC13" s="420">
        <f t="shared" si="17"/>
        <v>-25650.000000000011</v>
      </c>
      <c r="BD13" s="420">
        <f>BC13/'Master P&amp;L'!$AD$7*10000</f>
        <v>-0.10704609060695115</v>
      </c>
    </row>
    <row r="14" spans="1:56" s="312" customFormat="1">
      <c r="A14" s="434"/>
      <c r="B14" s="312" t="s">
        <v>1138</v>
      </c>
      <c r="C14" s="312" t="str" cm="1">
        <f t="array" ref="C14">_xll.BDP($B14&amp;" Equity","opt_put_call")</f>
        <v>Put</v>
      </c>
      <c r="D14" s="312" t="str" cm="1">
        <f t="array" ref="D14">_xll.BDP(B14&amp;" Equity","OPT_UNDL_TICKER")</f>
        <v>MRVL US</v>
      </c>
      <c r="E14" s="312" t="str" cm="1">
        <f t="array" ref="E14">_xll.BDP($B14&amp;" Equity","mifid_Maturity_date")</f>
        <v>20/03/2026</v>
      </c>
      <c r="F14" s="312" cm="1">
        <f t="array" ref="F14">_xll.BDP($B14&amp;" Equity","opt_days_expire")</f>
        <v>43</v>
      </c>
      <c r="G14" s="312" t="str" cm="1">
        <f t="array" ref="G14">_xll.BDP(B14&amp;" Equity","QUOTED_CURRENCY_REALTIME")</f>
        <v>USD</v>
      </c>
      <c r="H14" s="414">
        <v>-450</v>
      </c>
      <c r="I14" s="430">
        <v>1.66</v>
      </c>
      <c r="J14" s="14">
        <f>VLOOKUP(B14,Precificação!$B:$O,14,FALSE)</f>
        <v>1.405</v>
      </c>
      <c r="K14" s="14">
        <f t="shared" si="18"/>
        <v>1.405</v>
      </c>
      <c r="L14" s="121" cm="1">
        <f t="array" ref="L14">_xll.BDP($B14&amp;" Equity","mid")</f>
        <v>1.59</v>
      </c>
      <c r="M14" s="340">
        <f t="shared" si="0"/>
        <v>2.1565170215651703E-2</v>
      </c>
      <c r="N14" s="418"/>
      <c r="O14" s="340">
        <f t="shared" si="1"/>
        <v>0.13167259786476881</v>
      </c>
      <c r="P14" s="121" cm="1">
        <f t="array" ref="P14">_xll.BDP($B14&amp;" Equity","bid")</f>
        <v>1.49</v>
      </c>
      <c r="Q14" s="121" cm="1">
        <f t="array" ref="Q14">_xll.BDP($B14&amp;" Equity","ask")</f>
        <v>1.68</v>
      </c>
      <c r="R14" s="419">
        <f t="shared" si="2"/>
        <v>0.12751677852348986</v>
      </c>
      <c r="S14" s="121" cm="1">
        <f t="array" ref="S14">_xll.BDP(G14&amp;" Curncy","PX_LAST")</f>
        <v>1</v>
      </c>
      <c r="T14" s="414" cm="1">
        <f t="array" ref="T14">_xll.BDP(B14&amp;" Equity","OPT_MULTIPLIER")</f>
        <v>100</v>
      </c>
      <c r="U14" s="414">
        <f t="shared" si="3"/>
        <v>-71550</v>
      </c>
      <c r="V14" s="433">
        <f>U14/'Master P&amp;L'!$AD$7*10000</f>
        <v>-0.29860225274570573</v>
      </c>
      <c r="W14" s="433">
        <f>(Y14*H14*T14/S14)/'Master P&amp;L'!$AD$7*10000</f>
        <v>-0.29860225274570573</v>
      </c>
      <c r="X14" s="425">
        <f t="shared" si="4"/>
        <v>0</v>
      </c>
      <c r="Y14" s="432">
        <f t="shared" si="5"/>
        <v>1.59</v>
      </c>
      <c r="Z14" s="424">
        <f>_xll.BDP(D14&amp;" Equity","LAST_PRICE")</f>
        <v>73.73</v>
      </c>
      <c r="AA14" s="424" cm="1">
        <f t="array" ref="AA14">_xll.BDP(B14&amp;" Equity","OPT_STRIKE_PX")</f>
        <v>60</v>
      </c>
      <c r="AB14" s="419">
        <f t="shared" si="6"/>
        <v>-0.18621999186219995</v>
      </c>
      <c r="AC14" s="431" cm="1">
        <f t="array" ref="AC14">_xll.BDP($D14&amp;" Equity","volatility_10d")</f>
        <v>36.889500289115631</v>
      </c>
      <c r="AD14" s="424" cm="1">
        <f t="array" ref="AD14">_xll.BDP(B14&amp;" Equity","ivol_mid")</f>
        <v>67.222179999999994</v>
      </c>
      <c r="AE14" s="424">
        <f t="shared" si="7"/>
        <v>1.8222578097604136</v>
      </c>
      <c r="AF14" s="429" cm="1">
        <f t="array" ref="AF14">_xll.BDP(B14&amp;" Equity","DELTA_MID_RT")</f>
        <v>-0.15604214370250702</v>
      </c>
      <c r="AG14" s="340">
        <f>AL14/'Master P&amp;L'!$AE$7</f>
        <v>2.160638435351652E-4</v>
      </c>
      <c r="AH14" s="340">
        <f>AM14/'Master P&amp;L'!$AE$7</f>
        <v>1.3846505720088605E-3</v>
      </c>
      <c r="AI14" s="423">
        <f>AO14/'Master P&amp;L'!$AD$7*10000</f>
        <v>8.6713832744928082E-3</v>
      </c>
      <c r="AJ14" s="418">
        <f t="shared" si="8"/>
        <v>-2.019392506989507E-2</v>
      </c>
      <c r="AK14" s="429">
        <f>AP14/'Master P&amp;L'!$AD$7*10000</f>
        <v>-3.4743029407519235E-2</v>
      </c>
      <c r="AL14" s="414">
        <f t="shared" si="9"/>
        <v>517724.42648336303</v>
      </c>
      <c r="AM14" s="414">
        <f t="shared" si="10"/>
        <v>3317850</v>
      </c>
      <c r="AN14" s="429" cm="1">
        <f t="array" ref="AN14">_xll.BDP($B14&amp;" Equity","theta_mid_rt")</f>
        <v>-4.6173460781574249E-2</v>
      </c>
      <c r="AO14" s="414">
        <f t="shared" si="11"/>
        <v>2077.8057351708412</v>
      </c>
      <c r="AP14" s="414">
        <f t="shared" si="12"/>
        <v>-8325.0000000000036</v>
      </c>
      <c r="AQ14" s="121" t="str" cm="1">
        <f t="array" ref="AQ14">_xll.BDP($D14&amp;" Equity","EXPECTED_REPORT_DT")</f>
        <v>05/03/2026</v>
      </c>
      <c r="AR14" s="421" cm="1">
        <f t="array" ref="AR14">_xll.BDP($B14&amp;" Equity","GAMMA_LAST")</f>
        <v>9.9950000000000004E-3</v>
      </c>
      <c r="AS14" s="312">
        <f t="shared" si="13"/>
        <v>-24450.276795975005</v>
      </c>
      <c r="AT14" s="312">
        <f t="shared" si="14"/>
        <v>-122251.38397987503</v>
      </c>
      <c r="AU14" s="312" t="s">
        <v>95</v>
      </c>
      <c r="AV14" s="296" cm="1">
        <f t="array" ref="AV14">_xll.BDP($D14&amp;" Equity","EST_PE_NXT_YR")*(AA14/Z14)</f>
        <v>16.925246826516222</v>
      </c>
      <c r="AX14" s="414"/>
      <c r="AY14" s="296">
        <v>1.59</v>
      </c>
      <c r="AZ14" s="422"/>
      <c r="BA14" s="414">
        <f t="shared" si="15"/>
        <v>1.59</v>
      </c>
      <c r="BB14" s="420">
        <f t="shared" si="16"/>
        <v>1.405</v>
      </c>
      <c r="BC14" s="420">
        <f t="shared" si="17"/>
        <v>8325.0000000000036</v>
      </c>
      <c r="BD14" s="420">
        <f>BC14/'Master P&amp;L'!$AD$7*10000</f>
        <v>3.4743029407519235E-2</v>
      </c>
    </row>
    <row r="15" spans="1:56">
      <c r="A15" s="264"/>
      <c r="B15" s="72" t="s">
        <v>1095</v>
      </c>
      <c r="C15" s="72" t="str" cm="1">
        <f t="array" ref="C15">_xll.BDP($B15&amp;" Equity","opt_put_call")</f>
        <v>Call</v>
      </c>
      <c r="D15" s="72" t="str" cm="1">
        <f t="array" ref="D15">_xll.BDP(B15&amp;" Equity","OPT_UNDL_TICKER")</f>
        <v>AAPL US</v>
      </c>
      <c r="E15" s="72" t="str" cm="1">
        <f t="array" ref="E15">_xll.BDP($B15&amp;" Equity","mifid_Maturity_date")</f>
        <v>17/04/2026</v>
      </c>
      <c r="F15" s="72" cm="1">
        <f t="array" ref="F15">_xll.BDP($B15&amp;" Equity","opt_days_expire")</f>
        <v>71</v>
      </c>
      <c r="G15" s="72" t="str" cm="1">
        <f t="array" ref="G15">_xll.BDP(B15&amp;" Equity","QUOTED_CURRENCY_REALTIME")</f>
        <v>USD</v>
      </c>
      <c r="H15" s="41">
        <v>350</v>
      </c>
      <c r="I15" s="337">
        <v>9.99</v>
      </c>
      <c r="J15" s="14">
        <f>VLOOKUP(B15,Precificação!$B:$O,14,FALSE)</f>
        <v>18.3</v>
      </c>
      <c r="K15" s="14">
        <f t="shared" si="18"/>
        <v>18.3</v>
      </c>
      <c r="L15" s="73" cm="1">
        <f t="array" ref="L15">_xll.BDP($B15&amp;" Equity","mid")</f>
        <v>23.67</v>
      </c>
      <c r="M15" s="74">
        <f t="shared" si="0"/>
        <v>8.560888278057073E-2</v>
      </c>
      <c r="N15" s="280"/>
      <c r="O15" s="74">
        <f t="shared" si="1"/>
        <v>0.2934426229508198</v>
      </c>
      <c r="P15" s="73" cm="1">
        <f t="array" ref="P15">_xll.BDP($B15&amp;" Equity","bid")</f>
        <v>23.4</v>
      </c>
      <c r="Q15" s="73" cm="1">
        <f t="array" ref="Q15">_xll.BDP($B15&amp;" Equity","ask")</f>
        <v>23.95</v>
      </c>
      <c r="R15" s="75">
        <f t="shared" si="2"/>
        <v>2.3504273504273643E-2</v>
      </c>
      <c r="S15" s="35" cm="1">
        <f t="array" ref="S15">_xll.BDP(G15&amp;" Curncy","PX_LAST")</f>
        <v>1</v>
      </c>
      <c r="T15" s="41" cm="1">
        <f t="array" ref="T15">_xll.BDP(B15&amp;" Equity","OPT_MULTIPLIER")</f>
        <v>100</v>
      </c>
      <c r="U15" s="41">
        <f t="shared" si="3"/>
        <v>828450</v>
      </c>
      <c r="V15" s="111">
        <f>U15/'Master P&amp;L'!$AD$7*10000</f>
        <v>3.4574009264455614</v>
      </c>
      <c r="W15" s="111">
        <f>(Y15*H15*T15/S15)/'Master P&amp;L'!$AD$7*10000</f>
        <v>1.0487595543675159</v>
      </c>
      <c r="X15" s="116">
        <f t="shared" si="4"/>
        <v>16.490000000000009</v>
      </c>
      <c r="Y15" s="202">
        <f t="shared" si="5"/>
        <v>7.1799999999999926</v>
      </c>
      <c r="Z15" s="76">
        <f>_xll.BDP(D15&amp;" Equity","LAST_PRICE")</f>
        <v>276.49</v>
      </c>
      <c r="AA15" s="76" cm="1">
        <f t="array" ref="AA15">_xll.BDP(B15&amp;" Equity","OPT_STRIKE_PX")</f>
        <v>260</v>
      </c>
      <c r="AB15" s="75">
        <f t="shared" si="6"/>
        <v>-5.9640493327064337E-2</v>
      </c>
      <c r="AC15" s="252" cm="1">
        <f t="array" ref="AC15">_xll.BDP($D15&amp;" Equity","volatility_10d")</f>
        <v>25.948006308384713</v>
      </c>
      <c r="AD15" s="76" cm="1">
        <f t="array" ref="AD15">_xll.BDP(B15&amp;" Equity","ivol_mid")</f>
        <v>26.613669999999999</v>
      </c>
      <c r="AE15" s="76">
        <f t="shared" si="7"/>
        <v>1.025653750955047</v>
      </c>
      <c r="AF15" s="77" cm="1">
        <f t="array" ref="AF15">_xll.BDP(B15&amp;" Equity","DELTA_MID_RT")</f>
        <v>0.73540157079696655</v>
      </c>
      <c r="AG15" s="74">
        <f>AL15/'Master P&amp;L'!$AE$7</f>
        <v>2.9699932876124406E-3</v>
      </c>
      <c r="AH15" s="74">
        <f>AM15/'Master P&amp;L'!$AE$7</f>
        <v>4.0386006850567525E-3</v>
      </c>
      <c r="AI15" s="355">
        <f>AO15/'Master P&amp;L'!$AD$7*10000</f>
        <v>-1.151693670395311E-2</v>
      </c>
      <c r="AJ15" s="278">
        <f t="shared" si="8"/>
        <v>2.6820652423295937E-2</v>
      </c>
      <c r="AK15" s="77">
        <f>AP15/'Master P&amp;L'!$AD$7*10000</f>
        <v>0.78437866392110978</v>
      </c>
      <c r="AL15" s="41">
        <f t="shared" si="9"/>
        <v>7116591.3108378649</v>
      </c>
      <c r="AM15" s="41">
        <f t="shared" si="10"/>
        <v>9677150</v>
      </c>
      <c r="AN15" s="77" cm="1">
        <f t="array" ref="AN15">_xll.BDP($B15&amp;" Equity","theta_mid_rt")</f>
        <v>-7.8847058117389679E-2</v>
      </c>
      <c r="AO15" s="41">
        <f t="shared" si="11"/>
        <v>-2759.6470341086388</v>
      </c>
      <c r="AP15" s="41">
        <f t="shared" si="12"/>
        <v>187950.00000000003</v>
      </c>
      <c r="AQ15" s="73" t="str" cm="1">
        <f t="array" ref="AQ15">_xll.BDP($D15&amp;" Equity","EXPECTED_REPORT_DT")</f>
        <v>01/05/2026</v>
      </c>
      <c r="AR15" s="190" cm="1">
        <f t="array" ref="AR15">_xll.BDP($B15&amp;" Equity","GAMMA_LAST")</f>
        <v>2.6939000000000001E-2</v>
      </c>
      <c r="AS15" s="72">
        <f t="shared" si="13"/>
        <v>720789.36747086514</v>
      </c>
      <c r="AT15" s="72">
        <f t="shared" si="14"/>
        <v>3603946.8373543257</v>
      </c>
      <c r="AU15" s="72" t="s">
        <v>95</v>
      </c>
      <c r="AV15" s="251" cm="1">
        <f t="array" ref="AV15">_xll.BDP($D15&amp;" Equity","EST_PE_NXT_YR")*(AA15/Z15)</f>
        <v>27.984070605962756</v>
      </c>
      <c r="AW15" s="72"/>
      <c r="AX15" s="41"/>
      <c r="AY15" s="251">
        <v>23.67</v>
      </c>
      <c r="AZ15" s="282"/>
      <c r="BA15" s="41">
        <f t="shared" si="15"/>
        <v>23.67</v>
      </c>
      <c r="BB15" s="274">
        <f t="shared" si="16"/>
        <v>18.3</v>
      </c>
      <c r="BC15" s="274">
        <f t="shared" si="17"/>
        <v>-187950.00000000006</v>
      </c>
      <c r="BD15" s="274">
        <f>BC15/'Master P&amp;L'!$AD$7*10000</f>
        <v>-0.78437866392110989</v>
      </c>
    </row>
    <row r="16" spans="1:56" s="58" customFormat="1">
      <c r="A16" s="284"/>
      <c r="B16" t="s">
        <v>1096</v>
      </c>
      <c r="C16" t="str" cm="1">
        <f t="array" ref="C16">_xll.BDP($B16&amp;" Equity","opt_put_call")</f>
        <v>Call</v>
      </c>
      <c r="D16" t="str" cm="1">
        <f t="array" ref="D16">_xll.BDP(B16&amp;" Equity","OPT_UNDL_TICKER")</f>
        <v>AAPL US</v>
      </c>
      <c r="E16" t="str" cm="1">
        <f t="array" ref="E16">_xll.BDP($B16&amp;" Equity","mifid_Maturity_date")</f>
        <v>17/04/2026</v>
      </c>
      <c r="F16" cm="1">
        <f t="array" ref="F16">_xll.BDP($B16&amp;" Equity","opt_days_expire")</f>
        <v>71</v>
      </c>
      <c r="G16" t="str" cm="1">
        <f t="array" ref="G16">_xll.BDP(B16&amp;" Equity","QUOTED_CURRENCY_REALTIME")</f>
        <v>USD</v>
      </c>
      <c r="H16" s="15">
        <v>-350</v>
      </c>
      <c r="I16" s="338">
        <v>3.3</v>
      </c>
      <c r="J16" s="14">
        <f>VLOOKUP(B16,Precificação!$B:$O,14,FALSE)</f>
        <v>7.45</v>
      </c>
      <c r="K16" s="14">
        <f t="shared" si="18"/>
        <v>7.45</v>
      </c>
      <c r="L16" s="73" cm="1">
        <f t="array" ref="L16">_xll.BDP($B16&amp;" Equity","mid")</f>
        <v>11.05</v>
      </c>
      <c r="M16" s="18">
        <f t="shared" si="0"/>
        <v>3.9965279033599768E-2</v>
      </c>
      <c r="N16" s="278"/>
      <c r="O16" s="18">
        <f t="shared" si="1"/>
        <v>0.48322147651006708</v>
      </c>
      <c r="P16" s="35" cm="1">
        <f t="array" ref="P16">_xll.BDP($B16&amp;" Equity","bid")</f>
        <v>10.95</v>
      </c>
      <c r="Q16" s="35" cm="1">
        <f t="array" ref="Q16">_xll.BDP($B16&amp;" Equity","ask")</f>
        <v>11.15</v>
      </c>
      <c r="R16" s="39">
        <f t="shared" si="2"/>
        <v>1.8264840182648401E-2</v>
      </c>
      <c r="S16" s="35" cm="1">
        <f t="array" ref="S16">_xll.BDP(G16&amp;" Curncy","PX_LAST")</f>
        <v>1</v>
      </c>
      <c r="T16" s="15" cm="1">
        <f t="array" ref="T16">_xll.BDP(B16&amp;" Equity","OPT_MULTIPLIER")</f>
        <v>100</v>
      </c>
      <c r="U16" s="15">
        <f t="shared" si="3"/>
        <v>-386750.00000000006</v>
      </c>
      <c r="V16" s="122">
        <f>U16/'Master P&amp;L'!$AD$7*10000</f>
        <v>-1.6140380328358028</v>
      </c>
      <c r="W16" s="122">
        <f>(Y16*H16*T16/S16)/'Master P&amp;L'!$AD$7*10000</f>
        <v>-1.6140380328358028</v>
      </c>
      <c r="X16" s="341">
        <f t="shared" si="4"/>
        <v>0</v>
      </c>
      <c r="Y16" s="203">
        <f t="shared" si="5"/>
        <v>11.05</v>
      </c>
      <c r="Z16" s="36">
        <f>_xll.BDP(D16&amp;" Equity","LAST_PRICE")</f>
        <v>276.49</v>
      </c>
      <c r="AA16" s="36" cm="1">
        <f t="array" ref="AA16">_xll.BDP(B16&amp;" Equity","OPT_STRIKE_PX")</f>
        <v>280</v>
      </c>
      <c r="AB16" s="39">
        <f t="shared" si="6"/>
        <v>1.2694853340084578E-2</v>
      </c>
      <c r="AC16" s="253" cm="1">
        <f t="array" ref="AC16">_xll.BDP($D16&amp;" Equity","volatility_10d")</f>
        <v>25.948006308384713</v>
      </c>
      <c r="AD16" s="36" cm="1">
        <f t="array" ref="AD16">_xll.BDP(B16&amp;" Equity","ivol_mid")</f>
        <v>24.204180000000001</v>
      </c>
      <c r="AE16" s="36">
        <f t="shared" si="7"/>
        <v>0.93279536440450073</v>
      </c>
      <c r="AF16" s="37" cm="1">
        <f t="array" ref="AF16">_xll.BDP(B16&amp;" Equity","DELTA_MID_RT")</f>
        <v>0.49715507030487061</v>
      </c>
      <c r="AG16" s="18">
        <f>AL16/'Master P&amp;L'!$AE$7</f>
        <v>-2.0078108075126887E-3</v>
      </c>
      <c r="AH16" s="18">
        <f>AM16/'Master P&amp;L'!$AE$7</f>
        <v>-4.0386006850567525E-3</v>
      </c>
      <c r="AI16" s="354">
        <f>AO16/'Master P&amp;L'!$AD$7*10000</f>
        <v>1.2556815561607634E-2</v>
      </c>
      <c r="AJ16" s="278">
        <f t="shared" si="8"/>
        <v>-2.9242323230422362E-2</v>
      </c>
      <c r="AK16" s="37">
        <f>AP16/'Master P&amp;L'!$AD$7*10000</f>
        <v>-0.52584044508677741</v>
      </c>
      <c r="AL16" s="15">
        <f t="shared" si="9"/>
        <v>-4811044.1886007795</v>
      </c>
      <c r="AM16" s="15">
        <f t="shared" si="10"/>
        <v>-9677150</v>
      </c>
      <c r="AN16" s="37" cm="1">
        <f t="array" ref="AN16">_xll.BDP($B16&amp;" Equity","theta_mid_rt")</f>
        <v>-8.5966259241104126E-2</v>
      </c>
      <c r="AO16" s="15">
        <f t="shared" si="11"/>
        <v>3008.8190734386444</v>
      </c>
      <c r="AP16" s="15">
        <f t="shared" si="12"/>
        <v>-126000.00000000001</v>
      </c>
      <c r="AQ16" s="35" t="str" cm="1">
        <f t="array" ref="AQ16">_xll.BDP($D16&amp;" Equity","EXPECTED_REPORT_DT")</f>
        <v>01/05/2026</v>
      </c>
      <c r="AR16" s="65" cm="1">
        <f t="array" ref="AR16">_xll.BDP($B16&amp;" Equity","GAMMA_LAST")</f>
        <v>3.6912E-2</v>
      </c>
      <c r="AS16">
        <f t="shared" si="13"/>
        <v>-987630.46631592</v>
      </c>
      <c r="AT16">
        <f t="shared" si="14"/>
        <v>-4938152.3315796014</v>
      </c>
      <c r="AU16" t="s">
        <v>95</v>
      </c>
      <c r="AV16" s="207" cm="1">
        <f t="array" ref="AV16">_xll.BDP($D16&amp;" Equity","EST_PE_NXT_YR")*(AA16/Z16)</f>
        <v>30.136691421806045</v>
      </c>
      <c r="AW16"/>
      <c r="AX16" s="15"/>
      <c r="AY16" s="207">
        <v>11.05</v>
      </c>
      <c r="AZ16" s="283"/>
      <c r="BA16" s="15">
        <f t="shared" si="15"/>
        <v>11.05</v>
      </c>
      <c r="BB16" s="342">
        <f t="shared" si="16"/>
        <v>7.45</v>
      </c>
      <c r="BC16" s="342">
        <f t="shared" si="17"/>
        <v>126000.00000000003</v>
      </c>
      <c r="BD16" s="342">
        <f>BC16/'Master P&amp;L'!$AD$7*10000</f>
        <v>0.52584044508677752</v>
      </c>
    </row>
    <row r="17" spans="1:56" s="58" customFormat="1">
      <c r="A17" s="465" t="s">
        <v>95</v>
      </c>
      <c r="B17" t="s">
        <v>1170</v>
      </c>
      <c r="C17" s="58" t="str" cm="1">
        <f t="array" ref="C17">_xll.BDP($B17&amp;" Equity","opt_put_call")</f>
        <v>Call</v>
      </c>
      <c r="D17" s="58" t="str" cm="1">
        <f t="array" ref="D17">_xll.BDP(B17&amp;" Equity","OPT_UNDL_TICKER")</f>
        <v>MELI US</v>
      </c>
      <c r="E17" s="58" t="str" cm="1">
        <f t="array" ref="E17">_xll.BDP($B17&amp;" Equity","mifid_Maturity_date")</f>
        <v>20/02/2026</v>
      </c>
      <c r="F17" s="58" cm="1">
        <f t="array" ref="F17">_xll.BDP($B17&amp;" Equity","opt_days_expire")</f>
        <v>15</v>
      </c>
      <c r="G17" s="58" t="str" cm="1">
        <f t="array" ref="G17">_xll.BDP(B17&amp;" Equity","QUOTED_CURRENCY_REALTIME")</f>
        <v>USD</v>
      </c>
      <c r="H17" s="332">
        <v>30</v>
      </c>
      <c r="I17" s="339">
        <v>42.09</v>
      </c>
      <c r="J17" s="14"/>
      <c r="K17" s="14">
        <v>42.09</v>
      </c>
      <c r="L17" s="14" cm="1">
        <f t="array" ref="L17">_xll.BDP($B17&amp;" Equity","mid")</f>
        <v>42.95</v>
      </c>
      <c r="M17" s="125">
        <f t="shared" ref="M17" si="51">L17/Z17</f>
        <v>2.0922846091641578E-2</v>
      </c>
      <c r="N17" s="352"/>
      <c r="O17" s="125">
        <f t="shared" ref="O17" si="52">L17/K17-1</f>
        <v>2.0432406747445953E-2</v>
      </c>
      <c r="P17" s="14" cm="1">
        <f t="array" ref="P17">_xll.BDP($B17&amp;" Equity","bid")</f>
        <v>30.6</v>
      </c>
      <c r="Q17" s="14" cm="1">
        <f t="array" ref="Q17">_xll.BDP($B17&amp;" Equity","ask")</f>
        <v>55.3</v>
      </c>
      <c r="R17" s="351">
        <f t="shared" ref="R17" si="53">(Q17/P17-1)</f>
        <v>0.80718954248365993</v>
      </c>
      <c r="S17" s="14" cm="1">
        <f t="array" ref="S17">_xll.BDP(G17&amp;" Curncy","PX_LAST")</f>
        <v>1</v>
      </c>
      <c r="T17" s="332" cm="1">
        <f t="array" ref="T17">_xll.BDP(B17&amp;" Equity","OPT_MULTIPLIER")</f>
        <v>100</v>
      </c>
      <c r="U17" s="332">
        <f t="shared" ref="U17" si="54">(L17/S17)*H17*T17</f>
        <v>128850</v>
      </c>
      <c r="V17" s="466">
        <f>U17/'Master P&amp;L'!$AD$7*10000</f>
        <v>0.53773445515421636</v>
      </c>
      <c r="W17" s="466">
        <f>(Y17*H17*T17/S17)/'Master P&amp;L'!$AD$7*10000</f>
        <v>0.53773445515421636</v>
      </c>
      <c r="X17" s="467">
        <f t="shared" ref="X17" si="55">IF(C17="Put",IF(Z17&lt;AA17,AA17-Z17,0),IF(Z17&gt;AA17,Z17-AA17,0))</f>
        <v>0</v>
      </c>
      <c r="Y17" s="468">
        <f t="shared" ref="Y17" si="56">L17-X17</f>
        <v>42.95</v>
      </c>
      <c r="Z17" s="469">
        <f>_xll.BDP(D17&amp;" Equity","LAST_PRICE")</f>
        <v>2052.7800000000002</v>
      </c>
      <c r="AA17" s="469" cm="1">
        <f t="array" ref="AA17">_xll.BDP(B17&amp;" Equity","OPT_STRIKE_PX")</f>
        <v>2150</v>
      </c>
      <c r="AB17" s="351">
        <f t="shared" ref="AB17" si="57">AA17/Z17-1</f>
        <v>4.736016523933384E-2</v>
      </c>
      <c r="AC17" s="353" cm="1">
        <f t="array" ref="AC17">_xll.BDP($D17&amp;" Equity","volatility_10d")</f>
        <v>40.428544700891692</v>
      </c>
      <c r="AD17" s="469" cm="1">
        <f t="array" ref="AD17">_xll.BDP(B17&amp;" Equity","ivol_mid")</f>
        <v>46.312730000000002</v>
      </c>
      <c r="AE17" s="469">
        <f t="shared" ref="AE17" si="58">AD17/AC17</f>
        <v>1.1455453156338453</v>
      </c>
      <c r="AF17" s="470" cm="1">
        <f t="array" ref="AF17">_xll.BDP(B17&amp;" Equity","DELTA_MID_RT")</f>
        <v>0.34141087532043457</v>
      </c>
      <c r="AG17" s="125">
        <f>AL17/'Master P&amp;L'!$AE$7</f>
        <v>8.7745419633660307E-4</v>
      </c>
      <c r="AH17" s="125">
        <f>AM17/'Master P&amp;L'!$AE$7</f>
        <v>2.5700827353934167E-3</v>
      </c>
      <c r="AI17" s="471">
        <f>AO17/'Master P&amp;L'!$AD$7*10000</f>
        <v>-2.9064432273870115E-2</v>
      </c>
      <c r="AJ17" s="352">
        <f t="shared" ref="AJ17" si="59">(252*AI17)/$AI$1</f>
        <v>6.7685275688832078E-2</v>
      </c>
      <c r="AK17" s="470">
        <f>AP17/'Master P&amp;L'!$AD$7*10000</f>
        <v>1.0767209113681625E-2</v>
      </c>
      <c r="AL17" s="332">
        <f t="shared" ref="AL17" si="60">Z17*AF17*H17*T17/S17</f>
        <v>2102524.249920845</v>
      </c>
      <c r="AM17" s="332">
        <f t="shared" ref="AM17" si="61">IF(C17="Put",-Z17*H17*T17/S17,Z17*H17*T17/S17)</f>
        <v>6158340.0000000009</v>
      </c>
      <c r="AN17" s="470" cm="1">
        <f t="array" ref="AN17">_xll.BDP($B17&amp;" Equity","theta_mid_rt")</f>
        <v>-2.3214383125305176</v>
      </c>
      <c r="AO17" s="332">
        <f t="shared" ref="AO17" si="62">AN17*H17*T17/S17</f>
        <v>-6964.3149375915527</v>
      </c>
      <c r="AP17" s="332">
        <f t="shared" ref="AP17" si="63">(L17-K17)*T17/S17*H17</f>
        <v>2579.9999999999982</v>
      </c>
      <c r="AQ17" s="14" t="str" cm="1">
        <f t="array" ref="AQ17">_xll.BDP($D17&amp;" Equity","EXPECTED_REPORT_DT")</f>
        <v>24/02/2026</v>
      </c>
      <c r="AR17" s="112" cm="1">
        <f t="array" ref="AR17">_xll.BDP($B17&amp;" Equity","GAMMA_LAST")</f>
        <v>3.9468999999999997E-2</v>
      </c>
      <c r="AS17" s="58">
        <f t="shared" si="13"/>
        <v>4989559.3558265883</v>
      </c>
      <c r="AT17" s="58">
        <f t="shared" si="14"/>
        <v>24947796.779132947</v>
      </c>
      <c r="AU17" s="58" t="s">
        <v>95</v>
      </c>
      <c r="AV17" s="266" cm="1">
        <f t="array" ref="AV17">_xll.BDP($D17&amp;" Equity","EST_PE_NXT_YR")*(AA17/Z17)</f>
        <v>36.057490734063428</v>
      </c>
      <c r="AX17" s="332"/>
      <c r="AY17" s="266">
        <v>42.95</v>
      </c>
      <c r="AZ17" s="472"/>
      <c r="BA17" s="332">
        <f t="shared" ref="BA17" si="64">+AY17</f>
        <v>42.95</v>
      </c>
      <c r="BB17" s="473">
        <f t="shared" ref="BB17" si="65">+J17</f>
        <v>0</v>
      </c>
      <c r="BC17" s="473">
        <f t="shared" ref="BC17" si="66">(BB17-BA17)*H17*100</f>
        <v>-128850</v>
      </c>
      <c r="BD17" s="473">
        <f>BC17/'Master P&amp;L'!$AD$7*10000</f>
        <v>-0.53773445515421636</v>
      </c>
    </row>
    <row r="18" spans="1:56">
      <c r="A18" s="264"/>
      <c r="B18" s="72" t="s">
        <v>985</v>
      </c>
      <c r="C18" s="72" t="str" cm="1">
        <f t="array" ref="C18">_xll.BDP($B18&amp;" Equity","opt_put_call")</f>
        <v>Call</v>
      </c>
      <c r="D18" s="72" t="str" cm="1">
        <f t="array" ref="D18">_xll.BDP(B18&amp;" Equity","OPT_UNDL_TICKER")</f>
        <v>INTC US</v>
      </c>
      <c r="E18" s="72" t="str" cm="1">
        <f t="array" ref="E18">_xll.BDP($B18&amp;" Equity","mifid_Maturity_date")</f>
        <v>17/07/2026</v>
      </c>
      <c r="F18" s="72" cm="1">
        <f t="array" ref="F18">_xll.BDP($B18&amp;" Equity","opt_days_expire")</f>
        <v>162</v>
      </c>
      <c r="G18" s="72" t="str" cm="1">
        <f t="array" ref="G18">_xll.BDP(B18&amp;" Equity","QUOTED_CURRENCY_REALTIME")</f>
        <v>USD</v>
      </c>
      <c r="H18" s="41">
        <v>-150</v>
      </c>
      <c r="I18" s="337">
        <v>3.7</v>
      </c>
      <c r="J18" s="14">
        <f>VLOOKUP(B18,Precificação!$B:$O,14,FALSE)</f>
        <v>5.15</v>
      </c>
      <c r="K18" s="14">
        <f t="shared" si="18"/>
        <v>5.15</v>
      </c>
      <c r="L18" s="73" cm="1">
        <f t="array" ref="L18">_xll.BDP($B18&amp;" Equity","mid")</f>
        <v>4.8499999999999996</v>
      </c>
      <c r="M18" s="74">
        <f t="shared" si="0"/>
        <v>9.9794238683127562E-2</v>
      </c>
      <c r="N18" s="280"/>
      <c r="O18" s="74">
        <f t="shared" si="1"/>
        <v>-5.8252427184466105E-2</v>
      </c>
      <c r="P18" s="73" cm="1">
        <f t="array" ref="P18">_xll.BDP($B18&amp;" Equity","bid")</f>
        <v>4.7</v>
      </c>
      <c r="Q18" s="73" cm="1">
        <f t="array" ref="Q18">_xll.BDP($B18&amp;" Equity","ask")</f>
        <v>5</v>
      </c>
      <c r="R18" s="75">
        <f t="shared" si="2"/>
        <v>6.3829787234042534E-2</v>
      </c>
      <c r="S18" s="35" cm="1">
        <f t="array" ref="S18">_xll.BDP(G18&amp;" Curncy","PX_LAST")</f>
        <v>1</v>
      </c>
      <c r="T18" s="41" cm="1">
        <f t="array" ref="T18">_xll.BDP(B18&amp;" Equity","OPT_MULTIPLIER")</f>
        <v>100</v>
      </c>
      <c r="U18" s="41">
        <f t="shared" si="3"/>
        <v>-72750</v>
      </c>
      <c r="V18" s="111">
        <f>U18/'Master P&amp;L'!$AD$7*10000</f>
        <v>-0.3036102569846274</v>
      </c>
      <c r="W18" s="111">
        <f>(Y18*H18*T18/S18)/'Master P&amp;L'!$AD$7*10000</f>
        <v>-0.3036102569846274</v>
      </c>
      <c r="X18" s="116">
        <f t="shared" si="4"/>
        <v>0</v>
      </c>
      <c r="Y18" s="202">
        <f t="shared" si="5"/>
        <v>4.8499999999999996</v>
      </c>
      <c r="Z18" s="76">
        <f>_xll.BDP(D18&amp;" Equity","LAST_PRICE")</f>
        <v>48.6</v>
      </c>
      <c r="AA18" s="76" cm="1">
        <f t="array" ref="AA18">_xll.BDP(B18&amp;" Equity","OPT_STRIKE_PX")</f>
        <v>60</v>
      </c>
      <c r="AB18" s="75">
        <f t="shared" si="6"/>
        <v>0.23456790123456783</v>
      </c>
      <c r="AC18" s="252" cm="1">
        <f t="array" ref="AC18">_xll.BDP($D18&amp;" Equity","volatility_10d")</f>
        <v>132.25797537721013</v>
      </c>
      <c r="AD18" s="76" cm="1">
        <f t="array" ref="AD18">_xll.BDP(B18&amp;" Equity","ivol_mid")</f>
        <v>64.793170000000003</v>
      </c>
      <c r="AE18" s="76">
        <f t="shared" si="7"/>
        <v>0.4898999082301449</v>
      </c>
      <c r="AF18" s="77" cm="1">
        <f t="array" ref="AF18">_xll.BDP(B18&amp;" Equity","DELTA_MID_RT")</f>
        <v>0.40669932961463928</v>
      </c>
      <c r="AG18" s="74">
        <f>AL18/'Master P&amp;L'!$AE$7</f>
        <v>-1.2373268197561093E-4</v>
      </c>
      <c r="AH18" s="74">
        <f>AM18/'Master P&amp;L'!$AE$7</f>
        <v>-3.0423625751449263E-4</v>
      </c>
      <c r="AI18" s="355">
        <f>AO18/'Master P&amp;L'!$AD$7*10000</f>
        <v>1.538966640350001E-3</v>
      </c>
      <c r="AJ18" s="278">
        <f t="shared" si="8"/>
        <v>-3.5839468786615048E-3</v>
      </c>
      <c r="AK18" s="77">
        <f>AP18/'Master P&amp;L'!$AD$7*10000</f>
        <v>1.8780015895956379E-2</v>
      </c>
      <c r="AL18" s="41">
        <f t="shared" si="9"/>
        <v>-296483.81128907204</v>
      </c>
      <c r="AM18" s="41">
        <f t="shared" si="10"/>
        <v>-729000</v>
      </c>
      <c r="AN18" s="77" cm="1">
        <f t="array" ref="AN18">_xll.BDP($B18&amp;" Equity","theta_mid_rt")</f>
        <v>-2.4584110826253891E-2</v>
      </c>
      <c r="AO18" s="41">
        <f t="shared" si="11"/>
        <v>368.76166239380836</v>
      </c>
      <c r="AP18" s="41">
        <f t="shared" si="12"/>
        <v>4500.0000000000109</v>
      </c>
      <c r="AQ18" s="73" t="str" cm="1">
        <f t="array" ref="AQ18">_xll.BDP($D18&amp;" Equity","EXPECTED_REPORT_DT")</f>
        <v>24/04/2026</v>
      </c>
      <c r="AR18" s="190" cm="1">
        <f t="array" ref="AR18">_xll.BDP($B18&amp;" Equity","GAMMA_LAST")</f>
        <v>9.0290000000000006E-3</v>
      </c>
      <c r="AS18" s="72">
        <f t="shared" si="13"/>
        <v>-3198.9205260000003</v>
      </c>
      <c r="AT18" s="72">
        <f t="shared" si="14"/>
        <v>-15994.602630000003</v>
      </c>
      <c r="AU18" s="72" t="s">
        <v>95</v>
      </c>
      <c r="AV18" s="251" cm="1">
        <f t="array" ref="AV18">_xll.BDP($D18&amp;" Equity","EST_PE_NXT_YR")*(AA18/Z18)</f>
        <v>60.606060606060609</v>
      </c>
      <c r="AW18" s="72"/>
      <c r="AX18" s="41"/>
      <c r="AY18" s="251">
        <v>4.8499999999999996</v>
      </c>
      <c r="AZ18" s="282"/>
      <c r="BA18" s="41">
        <f t="shared" si="15"/>
        <v>4.8499999999999996</v>
      </c>
      <c r="BB18" s="274">
        <f t="shared" si="16"/>
        <v>5.15</v>
      </c>
      <c r="BC18" s="274">
        <f t="shared" si="17"/>
        <v>-4500.0000000000109</v>
      </c>
      <c r="BD18" s="274">
        <f>BC18/'Master P&amp;L'!$AD$7*10000</f>
        <v>-1.8780015895956379E-2</v>
      </c>
    </row>
    <row r="19" spans="1:56" s="58" customFormat="1">
      <c r="A19" s="284"/>
      <c r="B19" t="s">
        <v>984</v>
      </c>
      <c r="C19" t="str" cm="1">
        <f t="array" ref="C19">_xll.BDP($B19&amp;" Equity","opt_put_call")</f>
        <v>Call</v>
      </c>
      <c r="D19" t="str" cm="1">
        <f t="array" ref="D19">_xll.BDP(B19&amp;" Equity","OPT_UNDL_TICKER")</f>
        <v>INTC US</v>
      </c>
      <c r="E19" t="str" cm="1">
        <f t="array" ref="E19">_xll.BDP($B19&amp;" Equity","mifid_Maturity_date")</f>
        <v>17/07/2026</v>
      </c>
      <c r="F19" cm="1">
        <f t="array" ref="F19">_xll.BDP($B19&amp;" Equity","opt_days_expire")</f>
        <v>162</v>
      </c>
      <c r="G19" t="str" cm="1">
        <f t="array" ref="G19">_xll.BDP(B19&amp;" Equity","QUOTED_CURRENCY_REALTIME")</f>
        <v>USD</v>
      </c>
      <c r="H19" s="15">
        <v>275</v>
      </c>
      <c r="I19" s="338">
        <v>6.6</v>
      </c>
      <c r="J19" s="14">
        <f>VLOOKUP(B19,Precificação!$B:$O,14,FALSE)</f>
        <v>8.1999999999999993</v>
      </c>
      <c r="K19" s="14">
        <f t="shared" si="18"/>
        <v>8.1999999999999993</v>
      </c>
      <c r="L19" s="73" cm="1">
        <f t="array" ref="L19">_xll.BDP($B19&amp;" Equity","mid")</f>
        <v>8.07</v>
      </c>
      <c r="M19" s="18">
        <f t="shared" si="0"/>
        <v>0.16604938271604938</v>
      </c>
      <c r="N19" s="278"/>
      <c r="O19" s="18">
        <f t="shared" si="1"/>
        <v>-1.5853658536585269E-2</v>
      </c>
      <c r="P19" s="35" cm="1">
        <f t="array" ref="P19">_xll.BDP($B19&amp;" Equity","bid")</f>
        <v>7.75</v>
      </c>
      <c r="Q19" s="35" cm="1">
        <f t="array" ref="Q19">_xll.BDP($B19&amp;" Equity","ask")</f>
        <v>8.4</v>
      </c>
      <c r="R19" s="39">
        <f t="shared" si="2"/>
        <v>8.3870967741935587E-2</v>
      </c>
      <c r="S19" s="35" cm="1">
        <f t="array" ref="S19">_xll.BDP(G19&amp;" Curncy","PX_LAST")</f>
        <v>1</v>
      </c>
      <c r="T19" s="15" cm="1">
        <f t="array" ref="T19">_xll.BDP(B19&amp;" Equity","OPT_MULTIPLIER")</f>
        <v>100</v>
      </c>
      <c r="U19" s="15">
        <f t="shared" si="3"/>
        <v>221925</v>
      </c>
      <c r="V19" s="122">
        <f>U19/'Master P&amp;L'!$AD$7*10000</f>
        <v>0.92616778393557997</v>
      </c>
      <c r="W19" s="122">
        <f>(Y19*H19*T19/S19)/'Master P&amp;L'!$AD$7*10000</f>
        <v>0.92616778393557997</v>
      </c>
      <c r="X19" s="341">
        <f t="shared" si="4"/>
        <v>0</v>
      </c>
      <c r="Y19" s="203">
        <f t="shared" si="5"/>
        <v>8.07</v>
      </c>
      <c r="Z19" s="36">
        <f>_xll.BDP(D19&amp;" Equity","LAST_PRICE")</f>
        <v>48.6</v>
      </c>
      <c r="AA19" s="36" cm="1">
        <f t="array" ref="AA19">_xll.BDP(B19&amp;" Equity","OPT_STRIKE_PX")</f>
        <v>50</v>
      </c>
      <c r="AB19" s="39">
        <f t="shared" si="6"/>
        <v>2.8806584362139898E-2</v>
      </c>
      <c r="AC19" s="253" cm="1">
        <f t="array" ref="AC19">_xll.BDP($D19&amp;" Equity","volatility_10d")</f>
        <v>132.25797537721013</v>
      </c>
      <c r="AD19" s="36" cm="1">
        <f t="array" ref="AD19">_xll.BDP(B19&amp;" Equity","ivol_mid")</f>
        <v>64.946740000000005</v>
      </c>
      <c r="AE19" s="36">
        <f t="shared" si="7"/>
        <v>0.49106104803711687</v>
      </c>
      <c r="AF19" s="37" cm="1">
        <f t="array" ref="AF19">_xll.BDP(B19&amp;" Equity","DELTA_MID_RT")</f>
        <v>0.57466357946395874</v>
      </c>
      <c r="AG19" s="18">
        <f>AL19/'Master P&amp;L'!$AE$7</f>
        <v>3.2052807736766126E-4</v>
      </c>
      <c r="AH19" s="18">
        <f>AM19/'Master P&amp;L'!$AE$7</f>
        <v>5.5776647210990316E-4</v>
      </c>
      <c r="AI19" s="354">
        <f>AO19/'Master P&amp;L'!$AD$7*10000</f>
        <v>-2.8316121433249997E-3</v>
      </c>
      <c r="AJ19" s="278">
        <f t="shared" si="8"/>
        <v>6.594260873869006E-3</v>
      </c>
      <c r="AK19" s="37">
        <f>AP19/'Master P&amp;L'!$AD$7*10000</f>
        <v>-1.4919679295120751E-2</v>
      </c>
      <c r="AL19" s="15">
        <f t="shared" si="9"/>
        <v>768037.87395358086</v>
      </c>
      <c r="AM19" s="15">
        <f t="shared" si="10"/>
        <v>1336500</v>
      </c>
      <c r="AN19" s="37" cm="1">
        <f t="array" ref="AN19">_xll.BDP($B19&amp;" Equity","theta_mid_rt")</f>
        <v>-2.4672754108905792E-2</v>
      </c>
      <c r="AO19" s="15">
        <f t="shared" si="11"/>
        <v>-678.50073799490929</v>
      </c>
      <c r="AP19" s="15">
        <f t="shared" si="12"/>
        <v>-3574.9999999999727</v>
      </c>
      <c r="AQ19" s="35" t="str" cm="1">
        <f t="array" ref="AQ19">_xll.BDP($D19&amp;" Equity","EXPECTED_REPORT_DT")</f>
        <v>24/04/2026</v>
      </c>
      <c r="AR19" s="65" cm="1">
        <f t="array" ref="AR19">_xll.BDP($B19&amp;" Equity","GAMMA_LAST")</f>
        <v>9.1889999999999993E-3</v>
      </c>
      <c r="AS19">
        <f t="shared" si="13"/>
        <v>5968.6138710000005</v>
      </c>
      <c r="AT19">
        <f t="shared" si="14"/>
        <v>29843.069354999996</v>
      </c>
      <c r="AU19" t="s">
        <v>95</v>
      </c>
      <c r="AV19" s="207" cm="1">
        <f t="array" ref="AV19">_xll.BDP($D19&amp;" Equity","EST_PE_NXT_YR")*(AA19/Z19)</f>
        <v>50.505050505050505</v>
      </c>
      <c r="AW19"/>
      <c r="AX19" s="15"/>
      <c r="AY19" s="207">
        <v>8.07</v>
      </c>
      <c r="AZ19" s="283"/>
      <c r="BA19" s="15">
        <f t="shared" si="15"/>
        <v>8.07</v>
      </c>
      <c r="BB19" s="342">
        <f t="shared" si="16"/>
        <v>8.1999999999999993</v>
      </c>
      <c r="BC19" s="342">
        <f t="shared" si="17"/>
        <v>3574.9999999999732</v>
      </c>
      <c r="BD19" s="342">
        <f>BC19/'Master P&amp;L'!$AD$7*10000</f>
        <v>1.4919679295120754E-2</v>
      </c>
    </row>
    <row r="20" spans="1:56">
      <c r="A20" s="264"/>
      <c r="B20" s="72" t="s">
        <v>983</v>
      </c>
      <c r="C20" s="72" t="str" cm="1">
        <f t="array" ref="C20">_xll.BDP($B20&amp;" Equity","opt_put_call")</f>
        <v>Put</v>
      </c>
      <c r="D20" s="72" t="str" cm="1">
        <f t="array" ref="D20">_xll.BDP(B20&amp;" Equity","OPT_UNDL_TICKER")</f>
        <v>INTC US</v>
      </c>
      <c r="E20" s="72" t="str" cm="1">
        <f t="array" ref="E20">_xll.BDP($B20&amp;" Equity","mifid_Maturity_date")</f>
        <v>17/07/2026</v>
      </c>
      <c r="F20" s="72" cm="1">
        <f t="array" ref="F20">_xll.BDP($B20&amp;" Equity","opt_days_expire")</f>
        <v>162</v>
      </c>
      <c r="G20" s="72" t="str" cm="1">
        <f t="array" ref="G20">_xll.BDP(B20&amp;" Equity","QUOTED_CURRENCY_REALTIME")</f>
        <v>USD</v>
      </c>
      <c r="H20" s="41">
        <v>-50</v>
      </c>
      <c r="I20" s="337">
        <v>3.8</v>
      </c>
      <c r="J20" s="14">
        <f>VLOOKUP(B20,Precificação!$B:$O,14,FALSE)</f>
        <v>3.1100000000000003</v>
      </c>
      <c r="K20" s="14">
        <f t="shared" si="18"/>
        <v>3.1100000000000003</v>
      </c>
      <c r="L20" s="73" cm="1">
        <f t="array" ref="L20">_xll.BDP($B20&amp;" Equity","mid")</f>
        <v>3.45</v>
      </c>
      <c r="M20" s="74">
        <f t="shared" si="0"/>
        <v>7.098765432098765E-2</v>
      </c>
      <c r="N20" s="280"/>
      <c r="O20" s="74">
        <f t="shared" si="1"/>
        <v>0.10932475884244375</v>
      </c>
      <c r="P20" s="73" cm="1">
        <f t="array" ref="P20">_xll.BDP($B20&amp;" Equity","bid")</f>
        <v>3.2</v>
      </c>
      <c r="Q20" s="73" cm="1">
        <f t="array" ref="Q20">_xll.BDP($B20&amp;" Equity","ask")</f>
        <v>3.7</v>
      </c>
      <c r="R20" s="75">
        <f t="shared" si="2"/>
        <v>0.15625</v>
      </c>
      <c r="S20" s="35" cm="1">
        <f t="array" ref="S20">_xll.BDP(G20&amp;" Curncy","PX_LAST")</f>
        <v>1</v>
      </c>
      <c r="T20" s="41" cm="1">
        <f t="array" ref="T20">_xll.BDP(B20&amp;" Equity","OPT_MULTIPLIER")</f>
        <v>100</v>
      </c>
      <c r="U20" s="41">
        <f t="shared" si="3"/>
        <v>-17250</v>
      </c>
      <c r="V20" s="111">
        <f>U20/'Master P&amp;L'!$AD$7*10000</f>
        <v>-7.1990060934499292E-2</v>
      </c>
      <c r="W20" s="111">
        <f>(Y20*H20*T20/S20)/'Master P&amp;L'!$AD$7*10000</f>
        <v>-7.1990060934499292E-2</v>
      </c>
      <c r="X20" s="116">
        <f t="shared" si="4"/>
        <v>0</v>
      </c>
      <c r="Y20" s="202">
        <f t="shared" si="5"/>
        <v>3.45</v>
      </c>
      <c r="Z20" s="76">
        <f>_xll.BDP(D20&amp;" Equity","LAST_PRICE")</f>
        <v>48.6</v>
      </c>
      <c r="AA20" s="76" cm="1">
        <f t="array" ref="AA20">_xll.BDP(B20&amp;" Equity","OPT_STRIKE_PX")</f>
        <v>40</v>
      </c>
      <c r="AB20" s="75">
        <f t="shared" si="6"/>
        <v>-0.17695473251028804</v>
      </c>
      <c r="AC20" s="252" cm="1">
        <f t="array" ref="AC20">_xll.BDP($D20&amp;" Equity","volatility_10d")</f>
        <v>132.25797537721013</v>
      </c>
      <c r="AD20" s="76" cm="1">
        <f t="array" ref="AD20">_xll.BDP(B20&amp;" Equity","ivol_mid")</f>
        <v>61.580640000000002</v>
      </c>
      <c r="AE20" s="76">
        <f t="shared" si="7"/>
        <v>0.46561003088371178</v>
      </c>
      <c r="AF20" s="77" cm="1">
        <f t="array" ref="AF20">_xll.BDP(B20&amp;" Equity","DELTA_MID_RT")</f>
        <v>-0.23777511715888977</v>
      </c>
      <c r="AG20" s="74">
        <f>AL20/'Master P&amp;L'!$AE$7</f>
        <v>2.4113270591496879E-5</v>
      </c>
      <c r="AH20" s="74">
        <f>AM20/'Master P&amp;L'!$AE$7</f>
        <v>1.0141208583816421E-4</v>
      </c>
      <c r="AI20" s="355">
        <f>AO20/'Master P&amp;L'!$AD$7*10000</f>
        <v>3.9402165782814974E-4</v>
      </c>
      <c r="AJ20" s="278">
        <f t="shared" si="8"/>
        <v>-9.1759798664451124E-4</v>
      </c>
      <c r="AK20" s="77">
        <f>AP20/'Master P&amp;L'!$AD$7*10000</f>
        <v>-7.0946726718057237E-3</v>
      </c>
      <c r="AL20" s="41">
        <f t="shared" si="9"/>
        <v>57779.353469610214</v>
      </c>
      <c r="AM20" s="41">
        <f t="shared" si="10"/>
        <v>243000</v>
      </c>
      <c r="AN20" s="77" cm="1">
        <f t="array" ref="AN20">_xll.BDP($B20&amp;" Equity","theta_mid_rt")</f>
        <v>-1.8882811069488525E-2</v>
      </c>
      <c r="AO20" s="41">
        <f t="shared" si="11"/>
        <v>94.414055347442627</v>
      </c>
      <c r="AP20" s="41">
        <f t="shared" si="12"/>
        <v>-1699.9999999999993</v>
      </c>
      <c r="AQ20" s="73" t="str" cm="1">
        <f t="array" ref="AQ20">_xll.BDP($D20&amp;" Equity","EXPECTED_REPORT_DT")</f>
        <v>24/04/2026</v>
      </c>
      <c r="AR20" s="190" cm="1">
        <f t="array" ref="AR20">_xll.BDP($B20&amp;" Equity","GAMMA_LAST")</f>
        <v>7.4409999999999997E-3</v>
      </c>
      <c r="AS20" s="72">
        <f t="shared" si="13"/>
        <v>-878.76721799999996</v>
      </c>
      <c r="AT20" s="72">
        <f t="shared" si="14"/>
        <v>-4393.8360899999989</v>
      </c>
      <c r="AU20" s="72" t="s">
        <v>95</v>
      </c>
      <c r="AV20" s="251" cm="1">
        <f t="array" ref="AV20">_xll.BDP($D20&amp;" Equity","EST_PE_NXT_YR")*(AA20/Z20)</f>
        <v>40.404040404040408</v>
      </c>
      <c r="AW20" s="72"/>
      <c r="AX20" s="41"/>
      <c r="AY20" s="251">
        <v>3.45</v>
      </c>
      <c r="AZ20" s="282"/>
      <c r="BA20" s="41">
        <f t="shared" si="15"/>
        <v>3.45</v>
      </c>
      <c r="BB20" s="274">
        <f t="shared" si="16"/>
        <v>3.1100000000000003</v>
      </c>
      <c r="BC20" s="274">
        <f t="shared" si="17"/>
        <v>1699.9999999999993</v>
      </c>
      <c r="BD20" s="274">
        <f>BC20/'Master P&amp;L'!$AD$7*10000</f>
        <v>7.0946726718057237E-3</v>
      </c>
    </row>
    <row r="21" spans="1:56" s="58" customFormat="1">
      <c r="A21" s="465" t="s">
        <v>95</v>
      </c>
      <c r="B21" t="s">
        <v>1173</v>
      </c>
      <c r="C21" s="58" t="str" cm="1">
        <f t="array" ref="C21">_xll.BDP($B21&amp;" Equity","opt_put_call")</f>
        <v>Put</v>
      </c>
      <c r="D21" s="58" t="str" cm="1">
        <f t="array" ref="D21">_xll.BDP(B21&amp;" Equity","OPT_UNDL_TICKER")</f>
        <v>QQQ US</v>
      </c>
      <c r="E21" s="58" t="str" cm="1">
        <f t="array" ref="E21">_xll.BDP($B21&amp;" Equity","mifid_Maturity_date")</f>
        <v>06/02/2026</v>
      </c>
      <c r="F21" s="58" cm="1">
        <f t="array" ref="F21">_xll.BDP($B21&amp;" Equity","opt_days_expire")</f>
        <v>1</v>
      </c>
      <c r="G21" s="58" t="str" cm="1">
        <f t="array" ref="G21">_xll.BDP(B21&amp;" Equity","QUOTED_CURRENCY_REALTIME")</f>
        <v>USD</v>
      </c>
      <c r="H21" s="332">
        <v>500</v>
      </c>
      <c r="I21" s="339">
        <v>3.7</v>
      </c>
      <c r="J21" s="339"/>
      <c r="K21" s="339">
        <v>3.7</v>
      </c>
      <c r="L21" s="14" cm="1">
        <f t="array" ref="L21">_xll.BDP($B21&amp;" Equity","mid")</f>
        <v>3.22</v>
      </c>
      <c r="M21" s="125">
        <f t="shared" ref="M21:M22" si="67">L21/Z21</f>
        <v>5.3157243087082135E-3</v>
      </c>
      <c r="N21" s="352"/>
      <c r="O21" s="125">
        <f t="shared" ref="O21:O22" si="68">L21/K21-1</f>
        <v>-0.12972972972972974</v>
      </c>
      <c r="P21" s="14" cm="1">
        <f t="array" ref="P21">_xll.BDP($B21&amp;" Equity","bid")</f>
        <v>3.17</v>
      </c>
      <c r="Q21" s="14" cm="1">
        <f t="array" ref="Q21">_xll.BDP($B21&amp;" Equity","ask")</f>
        <v>3.28</v>
      </c>
      <c r="R21" s="351">
        <f t="shared" ref="R21:R22" si="69">(Q21/P21-1)</f>
        <v>3.4700315457413256E-2</v>
      </c>
      <c r="S21" s="14" cm="1">
        <f t="array" ref="S21">_xll.BDP(G21&amp;" Curncy","PX_LAST")</f>
        <v>1</v>
      </c>
      <c r="T21" s="332" cm="1">
        <f t="array" ref="T21">_xll.BDP(B21&amp;" Equity","OPT_MULTIPLIER")</f>
        <v>100</v>
      </c>
      <c r="U21" s="332">
        <f t="shared" ref="U21:U22" si="70">(L21/S21)*H21*T21</f>
        <v>161000</v>
      </c>
      <c r="V21" s="466">
        <f>U21/'Master P&amp;L'!$AD$7*10000</f>
        <v>0.67190723538866004</v>
      </c>
      <c r="W21" s="466">
        <f>(Y21*H21*T21/S21)/'Master P&amp;L'!$AD$7*10000</f>
        <v>0.67190723538866004</v>
      </c>
      <c r="X21" s="467">
        <f t="shared" ref="X21:X22" si="71">IF(C21="Put",IF(Z21&lt;AA21,AA21-Z21,0),IF(Z21&gt;AA21,Z21-AA21,0))</f>
        <v>0</v>
      </c>
      <c r="Y21" s="468">
        <f t="shared" ref="Y21:Y22" si="72">L21-X21</f>
        <v>3.22</v>
      </c>
      <c r="Z21" s="469">
        <f>_xll.BDP(D21&amp;" Equity","LAST_PRICE")</f>
        <v>605.75</v>
      </c>
      <c r="AA21" s="469" cm="1">
        <f t="array" ref="AA21">_xll.BDP(B21&amp;" Equity","OPT_STRIKE_PX")</f>
        <v>600</v>
      </c>
      <c r="AB21" s="351">
        <f t="shared" ref="AB21:AB22" si="73">AA21/Z21-1</f>
        <v>-9.492364836978906E-3</v>
      </c>
      <c r="AC21" s="353" cm="1">
        <f t="array" ref="AC21">_xll.BDP($D21&amp;" Equity","volatility_10d")</f>
        <v>16.46563778588116</v>
      </c>
      <c r="AD21" s="469" cm="1">
        <f t="array" ref="AD21">_xll.BDP(B21&amp;" Equity","ivol_mid")</f>
        <v>26.450749999999999</v>
      </c>
      <c r="AE21" s="469">
        <f t="shared" ref="AE21:AE22" si="74">AD21/AC21</f>
        <v>1.6064212236394999</v>
      </c>
      <c r="AF21" s="470" cm="1">
        <f t="array" ref="AF21">_xll.BDP(B21&amp;" Equity","DELTA_MID_RT")</f>
        <v>-0.33583325147628784</v>
      </c>
      <c r="AG21" s="125">
        <f>AL21/'Master P&amp;L'!$AE$7</f>
        <v>-4.2449302944729391E-3</v>
      </c>
      <c r="AH21" s="125">
        <f>AM21/'Master P&amp;L'!$AE$7</f>
        <v>-1.2639994032195056E-2</v>
      </c>
      <c r="AI21" s="471">
        <f>AO21/'Master P&amp;L'!$AD$7*10000</f>
        <v>-0.20384501847113837</v>
      </c>
      <c r="AJ21" s="352">
        <f t="shared" ref="AJ21:AJ22" si="75">(252*AI21)/$AI$1</f>
        <v>0.47471446003155893</v>
      </c>
      <c r="AK21" s="470">
        <f>AP21/'Master P&amp;L'!$AD$7*10000</f>
        <v>-0.10016008477843379</v>
      </c>
      <c r="AL21" s="332">
        <f t="shared" ref="AL21:AL22" si="76">Z21*AF21*H21*T21/S21</f>
        <v>-10171549.604088068</v>
      </c>
      <c r="AM21" s="332">
        <f t="shared" ref="AM21:AM22" si="77">IF(C21="Put",-Z21*H21*T21/S21,Z21*H21*T21/S21)</f>
        <v>-30287500</v>
      </c>
      <c r="AN21" s="470" cm="1">
        <f t="array" ref="AN21">_xll.BDP($B21&amp;" Equity","theta_mid_rt")</f>
        <v>-0.97689223289489746</v>
      </c>
      <c r="AO21" s="332">
        <f t="shared" ref="AO21:AO22" si="78">AN21*H21*T21/S21</f>
        <v>-48844.611644744873</v>
      </c>
      <c r="AP21" s="332">
        <f t="shared" ref="AP21:AP22" si="79">(L21-K21)*T21/S21*H21</f>
        <v>-24000</v>
      </c>
      <c r="AQ21" s="14" t="str" cm="1">
        <f t="array" ref="AQ21">_xll.BDP($D21&amp;" Equity","EXPECTED_REPORT_DT")</f>
        <v>#N/A N/A</v>
      </c>
      <c r="AR21" s="112" cm="1">
        <f t="array" ref="AR21">_xll.BDP($B21&amp;" Equity","GAMMA_LAST")</f>
        <v>0.15512000000000001</v>
      </c>
      <c r="AS21" s="58">
        <f t="shared" si="13"/>
        <v>28459328.327500004</v>
      </c>
      <c r="AT21" s="58">
        <f t="shared" si="14"/>
        <v>142296641.63749999</v>
      </c>
      <c r="AU21" s="58" t="s">
        <v>95</v>
      </c>
      <c r="AV21" s="266" t="e" cm="1">
        <f t="array" ref="AV21">_xll.BDP($D21&amp;" Equity","EST_PE_NXT_YR")*(AA21/Z21)</f>
        <v>#VALUE!</v>
      </c>
      <c r="AX21" s="332"/>
      <c r="AY21" s="266">
        <v>3.22</v>
      </c>
      <c r="AZ21" s="472"/>
      <c r="BA21" s="332">
        <f t="shared" ref="BA21:BA22" si="80">+AY21</f>
        <v>3.22</v>
      </c>
      <c r="BB21" s="473">
        <f t="shared" ref="BB21:BB22" si="81">+J21</f>
        <v>0</v>
      </c>
      <c r="BC21" s="473">
        <f t="shared" ref="BC21:BC22" si="82">(BB21-BA21)*H21*100</f>
        <v>-161000</v>
      </c>
      <c r="BD21" s="473">
        <f>BC21/'Master P&amp;L'!$AD$7*10000</f>
        <v>-0.67190723538866004</v>
      </c>
    </row>
    <row r="22" spans="1:56" s="58" customFormat="1">
      <c r="A22" s="465" t="s">
        <v>95</v>
      </c>
      <c r="B22" t="s">
        <v>1176</v>
      </c>
      <c r="C22" s="58" t="str" cm="1">
        <f t="array" ref="C22">_xll.BDP($B22&amp;" Equity","opt_put_call")</f>
        <v>Put</v>
      </c>
      <c r="D22" s="58" t="str" cm="1">
        <f t="array" ref="D22">_xll.BDP(B22&amp;" Equity","OPT_UNDL_TICKER")</f>
        <v>QQQ US</v>
      </c>
      <c r="E22" s="58" t="str" cm="1">
        <f t="array" ref="E22">_xll.BDP($B22&amp;" Equity","mifid_Maturity_date")</f>
        <v>06/02/2026</v>
      </c>
      <c r="F22" s="58" cm="1">
        <f t="array" ref="F22">_xll.BDP($B22&amp;" Equity","opt_days_expire")</f>
        <v>1</v>
      </c>
      <c r="G22" s="58" t="str" cm="1">
        <f t="array" ref="G22">_xll.BDP(B22&amp;" Equity","QUOTED_CURRENCY_REALTIME")</f>
        <v>USD</v>
      </c>
      <c r="H22" s="332">
        <v>-500</v>
      </c>
      <c r="I22" s="339">
        <v>1.05</v>
      </c>
      <c r="J22" s="339"/>
      <c r="K22" s="339">
        <v>1.05</v>
      </c>
      <c r="L22" s="14" cm="1">
        <f t="array" ref="L22">_xll.BDP($B22&amp;" Equity","mid")</f>
        <v>0.75</v>
      </c>
      <c r="M22" s="125">
        <f t="shared" si="67"/>
        <v>1.2381345439537762E-3</v>
      </c>
      <c r="N22" s="352"/>
      <c r="O22" s="125">
        <f t="shared" si="68"/>
        <v>-0.2857142857142857</v>
      </c>
      <c r="P22" s="14" cm="1">
        <f t="array" ref="P22">_xll.BDP($B22&amp;" Equity","bid")</f>
        <v>0.72</v>
      </c>
      <c r="Q22" s="14" cm="1">
        <f t="array" ref="Q22">_xll.BDP($B22&amp;" Equity","ask")</f>
        <v>0.77</v>
      </c>
      <c r="R22" s="351">
        <f t="shared" si="69"/>
        <v>6.944444444444442E-2</v>
      </c>
      <c r="S22" s="14" cm="1">
        <f t="array" ref="S22">_xll.BDP(G22&amp;" Curncy","PX_LAST")</f>
        <v>1</v>
      </c>
      <c r="T22" s="332" cm="1">
        <f t="array" ref="T22">_xll.BDP(B22&amp;" Equity","OPT_MULTIPLIER")</f>
        <v>100</v>
      </c>
      <c r="U22" s="332">
        <f t="shared" si="70"/>
        <v>-37500</v>
      </c>
      <c r="V22" s="466">
        <f>U22/'Master P&amp;L'!$AD$7*10000</f>
        <v>-0.15650013246630279</v>
      </c>
      <c r="W22" s="466">
        <f>(Y22*H22*T22/S22)/'Master P&amp;L'!$AD$7*10000</f>
        <v>-0.15650013246630279</v>
      </c>
      <c r="X22" s="467">
        <f t="shared" si="71"/>
        <v>0</v>
      </c>
      <c r="Y22" s="468">
        <f t="shared" si="72"/>
        <v>0.75</v>
      </c>
      <c r="Z22" s="469">
        <f>_xll.BDP(D22&amp;" Equity","LAST_PRICE")</f>
        <v>605.75</v>
      </c>
      <c r="AA22" s="469" cm="1">
        <f t="array" ref="AA22">_xll.BDP(B22&amp;" Equity","OPT_STRIKE_PX")</f>
        <v>585</v>
      </c>
      <c r="AB22" s="351">
        <f t="shared" si="73"/>
        <v>-3.4255055716054472E-2</v>
      </c>
      <c r="AC22" s="353" cm="1">
        <f t="array" ref="AC22">_xll.BDP($D22&amp;" Equity","volatility_10d")</f>
        <v>16.46563778588116</v>
      </c>
      <c r="AD22" s="469" cm="1">
        <f t="array" ref="AD22">_xll.BDP(B22&amp;" Equity","ivol_mid")</f>
        <v>30.36768</v>
      </c>
      <c r="AE22" s="469">
        <f t="shared" si="74"/>
        <v>1.8443063302436706</v>
      </c>
      <c r="AF22" s="470" cm="1">
        <f t="array" ref="AF22">_xll.BDP(B22&amp;" Equity","DELTA_MID_RT")</f>
        <v>-9.5624625682830811E-2</v>
      </c>
      <c r="AG22" s="125">
        <f>AL22/'Master P&amp;L'!$AE$7</f>
        <v>1.2086946979618675E-3</v>
      </c>
      <c r="AH22" s="125">
        <f>AM22/'Master P&amp;L'!$AE$7</f>
        <v>1.2639994032195056E-2</v>
      </c>
      <c r="AI22" s="471">
        <f>AO22/'Master P&amp;L'!$AD$7*10000</f>
        <v>9.1900609953535148E-2</v>
      </c>
      <c r="AJ22" s="352">
        <f t="shared" si="75"/>
        <v>-0.21401822206825358</v>
      </c>
      <c r="AK22" s="470">
        <f>AP22/'Master P&amp;L'!$AD$7*10000</f>
        <v>6.2600052986521132E-2</v>
      </c>
      <c r="AL22" s="332">
        <f t="shared" si="76"/>
        <v>2896230.8503687382</v>
      </c>
      <c r="AM22" s="332">
        <f t="shared" si="77"/>
        <v>30287500</v>
      </c>
      <c r="AN22" s="470" cm="1">
        <f t="array" ref="AN22">_xll.BDP($B22&amp;" Equity","theta_mid_rt")</f>
        <v>-0.44041788578033447</v>
      </c>
      <c r="AO22" s="332">
        <f t="shared" si="78"/>
        <v>22020.894289016724</v>
      </c>
      <c r="AP22" s="332">
        <f t="shared" si="79"/>
        <v>15000.000000000002</v>
      </c>
      <c r="AQ22" s="14" t="str" cm="1">
        <f t="array" ref="AQ22">_xll.BDP($D22&amp;" Equity","EXPECTED_REPORT_DT")</f>
        <v>#N/A N/A</v>
      </c>
      <c r="AR22" s="112" cm="1">
        <f t="array" ref="AR22">_xll.BDP($B22&amp;" Equity","GAMMA_LAST")</f>
        <v>6.2577999999999995E-2</v>
      </c>
      <c r="AS22" s="58">
        <f t="shared" si="13"/>
        <v>-11480968.592562499</v>
      </c>
      <c r="AT22" s="58">
        <f t="shared" si="14"/>
        <v>-57404842.962812491</v>
      </c>
      <c r="AU22" s="58" t="s">
        <v>95</v>
      </c>
      <c r="AV22" s="266" t="e" cm="1">
        <f t="array" ref="AV22">_xll.BDP($D22&amp;" Equity","EST_PE_NXT_YR")*(AA22/Z22)</f>
        <v>#VALUE!</v>
      </c>
      <c r="AX22" s="332"/>
      <c r="AY22" s="266">
        <v>0.75</v>
      </c>
      <c r="AZ22" s="472"/>
      <c r="BA22" s="332">
        <f t="shared" si="80"/>
        <v>0.75</v>
      </c>
      <c r="BB22" s="473">
        <f t="shared" si="81"/>
        <v>0</v>
      </c>
      <c r="BC22" s="473">
        <f t="shared" si="82"/>
        <v>37500</v>
      </c>
      <c r="BD22" s="473">
        <f>BC22/'Master P&amp;L'!$AD$7*10000</f>
        <v>0.15650013246630279</v>
      </c>
    </row>
    <row r="23" spans="1:56" s="312" customFormat="1">
      <c r="A23" s="434" t="s">
        <v>95</v>
      </c>
      <c r="B23" s="312" t="s">
        <v>1169</v>
      </c>
      <c r="C23" s="312" t="s">
        <v>603</v>
      </c>
      <c r="D23" s="312" t="str" cm="1">
        <f t="array" ref="D23">_xll.BDP(B23&amp;" INDEX","OPT_UNDL_TICKER")</f>
        <v>1OH6</v>
      </c>
      <c r="E23" s="312" t="str" cm="1">
        <f t="array" ref="E23">_xll.BDP($B23&amp;" INDEX","mifid_Maturity_date")</f>
        <v>06/02/2026</v>
      </c>
      <c r="F23" s="312" cm="1">
        <f t="array" ref="F23">_xll.BDP($B23&amp;" INDEX","opt_days_expire")</f>
        <v>1</v>
      </c>
      <c r="G23" s="312" t="str" cm="1">
        <f t="array" ref="G23">_xll.BDP(B23&amp;" INDEX","QUOTED_CURRENCY_REALTIME")</f>
        <v>USD</v>
      </c>
      <c r="H23" s="414">
        <v>70</v>
      </c>
      <c r="I23" s="73">
        <v>18.04</v>
      </c>
      <c r="J23" s="121"/>
      <c r="K23" s="35">
        <f>_xll.BDP(B23&amp;" index","PX_YEST_CLOSE")</f>
        <v>6.25</v>
      </c>
      <c r="L23" s="121" cm="1">
        <f t="array" ref="L23">_xll.BDP($B23&amp;" INDEX","mid")</f>
        <v>1.9</v>
      </c>
      <c r="M23" s="340">
        <f t="shared" ref="M23" si="83">L23/Z23</f>
        <v>7.6732023504230351E-5</v>
      </c>
      <c r="N23" s="418"/>
      <c r="O23" s="340">
        <f t="shared" ref="O23" si="84">L23/K23-1</f>
        <v>-0.69599999999999995</v>
      </c>
      <c r="P23" s="121" cm="1">
        <f t="array" ref="P23">_xll.BDP($B23&amp;" INDEX","bid")</f>
        <v>0.55000000000000004</v>
      </c>
      <c r="Q23" s="121" cm="1">
        <f t="array" ref="Q23">_xll.BDP($B23&amp;" INDEX","ask")</f>
        <v>3.25</v>
      </c>
      <c r="R23" s="419">
        <f t="shared" ref="R23" si="85">(Q23/P23-1)</f>
        <v>4.9090909090909083</v>
      </c>
      <c r="S23" s="121" cm="1">
        <f t="array" ref="S23">_xll.BDP(G23&amp;" Curncy","PX_LAST")</f>
        <v>1</v>
      </c>
      <c r="T23" s="414">
        <v>20</v>
      </c>
      <c r="U23" s="414">
        <f t="shared" ref="U23" si="86">(L23/S23)*H23*T23</f>
        <v>2660</v>
      </c>
      <c r="V23" s="433">
        <f>U23/'Master P&amp;L'!$AD$7*10000</f>
        <v>1.1101076062943077E-2</v>
      </c>
      <c r="W23" s="433">
        <f>(Y23*H23*T23/S23)/'Master P&amp;L'!$AD$7*10000</f>
        <v>1.1101076062943077E-2</v>
      </c>
      <c r="X23" s="425">
        <f t="shared" ref="X23" si="87">IF(C23="Put",IF(Z23&lt;AA23,AA23-Z23,0),IF(Z23&gt;AA23,Z23-AA23,0))</f>
        <v>0</v>
      </c>
      <c r="Y23" s="432">
        <f t="shared" ref="Y23" si="88">L23-X23</f>
        <v>1.9</v>
      </c>
      <c r="Z23" s="424">
        <f>_xll.BDP(D23&amp;" INDEX","LAST_PRICE")</f>
        <v>24761.5</v>
      </c>
      <c r="AA23" s="424" cm="1">
        <f t="array" ref="AA23">_xll.BDP(B23&amp;" INDEX","OPT_STRIKE_PX")</f>
        <v>26000</v>
      </c>
      <c r="AB23" s="419">
        <f t="shared" ref="AB23" si="89">AA23/Z23-1</f>
        <v>5.0017163742099635E-2</v>
      </c>
      <c r="AC23" s="431" cm="1">
        <f t="array" ref="AC23">_xll.BDP($D23&amp;" INDEX","volatility_10d")</f>
        <v>16.385528564453125</v>
      </c>
      <c r="AD23" s="424" cm="1">
        <f t="array" ref="AD23">_xll.BDP(B23&amp;" INDEX","ivol_mid")</f>
        <v>41.206386999999999</v>
      </c>
      <c r="AE23" s="424">
        <f t="shared" ref="AE23" si="90">AD23/AC23</f>
        <v>2.5148036474937654</v>
      </c>
      <c r="AF23" s="429" cm="1">
        <f t="array" ref="AF23">_xll.BDP(B23&amp;" INDEX","DELTA_MID_RT")</f>
        <v>1.07175437733531E-2</v>
      </c>
      <c r="AG23" s="340">
        <f>AL23/'Master P&amp;L'!$AE$7</f>
        <v>1.5505425662253698E-4</v>
      </c>
      <c r="AH23" s="340">
        <f>AM23/'Master P&amp;L'!$AE$7</f>
        <v>1.4467331312240265E-2</v>
      </c>
      <c r="AI23" s="423"/>
      <c r="AJ23" s="418"/>
      <c r="AK23" s="429">
        <f>AP23/'Master P&amp;L'!$AD$7*10000</f>
        <v>-2.5415621512527572E-2</v>
      </c>
      <c r="AL23" s="414">
        <f t="shared" ref="AL23" si="91">Z23*AF23*H23*T23/S23</f>
        <v>371535.44420143589</v>
      </c>
      <c r="AM23" s="414">
        <f t="shared" ref="AM23" si="92">IF(C23="Put",-Z23*H23*T23/S23,Z23*H23*T23/S23)</f>
        <v>34666100</v>
      </c>
      <c r="AN23" s="429" cm="1">
        <f t="array" ref="AN23">_xll.BDP($B23&amp;" INDEX","theta_mid_rt")</f>
        <v>0</v>
      </c>
      <c r="AO23" s="414">
        <f t="shared" ref="AO23" si="93">AN23*H23*T23/S23</f>
        <v>0</v>
      </c>
      <c r="AP23" s="414">
        <f t="shared" ref="AP23" si="94">(L23-K23)*T23/S23*H23</f>
        <v>-6090</v>
      </c>
      <c r="AQ23" s="121" t="str" cm="1">
        <f t="array" ref="AQ23">_xll.BDP($D23&amp;" INDEX","EXPECTED_REPORT_DT")</f>
        <v>#N/A Field Not Applicable</v>
      </c>
      <c r="AR23" s="421" cm="1">
        <f t="array" ref="AR23">_xll.BDP($B23&amp;" INDEX","GAMMA_LAST")</f>
        <v>3.7323000000000002E-2</v>
      </c>
      <c r="AS23" s="312">
        <f t="shared" si="13"/>
        <v>320374897.37703454</v>
      </c>
      <c r="AT23" s="312">
        <f t="shared" si="14"/>
        <v>1601874486.8851728</v>
      </c>
      <c r="AU23" s="312" t="s">
        <v>95</v>
      </c>
      <c r="AV23" s="296" t="e" cm="1">
        <f t="array" ref="AV23">_xll.BDP($D23&amp;" INDEX","EST_PE_NXT_YR")*(AA23/Z23)</f>
        <v>#VALUE!</v>
      </c>
      <c r="AX23" s="414"/>
      <c r="AY23" s="296">
        <v>6.63</v>
      </c>
      <c r="AZ23" s="422"/>
      <c r="BA23" s="414">
        <f t="shared" ref="BA23" si="95">+AY23</f>
        <v>6.63</v>
      </c>
      <c r="BB23" s="420">
        <f t="shared" ref="BB23" si="96">+J23</f>
        <v>0</v>
      </c>
      <c r="BC23" s="420">
        <f t="shared" ref="BC23" si="97">(BB23-BA23)*H23*100</f>
        <v>-46410</v>
      </c>
      <c r="BD23" s="420">
        <f>BC23/'Master P&amp;L'!$AD$7*10000</f>
        <v>-0.19368456394029632</v>
      </c>
    </row>
    <row r="24" spans="1:56" s="58" customFormat="1">
      <c r="A24" s="284"/>
      <c r="B24" t="s">
        <v>896</v>
      </c>
      <c r="C24" t="str" cm="1">
        <f t="array" ref="C24">_xll.BDP($B24&amp;" Equity","opt_put_call")</f>
        <v>Call</v>
      </c>
      <c r="D24" t="str" cm="1">
        <f t="array" ref="D24">_xll.BDP(B24&amp;" Equity","OPT_UNDL_TICKER")</f>
        <v>TSM US</v>
      </c>
      <c r="E24" t="str" cm="1">
        <f t="array" ref="E24">_xll.BDP($B24&amp;" Equity","mifid_Maturity_date")</f>
        <v>18/06/2026</v>
      </c>
      <c r="F24" cm="1">
        <f t="array" ref="F24">_xll.BDP($B24&amp;" Equity","opt_days_expire")</f>
        <v>133</v>
      </c>
      <c r="G24" t="str" cm="1">
        <f t="array" ref="G24">_xll.BDP(B24&amp;" Equity","QUOTED_CURRENCY_REALTIME")</f>
        <v>USD</v>
      </c>
      <c r="H24" s="15">
        <v>1550</v>
      </c>
      <c r="I24" s="338">
        <v>34.200000000000003</v>
      </c>
      <c r="J24" s="14">
        <f>VLOOKUP(B24,Precificação!$B:$O,14,FALSE)</f>
        <v>32.924999999999997</v>
      </c>
      <c r="K24" s="14">
        <f t="shared" si="18"/>
        <v>32.924999999999997</v>
      </c>
      <c r="L24" s="73" cm="1">
        <f t="array" ref="L24">_xll.BDP($B24&amp;" Equity","mid")</f>
        <v>27.98</v>
      </c>
      <c r="M24" s="18">
        <f t="shared" si="0"/>
        <v>8.5896727451341554E-2</v>
      </c>
      <c r="N24" s="278"/>
      <c r="O24" s="18">
        <f t="shared" si="1"/>
        <v>-0.15018982536066805</v>
      </c>
      <c r="P24" s="35" cm="1">
        <f t="array" ref="P24">_xll.BDP($B24&amp;" Equity","bid")</f>
        <v>26.85</v>
      </c>
      <c r="Q24" s="35" cm="1">
        <f t="array" ref="Q24">_xll.BDP($B24&amp;" Equity","ask")</f>
        <v>29.1</v>
      </c>
      <c r="R24" s="39">
        <f t="shared" si="2"/>
        <v>8.3798882681564324E-2</v>
      </c>
      <c r="S24" s="35" cm="1">
        <f t="array" ref="S24">_xll.BDP(G24&amp;" Curncy","PX_LAST")</f>
        <v>1</v>
      </c>
      <c r="T24" s="15" cm="1">
        <f t="array" ref="T24">_xll.BDP(B24&amp;" Equity","OPT_MULTIPLIER")</f>
        <v>100</v>
      </c>
      <c r="U24" s="15">
        <f t="shared" si="3"/>
        <v>4336900</v>
      </c>
      <c r="V24" s="122">
        <f>U24/'Master P&amp;L'!$AD$7*10000</f>
        <v>18.099344653149561</v>
      </c>
      <c r="W24" s="122">
        <f>(Y24*H24*T24/S24)/'Master P&amp;L'!$AD$7*10000</f>
        <v>18.099344653149561</v>
      </c>
      <c r="X24" s="341">
        <f t="shared" si="4"/>
        <v>0</v>
      </c>
      <c r="Y24" s="203">
        <f t="shared" si="5"/>
        <v>27.98</v>
      </c>
      <c r="Z24" s="36">
        <f>_xll.BDP(D24&amp;" Equity","LAST_PRICE")</f>
        <v>325.74</v>
      </c>
      <c r="AA24" s="36" cm="1">
        <f t="array" ref="AA24">_xll.BDP(B24&amp;" Equity","OPT_STRIKE_PX")</f>
        <v>340</v>
      </c>
      <c r="AB24" s="39">
        <f t="shared" si="6"/>
        <v>4.3777245656044572E-2</v>
      </c>
      <c r="AC24" s="253" cm="1">
        <f t="array" ref="AC24">_xll.BDP($D24&amp;" Equity","volatility_10d")</f>
        <v>35.958623427977841</v>
      </c>
      <c r="AD24" s="36" cm="1">
        <f t="array" ref="AD24">_xll.BDP(B24&amp;" Equity","ivol_mid")</f>
        <v>40.971710000000002</v>
      </c>
      <c r="AE24" s="36">
        <f t="shared" si="7"/>
        <v>1.1394126385862062</v>
      </c>
      <c r="AF24" s="37" cm="1">
        <f t="array" ref="AF24">_xll.BDP(B24&amp;" Equity","DELTA_MID_RT")</f>
        <v>0.50154232978820801</v>
      </c>
      <c r="AG24" s="18">
        <f>AL24/'Master P&amp;L'!$AE$7</f>
        <v>1.056802482972662E-2</v>
      </c>
      <c r="AH24" s="18">
        <f>AM24/'Master P&amp;L'!$AE$7</f>
        <v>2.1071052635157034E-2</v>
      </c>
      <c r="AI24" s="354">
        <f>AO24/'Master P&amp;L'!$AD$7*10000</f>
        <v>-7.6081378589229462E-2</v>
      </c>
      <c r="AJ24" s="278">
        <f t="shared" ref="AJ24:AJ25" si="98">(252*AI24)/$AI$1</f>
        <v>0.17717838201945724</v>
      </c>
      <c r="AK24" s="37">
        <f>AP24/'Master P&amp;L'!$AD$7*10000</f>
        <v>-3.1987583741895826</v>
      </c>
      <c r="AL24" s="15">
        <f t="shared" si="9"/>
        <v>25322721.768307686</v>
      </c>
      <c r="AM24" s="15">
        <f t="shared" si="10"/>
        <v>50489700</v>
      </c>
      <c r="AN24" s="37" cm="1">
        <f t="array" ref="AN24">_xll.BDP($B24&amp;" Equity","theta_mid_rt")</f>
        <v>-0.11761514097452164</v>
      </c>
      <c r="AO24" s="15">
        <f t="shared" si="11"/>
        <v>-18230.346851050854</v>
      </c>
      <c r="AP24" s="15">
        <f t="shared" si="12"/>
        <v>-766474.99999999942</v>
      </c>
      <c r="AQ24" s="35" t="str" cm="1">
        <f t="array" ref="AQ24">_xll.BDP($D24&amp;" Equity","EXPECTED_REPORT_DT")</f>
        <v>17/04/2026</v>
      </c>
      <c r="AR24" s="65" cm="1">
        <f t="array" ref="AR24">_xll.BDP($B24&amp;" Equity","GAMMA_LAST")</f>
        <v>1.6131E-2</v>
      </c>
      <c r="AS24">
        <f t="shared" si="13"/>
        <v>2652987.3149701799</v>
      </c>
      <c r="AT24">
        <f t="shared" si="14"/>
        <v>13264936.574850898</v>
      </c>
      <c r="AU24" t="s">
        <v>95</v>
      </c>
      <c r="AV24" s="207" cm="1">
        <f t="array" ref="AV24">_xll.BDP($D24&amp;" Equity","EST_PE_NXT_YR")*(AA24/Z24)</f>
        <v>19.752091258999034</v>
      </c>
      <c r="AW24"/>
      <c r="AX24" s="15"/>
      <c r="AY24" s="207">
        <v>27.98</v>
      </c>
      <c r="AZ24" s="283"/>
      <c r="BA24" s="15">
        <f t="shared" si="15"/>
        <v>27.98</v>
      </c>
      <c r="BB24" s="342">
        <f t="shared" si="16"/>
        <v>32.924999999999997</v>
      </c>
      <c r="BC24" s="342">
        <f t="shared" si="17"/>
        <v>766474.99999999942</v>
      </c>
      <c r="BD24" s="342">
        <f>BC24/'Master P&amp;L'!$AD$7*10000</f>
        <v>3.1987583741895826</v>
      </c>
    </row>
    <row r="25" spans="1:56">
      <c r="A25" s="264"/>
      <c r="B25" s="72" t="s">
        <v>897</v>
      </c>
      <c r="C25" s="72" t="str" cm="1">
        <f t="array" ref="C25">_xll.BDP($B25&amp;" Equity","opt_put_call")</f>
        <v>Call</v>
      </c>
      <c r="D25" s="72" t="str" cm="1">
        <f t="array" ref="D25">_xll.BDP(B25&amp;" Equity","OPT_UNDL_TICKER")</f>
        <v>TSM US</v>
      </c>
      <c r="E25" s="72" t="str" cm="1">
        <f t="array" ref="E25">_xll.BDP($B25&amp;" Equity","mifid_Maturity_date")</f>
        <v>18/06/2026</v>
      </c>
      <c r="F25" s="72" cm="1">
        <f t="array" ref="F25">_xll.BDP($B25&amp;" Equity","opt_days_expire")</f>
        <v>133</v>
      </c>
      <c r="G25" s="72" t="str" cm="1">
        <f t="array" ref="G25">_xll.BDP(B25&amp;" Equity","QUOTED_CURRENCY_REALTIME")</f>
        <v>USD</v>
      </c>
      <c r="H25" s="41">
        <v>-1275</v>
      </c>
      <c r="I25" s="337">
        <v>19.54</v>
      </c>
      <c r="J25" s="14">
        <f>VLOOKUP(B25,Precificação!$B:$O,14,FALSE)</f>
        <v>17.925000000000001</v>
      </c>
      <c r="K25" s="14">
        <f t="shared" si="18"/>
        <v>17.925000000000001</v>
      </c>
      <c r="L25" s="73" cm="1">
        <f t="array" ref="L25">_xll.BDP($B25&amp;" Equity","mid")</f>
        <v>14.88</v>
      </c>
      <c r="M25" s="74">
        <f t="shared" si="0"/>
        <v>4.568060416282925E-2</v>
      </c>
      <c r="N25" s="280"/>
      <c r="O25" s="74">
        <f t="shared" si="1"/>
        <v>-0.16987447698744773</v>
      </c>
      <c r="P25" s="73" cm="1">
        <f t="array" ref="P25">_xll.BDP($B25&amp;" Equity","bid")</f>
        <v>14.25</v>
      </c>
      <c r="Q25" s="73" cm="1">
        <f t="array" ref="Q25">_xll.BDP($B25&amp;" Equity","ask")</f>
        <v>15.5</v>
      </c>
      <c r="R25" s="75">
        <f t="shared" si="2"/>
        <v>8.7719298245614086E-2</v>
      </c>
      <c r="S25" s="35" cm="1">
        <f t="array" ref="S25">_xll.BDP(G25&amp;" Curncy","PX_LAST")</f>
        <v>1</v>
      </c>
      <c r="T25" s="41" cm="1">
        <f t="array" ref="T25">_xll.BDP(B25&amp;" Equity","OPT_MULTIPLIER")</f>
        <v>100</v>
      </c>
      <c r="U25" s="41">
        <f t="shared" si="3"/>
        <v>-1897200</v>
      </c>
      <c r="V25" s="111">
        <f>U25/'Master P&amp;L'!$AD$7*10000</f>
        <v>-7.9176547017351906</v>
      </c>
      <c r="W25" s="111">
        <f>(Y25*H25*T25/S25)/'Master P&amp;L'!$AD$7*10000</f>
        <v>-7.9176547017351906</v>
      </c>
      <c r="X25" s="116">
        <f t="shared" si="4"/>
        <v>0</v>
      </c>
      <c r="Y25" s="202">
        <f t="shared" si="5"/>
        <v>14.88</v>
      </c>
      <c r="Z25" s="76">
        <f>_xll.BDP(D25&amp;" Equity","LAST_PRICE")</f>
        <v>325.74</v>
      </c>
      <c r="AA25" s="76" cm="1">
        <f t="array" ref="AA25">_xll.BDP(B25&amp;" Equity","OPT_STRIKE_PX")</f>
        <v>380</v>
      </c>
      <c r="AB25" s="75">
        <f t="shared" si="6"/>
        <v>0.1665745686744029</v>
      </c>
      <c r="AC25" s="252" cm="1">
        <f t="array" ref="AC25">_xll.BDP($D25&amp;" Equity","volatility_10d")</f>
        <v>35.958623427977841</v>
      </c>
      <c r="AD25" s="76" cm="1">
        <f t="array" ref="AD25">_xll.BDP(B25&amp;" Equity","ivol_mid")</f>
        <v>40.277940000000001</v>
      </c>
      <c r="AE25" s="76">
        <f t="shared" si="7"/>
        <v>1.1201190746546068</v>
      </c>
      <c r="AF25" s="77" cm="1">
        <f t="array" ref="AF25">_xll.BDP(B25&amp;" Equity","DELTA_MID_RT")</f>
        <v>0.32467204332351685</v>
      </c>
      <c r="AG25" s="74">
        <f>AL25/'Master P&amp;L'!$AE$7</f>
        <v>-5.6274236679955524E-3</v>
      </c>
      <c r="AH25" s="74">
        <f>AM25/'Master P&amp;L'!$AE$7</f>
        <v>-1.7332640070854981E-2</v>
      </c>
      <c r="AI25" s="355">
        <f>AO25/'Master P&amp;L'!$AD$7*10000</f>
        <v>5.5933723137502341E-2</v>
      </c>
      <c r="AJ25" s="278">
        <f t="shared" si="98"/>
        <v>-0.13025850411219939</v>
      </c>
      <c r="AK25" s="77">
        <f>AP25/'Master P&amp;L'!$AD$7*10000</f>
        <v>1.6202458714236327</v>
      </c>
      <c r="AL25" s="41">
        <f t="shared" si="9"/>
        <v>-13484230.602505803</v>
      </c>
      <c r="AM25" s="41">
        <f t="shared" si="10"/>
        <v>-41531850</v>
      </c>
      <c r="AN25" s="77" cm="1">
        <f t="array" ref="AN25">_xll.BDP($B25&amp;" Equity","theta_mid_rt")</f>
        <v>-0.10511872917413712</v>
      </c>
      <c r="AO25" s="41">
        <f t="shared" si="11"/>
        <v>13402.637969702482</v>
      </c>
      <c r="AP25" s="41">
        <f t="shared" si="12"/>
        <v>388237.5</v>
      </c>
      <c r="AQ25" s="73" t="str" cm="1">
        <f t="array" ref="AQ25">_xll.BDP($D25&amp;" Equity","EXPECTED_REPORT_DT")</f>
        <v>17/04/2026</v>
      </c>
      <c r="AR25" s="190" cm="1">
        <f t="array" ref="AR25">_xll.BDP($B25&amp;" Equity","GAMMA_LAST")</f>
        <v>1.4688E-2</v>
      </c>
      <c r="AS25" s="72">
        <f t="shared" si="13"/>
        <v>-1987078.5382147199</v>
      </c>
      <c r="AT25" s="72">
        <f t="shared" si="14"/>
        <v>-9935392.6910736021</v>
      </c>
      <c r="AU25" s="72" t="s">
        <v>95</v>
      </c>
      <c r="AV25" s="251" cm="1">
        <f t="array" ref="AV25">_xll.BDP($D25&amp;" Equity","EST_PE_NXT_YR")*(AA25/Z25)</f>
        <v>22.075866701234215</v>
      </c>
      <c r="AW25" s="72"/>
      <c r="AX25" s="41"/>
      <c r="AY25" s="251">
        <v>14.88</v>
      </c>
      <c r="AZ25" s="282"/>
      <c r="BA25" s="41">
        <f t="shared" si="15"/>
        <v>14.88</v>
      </c>
      <c r="BB25" s="274">
        <f t="shared" si="16"/>
        <v>17.925000000000001</v>
      </c>
      <c r="BC25" s="274">
        <f t="shared" si="17"/>
        <v>-388237.5</v>
      </c>
      <c r="BD25" s="274">
        <f>BC25/'Master P&amp;L'!$AD$7*10000</f>
        <v>-1.6202458714236327</v>
      </c>
    </row>
    <row r="26" spans="1:56">
      <c r="H26" s="265"/>
      <c r="I26" s="175"/>
      <c r="J26" s="175"/>
      <c r="K26" s="175"/>
      <c r="L26" s="175"/>
    </row>
    <row r="27" spans="1:56">
      <c r="H27" s="265"/>
      <c r="I27" s="175"/>
      <c r="J27" s="175"/>
      <c r="K27" s="175"/>
      <c r="L27" s="175"/>
    </row>
    <row r="28" spans="1:56">
      <c r="I28" s="63">
        <f>I15-I16</f>
        <v>6.69</v>
      </c>
      <c r="J28" s="63">
        <f>J15-J16</f>
        <v>10.850000000000001</v>
      </c>
      <c r="K28" s="63">
        <f>K15-K16</f>
        <v>10.850000000000001</v>
      </c>
      <c r="L28" s="63">
        <f>L15-L16</f>
        <v>12.620000000000001</v>
      </c>
      <c r="M28" s="63"/>
      <c r="N28" s="63"/>
      <c r="O28" s="63"/>
      <c r="P28" s="63" t="e">
        <f>#REF!-#REF!</f>
        <v>#REF!</v>
      </c>
      <c r="Q28" s="63" t="e">
        <f>#REF!-#REF!</f>
        <v>#REF!</v>
      </c>
      <c r="AY28">
        <v>12.620000000000001</v>
      </c>
    </row>
    <row r="29" spans="1:56">
      <c r="I29" s="63"/>
      <c r="J29" s="63"/>
      <c r="K29" s="63">
        <f>K21-K22</f>
        <v>2.6500000000000004</v>
      </c>
      <c r="L29" s="63">
        <f>L21-L22</f>
        <v>2.4700000000000002</v>
      </c>
      <c r="AY29" t="e">
        <v>#REF!</v>
      </c>
    </row>
    <row r="30" spans="1:56">
      <c r="I30" s="63">
        <f>I15-I16</f>
        <v>6.69</v>
      </c>
      <c r="J30" s="63">
        <f>J15-J16</f>
        <v>10.850000000000001</v>
      </c>
      <c r="K30" s="63">
        <f>K15-K16</f>
        <v>10.850000000000001</v>
      </c>
      <c r="L30" s="63">
        <f>L15-L16</f>
        <v>12.620000000000001</v>
      </c>
      <c r="AY30">
        <v>12.620000000000001</v>
      </c>
    </row>
    <row r="31" spans="1:56">
      <c r="I31" s="175"/>
      <c r="J31" s="175"/>
      <c r="K31" s="175"/>
      <c r="L31" s="175"/>
      <c r="AY31" t="e">
        <v>#REF!</v>
      </c>
    </row>
    <row r="32" spans="1:56">
      <c r="I32" s="63"/>
      <c r="K32" s="63"/>
      <c r="L32" s="63"/>
      <c r="AY32">
        <v>2.9399999999999995</v>
      </c>
    </row>
    <row r="33" spans="8:12">
      <c r="I33" s="63"/>
      <c r="K33" s="63"/>
      <c r="L33" s="63"/>
    </row>
    <row r="34" spans="8:12">
      <c r="H34" s="332">
        <v>100</v>
      </c>
      <c r="I34" s="339">
        <v>30.89</v>
      </c>
      <c r="J34" s="335">
        <f>H34*I34</f>
        <v>3089</v>
      </c>
    </row>
    <row r="35" spans="8:12">
      <c r="H35" s="332"/>
      <c r="I35" s="339"/>
      <c r="J35" s="335">
        <f t="shared" ref="J35:J41" si="99">H35*I35</f>
        <v>0</v>
      </c>
    </row>
    <row r="36" spans="8:12">
      <c r="H36" s="41"/>
      <c r="I36" s="337"/>
      <c r="J36" s="335">
        <f t="shared" si="99"/>
        <v>0</v>
      </c>
    </row>
    <row r="37" spans="8:12">
      <c r="H37" s="332"/>
      <c r="I37" s="333"/>
      <c r="J37" s="335">
        <f t="shared" si="99"/>
        <v>0</v>
      </c>
    </row>
    <row r="38" spans="8:12">
      <c r="H38" s="332">
        <v>25</v>
      </c>
      <c r="I38" s="339">
        <v>35.75</v>
      </c>
      <c r="J38" s="335">
        <f t="shared" si="99"/>
        <v>893.75</v>
      </c>
    </row>
    <row r="39" spans="8:12">
      <c r="H39" s="15"/>
      <c r="I39" s="338"/>
      <c r="J39" s="335">
        <f t="shared" si="99"/>
        <v>0</v>
      </c>
    </row>
    <row r="40" spans="8:12">
      <c r="H40" s="332"/>
      <c r="I40" s="339"/>
      <c r="J40" s="335">
        <f t="shared" si="99"/>
        <v>0</v>
      </c>
    </row>
    <row r="41" spans="8:12">
      <c r="H41" s="276"/>
      <c r="I41" s="334"/>
      <c r="J41" s="335">
        <f t="shared" si="99"/>
        <v>0</v>
      </c>
    </row>
    <row r="43" spans="8:12">
      <c r="H43" s="276">
        <f>H34+H38</f>
        <v>125</v>
      </c>
      <c r="I43" s="334">
        <f>J43/H43</f>
        <v>31.861999999999998</v>
      </c>
      <c r="J43" s="336">
        <f>J34+J38</f>
        <v>3982.75</v>
      </c>
    </row>
    <row r="44" spans="8:12">
      <c r="H44" s="276">
        <f>H35+H39</f>
        <v>0</v>
      </c>
      <c r="I44" s="334" t="e">
        <f>J44/H44</f>
        <v>#DIV/0!</v>
      </c>
      <c r="J44" s="336">
        <f>J35+J39</f>
        <v>0</v>
      </c>
    </row>
    <row r="45" spans="8:12">
      <c r="H45" s="276">
        <f>H36+H40</f>
        <v>0</v>
      </c>
      <c r="I45" s="334" t="e">
        <f>J45/H45</f>
        <v>#DIV/0!</v>
      </c>
      <c r="J45" s="336">
        <f>J36+J40</f>
        <v>0</v>
      </c>
    </row>
    <row r="46" spans="8:12">
      <c r="H46" s="276">
        <f>H37+H41</f>
        <v>0</v>
      </c>
      <c r="I46" s="334" t="e">
        <f>J46/H46</f>
        <v>#DIV/0!</v>
      </c>
      <c r="J46" s="336">
        <f>J37+J41</f>
        <v>0</v>
      </c>
    </row>
  </sheetData>
  <autoFilter ref="A3:BD29" xr:uid="{0428720F-9028-4D6D-9843-ED7DFFC9E1CA}">
    <sortState xmlns:xlrd2="http://schemas.microsoft.com/office/spreadsheetml/2017/richdata2" ref="A4:BD29">
      <sortCondition ref="D3:D29"/>
    </sortState>
  </autoFilter>
  <phoneticPr fontId="5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0]!Cola_PL_Options">
                <anchor moveWithCells="1" sizeWithCells="1">
                  <from>
                    <xdr:col>58</xdr:col>
                    <xdr:colOff>228600</xdr:colOff>
                    <xdr:row>0</xdr:row>
                    <xdr:rowOff>76200</xdr:rowOff>
                  </from>
                  <to>
                    <xdr:col>60</xdr:col>
                    <xdr:colOff>514350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E0AAE-F6F2-47FF-8330-4FE090C56A0E}">
  <sheetPr codeName="Sheet6"/>
  <dimension ref="A1:AO118"/>
  <sheetViews>
    <sheetView zoomScale="80" zoomScaleNormal="8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H19" sqref="H19"/>
    </sheetView>
  </sheetViews>
  <sheetFormatPr defaultRowHeight="15" outlineLevelCol="1"/>
  <cols>
    <col min="1" max="1" width="7" customWidth="1"/>
    <col min="2" max="2" width="23" customWidth="1"/>
    <col min="3" max="3" width="9" customWidth="1" outlineLevel="1"/>
    <col min="4" max="4" width="12" customWidth="1" outlineLevel="1"/>
    <col min="5" max="5" width="6.85546875" customWidth="1" outlineLevel="1"/>
    <col min="6" max="6" width="6.140625" customWidth="1" outlineLevel="1"/>
    <col min="7" max="7" width="6.140625" customWidth="1"/>
    <col min="8" max="8" width="8.5703125" bestFit="1" customWidth="1"/>
    <col min="9" max="9" width="9.7109375" customWidth="1"/>
    <col min="10" max="10" width="9.140625" customWidth="1" outlineLevel="1"/>
    <col min="11" max="12" width="9.85546875" customWidth="1" outlineLevel="1"/>
    <col min="13" max="14" width="9.140625" customWidth="1" outlineLevel="1"/>
    <col min="15" max="15" width="9.140625" style="21" customWidth="1" outlineLevel="1"/>
    <col min="16" max="16" width="11.42578125" customWidth="1"/>
    <col min="17" max="17" width="8.28515625" customWidth="1"/>
    <col min="18" max="18" width="8.140625" bestFit="1" customWidth="1"/>
    <col min="19" max="19" width="11.7109375" customWidth="1"/>
    <col min="20" max="20" width="11.28515625" customWidth="1"/>
    <col min="21" max="21" width="8" customWidth="1"/>
    <col min="22" max="22" width="7.42578125" customWidth="1"/>
    <col min="24" max="24" width="9.140625" style="70"/>
    <col min="25" max="25" width="12.42578125" customWidth="1"/>
    <col min="26" max="26" width="9.140625" customWidth="1"/>
    <col min="27" max="27" width="8.42578125" customWidth="1"/>
    <col min="28" max="28" width="11.5703125" customWidth="1"/>
    <col min="29" max="29" width="11.140625" customWidth="1"/>
    <col min="30" max="32" width="9.140625" customWidth="1"/>
    <col min="37" max="37" width="10.140625" customWidth="1"/>
    <col min="38" max="38" width="9.140625" style="1"/>
  </cols>
  <sheetData>
    <row r="1" spans="1:41">
      <c r="I1">
        <v>5.5</v>
      </c>
      <c r="P1" s="13"/>
    </row>
    <row r="2" spans="1:41">
      <c r="H2" s="35"/>
      <c r="I2" s="63"/>
      <c r="P2" s="13"/>
      <c r="Q2" s="63"/>
      <c r="S2" s="65"/>
      <c r="T2" s="63"/>
      <c r="X2" s="31"/>
    </row>
    <row r="3" spans="1:41" s="10" customFormat="1" ht="45">
      <c r="B3" s="10" t="s">
        <v>142</v>
      </c>
      <c r="C3" s="10" t="s">
        <v>144</v>
      </c>
      <c r="D3" s="10" t="s">
        <v>145</v>
      </c>
      <c r="E3" s="10" t="s">
        <v>146</v>
      </c>
      <c r="F3" s="10" t="s">
        <v>147</v>
      </c>
      <c r="H3" s="10" t="s">
        <v>148</v>
      </c>
      <c r="I3" s="66" t="s">
        <v>122</v>
      </c>
      <c r="J3" s="66" t="s">
        <v>152</v>
      </c>
      <c r="K3" s="66" t="s">
        <v>153</v>
      </c>
      <c r="L3" s="66" t="s">
        <v>154</v>
      </c>
      <c r="M3" s="66" t="s">
        <v>155</v>
      </c>
      <c r="N3" s="59" t="s">
        <v>124</v>
      </c>
      <c r="O3" s="10" t="s">
        <v>125</v>
      </c>
      <c r="P3" s="104" t="s">
        <v>156</v>
      </c>
      <c r="Q3" s="105" t="s">
        <v>187</v>
      </c>
      <c r="R3" s="10" t="s">
        <v>73</v>
      </c>
      <c r="S3" s="10" t="s">
        <v>188</v>
      </c>
      <c r="T3" s="10" t="s">
        <v>162</v>
      </c>
      <c r="U3" s="68" t="s">
        <v>163</v>
      </c>
      <c r="V3" s="10" t="s">
        <v>1</v>
      </c>
      <c r="W3" s="10" t="s">
        <v>164</v>
      </c>
      <c r="X3" s="93" t="s">
        <v>165</v>
      </c>
      <c r="Y3" s="59" t="s">
        <v>166</v>
      </c>
      <c r="Z3" s="10" t="s">
        <v>168</v>
      </c>
      <c r="AA3" s="10" t="s">
        <v>189</v>
      </c>
      <c r="AB3" s="10" t="s">
        <v>171</v>
      </c>
      <c r="AC3" s="10" t="s">
        <v>172</v>
      </c>
      <c r="AD3" s="10" t="s">
        <v>172</v>
      </c>
      <c r="AF3" s="10">
        <v>0.25</v>
      </c>
      <c r="AL3" s="132"/>
    </row>
    <row r="4" spans="1:41">
      <c r="H4" s="106"/>
      <c r="I4" s="101"/>
      <c r="J4" s="99"/>
      <c r="K4" s="136"/>
      <c r="L4" s="136"/>
      <c r="P4" s="127"/>
      <c r="Q4" s="106"/>
      <c r="S4" s="99"/>
      <c r="T4" s="101"/>
      <c r="W4" s="99"/>
      <c r="X4" s="120"/>
      <c r="AC4" s="99"/>
      <c r="AD4" s="120"/>
    </row>
    <row r="5" spans="1:41">
      <c r="A5" s="98"/>
      <c r="B5" s="98"/>
      <c r="I5" s="63"/>
      <c r="K5" s="63">
        <f>K10-K16</f>
        <v>50.225000000000009</v>
      </c>
      <c r="P5" s="197"/>
      <c r="Q5">
        <f>Q9/Q15-1</f>
        <v>-2.1562383612662943</v>
      </c>
      <c r="T5" s="63"/>
      <c r="X5" s="120"/>
      <c r="Y5" s="13"/>
      <c r="Z5" s="3"/>
    </row>
    <row r="6" spans="1:41">
      <c r="H6">
        <v>1</v>
      </c>
      <c r="K6" s="63"/>
      <c r="P6" s="21"/>
    </row>
    <row r="7" spans="1:41">
      <c r="A7" s="97" t="s">
        <v>190</v>
      </c>
      <c r="B7" t="s">
        <v>1170</v>
      </c>
      <c r="C7" s="58" t="str" cm="1">
        <f t="array" ref="C7">_xll.BDP(B7&amp;" Equity","OPT_UNDL_TICKER")</f>
        <v>MELI US</v>
      </c>
      <c r="D7" s="58" t="str">
        <f>_xll.BDP($B7&amp;" Index","mifid_Maturity_date")</f>
        <v>20/02/2026</v>
      </c>
      <c r="E7" s="58">
        <f>_xll.BDP($B7&amp;" Index","opt_days_expire")</f>
        <v>15</v>
      </c>
      <c r="F7" s="58" t="str" cm="1">
        <f t="array" ref="F7">_xll.BDP(B7&amp;" Equity","QUOTED_CURRENCY_REALTIME")</f>
        <v>USD</v>
      </c>
      <c r="G7" s="103" t="s">
        <v>191</v>
      </c>
      <c r="H7" s="95">
        <v>35</v>
      </c>
      <c r="I7" s="96">
        <f>IF(G7="Buy",L7,K7)</f>
        <v>55.3</v>
      </c>
      <c r="J7" s="18">
        <f>I7/S7</f>
        <v>2.6939077738481469E-2</v>
      </c>
      <c r="K7" s="35" cm="1">
        <f t="array" ref="K7">_xll.BDP($B7&amp;" Equity","bid")</f>
        <v>30.6</v>
      </c>
      <c r="L7" s="35" cm="1">
        <f t="array" ref="L7">_xll.BDP($B7&amp;" Equity","ask")</f>
        <v>55.3</v>
      </c>
      <c r="M7" s="39">
        <f>(L7/K7-1)</f>
        <v>0.80718954248365993</v>
      </c>
      <c r="N7" s="35" cm="1">
        <f t="array" ref="N7">_xll.BDP(F7&amp;" Curncy","PX_LAST")</f>
        <v>1</v>
      </c>
      <c r="O7" s="133" cm="1">
        <f t="array" ref="O7">_xll.BDP(B7&amp;" Equity","OPT_MULTIPLIER")</f>
        <v>100</v>
      </c>
      <c r="P7" s="15">
        <f>IF(G7="Buy",((I7/N7)*H7*O7),((I7/N7)*-H7*O7))</f>
        <v>193550</v>
      </c>
      <c r="Q7" s="57">
        <f>P7/'Master P&amp;L'!$AD$5*10000</f>
        <v>0.86174077492186341</v>
      </c>
      <c r="R7" s="36" cm="1">
        <f t="array" ref="R7">_xll.BDP($C7&amp;" Equity","EST_PE_NXT_YR")*(T7/S7)</f>
        <v>36.057490734063428</v>
      </c>
      <c r="S7" s="35" cm="1">
        <f t="array" ref="S7">_xll.BDP(C7&amp;" Equity","LAST_PRICE")</f>
        <v>2052.7800000000002</v>
      </c>
      <c r="T7" s="52" cm="1">
        <f t="array" ref="T7">_xll.BDP(B7&amp;" Equity","OPT_STRIKE_PX")</f>
        <v>2150</v>
      </c>
      <c r="U7" s="39">
        <f>T7/S7-1</f>
        <v>4.736016523933384E-2</v>
      </c>
      <c r="V7" s="36" cm="1">
        <f t="array" ref="V7">_xll.BDP($B7&amp;" Equity","ivol_mid")</f>
        <v>46.312730000000002</v>
      </c>
      <c r="W7" s="37" cm="1">
        <f t="array" ref="W7">_xll.BDP(B7&amp;" Equity","DELTA_MID_RT")</f>
        <v>0.34141087532043457</v>
      </c>
      <c r="X7" s="47">
        <f>Y7/'Master P&amp;L'!$AE$5</f>
        <v>1.0921222883778171E-3</v>
      </c>
      <c r="Y7" s="15">
        <f>IF(G7="Sell", S7*W7*-H7*O7/N7, S7*W7*H7*O7/N7)</f>
        <v>2452944.9582409863</v>
      </c>
      <c r="Z7" s="15">
        <f>_xll.BDP($B7&amp;" Equity","opt_theta")*H7*O7/N7</f>
        <v>-7489.660499999999</v>
      </c>
      <c r="AA7" s="18">
        <f>_xll.BDP($B7&amp;" Equity","opt_theta")/I7</f>
        <v>-3.869625678119349E-2</v>
      </c>
      <c r="AB7" s="35" t="str" cm="1">
        <f t="array" ref="AB7">_xll.BDP($C7&amp;" Equity","EXPECTED_REPORT_DT")</f>
        <v>24/02/2026</v>
      </c>
      <c r="AC7" s="15">
        <f>S7*H7*O7/N7</f>
        <v>7184730</v>
      </c>
      <c r="AD7" s="18">
        <f>AC7/'Master P&amp;L'!$AE$5</f>
        <v>3.1988503217795709E-3</v>
      </c>
      <c r="AE7" t="str">
        <f>B7  &amp; " - Buy to open " &amp;  "-" &amp; H7 &amp;"x"</f>
        <v>MELI US 02/20/26 C2150 - Buy to open -35x</v>
      </c>
      <c r="AF7">
        <f>H7*$AF$3</f>
        <v>8.75</v>
      </c>
      <c r="AK7" t="s">
        <v>514</v>
      </c>
      <c r="AO7" t="s">
        <v>95</v>
      </c>
    </row>
    <row r="8" spans="1:41">
      <c r="A8" s="97" t="s">
        <v>190</v>
      </c>
      <c r="B8" t="s">
        <v>1096</v>
      </c>
      <c r="C8" s="58" t="str" cm="1">
        <f t="array" ref="C8">_xll.BDP(B8&amp;" Equity","OPT_UNDL_TICKER")</f>
        <v>AAPL US</v>
      </c>
      <c r="D8" s="58" t="str" cm="1">
        <f t="array" ref="D8">_xll.BDP($B8&amp;" Index","mifid_Maturity_date")</f>
        <v>17/04/2026</v>
      </c>
      <c r="E8" s="58" cm="1">
        <f t="array" ref="E8">_xll.BDP($B8&amp;" Index","opt_days_expire")</f>
        <v>71</v>
      </c>
      <c r="F8" s="58" t="str" cm="1">
        <f t="array" ref="F8">_xll.BDP(B8&amp;" Equity","QUOTED_CURRENCY_REALTIME")</f>
        <v>USD</v>
      </c>
      <c r="G8" s="103" t="s">
        <v>192</v>
      </c>
      <c r="H8" s="95">
        <f>H7</f>
        <v>35</v>
      </c>
      <c r="I8" s="96">
        <f>IF(G8="Buy",L8,K8)</f>
        <v>10.95</v>
      </c>
      <c r="J8" s="18">
        <f>I8/S8</f>
        <v>3.9603602300264017E-2</v>
      </c>
      <c r="K8" s="35" cm="1">
        <f t="array" ref="K8">_xll.BDP($B8&amp;" Equity","bid")</f>
        <v>10.95</v>
      </c>
      <c r="L8" s="35" cm="1">
        <f t="array" ref="L8">_xll.BDP($B8&amp;" Equity","ask")</f>
        <v>11.15</v>
      </c>
      <c r="M8" s="39">
        <f>(L8/K8-1)</f>
        <v>1.8264840182648401E-2</v>
      </c>
      <c r="N8" s="35" cm="1">
        <f t="array" ref="N8">_xll.BDP(F8&amp;" Curncy","PX_LAST")</f>
        <v>1</v>
      </c>
      <c r="O8" s="133" cm="1">
        <f t="array" ref="O8">_xll.BDP(B8&amp;" Equity","OPT_MULTIPLIER")</f>
        <v>100</v>
      </c>
      <c r="P8" s="15">
        <f>IF(G8="Buy",((I8/N8)*H8*O8),((I8/N8)*-H8*O8))</f>
        <v>-38325</v>
      </c>
      <c r="Q8" s="57">
        <f>P8/'Master P&amp;L'!$AD$5*10000</f>
        <v>-0.17063402324402177</v>
      </c>
      <c r="R8" s="36" cm="1">
        <f t="array" ref="R8">_xll.BDP($C8&amp;" Equity","EST_PE_NXT_YR")*(T8/S8)</f>
        <v>30.136691421806045</v>
      </c>
      <c r="S8" s="35" cm="1">
        <f t="array" ref="S8">_xll.BDP(C8&amp;" Equity","LAST_PRICE")</f>
        <v>276.49</v>
      </c>
      <c r="T8" s="52" cm="1">
        <f t="array" ref="T8">_xll.BDP(B8&amp;" Equity","OPT_STRIKE_PX")</f>
        <v>280</v>
      </c>
      <c r="U8" s="39">
        <f>T8/S8-1</f>
        <v>1.2694853340084578E-2</v>
      </c>
      <c r="V8" s="36" cm="1">
        <f t="array" ref="V8">_xll.BDP($B8&amp;" Equity","ivol_mid")</f>
        <v>24.204180000000001</v>
      </c>
      <c r="W8" s="37" cm="1">
        <f t="array" ref="W8">_xll.BDP(B8&amp;" Equity","DELTA_MID_RT")</f>
        <v>0.49715507030487061</v>
      </c>
      <c r="X8" s="47">
        <f>Y8/'Master P&amp;L'!$AE$5</f>
        <v>-2.1420165059510011E-4</v>
      </c>
      <c r="Y8" s="15">
        <f>IF(G8="Sell", S8*W8*-H8*O8/N8, S8*W8*H8*O8/N8)</f>
        <v>-481104.41886007792</v>
      </c>
      <c r="Z8" s="15" cm="1">
        <f t="array" ref="Z8">_xll.BDP($B8&amp;" Equity","opt_theta")*H8*O8/N8</f>
        <v>-301.61250000000001</v>
      </c>
      <c r="AA8" s="18" cm="1">
        <f t="array" ref="AA8">_xll.BDP($B8&amp;" Equity","opt_theta")/I8</f>
        <v>-7.8698630136986303E-3</v>
      </c>
      <c r="AB8" s="35" t="str" cm="1">
        <f t="array" ref="AB8">_xll.BDP($C8&amp;" Equity","EXPECTED_REPORT_DT")</f>
        <v>01/05/2026</v>
      </c>
      <c r="AC8" s="15">
        <f>S8*H8*O8/N8</f>
        <v>967715</v>
      </c>
      <c r="AD8" s="18">
        <f>AC8/'Master P&amp;L'!$AE$5</f>
        <v>4.3085480444511029E-4</v>
      </c>
      <c r="AE8" t="str">
        <f>B8  &amp; " - Buy to open " &amp;  "-" &amp; H8 &amp;"x"</f>
        <v>AAPL US 04/17/26 C280 - Buy to open -35x</v>
      </c>
      <c r="AF8">
        <f>H8*$AF$3</f>
        <v>8.75</v>
      </c>
      <c r="AK8" t="s">
        <v>517</v>
      </c>
      <c r="AO8" t="s">
        <v>95</v>
      </c>
    </row>
    <row r="9" spans="1:41">
      <c r="H9" s="99" t="s">
        <v>64</v>
      </c>
      <c r="I9" s="101">
        <f>I7-I8</f>
        <v>44.349999999999994</v>
      </c>
      <c r="J9" s="99" t="s">
        <v>193</v>
      </c>
      <c r="K9" s="100">
        <f>K8/L7</f>
        <v>0.19801084990958409</v>
      </c>
      <c r="P9" s="99" t="s">
        <v>194</v>
      </c>
      <c r="Q9" s="106">
        <f>Q7+Q8</f>
        <v>0.69110675167784164</v>
      </c>
      <c r="S9" s="99" t="s">
        <v>195</v>
      </c>
      <c r="T9" s="101">
        <f>T8-T7</f>
        <v>-1870</v>
      </c>
      <c r="W9" s="99" t="s">
        <v>196</v>
      </c>
      <c r="X9" s="120">
        <f>X7+X8</f>
        <v>8.7792063778271696E-4</v>
      </c>
      <c r="Y9" s="13">
        <f>Y7+Y8</f>
        <v>1971840.5393809085</v>
      </c>
      <c r="AC9" s="99" t="s">
        <v>173</v>
      </c>
      <c r="AD9" s="120">
        <f>AD7</f>
        <v>3.1988503217795709E-3</v>
      </c>
      <c r="AO9" t="s">
        <v>95</v>
      </c>
    </row>
    <row r="10" spans="1:41">
      <c r="H10" s="99" t="s">
        <v>197</v>
      </c>
      <c r="I10" s="101">
        <f>(T9-I9)/I9</f>
        <v>-43.164599774520859</v>
      </c>
      <c r="J10" s="99" t="s">
        <v>90</v>
      </c>
      <c r="K10" s="179">
        <f>AVERAGE(K7:L7)-AVERAGE(K8:L8)</f>
        <v>31.900000000000002</v>
      </c>
      <c r="L10" s="17"/>
      <c r="P10" s="127">
        <f>P7+P8</f>
        <v>155225</v>
      </c>
      <c r="Q10" s="106"/>
      <c r="S10" s="99"/>
      <c r="T10" s="101"/>
      <c r="W10" s="99"/>
      <c r="X10" s="120"/>
      <c r="Y10" s="13">
        <f>Y9/S7</f>
        <v>960.57080611702588</v>
      </c>
      <c r="AC10" s="99"/>
      <c r="AD10" s="102"/>
      <c r="AH10">
        <v>4</v>
      </c>
      <c r="AI10">
        <v>4</v>
      </c>
    </row>
    <row r="11" spans="1:41">
      <c r="H11" s="13"/>
      <c r="I11" s="20"/>
      <c r="J11" s="42">
        <f>J7-J8</f>
        <v>-1.2664524561782547E-2</v>
      </c>
      <c r="K11" s="136">
        <f>K7-K8</f>
        <v>19.650000000000002</v>
      </c>
      <c r="L11" s="136">
        <f>L7-L8</f>
        <v>44.15</v>
      </c>
      <c r="P11" s="39">
        <f>P10/Y9</f>
        <v>7.8720868599615773E-2</v>
      </c>
      <c r="Q11" s="63">
        <f>Q9*I10</f>
        <v>-29.831346337643208</v>
      </c>
      <c r="W11" s="49"/>
      <c r="Y11" s="3"/>
      <c r="AH11">
        <f>AH10*AH12</f>
        <v>30.799999999999997</v>
      </c>
      <c r="AI11">
        <f>AI10*AI12</f>
        <v>29.36</v>
      </c>
      <c r="AJ11">
        <f>AH11-AI11</f>
        <v>1.4399999999999977</v>
      </c>
    </row>
    <row r="12" spans="1:41">
      <c r="J12" s="42"/>
      <c r="L12" s="63"/>
      <c r="X12" s="125">
        <f>X88</f>
        <v>6.4628603573930251E-4</v>
      </c>
      <c r="AH12">
        <f>AH13-AH14</f>
        <v>7.6999999999999993</v>
      </c>
      <c r="AI12">
        <f>AI13-AI14</f>
        <v>7.34</v>
      </c>
    </row>
    <row r="13" spans="1:41">
      <c r="A13" s="97" t="s">
        <v>190</v>
      </c>
      <c r="B13" s="72" t="s">
        <v>1094</v>
      </c>
      <c r="C13" s="58" t="str" cm="1">
        <f t="array" ref="C13">_xll.BDP(B13&amp;" Equity","OPT_UNDL_TICKER")</f>
        <v>META US</v>
      </c>
      <c r="D13" s="58" t="str" cm="1">
        <f t="array" ref="D13">_xll.BDP($B13&amp;" Index","mifid_Maturity_date")</f>
        <v>17/07/2026</v>
      </c>
      <c r="E13" s="58" cm="1">
        <f t="array" ref="E13">_xll.BDP($B13&amp;" Index","opt_days_expire")</f>
        <v>162</v>
      </c>
      <c r="F13" s="58" t="str" cm="1">
        <f t="array" ref="F13">_xll.BDP(B13&amp;" Equity","QUOTED_CURRENCY_REALTIME")</f>
        <v>USD</v>
      </c>
      <c r="G13" s="103" t="s">
        <v>191</v>
      </c>
      <c r="H13" s="95">
        <v>75</v>
      </c>
      <c r="I13" s="96">
        <f>IF(G13="Buy",L13,K13)</f>
        <v>33.799999999999997</v>
      </c>
      <c r="J13" s="18">
        <f>I13/S13</f>
        <v>5.052392412442637E-2</v>
      </c>
      <c r="K13" s="35" cm="1">
        <f t="array" ref="K13">_xll.BDP($B13&amp;" Equity","bid")</f>
        <v>33.35</v>
      </c>
      <c r="L13" s="35" cm="1">
        <f t="array" ref="L13">_xll.BDP($B13&amp;" Equity","ask")</f>
        <v>33.799999999999997</v>
      </c>
      <c r="M13" s="39">
        <f>(L13/K13-1)</f>
        <v>1.3493253373313197E-2</v>
      </c>
      <c r="N13" s="35" cm="1">
        <f t="array" ref="N13">_xll.BDP(F13&amp;" Curncy","PX_LAST")</f>
        <v>1</v>
      </c>
      <c r="O13" s="133" cm="1">
        <f t="array" ref="O13">_xll.BDP(B13&amp;" Equity","OPT_MULTIPLIER")</f>
        <v>100</v>
      </c>
      <c r="P13" s="15">
        <f>IF(G13="Buy",((I13/N13)*H13*O13),((I13/N13)*-H13*O13))</f>
        <v>253500</v>
      </c>
      <c r="Q13" s="57">
        <f>P13/'Master P&amp;L'!$AD$5*10000</f>
        <v>1.1286555744907898</v>
      </c>
      <c r="R13" s="36" cm="1">
        <f t="array" ref="R13">_xll.BDP($C13&amp;" Equity","EST_PE_NXT_YR")*(T13/S13)</f>
        <v>19.921906127978325</v>
      </c>
      <c r="S13" s="35" cm="1">
        <f t="array" ref="S13">_xll.BDP(C13&amp;" Equity","LAST_PRICE")</f>
        <v>668.99</v>
      </c>
      <c r="T13" s="52" cm="1">
        <f t="array" ref="T13">_xll.BDP(B13&amp;" Equity","OPT_STRIKE_PX")</f>
        <v>750</v>
      </c>
      <c r="U13" s="39">
        <f>T13/S13-1</f>
        <v>0.12109299092662074</v>
      </c>
      <c r="V13" s="36" cm="1">
        <f t="array" ref="V13">_xll.BDP($B13&amp;" Equity","ivol_mid")</f>
        <v>33.352919999999997</v>
      </c>
      <c r="W13" s="37" cm="1">
        <f t="array" ref="W13">_xll.BDP(B13&amp;" Equity","DELTA_MID_RT")</f>
        <v>0.36969476938247681</v>
      </c>
      <c r="X13" s="47">
        <f>Y13/'Master P&amp;L'!$AE$5</f>
        <v>8.2586234057360395E-4</v>
      </c>
      <c r="Y13" s="15">
        <f>IF(G13="Sell", S13*W13*-H13*O13/N13, S13*W13*H13*O13/N13)</f>
        <v>1854915.7782688737</v>
      </c>
      <c r="Z13" s="15" cm="1">
        <f t="array" ref="Z13">_xll.BDP($B13&amp;" Equity","opt_theta")*H13*O13/N13</f>
        <v>-1323.2700000000002</v>
      </c>
      <c r="AA13" s="18" cm="1">
        <f t="array" ref="AA13">_xll.BDP($B13&amp;" Equity","opt_theta")/I13</f>
        <v>-5.2200000000000007E-3</v>
      </c>
      <c r="AB13" s="35" t="str" cm="1">
        <f t="array" ref="AB13">_xll.BDP($C13&amp;" Equity","EXPECTED_REPORT_DT")</f>
        <v>30/04/2026</v>
      </c>
      <c r="AC13" s="15">
        <f>S13*H13*O13/N13</f>
        <v>5017425</v>
      </c>
      <c r="AD13" s="18">
        <f>AC13/'Master P&amp;L'!$AE$5</f>
        <v>2.2339032330727618E-3</v>
      </c>
      <c r="AE13" t="str">
        <f>B13  &amp; " - Buy to open " &amp;  "-" &amp; H13 &amp;"x"</f>
        <v>META US 07/17/26 C750 - Buy to open -75x</v>
      </c>
      <c r="AF13">
        <f>H13*$AF$3</f>
        <v>18.75</v>
      </c>
      <c r="AH13">
        <v>20.9</v>
      </c>
      <c r="AI13">
        <v>20.2</v>
      </c>
      <c r="AJ13" s="63"/>
      <c r="AK13" t="s">
        <v>515</v>
      </c>
    </row>
    <row r="14" spans="1:41">
      <c r="A14" s="97" t="s">
        <v>190</v>
      </c>
      <c r="B14" t="s">
        <v>1056</v>
      </c>
      <c r="C14" s="58" t="str" cm="1">
        <f t="array" ref="C14">_xll.BDP(B14&amp;" Equity","OPT_UNDL_TICKER")</f>
        <v>META US</v>
      </c>
      <c r="D14" s="58" t="str" cm="1">
        <f t="array" ref="D14">_xll.BDP($B14&amp;" Index","mifid_Maturity_date")</f>
        <v>17/07/2026</v>
      </c>
      <c r="E14" s="58" cm="1">
        <f t="array" ref="E14">_xll.BDP($B14&amp;" Index","opt_days_expire")</f>
        <v>162</v>
      </c>
      <c r="F14" s="58" t="str" cm="1">
        <f t="array" ref="F14">_xll.BDP(B14&amp;" Equity","QUOTED_CURRENCY_REALTIME")</f>
        <v>USD</v>
      </c>
      <c r="G14" s="103" t="s">
        <v>192</v>
      </c>
      <c r="H14" s="95">
        <f>H13</f>
        <v>75</v>
      </c>
      <c r="I14" s="96">
        <f>IF(G14="Buy",L14,K14)</f>
        <v>51.7</v>
      </c>
      <c r="J14" s="18">
        <f>I14/S14</f>
        <v>7.7280676841208387E-2</v>
      </c>
      <c r="K14" s="35" cm="1">
        <f t="array" ref="K14">_xll.BDP($B14&amp;" Equity","bid")</f>
        <v>51.7</v>
      </c>
      <c r="L14" s="35" cm="1">
        <f t="array" ref="L14">_xll.BDP($B14&amp;" Equity","ask")</f>
        <v>52.1</v>
      </c>
      <c r="M14" s="39">
        <f>(L14/K14-1)</f>
        <v>7.7369439071566237E-3</v>
      </c>
      <c r="N14" s="35" cm="1">
        <f t="array" ref="N14">_xll.BDP(F14&amp;" Curncy","PX_LAST")</f>
        <v>1</v>
      </c>
      <c r="O14" s="133" cm="1">
        <f t="array" ref="O14">_xll.BDP(B14&amp;" Equity","OPT_MULTIPLIER")</f>
        <v>100</v>
      </c>
      <c r="P14" s="15">
        <f>IF(G14="Buy",((I14/N14)*H14*O14),((I14/N14)*-H14*O14))</f>
        <v>-387750</v>
      </c>
      <c r="Q14" s="57">
        <f>P14/'Master P&amp;L'!$AD$5*10000</f>
        <v>-1.7263755384962671</v>
      </c>
      <c r="R14" s="36" cm="1">
        <f t="array" ref="R14">_xll.BDP($C14&amp;" Equity","EST_PE_NXT_YR")*(T14/S14)</f>
        <v>18.59377905277977</v>
      </c>
      <c r="S14" s="35" cm="1">
        <f t="array" ref="S14">_xll.BDP(C14&amp;" Equity","LAST_PRICE")</f>
        <v>668.99</v>
      </c>
      <c r="T14" s="52" cm="1">
        <f t="array" ref="T14">_xll.BDP(B14&amp;" Equity","OPT_STRIKE_PX")</f>
        <v>700</v>
      </c>
      <c r="U14" s="39">
        <f>T14/S14-1</f>
        <v>4.6353458198179265E-2</v>
      </c>
      <c r="V14" s="36" cm="1">
        <f t="array" ref="V14">_xll.BDP($B14&amp;" Equity","ivol_mid")</f>
        <v>34.02966</v>
      </c>
      <c r="W14" s="37" cm="1">
        <f t="array" ref="W14">_xll.BDP(B14&amp;" Equity","DELTA_MID_RT")</f>
        <v>0.49266603589057922</v>
      </c>
      <c r="X14" s="47">
        <f>Y14/'Master P&amp;L'!$AE$5</f>
        <v>-1.1005682504011064E-3</v>
      </c>
      <c r="Y14" s="15">
        <f>IF(G14="Sell", S14*W14*-H14*O14/N14, S14*W14*H14*O14/N14)</f>
        <v>-2471914.8851282899</v>
      </c>
      <c r="Z14" s="15" cm="1">
        <f t="array" ref="Z14">_xll.BDP($B14&amp;" Equity","opt_theta")*H14*O14/N14</f>
        <v>-1425.1275000000001</v>
      </c>
      <c r="AA14" s="18" cm="1">
        <f t="array" ref="AA14">_xll.BDP($B14&amp;" Equity","opt_theta")/I14</f>
        <v>-3.6753771760154735E-3</v>
      </c>
      <c r="AB14" s="35" t="str" cm="1">
        <f t="array" ref="AB14">_xll.BDP($C14&amp;" Equity","EXPECTED_REPORT_DT")</f>
        <v>30/04/2026</v>
      </c>
      <c r="AC14" s="15">
        <f>S14*H14*O14/N14</f>
        <v>5017425</v>
      </c>
      <c r="AD14" s="18">
        <f>AC14/'Master P&amp;L'!$AE$5</f>
        <v>2.2339032330727618E-3</v>
      </c>
      <c r="AE14" t="str">
        <f>B14  &amp; " - Buy to open " &amp;  "-" &amp; H14 &amp;"x"</f>
        <v>META US 07/17/26 C700 - Buy to open -75x</v>
      </c>
      <c r="AF14">
        <f>H14*$AF$3</f>
        <v>18.75</v>
      </c>
      <c r="AH14">
        <v>13.2</v>
      </c>
      <c r="AI14">
        <v>12.86</v>
      </c>
      <c r="AJ14" s="63"/>
      <c r="AK14" t="s">
        <v>516</v>
      </c>
    </row>
    <row r="15" spans="1:41">
      <c r="H15" s="99" t="s">
        <v>64</v>
      </c>
      <c r="I15" s="101">
        <f>I13-I14</f>
        <v>-17.900000000000006</v>
      </c>
      <c r="J15" s="99" t="s">
        <v>193</v>
      </c>
      <c r="K15" s="100">
        <f>K14/L13</f>
        <v>1.5295857988165682</v>
      </c>
      <c r="P15" s="99" t="s">
        <v>194</v>
      </c>
      <c r="Q15" s="106">
        <f>Q13+Q14</f>
        <v>-0.59771996400547733</v>
      </c>
      <c r="S15" s="99" t="s">
        <v>195</v>
      </c>
      <c r="T15" s="101">
        <f>T14-T13</f>
        <v>-50</v>
      </c>
      <c r="W15" s="99" t="s">
        <v>196</v>
      </c>
      <c r="X15" s="120">
        <f>X13+X14</f>
        <v>-2.7470590982750249E-4</v>
      </c>
      <c r="Y15" s="13">
        <f>Y13+Y14</f>
        <v>-616999.10685941624</v>
      </c>
      <c r="AC15" s="99" t="s">
        <v>173</v>
      </c>
      <c r="AD15" s="102">
        <f>AD13</f>
        <v>2.2339032330727618E-3</v>
      </c>
    </row>
    <row r="16" spans="1:41">
      <c r="H16" s="99" t="s">
        <v>197</v>
      </c>
      <c r="I16" s="101">
        <f>(T15-I15)/I15</f>
        <v>1.7932960893854739</v>
      </c>
      <c r="J16" s="99" t="s">
        <v>90</v>
      </c>
      <c r="K16" s="179">
        <f>AVERAGE(K13:L13)-AVERAGE(K14:L14)</f>
        <v>-18.325000000000003</v>
      </c>
      <c r="P16" s="127">
        <f>P13+P14</f>
        <v>-134250</v>
      </c>
      <c r="Q16" s="106"/>
      <c r="S16" s="99"/>
      <c r="T16" s="101"/>
      <c r="W16" s="106">
        <f>1/(W13-W14)</f>
        <v>-8.1319809773131944</v>
      </c>
      <c r="X16" s="120"/>
      <c r="Y16" s="13">
        <f>Y15/S13</f>
        <v>-922.28449881076881</v>
      </c>
      <c r="AC16" s="99"/>
      <c r="AD16" s="102"/>
    </row>
    <row r="17" spans="1:38">
      <c r="I17" s="20"/>
      <c r="J17" s="42">
        <f>J13-J14</f>
        <v>-2.6756752716782017E-2</v>
      </c>
      <c r="K17" s="136">
        <f>K13-K14</f>
        <v>-18.350000000000001</v>
      </c>
      <c r="L17" s="136">
        <f>L13-L14</f>
        <v>-18.300000000000004</v>
      </c>
      <c r="P17" s="39">
        <f>P16/Y15</f>
        <v>0.21758540410754432</v>
      </c>
      <c r="Q17" s="63">
        <f>Q15*I16</f>
        <v>-1.0718888739986487</v>
      </c>
      <c r="W17" s="49"/>
      <c r="X17" s="47"/>
      <c r="Y17" s="3"/>
      <c r="Z17" s="17"/>
    </row>
    <row r="18" spans="1:38">
      <c r="G18">
        <f>H19/25</f>
        <v>24</v>
      </c>
      <c r="H18" s="13">
        <v>1.5</v>
      </c>
      <c r="K18" s="277">
        <f>K10-K16</f>
        <v>50.225000000000009</v>
      </c>
      <c r="AK18">
        <v>13</v>
      </c>
      <c r="AL18" s="1">
        <v>16</v>
      </c>
    </row>
    <row r="19" spans="1:38">
      <c r="A19" s="97" t="s">
        <v>190</v>
      </c>
      <c r="B19" s="72" t="s">
        <v>1171</v>
      </c>
      <c r="C19" s="58" t="str">
        <f>_xll.BDP(B19&amp;" Equity","OPT_UNDL_TICKER")</f>
        <v>AVGO US</v>
      </c>
      <c r="D19" s="58" t="str">
        <f>_xll.BDP($B19&amp;" Index","mifid_Maturity_date")</f>
        <v>06/02/2026</v>
      </c>
      <c r="E19" s="58">
        <f>_xll.BDP($B19&amp;" Index","opt_days_expire")</f>
        <v>1</v>
      </c>
      <c r="F19" s="58" t="str">
        <f>_xll.BDP(B19&amp;" Equity","QUOTED_CURRENCY_REALTIME")</f>
        <v>USD</v>
      </c>
      <c r="G19" s="103" t="s">
        <v>191</v>
      </c>
      <c r="H19" s="95">
        <v>600</v>
      </c>
      <c r="I19" s="96">
        <f>IF(G19="Buy",L19,K19)</f>
        <v>4.6500000000000004</v>
      </c>
      <c r="J19" s="18">
        <f>I19/S19</f>
        <v>1.5094952118162636E-2</v>
      </c>
      <c r="K19" s="35">
        <f>_xll.BDP($B19&amp;" Equity","bid")</f>
        <v>4.3</v>
      </c>
      <c r="L19" s="35">
        <f>_xll.BDP($B19&amp;" Equity","ask")</f>
        <v>4.6500000000000004</v>
      </c>
      <c r="M19" s="39">
        <f>(L19/K19-1)</f>
        <v>8.1395348837209447E-2</v>
      </c>
      <c r="N19" s="35" cm="1">
        <f t="array" ref="N19">_xll.BDP(F19&amp;" Curncy","PX_LAST")</f>
        <v>1</v>
      </c>
      <c r="O19" s="133">
        <f>_xll.BDP(B19&amp;" Equity","OPT_MULTIPLIER")</f>
        <v>100</v>
      </c>
      <c r="P19" s="15">
        <f>IF(G19="Buy",((I19/N19)*H19*O19),((I19/N19)*-H19*O19))</f>
        <v>279000</v>
      </c>
      <c r="Q19" s="57">
        <f>P19/'Master P&amp;L'!$AD$5*10000</f>
        <v>1.2421889754750703</v>
      </c>
      <c r="R19" s="36" cm="1">
        <f t="array" ref="R19">_xll.BDP($C19&amp;" Equity","EST_PE_NXT_YR")*(T19/S19)</f>
        <v>22.300884955752213</v>
      </c>
      <c r="S19" s="35" cm="1">
        <f t="array" ref="S19">_xll.BDP(C19&amp;" Equity","LAST_PRICE")</f>
        <v>308.05</v>
      </c>
      <c r="T19" s="52">
        <f>_xll.BDP(B19&amp;" Equity","OPT_STRIKE_PX")</f>
        <v>315</v>
      </c>
      <c r="U19" s="39">
        <f>T19/S19-1</f>
        <v>2.2561272520694731E-2</v>
      </c>
      <c r="V19" s="36">
        <f>_xll.BDP($B19&amp;" Equity","ivol_mid")</f>
        <v>66.711650000000006</v>
      </c>
      <c r="W19" s="37">
        <f>_xll.BDP(B19&amp;" Equity","DELTA_MID_RT")</f>
        <v>0.36670622229576111</v>
      </c>
      <c r="X19" s="47">
        <f>Y19/'Master P&amp;L'!$AE$5</f>
        <v>3.0176871248621807E-3</v>
      </c>
      <c r="Y19" s="15">
        <f>IF(G19="Sell", S19*W19*-H19*O19/N19, S19*W19*H19*O19/N19)</f>
        <v>6777831.1066925526</v>
      </c>
      <c r="Z19" s="15" cm="1">
        <f t="array" ref="Z19">_xll.BDP($B19&amp;" Equity","opt_theta")*H19*O19/N19</f>
        <v>-77386.439999999988</v>
      </c>
      <c r="AA19" s="18" cm="1">
        <f t="array" ref="AA19">_xll.BDP($B19&amp;" Equity","opt_theta")/I19</f>
        <v>-0.27737075268817202</v>
      </c>
      <c r="AB19" s="35" t="str" cm="1">
        <f t="array" ref="AB19">_xll.BDP($C19&amp;" Equity","EXPECTED_REPORT_DT")</f>
        <v>04/03/2026</v>
      </c>
      <c r="AC19" s="15">
        <f>S19*H19*O19/N19</f>
        <v>18483000</v>
      </c>
      <c r="AD19" s="18">
        <f>AC19/'Master P&amp;L'!$AE$5</f>
        <v>8.2291680407547401E-3</v>
      </c>
      <c r="AE19" t="str">
        <f>B19  &amp; " - Buy to open " &amp;  "-" &amp; H19 &amp;"x"</f>
        <v>AVGO US 02/06/26 C315 - Buy to open -600x</v>
      </c>
      <c r="AH19">
        <v>37.35</v>
      </c>
      <c r="AI19">
        <v>36.799999999999997</v>
      </c>
      <c r="AJ19">
        <f>AH19-AI19</f>
        <v>0.55000000000000426</v>
      </c>
      <c r="AK19">
        <v>15</v>
      </c>
      <c r="AL19" s="1">
        <v>20</v>
      </c>
    </row>
    <row r="20" spans="1:38">
      <c r="A20" s="97" t="s">
        <v>190</v>
      </c>
      <c r="B20" s="72" t="s">
        <v>1172</v>
      </c>
      <c r="C20" s="58" t="str" cm="1">
        <f t="array" ref="C20">_xll.BDP(B20&amp;" Equity","OPT_UNDL_TICKER")</f>
        <v>AVGO US</v>
      </c>
      <c r="D20" s="58" t="str" cm="1">
        <f t="array" ref="D20">_xll.BDP($B20&amp;" Index","mifid_Maturity_date")</f>
        <v>13/02/2026</v>
      </c>
      <c r="E20" s="58" cm="1">
        <f t="array" ref="E20">_xll.BDP($B20&amp;" Index","opt_days_expire")</f>
        <v>8</v>
      </c>
      <c r="F20" s="58" t="str" cm="1">
        <f t="array" ref="F20">_xll.BDP(B20&amp;" Equity","QUOTED_CURRENCY_REALTIME")</f>
        <v>USD</v>
      </c>
      <c r="G20" s="103" t="s">
        <v>192</v>
      </c>
      <c r="H20" s="95">
        <f>H19</f>
        <v>600</v>
      </c>
      <c r="I20" s="96">
        <f>IF(G20="Buy",L20,K20)</f>
        <v>3.9</v>
      </c>
      <c r="J20" s="18">
        <f>I20/S20</f>
        <v>1.2660282421684791E-2</v>
      </c>
      <c r="K20" s="35" cm="1">
        <f t="array" ref="K20">_xll.BDP($B20&amp;" Equity","bid")</f>
        <v>3.9</v>
      </c>
      <c r="L20" s="35" cm="1">
        <f t="array" ref="L20">_xll.BDP($B20&amp;" Equity","ask")</f>
        <v>4.25</v>
      </c>
      <c r="M20" s="39">
        <f>(L20/K20-1)</f>
        <v>8.9743589743589869E-2</v>
      </c>
      <c r="N20" s="35" cm="1">
        <f t="array" ref="N20">_xll.BDP(F20&amp;" Curncy","PX_LAST")</f>
        <v>1</v>
      </c>
      <c r="O20" s="133" cm="1">
        <f t="array" ref="O20">_xll.BDP(B20&amp;" Equity","OPT_MULTIPLIER")</f>
        <v>100</v>
      </c>
      <c r="P20" s="15">
        <f>IF(G20="Buy",((I20/N20)*H20*O20),((I20/N20)*-H20*O20))</f>
        <v>-234000</v>
      </c>
      <c r="Q20" s="57">
        <f>P20/'Master P&amp;L'!$AD$5*10000</f>
        <v>-1.0418359149145751</v>
      </c>
      <c r="R20" s="36" cm="1">
        <f t="array" ref="R20">_xll.BDP($C20&amp;" Equity","EST_PE_NXT_YR")*(T20/S20)</f>
        <v>23.36283185840708</v>
      </c>
      <c r="S20" s="35" cm="1">
        <f t="array" ref="S20">_xll.BDP(C20&amp;" Equity","LAST_PRICE")</f>
        <v>308.05</v>
      </c>
      <c r="T20" s="52" cm="1">
        <f t="array" ref="T20">_xll.BDP(B20&amp;" Equity","OPT_STRIKE_PX")</f>
        <v>330</v>
      </c>
      <c r="U20" s="39">
        <f>T20/S20-1</f>
        <v>7.125466645025158E-2</v>
      </c>
      <c r="V20" s="36" cm="1">
        <f t="array" ref="V20">_xll.BDP($B20&amp;" Equity","ivol_mid")</f>
        <v>56.142940000000003</v>
      </c>
      <c r="W20" s="37" cm="1">
        <f t="array" ref="W20">_xll.BDP(B20&amp;" Equity","DELTA_MID_RT")</f>
        <v>0.24856053292751312</v>
      </c>
      <c r="X20" s="47">
        <f>Y20/'Master P&amp;L'!$AE$5</f>
        <v>-2.0454463937600574E-3</v>
      </c>
      <c r="Y20" s="15">
        <f>IF(G20="Sell", S20*W20*-H20*O20/N20, S20*W20*H20*O20/N20)</f>
        <v>-4594144.330099225</v>
      </c>
      <c r="Z20" s="15" cm="1">
        <f t="array" ref="Z20">_xll.BDP($B20&amp;" Equity","opt_theta")*H20*O20/N20</f>
        <v>-27301.439999999995</v>
      </c>
      <c r="AA20" s="18" cm="1">
        <f t="array" ref="AA20">_xll.BDP($B20&amp;" Equity","opt_theta")/I20</f>
        <v>-0.1166728205128205</v>
      </c>
      <c r="AB20" s="35" t="str" cm="1">
        <f t="array" ref="AB20">_xll.BDP($C20&amp;" Equity","EXPECTED_REPORT_DT")</f>
        <v>04/03/2026</v>
      </c>
      <c r="AC20" s="15">
        <f>S20*H20*O20/N20</f>
        <v>18483000</v>
      </c>
      <c r="AD20" s="18">
        <f>AC20/'Master P&amp;L'!$AE$5</f>
        <v>8.2291680407547401E-3</v>
      </c>
      <c r="AE20" t="str">
        <f>B20  &amp; " - Buy to open " &amp;  "-" &amp; H20 &amp;"x"</f>
        <v>AVGO US 02/13/26 C330 - Buy to open -600x</v>
      </c>
      <c r="AH20">
        <v>37.35</v>
      </c>
      <c r="AI20">
        <v>36.799999999999997</v>
      </c>
      <c r="AJ20">
        <f>AH20-AI20</f>
        <v>0.55000000000000426</v>
      </c>
      <c r="AK20">
        <v>15</v>
      </c>
      <c r="AL20" s="1">
        <v>20</v>
      </c>
    </row>
    <row r="21" spans="1:38">
      <c r="H21" s="99" t="s">
        <v>64</v>
      </c>
      <c r="I21" s="101">
        <f>I19-I20</f>
        <v>0.75000000000000044</v>
      </c>
      <c r="J21" s="99" t="s">
        <v>193</v>
      </c>
      <c r="K21" s="100">
        <f>K20/L19</f>
        <v>0.83870967741935476</v>
      </c>
      <c r="P21" s="99" t="s">
        <v>194</v>
      </c>
      <c r="Q21" s="106">
        <f>Q19+Q20</f>
        <v>0.20035306056049529</v>
      </c>
      <c r="S21" s="99" t="s">
        <v>195</v>
      </c>
      <c r="T21" s="101">
        <f>T20-T19</f>
        <v>15</v>
      </c>
      <c r="W21" s="99" t="s">
        <v>196</v>
      </c>
      <c r="X21" s="120">
        <f>X19+X20</f>
        <v>9.7224073110212337E-4</v>
      </c>
      <c r="Y21" s="13">
        <f>Y19+Y20</f>
        <v>2183686.7765933275</v>
      </c>
      <c r="AC21" s="99" t="s">
        <v>173</v>
      </c>
      <c r="AD21" s="102">
        <f>AD19</f>
        <v>8.2291680407547401E-3</v>
      </c>
      <c r="AK21">
        <f>$AJ$20/AK19</f>
        <v>3.6666666666666951E-2</v>
      </c>
      <c r="AL21">
        <f>$AJ$20/AL19</f>
        <v>2.7500000000000212E-2</v>
      </c>
    </row>
    <row r="22" spans="1:38">
      <c r="H22" s="99" t="s">
        <v>197</v>
      </c>
      <c r="I22" s="101">
        <f>(T21-I21)/I21</f>
        <v>18.999999999999989</v>
      </c>
      <c r="J22" s="99" t="s">
        <v>90</v>
      </c>
      <c r="K22" s="179">
        <f>AVERAGE(K19:L19)-AVERAGE(K20:L20)</f>
        <v>0.39999999999999947</v>
      </c>
      <c r="P22" s="127">
        <f>P19+P20</f>
        <v>45000</v>
      </c>
      <c r="Q22" s="106"/>
      <c r="S22" s="99"/>
      <c r="T22" s="101"/>
      <c r="W22" s="99"/>
      <c r="X22" s="120"/>
      <c r="Y22" s="3">
        <f>Y21/S19</f>
        <v>7088.7413620948792</v>
      </c>
      <c r="AC22" s="99"/>
      <c r="AD22" s="102"/>
    </row>
    <row r="23" spans="1:38">
      <c r="I23" s="63">
        <f>I20*2</f>
        <v>7.8</v>
      </c>
      <c r="K23" s="136">
        <f>K19-K20</f>
        <v>0.39999999999999991</v>
      </c>
      <c r="L23" s="136">
        <f>L19-L20</f>
        <v>0.40000000000000036</v>
      </c>
      <c r="P23" s="39">
        <f>P22/Y21</f>
        <v>2.060735105526558E-2</v>
      </c>
      <c r="AG23" s="136"/>
      <c r="AH23" s="136"/>
      <c r="AJ23">
        <v>165</v>
      </c>
      <c r="AK23">
        <v>7</v>
      </c>
      <c r="AL23" s="1">
        <v>8</v>
      </c>
    </row>
    <row r="24" spans="1:38">
      <c r="A24">
        <v>285</v>
      </c>
      <c r="H24" s="13"/>
      <c r="K24" s="193">
        <v>8.4</v>
      </c>
      <c r="L24" s="193"/>
      <c r="Q24" s="63">
        <f>(I22*Q21)-Q21</f>
        <v>3.606355090088913</v>
      </c>
      <c r="S24">
        <v>181</v>
      </c>
      <c r="W24" s="49"/>
      <c r="AK24">
        <f>$AJ$23/AK23</f>
        <v>23.571428571428573</v>
      </c>
      <c r="AL24">
        <f>$AJ$23/AL23</f>
        <v>20.625</v>
      </c>
    </row>
    <row r="25" spans="1:38">
      <c r="A25">
        <v>285</v>
      </c>
      <c r="H25" s="13"/>
      <c r="I25" t="e">
        <f>#REF!/#REF!</f>
        <v>#REF!</v>
      </c>
      <c r="K25" s="193"/>
      <c r="L25" s="193"/>
      <c r="W25" s="49"/>
    </row>
    <row r="26" spans="1:38" s="58" customFormat="1">
      <c r="O26" s="134"/>
      <c r="X26" s="124"/>
      <c r="AL26" s="14"/>
    </row>
    <row r="27" spans="1:38">
      <c r="K27" s="63" t="e">
        <f>K30*2+K31</f>
        <v>#VALUE!</v>
      </c>
      <c r="L27" s="63" t="e">
        <f>L30*2+L31</f>
        <v>#VALUE!</v>
      </c>
    </row>
    <row r="28" spans="1:38">
      <c r="A28" s="98" t="s">
        <v>198</v>
      </c>
      <c r="B28" s="98"/>
      <c r="K28" s="63"/>
      <c r="L28" s="63"/>
      <c r="P28" s="3" t="e">
        <f>P30+P31</f>
        <v>#VALUE!</v>
      </c>
      <c r="Q28" s="57"/>
    </row>
    <row r="29" spans="1:38">
      <c r="H29">
        <v>1</v>
      </c>
      <c r="I29" s="63" t="e">
        <f>I30-I31</f>
        <v>#VALUE!</v>
      </c>
    </row>
    <row r="30" spans="1:38">
      <c r="A30" s="210">
        <v>4.3</v>
      </c>
      <c r="B30" s="58" t="s">
        <v>1178</v>
      </c>
      <c r="C30" t="str" cm="1">
        <f t="array" ref="C30">_xll.BDP(B30&amp;" Equity","OPT_UNDL_TICKER")</f>
        <v>GOOG US</v>
      </c>
      <c r="D30" t="str" cm="1">
        <f t="array" ref="D30">_xll.BDP($B30&amp;" Index","mifid_Maturity_date")</f>
        <v>06/02/2026</v>
      </c>
      <c r="E30" cm="1">
        <f t="array" ref="E30">_xll.BDP($B30&amp;" Index","opt_days_expire")</f>
        <v>1</v>
      </c>
      <c r="F30" t="str" cm="1">
        <f t="array" ref="F30">_xll.BDP(B30&amp;" Equity","QUOTED_CURRENCY_REALTIME")</f>
        <v>USD</v>
      </c>
      <c r="G30" s="103" t="s">
        <v>191</v>
      </c>
      <c r="H30" s="95">
        <v>150</v>
      </c>
      <c r="I30" s="96">
        <f>IF(G30="Buy",L30,K30)</f>
        <v>1.2</v>
      </c>
      <c r="J30" s="18">
        <f>I30/S30</f>
        <v>3.5999280014399715E-3</v>
      </c>
      <c r="K30" s="35" cm="1">
        <f t="array" ref="K30">_xll.BDP($B30&amp;" Equity","bid")</f>
        <v>1.17</v>
      </c>
      <c r="L30" s="35" cm="1">
        <f t="array" ref="L30">_xll.BDP($B30&amp;" Equity","ask")</f>
        <v>1.2</v>
      </c>
      <c r="M30" s="39">
        <f>(L30/K30-1)</f>
        <v>2.5641025641025772E-2</v>
      </c>
      <c r="N30" s="35" cm="1">
        <f t="array" ref="N30">_xll.BDP(F30&amp;" Curncy","PX_LAST")</f>
        <v>1</v>
      </c>
      <c r="O30" s="133" cm="1">
        <f t="array" ref="O30">_xll.BDP(B30&amp;" Equity","OPT_MULTIPLIER")</f>
        <v>100</v>
      </c>
      <c r="P30" s="15">
        <f>IF(G30="Buy",((I30/N30)*H30*O30),((I30/N30)*-H30*O30))</f>
        <v>18000</v>
      </c>
      <c r="Q30" s="57">
        <f>P30/'Master P&amp;L'!$AD$5*10000</f>
        <v>8.0141224224198088E-2</v>
      </c>
      <c r="R30" s="36" cm="1">
        <f t="array" ref="R30">_xll.BDP($C30&amp;" Equity","EST_PE_NXT_YR")*(T30/S30)</f>
        <v>21.312872975277067</v>
      </c>
      <c r="S30" s="35" cm="1">
        <f t="array" ref="S30">_xll.BDP(C30&amp;" Equity","LAST_PRICE")</f>
        <v>333.34</v>
      </c>
      <c r="T30" s="52" cm="1">
        <f t="array" ref="T30">_xll.BDP(B30&amp;" Equity","OPT_STRIKE_PX")</f>
        <v>300</v>
      </c>
      <c r="U30" s="39">
        <f>T30/S30-1</f>
        <v>-0.10001799964000713</v>
      </c>
      <c r="V30" s="36" cm="1">
        <f t="array" ref="V30">_xll.BDP($B30&amp;" Equity","ivol_mid")</f>
        <v>93.268109999999993</v>
      </c>
      <c r="W30" s="37" cm="1">
        <f t="array" ref="W30">_xll.BDP(B30&amp;" Equity","DELTA_MID_RT")</f>
        <v>-9.079037606716156E-2</v>
      </c>
      <c r="X30" s="285">
        <f>Y30/'Master P&amp;L'!$AE$5</f>
        <v>-2.02116594634316E-4</v>
      </c>
      <c r="Y30" s="15">
        <f>IF(G30="Sell", S30*W30*-H30*O30/N30, S30*W30*H30*O30/N30)</f>
        <v>-453960.9593734144</v>
      </c>
      <c r="Z30" s="15" cm="1">
        <f t="array" ref="Z30">_xll.BDP($B30&amp;" Equity","opt_theta")*H30*O30/N30</f>
        <v>-10836.12</v>
      </c>
      <c r="AA30" s="18" cm="1">
        <f t="array" ref="AA30">_xll.BDP($B30&amp;" Equity","opt_theta")/I30</f>
        <v>-0.60200666666666669</v>
      </c>
      <c r="AB30" s="35" t="str" cm="1">
        <f t="array" ref="AB30">_xll.BDP($C30&amp;" Equity","EXPECTED_REPORT_DT")</f>
        <v>24/04/2026</v>
      </c>
      <c r="AC30" s="15">
        <f>S30*H30*O30/N30</f>
        <v>5000099.9999999991</v>
      </c>
      <c r="AD30" s="47">
        <f>AC30/'Master P&amp;L'!$AE$5</f>
        <v>2.2261896402411821E-3</v>
      </c>
      <c r="AE30" t="str">
        <f>B30&amp;" -&gt; Buy to open "&amp;H30&amp;"x"</f>
        <v>GOOG US 02/06/26 P300 -&gt; Buy to open 150x</v>
      </c>
      <c r="AJ30" t="s">
        <v>200</v>
      </c>
    </row>
    <row r="31" spans="1:38">
      <c r="A31" s="210">
        <v>2.0499999999999998</v>
      </c>
      <c r="B31" s="58" t="s">
        <v>1177</v>
      </c>
      <c r="C31" t="str" cm="1">
        <f t="array" ref="C31">_xll.BDP(B31&amp;" Equity","OPT_UNDL_TICKER")</f>
        <v>#N/A Invalid Security</v>
      </c>
      <c r="D31" t="str" cm="1">
        <f t="array" ref="D31">_xll.BDP($B31&amp;" Index","mifid_Maturity_date")</f>
        <v>#N/A Invalid Security</v>
      </c>
      <c r="E31" t="str" cm="1">
        <f t="array" ref="E31">_xll.BDP($B31&amp;" Index","opt_days_expire")</f>
        <v>#N/A Invalid Security</v>
      </c>
      <c r="F31" t="str" cm="1">
        <f t="array" ref="F31">_xll.BDP(B31&amp;" Equity","QUOTED_CURRENCY_REALTIME")</f>
        <v>#N/A Invalid Security</v>
      </c>
      <c r="G31" s="103" t="s">
        <v>192</v>
      </c>
      <c r="H31" s="95">
        <f>H30</f>
        <v>150</v>
      </c>
      <c r="I31" s="96" t="str">
        <f>IF(G31="Buy",L31,K31)</f>
        <v>#N/A Invalid Security</v>
      </c>
      <c r="J31" s="18" t="e">
        <f>I31/S31</f>
        <v>#VALUE!</v>
      </c>
      <c r="K31" s="35" t="str" cm="1">
        <f t="array" ref="K31">_xll.BDP($B31&amp;" Equity","bid")</f>
        <v>#N/A Invalid Security</v>
      </c>
      <c r="L31" s="35" t="str" cm="1">
        <f t="array" ref="L31">_xll.BDP($B31&amp;" Equity","ask")</f>
        <v>#N/A Invalid Security</v>
      </c>
      <c r="M31" s="39" t="e">
        <f>(L31/K31-1)</f>
        <v>#VALUE!</v>
      </c>
      <c r="N31" s="35" t="str" cm="1">
        <f t="array" ref="N31">_xll.BDP(F31&amp;" Curncy","PX_LAST")</f>
        <v>#N/A Invalid Security Curncy</v>
      </c>
      <c r="O31" s="133" t="str" cm="1">
        <f t="array" ref="O31">_xll.BDP(B31&amp;" Equity","OPT_MULTIPLIER")</f>
        <v>#N/A Invalid Security</v>
      </c>
      <c r="P31" s="15" t="e">
        <f>IF(G31="Buy",((I31/N31)*H31*O31),((I31/N31)*-H31*O31))</f>
        <v>#VALUE!</v>
      </c>
      <c r="Q31" s="57" t="e">
        <f>P31/'Master P&amp;L'!$AD$5*10000</f>
        <v>#VALUE!</v>
      </c>
      <c r="R31" s="36" t="e" cm="1">
        <f t="array" ref="R31">_xll.BDP($C31&amp;" Equity","EST_PE_NXT_YR")*(T31/S31)</f>
        <v>#VALUE!</v>
      </c>
      <c r="S31" s="35" t="str" cm="1">
        <f t="array" ref="S31">_xll.BDP(C31&amp;" Equity","LAST_PRICE")</f>
        <v>#N/A Invalid Security Equity</v>
      </c>
      <c r="T31" s="52" t="str" cm="1">
        <f t="array" ref="T31">_xll.BDP(B31&amp;" Equity","OPT_STRIKE_PX")</f>
        <v>#N/A Invalid Security</v>
      </c>
      <c r="U31" s="39" t="e">
        <f>T31/S31-1</f>
        <v>#VALUE!</v>
      </c>
      <c r="V31" s="36" t="str" cm="1">
        <f t="array" ref="V31">_xll.BDP(B31&amp;" Equity","ivol_mid")</f>
        <v>#N/A Invalid Security</v>
      </c>
      <c r="W31" s="37" t="str" cm="1">
        <f t="array" ref="W31">_xll.BDP(B31&amp;" Equity","DELTA_MID_RT")</f>
        <v>#N/A Invalid Security</v>
      </c>
      <c r="X31" s="285" t="e">
        <f>Y31/'Master P&amp;L'!$AE$5</f>
        <v>#VALUE!</v>
      </c>
      <c r="Y31" s="15" t="e">
        <f>IF(G31="Sell", S31*W31*-H31*O31/N31, S31*W31*H31*O31/N31)</f>
        <v>#VALUE!</v>
      </c>
      <c r="Z31" s="15" t="e" cm="1">
        <f t="array" ref="Z31">_xll.BDP($B31&amp;" Equity","opt_theta")*H31*O31/N31</f>
        <v>#VALUE!</v>
      </c>
      <c r="AA31" s="18" t="e" cm="1">
        <f t="array" ref="AA31">_xll.BDP($B31&amp;" Equity","opt_theta")/I31</f>
        <v>#VALUE!</v>
      </c>
      <c r="AB31" s="35" t="str" cm="1">
        <f t="array" ref="AB31">_xll.BDP($C31&amp;" Equity","EXPECTED_REPORT_DT")</f>
        <v>#N/A Invalid Security Equity</v>
      </c>
      <c r="AC31" s="15" t="e">
        <f>S31*H31*O31/N31</f>
        <v>#VALUE!</v>
      </c>
      <c r="AD31" s="18" t="e">
        <f>AC31/'Master P&amp;L'!$AE$5</f>
        <v>#VALUE!</v>
      </c>
      <c r="AE31" t="str">
        <f>B31  &amp; " -&gt; Sell to open " &amp;   H31 &amp;"x"</f>
        <v>GOOG US 02/06/26 P115 -&gt; Sell to open 150x</v>
      </c>
      <c r="AJ31" t="s">
        <v>201</v>
      </c>
    </row>
    <row r="32" spans="1:38">
      <c r="A32" s="206">
        <f>A30-A31</f>
        <v>2.25</v>
      </c>
      <c r="H32" s="99" t="s">
        <v>64</v>
      </c>
      <c r="I32" s="101">
        <v>1.8</v>
      </c>
      <c r="J32" s="99" t="s">
        <v>193</v>
      </c>
      <c r="K32" s="100" t="e">
        <f>K31/L30</f>
        <v>#VALUE!</v>
      </c>
      <c r="L32" s="63"/>
      <c r="P32" s="99" t="s">
        <v>194</v>
      </c>
      <c r="Q32" s="106" t="e">
        <f>Q30+Q31</f>
        <v>#VALUE!</v>
      </c>
      <c r="S32" s="99" t="s">
        <v>195</v>
      </c>
      <c r="T32" s="101" t="e">
        <f>T30-T31</f>
        <v>#VALUE!</v>
      </c>
      <c r="W32" s="99" t="s">
        <v>196</v>
      </c>
      <c r="X32" s="344" t="e">
        <f>X30+X31</f>
        <v>#VALUE!</v>
      </c>
      <c r="Y32" s="13" t="e">
        <f>Y30+Y31</f>
        <v>#VALUE!</v>
      </c>
      <c r="AC32" s="99" t="s">
        <v>173</v>
      </c>
      <c r="AD32" s="120">
        <f>AD30</f>
        <v>2.2261896402411821E-3</v>
      </c>
    </row>
    <row r="33" spans="1:36">
      <c r="A33" s="206"/>
      <c r="H33" s="99" t="s">
        <v>197</v>
      </c>
      <c r="I33" s="101" t="e">
        <f>(T32-I32)/I32</f>
        <v>#VALUE!</v>
      </c>
      <c r="J33" s="99" t="s">
        <v>90</v>
      </c>
      <c r="K33" s="107" t="e">
        <f>AVERAGE(K30:L30)-AVERAGE(K31:L31)</f>
        <v>#DIV/0!</v>
      </c>
      <c r="L33" s="63"/>
      <c r="P33" s="99"/>
      <c r="Q33" s="106"/>
      <c r="S33" s="99"/>
      <c r="T33" s="101"/>
      <c r="W33" s="99"/>
      <c r="X33" s="120"/>
      <c r="Z33" s="3" t="e">
        <f>Y32/S30</f>
        <v>#VALUE!</v>
      </c>
      <c r="AC33" s="99"/>
      <c r="AD33" s="102"/>
    </row>
    <row r="35" spans="1:36">
      <c r="H35">
        <v>1</v>
      </c>
      <c r="I35" s="63"/>
      <c r="J35" s="42">
        <f>J36-J37</f>
        <v>4.2261659100288895E-3</v>
      </c>
      <c r="L35" s="63"/>
      <c r="P35" s="13">
        <f>P36+P37</f>
        <v>128000</v>
      </c>
    </row>
    <row r="36" spans="1:36">
      <c r="A36" s="97" t="s">
        <v>199</v>
      </c>
      <c r="B36" t="s">
        <v>1173</v>
      </c>
      <c r="C36" t="str" cm="1">
        <f t="array" ref="C36">_xll.BDP(B36&amp;" Equity","OPT_UNDL_TICKER")</f>
        <v>QQQ US</v>
      </c>
      <c r="D36" t="str" cm="1">
        <f t="array" ref="D36">_xll.BDP($B36&amp;" Index","mifid_Maturity_date")</f>
        <v>06/02/2026</v>
      </c>
      <c r="E36" cm="1">
        <f t="array" ref="E36">_xll.BDP($B36&amp;" Index","opt_days_expire")</f>
        <v>1</v>
      </c>
      <c r="F36" t="str" cm="1">
        <f t="array" ref="F36">_xll.BDP(B36&amp;" Equity","QUOTED_CURRENCY_REALTIME")</f>
        <v>USD</v>
      </c>
      <c r="G36" s="103" t="s">
        <v>191</v>
      </c>
      <c r="H36" s="95">
        <v>500</v>
      </c>
      <c r="I36" s="96">
        <f>IF(G36="Buy",L36,K36)</f>
        <v>3.28</v>
      </c>
      <c r="J36" s="18">
        <f>I36/S36</f>
        <v>5.4147750722245147E-3</v>
      </c>
      <c r="K36" s="35" cm="1">
        <f t="array" ref="K36">_xll.BDP($B36&amp;" Equity","bid")</f>
        <v>3.17</v>
      </c>
      <c r="L36" s="35" cm="1">
        <f t="array" ref="L36">_xll.BDP($B36&amp;" Equity","ask")</f>
        <v>3.28</v>
      </c>
      <c r="M36" s="39">
        <f>(L36/K36-1)</f>
        <v>3.4700315457413256E-2</v>
      </c>
      <c r="N36" s="35" cm="1">
        <f t="array" ref="N36">_xll.BDP(F36&amp;" Curncy","PX_LAST")</f>
        <v>1</v>
      </c>
      <c r="O36" s="133" cm="1">
        <f t="array" ref="O36">_xll.BDP(B36&amp;" Equity","OPT_MULTIPLIER")</f>
        <v>100</v>
      </c>
      <c r="P36" s="15">
        <f>IF(G36="Buy",((I36/N36)*H36*O36),((I36/N36)*-H36*O36))</f>
        <v>164000</v>
      </c>
      <c r="Q36" s="57">
        <f>P36/'Master P&amp;L'!$AD$5*10000</f>
        <v>0.73017559848713809</v>
      </c>
      <c r="R36" s="36" t="e" cm="1">
        <f t="array" ref="R36">_xll.BDP($C36&amp;" Equity","EST_PE_NXT_YR")*(T36/S36)</f>
        <v>#VALUE!</v>
      </c>
      <c r="S36" s="35" cm="1">
        <f t="array" ref="S36">_xll.BDP(C36&amp;" Equity","LAST_PRICE")</f>
        <v>605.75</v>
      </c>
      <c r="T36" s="52" cm="1">
        <f t="array" ref="T36">_xll.BDP(B36&amp;" Equity","OPT_STRIKE_PX")</f>
        <v>600</v>
      </c>
      <c r="U36" s="39">
        <f>T36/S36-1</f>
        <v>-9.492364836978906E-3</v>
      </c>
      <c r="V36" s="36" cm="1">
        <f t="array" ref="V36">_xll.BDP($B36&amp;" Equity","ivol_mid")</f>
        <v>26.450749999999999</v>
      </c>
      <c r="W36" s="37" cm="1">
        <f t="array" ref="W36">_xll.BDP(B36&amp;" Equity","DELTA_MID_RT")</f>
        <v>-0.33583325147628784</v>
      </c>
      <c r="X36" s="47">
        <f>Y36/'Master P&amp;L'!$AE$5</f>
        <v>-4.5286690973820841E-3</v>
      </c>
      <c r="Y36" s="15">
        <f>IF(G36="Sell", S36*W36*-H36*O36/N36, S36*W36*H36*O36/N36)</f>
        <v>-10171549.604088068</v>
      </c>
      <c r="Z36" s="15" cm="1">
        <f t="array" ref="Z36">_xll.BDP($B36&amp;" Equity","opt_theta")*H36*O36/N36</f>
        <v>-48430.05</v>
      </c>
      <c r="AA36" s="18" cm="1">
        <f t="array" ref="AA36">_xll.BDP($B36&amp;" Equity","opt_theta")/I36</f>
        <v>-0.29530518292682928</v>
      </c>
      <c r="AB36" s="35" t="str" cm="1">
        <f t="array" ref="AB36">_xll.BDP($C36&amp;" Equity","EXPECTED_REPORT_DT")</f>
        <v>#N/A N/A</v>
      </c>
      <c r="AC36" s="15">
        <f>S36*H36*O36/N36</f>
        <v>30287500</v>
      </c>
      <c r="AD36" s="47">
        <f>AC36/'Master P&amp;L'!$AE$5</f>
        <v>1.3484874048279997E-2</v>
      </c>
      <c r="AE36" t="str">
        <f>B36&amp;" -&gt; Buy to open "&amp;H36&amp;"x"</f>
        <v>QQQ US 02/06/26 P600 -&gt; Buy to open 500x</v>
      </c>
      <c r="AJ36" t="s">
        <v>200</v>
      </c>
    </row>
    <row r="37" spans="1:36">
      <c r="A37" s="97" t="s">
        <v>199</v>
      </c>
      <c r="B37" t="s">
        <v>1176</v>
      </c>
      <c r="C37" t="str" cm="1">
        <f t="array" ref="C37">_xll.BDP(B37&amp;" Equity","OPT_UNDL_TICKER")</f>
        <v>QQQ US</v>
      </c>
      <c r="D37" t="str" cm="1">
        <f t="array" ref="D37">_xll.BDP($B37&amp;" Index","mifid_Maturity_date")</f>
        <v>06/02/2026</v>
      </c>
      <c r="E37" cm="1">
        <f t="array" ref="E37">_xll.BDP($B37&amp;" Index","opt_days_expire")</f>
        <v>1</v>
      </c>
      <c r="F37" t="str" cm="1">
        <f t="array" ref="F37">_xll.BDP(B37&amp;" Equity","QUOTED_CURRENCY_REALTIME")</f>
        <v>USD</v>
      </c>
      <c r="G37" s="103" t="s">
        <v>192</v>
      </c>
      <c r="H37" s="95">
        <f>H36*H35</f>
        <v>500</v>
      </c>
      <c r="I37" s="96">
        <f>IF(G37="Buy",L37,K37)</f>
        <v>0.72</v>
      </c>
      <c r="J37" s="18">
        <f>I37/S37</f>
        <v>1.1886091621956252E-3</v>
      </c>
      <c r="K37" s="35" cm="1">
        <f t="array" ref="K37">_xll.BDP($B37&amp;" Equity","bid")</f>
        <v>0.72</v>
      </c>
      <c r="L37" s="35" cm="1">
        <f t="array" ref="L37">_xll.BDP($B37&amp;" Equity","ask")</f>
        <v>0.77</v>
      </c>
      <c r="M37" s="39">
        <f>(L37/K37-1)</f>
        <v>6.944444444444442E-2</v>
      </c>
      <c r="N37" s="35" cm="1">
        <f t="array" ref="N37">_xll.BDP(F37&amp;" Curncy","PX_LAST")</f>
        <v>1</v>
      </c>
      <c r="O37" s="133" cm="1">
        <f t="array" ref="O37">_xll.BDP(B37&amp;" Equity","OPT_MULTIPLIER")</f>
        <v>100</v>
      </c>
      <c r="P37" s="15">
        <f>IF(G37="Buy",((I37/N37)*H37*O37),((I37/N37)*-H37*O37))</f>
        <v>-36000</v>
      </c>
      <c r="Q37" s="57">
        <f>P37/'Master P&amp;L'!$AD$5*10000</f>
        <v>-0.16028244844839618</v>
      </c>
      <c r="R37" s="36" t="e" cm="1">
        <f t="array" ref="R37">_xll.BDP($C37&amp;" Equity","EST_PE_NXT_YR")*(T37/S37)</f>
        <v>#VALUE!</v>
      </c>
      <c r="S37" s="35" cm="1">
        <f t="array" ref="S37">_xll.BDP(C37&amp;" Equity","LAST_PRICE")</f>
        <v>605.75</v>
      </c>
      <c r="T37" s="52" cm="1">
        <f t="array" ref="T37">_xll.BDP(B37&amp;" Equity","OPT_STRIKE_PX")</f>
        <v>585</v>
      </c>
      <c r="U37" s="39">
        <f>T37/S37-1</f>
        <v>-3.4255055716054472E-2</v>
      </c>
      <c r="V37" s="36" cm="1">
        <f t="array" ref="V37">_xll.BDP(B37&amp;" Equity","ivol_mid")</f>
        <v>30.36768</v>
      </c>
      <c r="W37" s="37" cm="1">
        <f t="array" ref="W37">_xll.BDP(B37&amp;" Equity","DELTA_MID_RT")</f>
        <v>-9.5624625682830811E-2</v>
      </c>
      <c r="X37" s="47">
        <f>Y37/'Master P&amp;L'!$AE$5</f>
        <v>1.2894860332468942E-3</v>
      </c>
      <c r="Y37" s="15">
        <f>IF(G37="Sell", S37*W37*-H37*O37/N37, S37*W37*H37*O37/N37)</f>
        <v>2896230.8503687382</v>
      </c>
      <c r="Z37" s="15" cm="1">
        <f t="array" ref="Z37">_xll.BDP($B37&amp;" Equity","opt_theta")*H37*O37/N37</f>
        <v>-21894.35</v>
      </c>
      <c r="AA37" s="18" cm="1">
        <f t="array" ref="AA37">_xll.BDP($B37&amp;" Equity","opt_theta")/I37</f>
        <v>-0.60817638888888892</v>
      </c>
      <c r="AB37" s="35" t="str" cm="1">
        <f t="array" ref="AB37">_xll.BDP($C37&amp;" Equity","EXPECTED_REPORT_DT")</f>
        <v>#N/A N/A</v>
      </c>
      <c r="AC37" s="15">
        <f>S37*H37*O37/N37</f>
        <v>30287500</v>
      </c>
      <c r="AD37" s="18">
        <f>AC37/'Master P&amp;L'!$AE$5</f>
        <v>1.3484874048279997E-2</v>
      </c>
      <c r="AE37" t="str">
        <f>B37  &amp; " -&gt; Sell to open " &amp;   H37 &amp;"x"</f>
        <v>QQQ US 02/06/26 P585 -&gt; Sell to open 500x</v>
      </c>
      <c r="AJ37" t="s">
        <v>201</v>
      </c>
    </row>
    <row r="38" spans="1:36">
      <c r="G38">
        <f>I38/K39</f>
        <v>1.032258064516129</v>
      </c>
      <c r="H38" s="99" t="s">
        <v>64</v>
      </c>
      <c r="I38" s="101">
        <f>I36-I37</f>
        <v>2.5599999999999996</v>
      </c>
      <c r="J38" s="99" t="s">
        <v>193</v>
      </c>
      <c r="K38" s="100">
        <f>K37/L36</f>
        <v>0.21951219512195122</v>
      </c>
      <c r="L38" s="63"/>
      <c r="P38" s="99" t="s">
        <v>194</v>
      </c>
      <c r="Q38" s="106">
        <f>Q36+Q37</f>
        <v>0.56989315003874186</v>
      </c>
      <c r="S38" s="99" t="s">
        <v>195</v>
      </c>
      <c r="T38" s="101">
        <f>T36-T37</f>
        <v>15</v>
      </c>
      <c r="W38" s="99" t="s">
        <v>196</v>
      </c>
      <c r="X38" s="120">
        <f>X36+X37</f>
        <v>-3.2391830641351899E-3</v>
      </c>
      <c r="Y38" s="13"/>
      <c r="AC38" s="99" t="s">
        <v>173</v>
      </c>
      <c r="AD38" s="120">
        <f>AD36</f>
        <v>1.3484874048279997E-2</v>
      </c>
    </row>
    <row r="39" spans="1:36">
      <c r="H39" s="99" t="s">
        <v>197</v>
      </c>
      <c r="I39" s="101">
        <f>(T38-I38)/I38</f>
        <v>4.8593750000000009</v>
      </c>
      <c r="J39" s="99" t="s">
        <v>90</v>
      </c>
      <c r="K39" s="107">
        <f>AVERAGE(K36:L36)-AVERAGE(K37:L37)</f>
        <v>2.4799999999999995</v>
      </c>
      <c r="L39" s="63"/>
      <c r="P39" s="99"/>
      <c r="Q39" s="106"/>
      <c r="S39" s="99"/>
      <c r="T39" s="101"/>
      <c r="W39" s="99"/>
      <c r="X39" s="120"/>
      <c r="Y39" s="13">
        <f>Y36+Y37</f>
        <v>-7275318.7537193298</v>
      </c>
      <c r="Z39" s="3"/>
      <c r="AC39" s="99"/>
      <c r="AD39" s="102"/>
    </row>
    <row r="40" spans="1:36">
      <c r="K40" s="63" t="e">
        <f>K39-K33</f>
        <v>#DIV/0!</v>
      </c>
      <c r="Q40" s="63"/>
      <c r="Y40" s="63">
        <f>Y39/S36</f>
        <v>-12010.431289672852</v>
      </c>
    </row>
    <row r="41" spans="1:36">
      <c r="I41" s="63">
        <f>I32-I38</f>
        <v>-0.75999999999999956</v>
      </c>
      <c r="K41" s="63" t="e">
        <f>K33-K39</f>
        <v>#DIV/0!</v>
      </c>
      <c r="Y41" s="63"/>
    </row>
    <row r="42" spans="1:36">
      <c r="H42">
        <v>1</v>
      </c>
      <c r="I42" s="63"/>
      <c r="L42" s="63">
        <f>AVERAGE(K43:L43)</f>
        <v>2.0449999999999999</v>
      </c>
      <c r="T42" s="63">
        <f>T43-S43</f>
        <v>-10.75</v>
      </c>
    </row>
    <row r="43" spans="1:36">
      <c r="A43" s="97" t="s">
        <v>199</v>
      </c>
      <c r="B43" t="s">
        <v>1174</v>
      </c>
      <c r="C43" t="str" cm="1">
        <f t="array" ref="C43">_xll.BDP(B43&amp;" Equity","OPT_UNDL_TICKER")</f>
        <v>QQQ US</v>
      </c>
      <c r="D43" t="str" cm="1">
        <f t="array" ref="D43">_xll.BDP($B43&amp;" Index","mifid_Maturity_date")</f>
        <v>06/02/2026</v>
      </c>
      <c r="E43" cm="1">
        <f t="array" ref="E43">_xll.BDP($B43&amp;" Index","opt_days_expire")</f>
        <v>1</v>
      </c>
      <c r="F43" t="str" cm="1">
        <f t="array" ref="F43">_xll.BDP(B43&amp;" Equity","QUOTED_CURRENCY_REALTIME")</f>
        <v>USD</v>
      </c>
      <c r="G43" s="103" t="s">
        <v>191</v>
      </c>
      <c r="H43" s="95">
        <v>500</v>
      </c>
      <c r="I43" s="96">
        <f>IF(G43="Buy",L43,K43)</f>
        <v>2.09</v>
      </c>
      <c r="J43" s="18">
        <f>I43/S43</f>
        <v>3.4502682624845231E-3</v>
      </c>
      <c r="K43" s="35" cm="1">
        <f t="array" ref="K43">_xll.BDP($B43&amp;" Equity","bid")</f>
        <v>2</v>
      </c>
      <c r="L43" s="35" cm="1">
        <f t="array" ref="L43">_xll.BDP($B43&amp;" Equity","ask")</f>
        <v>2.09</v>
      </c>
      <c r="M43" s="39">
        <f>(L43/K43-1)</f>
        <v>4.4999999999999929E-2</v>
      </c>
      <c r="N43" s="35" cm="1">
        <f t="array" ref="N43">_xll.BDP(F43&amp;" Curncy","PX_LAST")</f>
        <v>1</v>
      </c>
      <c r="O43" s="133" cm="1">
        <f t="array" ref="O43">_xll.BDP(B43&amp;" Equity","OPT_MULTIPLIER")</f>
        <v>100</v>
      </c>
      <c r="P43" s="15">
        <f>IF(G43="Buy",((I43/N43)*H43*O43),((I43/N43)*-H43*O43))</f>
        <v>104500</v>
      </c>
      <c r="Q43" s="57">
        <f>P43/'Master P&amp;L'!$AD$5*10000</f>
        <v>0.46526432952381669</v>
      </c>
      <c r="R43" s="36" t="e" cm="1">
        <f t="array" ref="R43">_xll.BDP($C43&amp;" Equity","EST_PE_NXT_YR")*(T43/S43)</f>
        <v>#VALUE!</v>
      </c>
      <c r="S43" s="35" cm="1">
        <f t="array" ref="S43">_xll.BDP(C43&amp;" Equity","LAST_PRICE")</f>
        <v>605.75</v>
      </c>
      <c r="T43" s="52" cm="1">
        <f t="array" ref="T43">_xll.BDP(B43&amp;" Equity","OPT_STRIKE_PX")</f>
        <v>595</v>
      </c>
      <c r="U43" s="39">
        <f>T43/S43-1</f>
        <v>-1.7746595130004095E-2</v>
      </c>
      <c r="V43" s="36" cm="1">
        <f t="array" ref="V43">_xll.BDP($B43&amp;" Equity","ivol_mid")</f>
        <v>27.988869999999999</v>
      </c>
      <c r="W43" s="37" cm="1">
        <f t="array" ref="W43">_xll.BDP(B43&amp;" Equity","DELTA_MID_RT")</f>
        <v>-0.23003534972667694</v>
      </c>
      <c r="X43" s="47">
        <f>Y43/'Master P&amp;L'!$AE$5</f>
        <v>-3.1019977177162792E-3</v>
      </c>
      <c r="Y43" s="15">
        <f>IF(G43="Sell", S43*W43*-H43*O43/N43, S43*W43*H43*O43/N43)</f>
        <v>-6967195.6548467278</v>
      </c>
      <c r="Z43" s="15" cm="1">
        <f t="array" ref="Z43">_xll.BDP($B43&amp;" Equity","opt_theta")*H43*O43/N43</f>
        <v>-41499.25</v>
      </c>
      <c r="AA43" s="18" cm="1">
        <f t="array" ref="AA43">_xll.BDP($B43&amp;" Equity","opt_theta")/I43</f>
        <v>-0.39712200956937799</v>
      </c>
      <c r="AB43" s="35" t="str" cm="1">
        <f t="array" ref="AB43">_xll.BDP($C43&amp;" Equity","EXPECTED_REPORT_DT")</f>
        <v>#N/A N/A</v>
      </c>
      <c r="AC43" s="15">
        <f>S43*H43*O43/N43</f>
        <v>30287500</v>
      </c>
      <c r="AD43" s="47">
        <f>AC43/'Master P&amp;L'!$AE$5</f>
        <v>1.3484874048279997E-2</v>
      </c>
      <c r="AE43" t="str">
        <f>B43&amp;" -&gt; Buy to open "&amp;H43&amp;"x"</f>
        <v>QQQ US 02/06/26 P595 -&gt; Buy to open 500x</v>
      </c>
      <c r="AJ43" t="s">
        <v>200</v>
      </c>
    </row>
    <row r="44" spans="1:36">
      <c r="A44" s="97" t="s">
        <v>199</v>
      </c>
      <c r="B44" t="s">
        <v>1175</v>
      </c>
      <c r="C44" t="str" cm="1">
        <f t="array" ref="C44">_xll.BDP(B44&amp;" Equity","OPT_UNDL_TICKER")</f>
        <v>QQQ US</v>
      </c>
      <c r="D44" t="str" cm="1">
        <f t="array" ref="D44">_xll.BDP($B44&amp;" Index","mifid_Maturity_date")</f>
        <v>06/02/2026</v>
      </c>
      <c r="E44" cm="1">
        <f t="array" ref="E44">_xll.BDP($B44&amp;" Index","opt_days_expire")</f>
        <v>1</v>
      </c>
      <c r="F44" t="str" cm="1">
        <f t="array" ref="F44">_xll.BDP(B44&amp;" Equity","QUOTED_CURRENCY_REALTIME")</f>
        <v>USD</v>
      </c>
      <c r="G44" s="103" t="s">
        <v>192</v>
      </c>
      <c r="H44" s="95">
        <f>H43</f>
        <v>500</v>
      </c>
      <c r="I44" s="96">
        <f>IF(G44="Buy",L44,K44)</f>
        <v>0.43</v>
      </c>
      <c r="J44" s="18">
        <f>I44/S44</f>
        <v>7.0986380520016504E-4</v>
      </c>
      <c r="K44" s="35" cm="1">
        <f t="array" ref="K44">_xll.BDP($B44&amp;" Equity","bid")</f>
        <v>0.43</v>
      </c>
      <c r="L44" s="35" cm="1">
        <f t="array" ref="L44">_xll.BDP($B44&amp;" Equity","ask")</f>
        <v>0.46</v>
      </c>
      <c r="M44" s="39">
        <f>(L44/K44-1)</f>
        <v>6.976744186046524E-2</v>
      </c>
      <c r="N44" s="35" cm="1">
        <f t="array" ref="N44">_xll.BDP(F44&amp;" Curncy","PX_LAST")</f>
        <v>1</v>
      </c>
      <c r="O44" s="133" cm="1">
        <f t="array" ref="O44">_xll.BDP(B44&amp;" Equity","OPT_MULTIPLIER")</f>
        <v>100</v>
      </c>
      <c r="P44" s="15">
        <f>IF(G44="Buy",((I44/N44)*H44*O44),((I44/N44)*-H44*O44))</f>
        <v>-21500</v>
      </c>
      <c r="Q44" s="57">
        <f>P44/'Master P&amp;L'!$AD$5*10000</f>
        <v>-9.5724240045569939E-2</v>
      </c>
      <c r="R44" s="36" t="e" cm="1">
        <f t="array" ref="R44">_xll.BDP($C44&amp;" Equity","EST_PE_NXT_YR")*(T44/S44)</f>
        <v>#VALUE!</v>
      </c>
      <c r="S44" s="35" cm="1">
        <f t="array" ref="S44">_xll.BDP(C44&amp;" Equity","LAST_PRICE")</f>
        <v>605.75</v>
      </c>
      <c r="T44" s="52" cm="1">
        <f t="array" ref="T44">_xll.BDP(B44&amp;" Equity","OPT_STRIKE_PX")</f>
        <v>580</v>
      </c>
      <c r="U44" s="39">
        <f>T44/S44-1</f>
        <v>-4.2509286009079661E-2</v>
      </c>
      <c r="V44" s="36" cm="1">
        <f t="array" ref="V44">_xll.BDP($B44&amp;" Equity","ivol_mid")</f>
        <v>31.664180000000002</v>
      </c>
      <c r="W44" s="37" cm="1">
        <f t="array" ref="W44">_xll.BDP(B44&amp;" Equity","DELTA_MID_RT")</f>
        <v>-5.9713643044233322E-2</v>
      </c>
      <c r="X44" s="47">
        <f>Y44/'Master P&amp;L'!$AE$5</f>
        <v>8.0523095541543729E-4</v>
      </c>
      <c r="Y44" s="15">
        <f>IF(G44="Sell", S44*W44*-H44*O44/N44, S44*W44*H44*O44/N44)</f>
        <v>1808576.9637022167</v>
      </c>
      <c r="Z44" s="15" cm="1">
        <f t="array" ref="Z44">_xll.BDP($B44&amp;" Equity","opt_theta")*H44*O44/N44</f>
        <v>-15309</v>
      </c>
      <c r="AA44" s="18" cm="1">
        <f t="array" ref="AA44">_xll.BDP($B44&amp;" Equity","opt_theta")/I44</f>
        <v>-0.712046511627907</v>
      </c>
      <c r="AB44" s="35" t="str" cm="1">
        <f t="array" ref="AB44">_xll.BDP($C44&amp;" Equity","EXPECTED_REPORT_DT")</f>
        <v>#N/A N/A</v>
      </c>
      <c r="AC44" s="15">
        <f>S44*H44*O44/N44</f>
        <v>30287500</v>
      </c>
      <c r="AD44" s="47">
        <f>AC44/'Master P&amp;L'!$AE$5</f>
        <v>1.3484874048279997E-2</v>
      </c>
      <c r="AE44" t="str">
        <f>B44&amp;" -&gt; Buy to open "&amp;H44&amp;"x"</f>
        <v>QQQ US 02/06/26 P580 -&gt; Buy to open 500x</v>
      </c>
      <c r="AJ44" t="s">
        <v>200</v>
      </c>
    </row>
    <row r="45" spans="1:36">
      <c r="H45" s="99" t="s">
        <v>64</v>
      </c>
      <c r="I45" s="101">
        <f>I43-I44</f>
        <v>1.66</v>
      </c>
      <c r="J45" s="99" t="s">
        <v>193</v>
      </c>
      <c r="K45" s="100">
        <f>K44/L43</f>
        <v>0.20574162679425839</v>
      </c>
      <c r="L45" s="63"/>
      <c r="P45" s="99" t="s">
        <v>194</v>
      </c>
      <c r="Q45" s="106">
        <f>Q43+Q44</f>
        <v>0.36954008947824674</v>
      </c>
      <c r="S45" s="99" t="s">
        <v>195</v>
      </c>
      <c r="T45" s="101">
        <f>T43-T44</f>
        <v>15</v>
      </c>
      <c r="W45" s="99" t="s">
        <v>196</v>
      </c>
      <c r="X45" s="120">
        <f>X43+X44</f>
        <v>-2.2967667623008418E-3</v>
      </c>
      <c r="Y45" s="13">
        <f>Y43+Y44</f>
        <v>-5158618.6911445111</v>
      </c>
      <c r="AC45" s="99" t="s">
        <v>173</v>
      </c>
      <c r="AD45" s="120">
        <f>AD43</f>
        <v>1.3484874048279997E-2</v>
      </c>
    </row>
    <row r="46" spans="1:36">
      <c r="H46" s="99" t="s">
        <v>197</v>
      </c>
      <c r="I46" s="101">
        <f>(T45-I45)/I45</f>
        <v>8.0361445783132535</v>
      </c>
      <c r="J46" s="99" t="s">
        <v>90</v>
      </c>
      <c r="K46" s="107">
        <f>AVERAGE(K43:L43)-AVERAGE(K44:L44)</f>
        <v>1.5999999999999999</v>
      </c>
      <c r="P46" s="99"/>
      <c r="Q46" s="106"/>
      <c r="S46" s="99"/>
      <c r="T46" s="101"/>
      <c r="W46" s="99"/>
      <c r="X46" s="120"/>
      <c r="Z46" s="3">
        <f>Y45/S43</f>
        <v>-8516.0853341221809</v>
      </c>
      <c r="AC46" s="99"/>
      <c r="AD46" s="102"/>
    </row>
    <row r="48" spans="1:36">
      <c r="H48">
        <v>1</v>
      </c>
      <c r="I48" s="63"/>
      <c r="K48" s="63"/>
      <c r="L48" s="63"/>
      <c r="P48" s="13"/>
    </row>
    <row r="49" spans="1:38" s="58" customFormat="1">
      <c r="O49" s="134"/>
      <c r="X49" s="124"/>
      <c r="Y49" s="78"/>
      <c r="AL49" s="14"/>
    </row>
    <row r="51" spans="1:38">
      <c r="H51">
        <v>0.5</v>
      </c>
      <c r="K51" t="e">
        <f>K53/L54</f>
        <v>#VALUE!</v>
      </c>
    </row>
    <row r="52" spans="1:38">
      <c r="A52" s="97" t="s">
        <v>199</v>
      </c>
      <c r="B52" s="58" t="s">
        <v>410</v>
      </c>
      <c r="C52" t="str" cm="1">
        <f t="array" ref="C52">_xll.BDP(B52&amp;" Index","OPT_UNDL_TICKER")</f>
        <v>4EU5</v>
      </c>
      <c r="D52" t="str" cm="1">
        <f t="array" ref="D52">_xll.BDP($B52&amp;" Index","mifid_Maturity_date")</f>
        <v>27/06/2025</v>
      </c>
      <c r="E52" cm="1">
        <f t="array" ref="E52">_xll.BDP($B52&amp;" Index","opt_days_expire")</f>
        <v>-223</v>
      </c>
      <c r="F52" t="str" cm="1">
        <f t="array" ref="F52">_xll.BDP(B52&amp;" Index","QUOTED_CURRENCY_REALTIME")</f>
        <v>#N/A Real Time</v>
      </c>
      <c r="G52" s="103" t="s">
        <v>192</v>
      </c>
      <c r="H52" s="95">
        <f>H51*H53</f>
        <v>75</v>
      </c>
      <c r="I52" s="96" t="str">
        <f>IF(G52="Buy",L52,K52)</f>
        <v>#N/A Real Time</v>
      </c>
      <c r="J52" s="18" t="e">
        <f>I52/S52</f>
        <v>#VALUE!</v>
      </c>
      <c r="K52" s="35" t="str" cm="1">
        <f t="array" ref="K52">_xll.BDP($B52&amp;" Index","bid")</f>
        <v>#N/A Real Time</v>
      </c>
      <c r="L52" s="35" t="str" cm="1">
        <f t="array" ref="L52">_xll.BDP($B52&amp;" Index","ask")</f>
        <v>#N/A Real Time</v>
      </c>
      <c r="M52" s="39" t="e">
        <f>(L52/K52-1)</f>
        <v>#VALUE!</v>
      </c>
      <c r="N52" s="35" t="str">
        <f>_xll.BDP(F52&amp;" Curncy","PX_LAST")</f>
        <v>#N/A Real Time Curncy</v>
      </c>
      <c r="O52" s="133">
        <v>50</v>
      </c>
      <c r="P52" s="15" t="e">
        <f>IF(G52="Buy",((I52/N52)*H52*O52),((I52/N52)*-H52*O52))</f>
        <v>#VALUE!</v>
      </c>
      <c r="Q52" s="57" t="e">
        <f>P52/'Master P&amp;L'!$AD$5*10000</f>
        <v>#VALUE!</v>
      </c>
      <c r="R52" s="36" t="e" cm="1">
        <f t="array" ref="R52">_xll.BDP($C52&amp;" Index","EST_PE_NXT_YR")*(T52/S52)</f>
        <v>#VALUE!</v>
      </c>
      <c r="S52" s="35" t="str" cm="1">
        <f t="array" ref="S52">_xll.BDP(C52&amp;" Index","LAST_PRICE")</f>
        <v>#N/A Real Time</v>
      </c>
      <c r="T52" s="52" cm="1">
        <f t="array" ref="T52">_xll.BDP(B52&amp;" Index","OPT_STRIKE_PX")</f>
        <v>6300</v>
      </c>
      <c r="U52" s="39" t="e">
        <f>T52/S52-1</f>
        <v>#VALUE!</v>
      </c>
      <c r="V52" s="36" t="str" cm="1">
        <f t="array" ref="V52">_xll.BDP($B52&amp;" Index","ivol_mid")</f>
        <v>#N/A Field Not Applicable</v>
      </c>
      <c r="W52" s="37" t="str" cm="1">
        <f t="array" ref="W52">_xll.BDP(B52&amp;" Index","DELTA_MID_RT")</f>
        <v>#N/A Real Time</v>
      </c>
      <c r="X52" s="47" t="e">
        <f>Y52/'Master P&amp;L'!$AE$5</f>
        <v>#VALUE!</v>
      </c>
      <c r="Y52" s="15" t="e">
        <f>IF(G52="Sell", S52*W52*-H52*O52/N52, S52*W52*H52*O52/N52)</f>
        <v>#VALUE!</v>
      </c>
      <c r="Z52" s="15" t="e" cm="1">
        <f t="array" ref="Z52">_xll.BDP($B52&amp;" Index","opt_theta")*H52*O52/N52</f>
        <v>#VALUE!</v>
      </c>
      <c r="AA52" s="123" t="e" cm="1">
        <f t="array" ref="AA52">_xll.BDP($B52&amp;" Index","opt_theta")/I52</f>
        <v>#VALUE!</v>
      </c>
      <c r="AB52" s="35" t="str" cm="1">
        <f t="array" ref="AB52">_xll.BDP($C52&amp;" Index","EXPECTED_REPORT_DT")</f>
        <v>#N/A Field Not Applicable</v>
      </c>
      <c r="AC52" s="15" t="e">
        <f>S52*H52*O52/N52</f>
        <v>#VALUE!</v>
      </c>
      <c r="AD52" s="47" t="e">
        <f>AC52/'Master P&amp;L'!$AE$5</f>
        <v>#VALUE!</v>
      </c>
      <c r="AG52" t="str">
        <f>B52&amp;" -&gt; Buy to open "&amp;H52&amp;"x"</f>
        <v>4EM5C    6300 -&gt; Buy to open 75x</v>
      </c>
    </row>
    <row r="53" spans="1:38">
      <c r="A53" s="97" t="s">
        <v>199</v>
      </c>
      <c r="B53" s="58" t="s">
        <v>413</v>
      </c>
      <c r="C53" t="str" cm="1">
        <f t="array" ref="C53">_xll.BDP(B53&amp;" Index","OPT_UNDL_TICKER")</f>
        <v>4EU5</v>
      </c>
      <c r="D53" t="str" cm="1">
        <f t="array" ref="D53">_xll.BDP($B53&amp;" Index","mifid_Maturity_date")</f>
        <v>27/06/2025</v>
      </c>
      <c r="E53" cm="1">
        <f t="array" ref="E53">_xll.BDP($B53&amp;" Index","opt_days_expire")</f>
        <v>-223</v>
      </c>
      <c r="F53" t="str" cm="1">
        <f t="array" ref="F53">_xll.BDP(B53&amp;" Index","QUOTED_CURRENCY_REALTIME")</f>
        <v>#N/A Real Time</v>
      </c>
      <c r="G53" s="103" t="s">
        <v>191</v>
      </c>
      <c r="H53" s="95">
        <v>150</v>
      </c>
      <c r="I53" s="96" t="str">
        <f>IF(G53="Buy",L53,K53)</f>
        <v>#N/A Real Time</v>
      </c>
      <c r="J53" s="18" t="e">
        <f>I53/S53</f>
        <v>#VALUE!</v>
      </c>
      <c r="K53" s="35" t="str" cm="1">
        <f t="array" ref="K53">_xll.BDP($B53&amp;" Index","bid")</f>
        <v>#N/A Real Time</v>
      </c>
      <c r="L53" s="35" t="str" cm="1">
        <f t="array" ref="L53">_xll.BDP($B53&amp;" Index","ask")</f>
        <v>#N/A Real Time</v>
      </c>
      <c r="M53" s="39" t="e">
        <f>(L53/K53-1)</f>
        <v>#VALUE!</v>
      </c>
      <c r="N53" s="35" t="str">
        <f>_xll.BDP(F53&amp;" Curncy","PX_LAST")</f>
        <v>#N/A Real Time Curncy</v>
      </c>
      <c r="O53" s="133">
        <v>50</v>
      </c>
      <c r="P53" s="15" t="e">
        <f>IF(G53="Buy",((I53/N53)*H53*O53),((I53/N53)*-H53*O53))</f>
        <v>#VALUE!</v>
      </c>
      <c r="Q53" s="57" t="e">
        <f>P53/'Master P&amp;L'!$AD$5*10000</f>
        <v>#VALUE!</v>
      </c>
      <c r="R53" s="36" t="e" cm="1">
        <f t="array" ref="R53">_xll.BDP($C53&amp;" Index","EST_PE_NXT_YR")*(T53/S53)</f>
        <v>#VALUE!</v>
      </c>
      <c r="S53" s="35" t="str" cm="1">
        <f t="array" ref="S53">_xll.BDP(C53&amp;" Index","LAST_PRICE")</f>
        <v>#N/A Real Time</v>
      </c>
      <c r="T53" s="52" cm="1">
        <f t="array" ref="T53">_xll.BDP(B53&amp;" Index","OPT_STRIKE_PX")</f>
        <v>6025</v>
      </c>
      <c r="U53" s="39" t="e">
        <f>T53/S53-1</f>
        <v>#VALUE!</v>
      </c>
      <c r="V53" s="36" t="str" cm="1">
        <f t="array" ref="V53">_xll.BDP($B53&amp;" Index","ivol_mid")</f>
        <v>#N/A Field Not Applicable</v>
      </c>
      <c r="W53" s="37" t="str" cm="1">
        <f t="array" ref="W53">_xll.BDP(B53&amp;" Index","DELTA_MID_RT")</f>
        <v>#N/A Real Time</v>
      </c>
      <c r="X53" s="47" t="e">
        <f>Y53/'Master P&amp;L'!$AE$5</f>
        <v>#VALUE!</v>
      </c>
      <c r="Y53" s="15" t="e">
        <f>IF(G53="Sell", S53*W53*-H53*O53/N53, S53*W53*H53*O53/N53)</f>
        <v>#VALUE!</v>
      </c>
      <c r="Z53" s="15" t="e" cm="1">
        <f t="array" ref="Z53">_xll.BDP($B53&amp;" Index","opt_theta")*H53*O53/N53</f>
        <v>#VALUE!</v>
      </c>
      <c r="AA53" s="123" t="e" cm="1">
        <f t="array" ref="AA53">_xll.BDP($B53&amp;" Index","opt_theta")/I53</f>
        <v>#VALUE!</v>
      </c>
      <c r="AB53" s="35" t="str" cm="1">
        <f t="array" ref="AB53">_xll.BDP($C53&amp;" Index","EXPECTED_REPORT_DT")</f>
        <v>#N/A Field Not Applicable</v>
      </c>
      <c r="AC53" s="15" t="e">
        <f>S53*H53*O53/N53</f>
        <v>#VALUE!</v>
      </c>
      <c r="AD53" s="47" t="e">
        <f>AC53/'Master P&amp;L'!$AE$5</f>
        <v>#VALUE!</v>
      </c>
      <c r="AG53" t="str">
        <f>B53&amp;" -&gt; Buy to open "&amp;H53&amp;"x"</f>
        <v>4EM5P    6025 -&gt; Buy to open 150x</v>
      </c>
    </row>
    <row r="54" spans="1:38">
      <c r="A54" s="97" t="s">
        <v>199</v>
      </c>
      <c r="B54" s="58" t="s">
        <v>409</v>
      </c>
      <c r="C54" t="str" cm="1">
        <f t="array" ref="C54">_xll.BDP(B54&amp;" Index","OPT_UNDL_TICKER")</f>
        <v>4EU5</v>
      </c>
      <c r="D54" t="str" cm="1">
        <f t="array" ref="D54">_xll.BDP($B54&amp;" Index","mifid_Maturity_date")</f>
        <v>27/06/2025</v>
      </c>
      <c r="E54" cm="1">
        <f t="array" ref="E54">_xll.BDP($B54&amp;" Index","opt_days_expire")</f>
        <v>-223</v>
      </c>
      <c r="F54" t="str" cm="1">
        <f t="array" ref="F54">_xll.BDP(B54&amp;" Index","QUOTED_CURRENCY_REALTIME")</f>
        <v>#N/A Real Time</v>
      </c>
      <c r="G54" s="103" t="s">
        <v>192</v>
      </c>
      <c r="H54" s="95">
        <f>H53</f>
        <v>150</v>
      </c>
      <c r="I54" s="96" t="str">
        <f>IF(G54="Buy",L54,K54)</f>
        <v>#N/A Real Time</v>
      </c>
      <c r="J54" s="18" t="e">
        <f>I54/S54</f>
        <v>#VALUE!</v>
      </c>
      <c r="K54" s="35" t="str" cm="1">
        <f t="array" ref="K54">_xll.BDP($B54&amp;" Index","bid")</f>
        <v>#N/A Real Time</v>
      </c>
      <c r="L54" s="35" t="str" cm="1">
        <f t="array" ref="L54">_xll.BDP($B54&amp;" Index","ask")</f>
        <v>#N/A Real Time</v>
      </c>
      <c r="M54" s="39" t="e">
        <f>(L54/K54-1)</f>
        <v>#VALUE!</v>
      </c>
      <c r="N54" s="35" t="str">
        <f>_xll.BDP(F54&amp;" Curncy","PX_LAST")</f>
        <v>#N/A Real Time Curncy</v>
      </c>
      <c r="O54" s="133">
        <v>50</v>
      </c>
      <c r="P54" s="15" t="e">
        <f>IF(G54="Buy",((I54/N54)*H54*O54),((I54/N54)*-H54*O54))</f>
        <v>#VALUE!</v>
      </c>
      <c r="Q54" s="57" t="e">
        <f>P54/'Master P&amp;L'!$AD$5*10000</f>
        <v>#VALUE!</v>
      </c>
      <c r="R54" s="36" t="e" cm="1">
        <f t="array" ref="R54">_xll.BDP($C54&amp;" Index","EST_PE_NXT_YR")*(T54/S54)</f>
        <v>#VALUE!</v>
      </c>
      <c r="S54" s="35" t="str" cm="1">
        <f t="array" ref="S54">_xll.BDP(C54&amp;" Index","LAST_PRICE")</f>
        <v>#N/A Real Time</v>
      </c>
      <c r="T54" s="52" cm="1">
        <f t="array" ref="T54">_xll.BDP(B54&amp;" Index","OPT_STRIKE_PX")</f>
        <v>5800</v>
      </c>
      <c r="U54" s="39" t="e">
        <f>T54/S54-1</f>
        <v>#VALUE!</v>
      </c>
      <c r="V54" s="36" t="str" cm="1">
        <f t="array" ref="V54">_xll.BDP($B54&amp;" Index","ivol_mid")</f>
        <v>#N/A Field Not Applicable</v>
      </c>
      <c r="W54" s="37" t="str" cm="1">
        <f t="array" ref="W54">_xll.BDP(B54&amp;" Index","DELTA_MID_RT")</f>
        <v>#N/A Real Time</v>
      </c>
      <c r="X54" s="47" t="e">
        <f>Y54/'Master P&amp;L'!$AE$5</f>
        <v>#VALUE!</v>
      </c>
      <c r="Y54" s="15" t="e">
        <f>IF(G54="Sell", S54*W54*-H54*O54/N54, S54*W54*H54*O54/N54)</f>
        <v>#VALUE!</v>
      </c>
      <c r="Z54" s="15" t="e" cm="1">
        <f t="array" ref="Z54">_xll.BDP($B54&amp;" Index","opt_theta")*H54*O54/N54</f>
        <v>#VALUE!</v>
      </c>
      <c r="AA54" s="123" t="e" cm="1">
        <f t="array" ref="AA54">_xll.BDP($B54&amp;" Index","opt_theta")/I54</f>
        <v>#VALUE!</v>
      </c>
      <c r="AB54" s="35" t="str" cm="1">
        <f t="array" ref="AB54">_xll.BDP($C54&amp;" Index","EXPECTED_REPORT_DT")</f>
        <v>#N/A Field Not Applicable</v>
      </c>
      <c r="AC54" s="15" t="e">
        <f>S54*H54*O54/N54</f>
        <v>#VALUE!</v>
      </c>
      <c r="AD54" s="47" t="e">
        <f>AC54/'Master P&amp;L'!$AE$5</f>
        <v>#VALUE!</v>
      </c>
      <c r="AG54" t="str">
        <f>B54&amp;" -&gt; Buy to open "&amp;H54&amp;"x"</f>
        <v>4EM5P    5800 -&gt; Buy to open 150x</v>
      </c>
    </row>
    <row r="55" spans="1:38">
      <c r="H55" s="99" t="s">
        <v>64</v>
      </c>
      <c r="I55" s="101" t="e">
        <f>I53-I52-I54</f>
        <v>#VALUE!</v>
      </c>
      <c r="J55" s="99" t="s">
        <v>193</v>
      </c>
      <c r="K55" s="100" t="e">
        <f>K54/L53</f>
        <v>#VALUE!</v>
      </c>
      <c r="P55" s="127" t="e">
        <f>P53+P54+P52</f>
        <v>#VALUE!</v>
      </c>
      <c r="Q55" s="57" t="e">
        <f>P55/'Master P&amp;L'!$AD$5*10000</f>
        <v>#VALUE!</v>
      </c>
      <c r="S55" s="99" t="s">
        <v>195</v>
      </c>
      <c r="T55" s="101">
        <f>T53-T54</f>
        <v>225</v>
      </c>
      <c r="W55" s="99" t="s">
        <v>196</v>
      </c>
      <c r="X55" s="120" t="e">
        <f>X53+X54+X52</f>
        <v>#VALUE!</v>
      </c>
      <c r="AC55" s="99" t="s">
        <v>173</v>
      </c>
      <c r="AD55" s="120" t="e">
        <f>AD53</f>
        <v>#VALUE!</v>
      </c>
    </row>
    <row r="56" spans="1:38">
      <c r="H56" s="99" t="s">
        <v>197</v>
      </c>
      <c r="I56" s="101" t="e">
        <f>(T55-I55)/I55</f>
        <v>#VALUE!</v>
      </c>
      <c r="J56" s="99" t="s">
        <v>90</v>
      </c>
      <c r="K56" s="107" t="e">
        <f>-AVERAGE(K52:L52)+AVERAGE(K53:L53)-AVERAGE(K54:L54)</f>
        <v>#DIV/0!</v>
      </c>
      <c r="P56" s="99"/>
      <c r="Q56" s="106"/>
      <c r="S56" s="99"/>
      <c r="T56" s="101"/>
      <c r="W56" s="99"/>
      <c r="X56" s="120"/>
      <c r="Y56" s="13" t="e">
        <f>(Y52+Y53+Y54)/S53</f>
        <v>#VALUE!</v>
      </c>
      <c r="AC56" s="99"/>
      <c r="AD56" s="102"/>
    </row>
    <row r="57" spans="1:38">
      <c r="K57" s="63" t="e">
        <f>K53-K54</f>
        <v>#VALUE!</v>
      </c>
      <c r="L57" s="63" t="e">
        <f>L53-L54</f>
        <v>#VALUE!</v>
      </c>
    </row>
    <row r="58" spans="1:38">
      <c r="H58">
        <v>1</v>
      </c>
    </row>
    <row r="60" spans="1:38">
      <c r="A60" s="97" t="s">
        <v>199</v>
      </c>
      <c r="B60" s="250" t="s">
        <v>570</v>
      </c>
      <c r="C60" t="str" cm="1">
        <f t="array" ref="C60">_xll.BDP(B60&amp;" Index","OPT_UNDL_TICKER")</f>
        <v>RUWZ5</v>
      </c>
      <c r="D60" t="str" cm="1">
        <f t="array" ref="D60">_xll.BDP($B60&amp;" Index","mifid_Maturity_date")</f>
        <v>19/09/2025</v>
      </c>
      <c r="E60" cm="1">
        <f t="array" ref="E60">_xll.BDP($B60&amp;" Index","opt_days_expire")</f>
        <v>-139</v>
      </c>
      <c r="F60" t="str" cm="1">
        <f t="array" ref="F60">_xll.BDP(B60&amp;" Index","QUOTED_CURRENCY_REALTIME")</f>
        <v>#N/A Real Time</v>
      </c>
      <c r="G60" s="103" t="s">
        <v>191</v>
      </c>
      <c r="H60" s="95">
        <v>175</v>
      </c>
      <c r="I60" s="96" t="str">
        <f>IF(G60="Buy",L60,K60)</f>
        <v>#N/A Real Time</v>
      </c>
      <c r="J60" s="18" t="e">
        <f>I60/S60</f>
        <v>#VALUE!</v>
      </c>
      <c r="K60" s="35" t="str" cm="1">
        <f t="array" ref="K60">_xll.BDP($B60&amp;" Index","bid")</f>
        <v>#N/A Real Time</v>
      </c>
      <c r="L60" s="35" t="str" cm="1">
        <f t="array" ref="L60">_xll.BDP($B60&amp;" Index","ask")</f>
        <v>#N/A Real Time</v>
      </c>
      <c r="M60" s="39" t="e">
        <f>(L60/K60-1)</f>
        <v>#VALUE!</v>
      </c>
      <c r="N60" s="35" t="str" cm="1">
        <f t="array" ref="N60">_xll.BDP(F60&amp;" Curncy","PX_LAST")</f>
        <v>#N/A Real Time Curncy</v>
      </c>
      <c r="O60" s="133">
        <v>50</v>
      </c>
      <c r="P60" s="15" t="e">
        <f>IF(G60="Buy",((I60/N60)*H60*O60),((I60/N60)*-H60*O60))</f>
        <v>#VALUE!</v>
      </c>
      <c r="Q60" s="57" t="e">
        <f>P60/'Master P&amp;L'!$AD$5*10000</f>
        <v>#VALUE!</v>
      </c>
      <c r="R60" s="36" t="e" cm="1">
        <f t="array" ref="R60">_xll.BDP($C60&amp;" Index","EST_PE_NXT_YR")*(T60/S60)</f>
        <v>#VALUE!</v>
      </c>
      <c r="S60" s="35" t="str" cm="1">
        <f t="array" ref="S60">_xll.BDP(C60&amp;" Index","LAST_PRICE")</f>
        <v>#N/A Real Time</v>
      </c>
      <c r="T60" s="52" cm="1">
        <f t="array" ref="T60">_xll.BDP(B60&amp;" Index","OPT_STRIKE_PX")</f>
        <v>2425</v>
      </c>
      <c r="U60" s="39" t="e">
        <f>T60/S60-1</f>
        <v>#VALUE!</v>
      </c>
      <c r="V60" s="36" t="str" cm="1">
        <f t="array" ref="V60">_xll.BDP($B60&amp;" Index","ivol_mid")</f>
        <v>#N/A Field Not Applicable</v>
      </c>
      <c r="W60" s="37" t="str" cm="1">
        <f t="array" ref="W60">_xll.BDP(B60&amp;" Index","DELTA_MID_RT")</f>
        <v>#N/A Real Time</v>
      </c>
      <c r="X60" s="47" t="e">
        <f>Y60/'Master P&amp;L'!$AE$5</f>
        <v>#VALUE!</v>
      </c>
      <c r="Y60" s="15" t="e">
        <f>IF(G60="Sell", S60*W60*-H60*O60/N60, S60*W60*H60*O60/N60)</f>
        <v>#VALUE!</v>
      </c>
      <c r="Z60" s="15" t="e" cm="1">
        <f t="array" ref="Z60">_xll.BDP($B60&amp;" Index","opt_theta")*H60*O60/N60</f>
        <v>#VALUE!</v>
      </c>
      <c r="AA60" s="123" t="e" cm="1">
        <f t="array" ref="AA60">_xll.BDP($B60&amp;" Index","opt_theta")/I60</f>
        <v>#VALUE!</v>
      </c>
      <c r="AB60" s="35" t="str" cm="1">
        <f t="array" ref="AB60">_xll.BDP($C60&amp;" Index","EXPECTED_REPORT_DT")</f>
        <v>#N/A Field Not Applicable</v>
      </c>
      <c r="AC60" s="15" t="e">
        <f>S60*H60*O60/N60</f>
        <v>#VALUE!</v>
      </c>
      <c r="AD60" s="47" t="e">
        <f>AC60/'Master P&amp;L'!$AE$5</f>
        <v>#VALUE!</v>
      </c>
      <c r="AG60" t="str">
        <f>B60&amp;" -&gt; Buy to open "&amp;H60&amp;"x"</f>
        <v>RTYWU5C3 2425 -&gt; Buy to open 175x</v>
      </c>
    </row>
    <row r="61" spans="1:38">
      <c r="A61" s="97" t="s">
        <v>199</v>
      </c>
      <c r="B61" s="250" t="s">
        <v>571</v>
      </c>
      <c r="C61" t="str" cm="1">
        <f t="array" ref="C61">_xll.BDP(B61&amp;" Index","OPT_UNDL_TICKER")</f>
        <v>RUWZ5</v>
      </c>
      <c r="D61" t="str" cm="1">
        <f t="array" ref="D61">_xll.BDP($B61&amp;" Index","mifid_Maturity_date")</f>
        <v>19/09/2025</v>
      </c>
      <c r="E61" cm="1">
        <f t="array" ref="E61">_xll.BDP($B61&amp;" Index","opt_days_expire")</f>
        <v>-139</v>
      </c>
      <c r="F61" t="str" cm="1">
        <f t="array" ref="F61">_xll.BDP(B61&amp;" Index","QUOTED_CURRENCY_REALTIME")</f>
        <v>#N/A Real Time</v>
      </c>
      <c r="G61" s="103" t="s">
        <v>192</v>
      </c>
      <c r="H61" s="95">
        <f>H60</f>
        <v>175</v>
      </c>
      <c r="I61" s="96" t="str">
        <f>IF(G61="Buy",L61,K61)</f>
        <v>#N/A Real Time</v>
      </c>
      <c r="J61" s="18" t="e">
        <f>I61/S61</f>
        <v>#VALUE!</v>
      </c>
      <c r="K61" s="35" t="str" cm="1">
        <f t="array" ref="K61">_xll.BDP($B61&amp;" Index","bid")</f>
        <v>#N/A Real Time</v>
      </c>
      <c r="L61" s="35" t="str" cm="1">
        <f t="array" ref="L61">_xll.BDP($B61&amp;" Index","ask")</f>
        <v>#N/A Real Time</v>
      </c>
      <c r="M61" s="39" t="e">
        <f>(L61/K61-1)</f>
        <v>#VALUE!</v>
      </c>
      <c r="N61" s="35" t="str">
        <f>_xll.BDP(F61&amp;" Curncy","PX_LAST")</f>
        <v>#N/A Real Time Curncy</v>
      </c>
      <c r="O61" s="133">
        <v>50</v>
      </c>
      <c r="P61" s="15" t="e">
        <f>IF(G61="Buy",((I61/N61)*H61*O61),((I61/N61)*-H61*O61))</f>
        <v>#VALUE!</v>
      </c>
      <c r="Q61" s="57" t="e">
        <f>P61/'Master P&amp;L'!$AD$5*10000</f>
        <v>#VALUE!</v>
      </c>
      <c r="R61" s="36" t="e" cm="1">
        <f t="array" ref="R61">_xll.BDP($C61&amp;" Index","EST_PE_NXT_YR")*(T61/S61)</f>
        <v>#VALUE!</v>
      </c>
      <c r="S61" s="35" t="str" cm="1">
        <f t="array" ref="S61">_xll.BDP(C61&amp;" Index","LAST_PRICE")</f>
        <v>#N/A Real Time</v>
      </c>
      <c r="T61" s="52" cm="1">
        <f t="array" ref="T61">_xll.BDP(B61&amp;" Index","OPT_STRIKE_PX")</f>
        <v>2500</v>
      </c>
      <c r="U61" s="39" t="e">
        <f>T61/S61-1</f>
        <v>#VALUE!</v>
      </c>
      <c r="V61" s="36" t="str" cm="1">
        <f t="array" ref="V61">_xll.BDP($B61&amp;" Index","ivol_mid")</f>
        <v>#N/A Field Not Applicable</v>
      </c>
      <c r="W61" s="37" t="str" cm="1">
        <f t="array" ref="W61">_xll.BDP(B61&amp;" Index","DELTA_MID_RT")</f>
        <v>#N/A Real Time</v>
      </c>
      <c r="X61" s="47" t="e">
        <f>Y61/'Master P&amp;L'!$AE$5</f>
        <v>#VALUE!</v>
      </c>
      <c r="Y61" s="15" t="e">
        <f>IF(G61="Sell", S61*W61*-H61*O61/N61, S61*W61*H61*O61/N61)</f>
        <v>#VALUE!</v>
      </c>
      <c r="Z61" s="15" t="e" cm="1">
        <f t="array" ref="Z61">_xll.BDP($B61&amp;" Index","opt_theta")*H61*O61/N61</f>
        <v>#VALUE!</v>
      </c>
      <c r="AA61" s="123" t="e" cm="1">
        <f t="array" ref="AA61">_xll.BDP($B61&amp;" Index","opt_theta")/I61</f>
        <v>#VALUE!</v>
      </c>
      <c r="AB61" s="35" t="str" cm="1">
        <f t="array" ref="AB61">_xll.BDP($C61&amp;" Index","EXPECTED_REPORT_DT")</f>
        <v>#N/A Field Not Applicable</v>
      </c>
      <c r="AC61" s="15" t="e">
        <f>S61*H61*O61/N61</f>
        <v>#VALUE!</v>
      </c>
      <c r="AD61" s="47" t="e">
        <f>AC61/'Master P&amp;L'!$AE$5</f>
        <v>#VALUE!</v>
      </c>
      <c r="AG61" t="str">
        <f>B61&amp;" -&gt; Buy to open "&amp;H61&amp;"x"</f>
        <v>RTYWU5C3 2500 -&gt; Buy to open 175x</v>
      </c>
    </row>
    <row r="62" spans="1:38">
      <c r="H62" s="99" t="s">
        <v>64</v>
      </c>
      <c r="I62" s="101" t="e">
        <f>I60-I61</f>
        <v>#VALUE!</v>
      </c>
      <c r="J62" s="99" t="s">
        <v>193</v>
      </c>
      <c r="K62" s="100" t="e">
        <f>K61/L60</f>
        <v>#VALUE!</v>
      </c>
      <c r="P62" s="99" t="s">
        <v>194</v>
      </c>
      <c r="Q62" s="106" t="e">
        <f>Q60+Q61</f>
        <v>#VALUE!</v>
      </c>
      <c r="S62" s="99" t="s">
        <v>195</v>
      </c>
      <c r="T62" s="101">
        <f>T61-T60</f>
        <v>75</v>
      </c>
      <c r="W62" s="99" t="s">
        <v>196</v>
      </c>
      <c r="X62" s="120" t="e">
        <f>X60+X61</f>
        <v>#VALUE!</v>
      </c>
      <c r="AC62" s="99" t="s">
        <v>173</v>
      </c>
      <c r="AD62" s="120" t="e">
        <f>AD60</f>
        <v>#VALUE!</v>
      </c>
    </row>
    <row r="63" spans="1:38">
      <c r="H63" s="99" t="s">
        <v>197</v>
      </c>
      <c r="I63" s="101" t="e">
        <f>(T62-I62)/I62</f>
        <v>#VALUE!</v>
      </c>
      <c r="J63" s="99" t="s">
        <v>90</v>
      </c>
      <c r="K63" s="107" t="e">
        <f>AVERAGE(K60:L60)-AVERAGE(K61:L61)</f>
        <v>#DIV/0!</v>
      </c>
      <c r="P63" s="99"/>
      <c r="Q63" s="106"/>
      <c r="S63" s="99"/>
      <c r="T63" s="101"/>
      <c r="W63" s="99"/>
      <c r="X63" s="120"/>
      <c r="Y63" s="206" t="e">
        <f>(Y60+Y61)/S60/O60</f>
        <v>#VALUE!</v>
      </c>
      <c r="AC63" s="99"/>
      <c r="AD63" s="102"/>
    </row>
    <row r="64" spans="1:38">
      <c r="K64" s="63" t="e">
        <f>K60-K61</f>
        <v>#VALUE!</v>
      </c>
      <c r="L64" s="63" t="e">
        <f>L60-L61</f>
        <v>#VALUE!</v>
      </c>
      <c r="Q64" s="49" t="e">
        <f>Q55+Q62</f>
        <v>#VALUE!</v>
      </c>
    </row>
    <row r="65" spans="1:33">
      <c r="K65" s="63" t="e">
        <f>K57-K64</f>
        <v>#VALUE!</v>
      </c>
      <c r="L65" s="63" t="e">
        <f>L57-L64</f>
        <v>#VALUE!</v>
      </c>
    </row>
    <row r="68" spans="1:33">
      <c r="H68" s="266">
        <v>20</v>
      </c>
      <c r="I68" s="266">
        <v>237.5</v>
      </c>
      <c r="Z68">
        <f>Z69/P69</f>
        <v>-1.9232824615384614</v>
      </c>
    </row>
    <row r="69" spans="1:33">
      <c r="A69" s="97"/>
      <c r="B69" s="250" t="s">
        <v>1169</v>
      </c>
      <c r="C69" t="str" cm="1">
        <f t="array" ref="C69">_xll.BDP(B69&amp;" Index","OPT_UNDL_TICKER")</f>
        <v>1OH6</v>
      </c>
      <c r="D69" t="str" cm="1">
        <f t="array" ref="D69">_xll.BDP($B69&amp;" Index","mifid_Maturity_date")</f>
        <v>06/02/2026</v>
      </c>
      <c r="E69" cm="1">
        <f t="array" ref="E69">_xll.BDP($B69&amp;" Index","opt_days_expire")</f>
        <v>1</v>
      </c>
      <c r="F69" t="str" cm="1">
        <f t="array" ref="F69">_xll.BDP(B69&amp;" Index","QUOTED_CURRENCY_REALTIME")</f>
        <v>USD</v>
      </c>
      <c r="G69" s="103" t="s">
        <v>191</v>
      </c>
      <c r="H69" s="95">
        <v>30</v>
      </c>
      <c r="I69" s="96">
        <f>IF(G69="Buy",L69,K69)</f>
        <v>3.25</v>
      </c>
      <c r="J69" s="18">
        <f>I69/S69</f>
        <v>1.3125214546776245E-4</v>
      </c>
      <c r="K69" s="35" cm="1">
        <f t="array" ref="K69">_xll.BDP($B69&amp;" Index","bid")</f>
        <v>0.55000000000000004</v>
      </c>
      <c r="L69" s="35" cm="1">
        <f t="array" ref="L69">_xll.BDP($B69&amp;" Index","ask")</f>
        <v>3.25</v>
      </c>
      <c r="M69" s="39">
        <f>(L69/K69-1)</f>
        <v>4.9090909090909083</v>
      </c>
      <c r="N69" s="35" cm="1">
        <f t="array" ref="N69">_xll.BDP(F69&amp;" Curncy","PX_LAST")</f>
        <v>1</v>
      </c>
      <c r="O69" s="133">
        <v>20</v>
      </c>
      <c r="P69" s="15">
        <f>IF(G69="Buy",((I69/N69)*H69*O69),((I69/N69)*-H69*O69))</f>
        <v>1950</v>
      </c>
      <c r="Q69" s="57">
        <f>P69/'Master P&amp;L'!$AD$5*10000</f>
        <v>8.6819659576214594E-3</v>
      </c>
      <c r="R69" s="36" t="e" cm="1">
        <f t="array" ref="R69">_xll.BDP($C69&amp;" Index","EST_PE_NXT_YR")*(T69/S69)</f>
        <v>#VALUE!</v>
      </c>
      <c r="S69" s="35" cm="1">
        <f t="array" ref="S69">_xll.BDP(C69&amp;" Index","LAST_PRICE")</f>
        <v>24761.5</v>
      </c>
      <c r="T69" s="52" cm="1">
        <f t="array" ref="T69">_xll.BDP(B69&amp;" Index","OPT_STRIKE_PX")</f>
        <v>26000</v>
      </c>
      <c r="U69" s="39">
        <f>T69/S69-1</f>
        <v>5.0017163742099635E-2</v>
      </c>
      <c r="V69" s="36" cm="1">
        <f t="array" ref="V69">_xll.BDP($B69&amp;" Index","ivol_mid")</f>
        <v>41.206386999999999</v>
      </c>
      <c r="W69" s="37" cm="1">
        <f t="array" ref="W69">_xll.BDP(B69&amp;" Index","DELTA_MID_RT")</f>
        <v>1.07175437733531E-2</v>
      </c>
      <c r="X69" s="47">
        <f>Y69/'Master P&amp;L'!$AE$5</f>
        <v>7.0893584145200744E-5</v>
      </c>
      <c r="Y69" s="15">
        <f>IF(G69="Sell", S69*W69*-H69*O69/N69, S69*W69*H69*O69/N69)</f>
        <v>159229.47608632967</v>
      </c>
      <c r="Z69" s="15" cm="1">
        <f t="array" ref="Z69">_xll.BDP($B69&amp;" Index","opt_theta")*H69*O69/N69</f>
        <v>-3750.4007999999999</v>
      </c>
      <c r="AA69" s="123" cm="1">
        <f t="array" ref="AA69">_xll.BDP($B69&amp;" Index","opt_theta")/I69</f>
        <v>-1.9232824615384616</v>
      </c>
      <c r="AB69" s="35" t="str" cm="1">
        <f t="array" ref="AB69">_xll.BDP($C69&amp;" Index","EXPECTED_REPORT_DT")</f>
        <v>#N/A Field Not Applicable</v>
      </c>
      <c r="AC69" s="15">
        <f>S69*H69*O69/N69</f>
        <v>14856900</v>
      </c>
      <c r="AD69" s="47">
        <f>AC69/'Master P&amp;L'!$AE$5</f>
        <v>6.6147230787582702E-3</v>
      </c>
      <c r="AG69" t="str">
        <f>B69&amp;" -&gt; Buy to open "&amp;H69&amp;"x"</f>
        <v>1OG6C 26000 -&gt; Buy to open 30x</v>
      </c>
    </row>
    <row r="70" spans="1:33">
      <c r="A70" s="97"/>
      <c r="B70" s="250" t="s">
        <v>1129</v>
      </c>
      <c r="C70" t="str" cm="1">
        <f t="array" ref="C70">_xll.BDP(B70&amp;" Index","OPT_UNDL_TICKER")</f>
        <v>2OH6</v>
      </c>
      <c r="D70" t="str" cm="1">
        <f t="array" ref="D70">_xll.BDP($B70&amp;" Index","mifid_Maturity_date")</f>
        <v>13/02/2026</v>
      </c>
      <c r="E70" cm="1">
        <f t="array" ref="E70">_xll.BDP($B70&amp;" Index","opt_days_expire")</f>
        <v>8</v>
      </c>
      <c r="F70" t="str" cm="1">
        <f t="array" ref="F70">_xll.BDP(B70&amp;" Index","QUOTED_CURRENCY_REALTIME")</f>
        <v>USD</v>
      </c>
      <c r="G70" s="103" t="s">
        <v>191</v>
      </c>
      <c r="H70" s="95">
        <v>35</v>
      </c>
      <c r="I70" s="96">
        <f>IF(G70="Buy",L70,K70)</f>
        <v>557</v>
      </c>
      <c r="J70" s="18">
        <f>I70/S70</f>
        <v>2.2494598469398056E-2</v>
      </c>
      <c r="K70" s="35" cm="1">
        <f t="array" ref="K70">_xll.BDP($B70&amp;" Index","bid")</f>
        <v>544</v>
      </c>
      <c r="L70" s="35" cm="1">
        <f t="array" ref="L70">_xll.BDP($B70&amp;" Index","ask")</f>
        <v>557</v>
      </c>
      <c r="M70" s="39">
        <f>(L70/K70-1)</f>
        <v>2.3897058823529438E-2</v>
      </c>
      <c r="N70" s="35" cm="1">
        <f t="array" ref="N70">_xll.BDP(F70&amp;" Curncy","PX_LAST")</f>
        <v>1</v>
      </c>
      <c r="O70" s="133">
        <v>20</v>
      </c>
      <c r="P70" s="15">
        <f>IF(G70="Buy",((I70/N70)*H70*O70),((I70/N70)*-H70*O70))</f>
        <v>389900</v>
      </c>
      <c r="Q70" s="57">
        <f>P70/'Master P&amp;L'!$AD$5*10000</f>
        <v>1.7359479625008243</v>
      </c>
      <c r="R70" s="36" t="e" cm="1">
        <f t="array" ref="R70">_xll.BDP($C70&amp;" Index","EST_PE_NXT_YR")*(T70/S70)</f>
        <v>#VALUE!</v>
      </c>
      <c r="S70" s="35" cm="1">
        <f t="array" ref="S70">_xll.BDP(C70&amp;" Index","LAST_PRICE")</f>
        <v>24761.5</v>
      </c>
      <c r="T70" s="52" cm="1">
        <f t="array" ref="T70">_xll.BDP(B70&amp;" Index","OPT_STRIKE_PX")</f>
        <v>25000</v>
      </c>
      <c r="U70" s="39">
        <f>T70/S70-1</f>
        <v>9.6318882135573158E-3</v>
      </c>
      <c r="V70" s="36" cm="1">
        <f t="array" ref="V70">_xll.BDP($B70&amp;" Index","ivol_mid")</f>
        <v>27.821102</v>
      </c>
      <c r="W70" s="37" cm="1">
        <f t="array" ref="W70">_xll.BDP(B70&amp;" Index","DELTA_MID_RT")</f>
        <v>-0.57974517345428467</v>
      </c>
      <c r="X70" s="47">
        <f>Y70/'Master P&amp;L'!$AE$5</f>
        <v>-4.4739960750879021E-3</v>
      </c>
      <c r="Y70" s="15">
        <f>IF(G70="Sell", S70*W70*-H70*O70/N70, S70*W70*H70*O70/N70)</f>
        <v>-10048752.078741789</v>
      </c>
      <c r="Z70" s="15" cm="1">
        <f t="array" ref="Z70">_xll.BDP($B70&amp;" Index","opt_theta")*H70*O70/N70</f>
        <v>-18857.307000000001</v>
      </c>
      <c r="AA70" s="123" cm="1">
        <f t="array" ref="AA70">_xll.BDP($B70&amp;" Index","opt_theta")/I70</f>
        <v>-4.8364470377019748E-2</v>
      </c>
      <c r="AB70" s="35" t="str" cm="1">
        <f t="array" ref="AB70">_xll.BDP($C70&amp;" Index","EXPECTED_REPORT_DT")</f>
        <v>#N/A Field Not Applicable</v>
      </c>
      <c r="AC70" s="15">
        <f>S70*H70*O70/N70</f>
        <v>17333050</v>
      </c>
      <c r="AD70" s="47">
        <f>AC70/'Master P&amp;L'!$AE$5</f>
        <v>7.7171769252179813E-3</v>
      </c>
      <c r="AG70" t="str">
        <f>B70&amp;" -&gt; Buy to open "&amp;H70&amp;"x"</f>
        <v>2OG6P 25000 -&gt; Buy to open 35x</v>
      </c>
    </row>
    <row r="71" spans="1:33">
      <c r="H71" s="99" t="s">
        <v>64</v>
      </c>
      <c r="I71" s="101">
        <f>I69-I70</f>
        <v>-553.75</v>
      </c>
      <c r="J71" s="99" t="s">
        <v>193</v>
      </c>
      <c r="K71" s="100">
        <f>K70/L69</f>
        <v>167.38461538461539</v>
      </c>
      <c r="O71" s="135"/>
      <c r="P71" s="99" t="s">
        <v>194</v>
      </c>
      <c r="Q71" s="106">
        <f>Q69+Q70</f>
        <v>1.7446299284584457</v>
      </c>
      <c r="S71" s="99" t="s">
        <v>195</v>
      </c>
      <c r="T71" s="101">
        <f>T70-T69</f>
        <v>-1000</v>
      </c>
      <c r="W71" s="99" t="s">
        <v>196</v>
      </c>
      <c r="X71" s="120">
        <f>X69+X70</f>
        <v>-4.4031024909427013E-3</v>
      </c>
      <c r="Y71" s="13">
        <f>Y69+Y70</f>
        <v>-9889522.6026554592</v>
      </c>
      <c r="AC71" s="99" t="s">
        <v>173</v>
      </c>
      <c r="AD71" s="120">
        <f>AD69</f>
        <v>6.6147230787582702E-3</v>
      </c>
    </row>
    <row r="72" spans="1:33">
      <c r="H72" s="99" t="s">
        <v>197</v>
      </c>
      <c r="I72" s="101">
        <f>(T71-I71)/I71</f>
        <v>0.80586907449209932</v>
      </c>
      <c r="J72" s="99" t="s">
        <v>90</v>
      </c>
      <c r="K72" s="107">
        <f>AVERAGE(K69:L69)-AVERAGE(K70:L70)</f>
        <v>-548.6</v>
      </c>
      <c r="O72" s="135"/>
      <c r="P72" s="99"/>
      <c r="Q72" s="106"/>
      <c r="S72" s="99"/>
      <c r="T72" s="101"/>
      <c r="W72" s="99"/>
      <c r="X72" s="120"/>
      <c r="Y72" s="13">
        <f>Y71/S69/20</f>
        <v>-19.96955475769937</v>
      </c>
      <c r="AC72" s="99"/>
      <c r="AD72" s="102"/>
    </row>
    <row r="73" spans="1:33">
      <c r="K73" s="63">
        <f>K69-K70</f>
        <v>-543.45000000000005</v>
      </c>
      <c r="L73" s="63">
        <f>L69-L70</f>
        <v>-553.75</v>
      </c>
      <c r="W73" s="49"/>
    </row>
    <row r="75" spans="1:33">
      <c r="H75" s="95"/>
      <c r="I75" s="96"/>
      <c r="J75" s="18"/>
      <c r="K75" s="35"/>
      <c r="L75" s="35"/>
      <c r="M75" s="39"/>
      <c r="N75" s="35"/>
      <c r="O75" s="133"/>
      <c r="P75" s="15"/>
      <c r="Q75" s="57"/>
      <c r="R75" s="36"/>
      <c r="S75" s="35"/>
      <c r="T75" s="52"/>
      <c r="U75" s="39"/>
      <c r="V75" s="36"/>
      <c r="W75" s="37"/>
      <c r="X75" s="47"/>
      <c r="Y75" s="15"/>
      <c r="Z75" s="15"/>
      <c r="AA75" s="123"/>
      <c r="AB75" s="35"/>
      <c r="AC75" s="15"/>
      <c r="AD75" s="47"/>
    </row>
    <row r="76" spans="1:33" hidden="1">
      <c r="A76" s="97"/>
      <c r="B76" s="312" t="s">
        <v>796</v>
      </c>
      <c r="C76" t="str" cm="1">
        <f t="array" ref="C76">_xll.BDP(B76&amp;" Index","OPT_UNDL_TICKER")</f>
        <v>SPX</v>
      </c>
      <c r="D76" t="str" cm="1">
        <f t="array" ref="D76">_xll.BDP($B76&amp;" Index","mifid_Maturity_date")</f>
        <v>31/12/2025</v>
      </c>
      <c r="E76" t="str" cm="1">
        <f t="array" ref="E76">_xll.BDP($B76&amp;" Index","opt_days_expire")</f>
        <v>#N/A N/A</v>
      </c>
      <c r="F76" t="s">
        <v>138</v>
      </c>
      <c r="G76" s="103" t="s">
        <v>191</v>
      </c>
      <c r="H76" s="95">
        <v>100</v>
      </c>
      <c r="I76" s="96" t="str">
        <f>IF(G76="Buy",L76,K76)</f>
        <v>#N/A Real Time</v>
      </c>
      <c r="J76" s="18" t="e">
        <f>I76/S76</f>
        <v>#VALUE!</v>
      </c>
      <c r="K76" s="35" t="str" cm="1">
        <f t="array" ref="K76">_xll.BDP($B76&amp;" Index","bid")</f>
        <v>#N/A Real Time</v>
      </c>
      <c r="L76" s="35" t="str" cm="1">
        <f t="array" ref="L76">_xll.BDP($B76&amp;" Index","ask")</f>
        <v>#N/A Real Time</v>
      </c>
      <c r="M76" s="39" t="e">
        <f>(L76/K76-1)</f>
        <v>#VALUE!</v>
      </c>
      <c r="N76" s="35" cm="1">
        <f t="array" ref="N76">_xll.BDP(F76&amp;" Curncy","PX_LAST")</f>
        <v>1</v>
      </c>
      <c r="O76" s="133">
        <v>100</v>
      </c>
      <c r="P76" s="15" t="e">
        <f>IF(G76="Buy",((I76/N76)*H76*O76),((I76/N76)*-H76*O76))</f>
        <v>#VALUE!</v>
      </c>
      <c r="Q76" s="57" t="e">
        <f>P76/'Master P&amp;L'!$AD$5*10000</f>
        <v>#VALUE!</v>
      </c>
      <c r="R76" s="36" t="e" cm="1">
        <f t="array" ref="R76">_xll.BDP($C76&amp;" Index","EST_PE_NXT_YR")*(T76/S76)</f>
        <v>#VALUE!</v>
      </c>
      <c r="S76" s="35" cm="1">
        <f t="array" ref="S76">_xll.BDP(C76&amp;" Index","LAST_PRICE")</f>
        <v>6882.72</v>
      </c>
      <c r="T76" s="52" cm="1">
        <f t="array" ref="T76">_xll.BDP(B76&amp;" Index","OPT_STRIKE_PX")</f>
        <v>6950</v>
      </c>
      <c r="U76" s="39">
        <f>T76/S76-1</f>
        <v>9.7752051514516936E-3</v>
      </c>
      <c r="V76" s="36" t="str" cm="1">
        <f t="array" ref="V76">_xll.BDP($B76&amp;" Index","ivol_mid")</f>
        <v>#N/A N/A</v>
      </c>
      <c r="W76" s="37" t="str" cm="1">
        <f t="array" ref="W76">_xll.BDP(B76&amp;" Index","DELTA_MID_RT")</f>
        <v>#N/A Real Time</v>
      </c>
      <c r="X76" s="47" t="e">
        <f>Y76/'Master P&amp;L'!$AE$5</f>
        <v>#VALUE!</v>
      </c>
      <c r="Y76" s="15" t="e">
        <f>IF(G76="Sell", S76*W76*-H76*O76/N76, S76*W76*H76*O76/N76)</f>
        <v>#VALUE!</v>
      </c>
      <c r="Z76" s="15" t="e" cm="1">
        <f t="array" ref="Z76">_xll.BDP($B76&amp;" Index","opt_theta")*H76*O76/N76</f>
        <v>#VALUE!</v>
      </c>
      <c r="AA76" s="123" t="e" cm="1">
        <f t="array" ref="AA76">_xll.BDP($B76&amp;" Index","opt_theta")/I76</f>
        <v>#VALUE!</v>
      </c>
      <c r="AB76" s="35" t="str" cm="1">
        <f t="array" ref="AB76">_xll.BDP($C76&amp;" Index","EXPECTED_REPORT_DT")</f>
        <v>#N/A Field Not Applicable</v>
      </c>
      <c r="AC76" s="15">
        <f>S76*H76*O76/N76</f>
        <v>68827200</v>
      </c>
      <c r="AD76" s="47">
        <f>AC76/'Master P&amp;L'!$AE$5</f>
        <v>3.0643867044020702E-2</v>
      </c>
      <c r="AG76" t="str">
        <f>B76&amp;" -&gt; Buy to open "&amp;H76&amp;"x"</f>
        <v>SPXW US 12/31/25 C6950 -&gt; Buy to open 100x</v>
      </c>
    </row>
    <row r="77" spans="1:33" hidden="1">
      <c r="A77" s="97"/>
      <c r="B77" s="312"/>
      <c r="G77" s="103"/>
      <c r="H77" s="95"/>
      <c r="I77" s="96"/>
      <c r="J77" s="18"/>
      <c r="K77" s="35"/>
      <c r="L77" s="35"/>
      <c r="M77" s="39"/>
      <c r="N77" s="35"/>
      <c r="O77" s="133"/>
      <c r="P77" s="15"/>
      <c r="Q77" s="57"/>
      <c r="R77" s="36"/>
      <c r="S77" s="35"/>
      <c r="T77" s="52"/>
      <c r="U77" s="39"/>
      <c r="V77" s="36"/>
      <c r="W77" s="37"/>
      <c r="X77" s="47"/>
      <c r="Y77" s="15"/>
      <c r="Z77" s="15"/>
      <c r="AA77" s="123"/>
      <c r="AB77" s="35"/>
      <c r="AC77" s="15"/>
      <c r="AD77" s="47"/>
    </row>
    <row r="78" spans="1:33" hidden="1">
      <c r="H78" s="99" t="s">
        <v>64</v>
      </c>
      <c r="I78" s="101" t="e">
        <f>I76-I77</f>
        <v>#VALUE!</v>
      </c>
      <c r="J78" s="99" t="s">
        <v>193</v>
      </c>
      <c r="K78" s="100" t="e">
        <f>K77/L76</f>
        <v>#VALUE!</v>
      </c>
      <c r="O78" s="135"/>
      <c r="P78" s="99" t="s">
        <v>194</v>
      </c>
      <c r="Q78" s="106" t="e">
        <f>Q76+Q77</f>
        <v>#VALUE!</v>
      </c>
      <c r="S78" s="99" t="s">
        <v>195</v>
      </c>
      <c r="T78" s="101">
        <f>T77-T76</f>
        <v>-6950</v>
      </c>
      <c r="W78" s="99" t="s">
        <v>196</v>
      </c>
      <c r="X78" s="120" t="e">
        <f>X76+X77</f>
        <v>#VALUE!</v>
      </c>
      <c r="Y78" s="13" t="e">
        <f>Y76+Y77</f>
        <v>#VALUE!</v>
      </c>
      <c r="AC78" s="99" t="s">
        <v>173</v>
      </c>
      <c r="AD78" s="120">
        <f>AD76</f>
        <v>3.0643867044020702E-2</v>
      </c>
    </row>
    <row r="79" spans="1:33" hidden="1">
      <c r="H79" s="99" t="s">
        <v>197</v>
      </c>
      <c r="I79" s="101" t="e">
        <f>(T78-I78)/I78</f>
        <v>#VALUE!</v>
      </c>
      <c r="J79" s="99" t="s">
        <v>90</v>
      </c>
      <c r="K79" s="107" t="e">
        <f>AVERAGE(K76:L76)-AVERAGE(K77:L77)</f>
        <v>#DIV/0!</v>
      </c>
      <c r="O79" s="135"/>
      <c r="P79" s="99"/>
      <c r="Q79" s="106"/>
      <c r="S79" s="99"/>
      <c r="T79" s="101"/>
      <c r="W79" s="99"/>
      <c r="X79" s="120"/>
      <c r="Y79" s="13" t="e">
        <f>Y78/S76</f>
        <v>#VALUE!</v>
      </c>
      <c r="AC79" s="99"/>
      <c r="AD79" s="102"/>
    </row>
    <row r="80" spans="1:33" hidden="1">
      <c r="K80" s="63" t="e">
        <f>K76-K77</f>
        <v>#VALUE!</v>
      </c>
      <c r="L80" s="63" t="e">
        <f>L76-L77</f>
        <v>#VALUE!</v>
      </c>
    </row>
    <row r="81" spans="1:37" hidden="1">
      <c r="Q81" t="e">
        <f>Q78/Q71</f>
        <v>#VALUE!</v>
      </c>
    </row>
    <row r="82" spans="1:37" hidden="1">
      <c r="H82" s="17"/>
      <c r="K82" s="63" t="e">
        <f>K73-K80</f>
        <v>#VALUE!</v>
      </c>
      <c r="L82" s="63" t="e">
        <f>L73-L80</f>
        <v>#VALUE!</v>
      </c>
    </row>
    <row r="83" spans="1:37" hidden="1">
      <c r="I83" s="63">
        <f>I86-I87</f>
        <v>13.699999999999996</v>
      </c>
    </row>
    <row r="84" spans="1:37" hidden="1">
      <c r="A84">
        <v>300</v>
      </c>
      <c r="H84" s="206">
        <v>1</v>
      </c>
      <c r="I84" s="63">
        <f>I86-I87</f>
        <v>13.699999999999996</v>
      </c>
      <c r="K84" s="126"/>
    </row>
    <row r="85" spans="1:37" hidden="1">
      <c r="A85" s="192">
        <v>1</v>
      </c>
      <c r="B85" t="s">
        <v>740</v>
      </c>
      <c r="C85" t="str" cm="1">
        <f t="array" ref="C85">_xll.BDP(B85&amp;" Equity","OPT_UNDL_TICKER")</f>
        <v>META US</v>
      </c>
      <c r="D85" s="63">
        <f>A85*AVERAGE(K85:L85)</f>
        <v>29.774999999999999</v>
      </c>
      <c r="E85" cm="1">
        <f t="array" ref="E85">_xll.BDP($B85&amp;" Index","opt_days_expire")</f>
        <v>71</v>
      </c>
      <c r="F85" t="str" cm="1">
        <f t="array" ref="F85">_xll.BDP(B85&amp;" Equity","QUOTED_CURRENCY_REALTIME")</f>
        <v>USD</v>
      </c>
      <c r="G85" s="103" t="s">
        <v>191</v>
      </c>
      <c r="H85" s="128">
        <v>60</v>
      </c>
      <c r="I85" s="96">
        <f>IF(G85="Buy",L85,K85)</f>
        <v>29.95</v>
      </c>
      <c r="J85" s="18">
        <f>I85/S85</f>
        <v>4.4768980104336387E-2</v>
      </c>
      <c r="K85" s="35" cm="1">
        <f t="array" ref="K85">_xll.BDP($B85&amp;" Equity","bid")</f>
        <v>29.6</v>
      </c>
      <c r="L85" s="35" cm="1">
        <f t="array" ref="L85">_xll.BDP($B85&amp;" Equity","ask")</f>
        <v>29.95</v>
      </c>
      <c r="M85" s="39">
        <f>(L85/K85-1)</f>
        <v>1.1824324324324342E-2</v>
      </c>
      <c r="N85" s="35" cm="1">
        <f t="array" ref="N85">_xll.BDP(F85&amp;" Curncy","PX_LAST")</f>
        <v>1</v>
      </c>
      <c r="O85" s="133" cm="1">
        <f t="array" ref="O85">_xll.BDP(B85&amp;" Equity","OPT_MULTIPLIER")</f>
        <v>100</v>
      </c>
      <c r="P85" s="15">
        <f>IF(G85="Buy",((I85/N85)*H85*O85),((I85/N85)*-H85*O85))</f>
        <v>179700</v>
      </c>
      <c r="Q85" s="57">
        <f>P85/'Master P&amp;L'!$AD$5*10000</f>
        <v>0.80007655517157761</v>
      </c>
      <c r="R85" s="36" cm="1">
        <f t="array" ref="R85">_xll.BDP($C85&amp;" Equity","EST_PE_NXT_YR")*(T85/S85)</f>
        <v>18.328153637740062</v>
      </c>
      <c r="S85" s="35" cm="1">
        <f t="array" ref="S85">_xll.BDP(C85&amp;" Equity","LAST_PRICE")</f>
        <v>668.99</v>
      </c>
      <c r="T85" s="52" cm="1">
        <f t="array" ref="T85">_xll.BDP(B85&amp;" Equity","OPT_STRIKE_PX")</f>
        <v>690</v>
      </c>
      <c r="U85" s="39">
        <f>T85/S85-1</f>
        <v>3.1405551652491148E-2</v>
      </c>
      <c r="V85" s="36" cm="1">
        <f t="array" ref="V85">_xll.BDP($B85&amp;" Equity","ivol_mid")</f>
        <v>31.016220000000001</v>
      </c>
      <c r="W85" s="37" cm="1">
        <f t="array" ref="W85">_xll.BDP(B85&amp;" Equity","DELTA_MID_RT")</f>
        <v>0.45839697122573853</v>
      </c>
      <c r="X85" s="47">
        <f>Y85/'Master P&amp;L'!$AE$5</f>
        <v>8.1921158084155121E-4</v>
      </c>
      <c r="Y85" s="15">
        <f>IF(G85="Sell", S85*W85*-H85*O85/N85, S85*W85*H85*O85/N85)</f>
        <v>1839977.9386818409</v>
      </c>
      <c r="Z85" s="15" cm="1">
        <f t="array" ref="Z85">_xll.BDP($B85&amp;" Equity","opt_theta")*H85*O85/N85</f>
        <v>-1521.0240000000001</v>
      </c>
      <c r="AA85" s="18" cm="1">
        <f t="array" ref="AA85">_xll.BDP($B85&amp;" Equity","opt_theta")/I85</f>
        <v>-8.4642404006677798E-3</v>
      </c>
      <c r="AB85" s="35" t="str" cm="1">
        <f t="array" ref="AB85">_xll.BDP($C85&amp;" Equity","EXPECTED_REPORT_DT")</f>
        <v>30/04/2026</v>
      </c>
      <c r="AC85" s="15">
        <f>S85*H85*O85/N85</f>
        <v>4013940</v>
      </c>
      <c r="AD85" s="18">
        <f>AC85/'Master P&amp;L'!$AE$5</f>
        <v>1.7871225864582094E-3</v>
      </c>
      <c r="AE85" t="str">
        <f>B85  &amp; " - Buy to open " &amp;  "-" &amp; H85 &amp;"x"</f>
        <v>META US 04/17/26 C690 - Buy to open -60x</v>
      </c>
      <c r="AK85" s="58" t="s">
        <v>203</v>
      </c>
    </row>
    <row r="86" spans="1:37" hidden="1">
      <c r="A86" s="192">
        <v>2</v>
      </c>
      <c r="B86" s="72" t="s">
        <v>949</v>
      </c>
      <c r="C86" t="str" cm="1">
        <f t="array" ref="C86">_xll.BDP(B86&amp;" Equity","OPT_UNDL_TICKER")</f>
        <v>META US</v>
      </c>
      <c r="D86" s="63">
        <f>A86*AVERAGE(K86:L86)</f>
        <v>132.1</v>
      </c>
      <c r="E86" cm="1">
        <f t="array" ref="E86">_xll.BDP($B86&amp;" Index","opt_days_expire")</f>
        <v>162</v>
      </c>
      <c r="F86" t="str" cm="1">
        <f t="array" ref="F86">_xll.BDP(B86&amp;" Equity","QUOTED_CURRENCY_REALTIME")</f>
        <v>USD</v>
      </c>
      <c r="G86" s="103" t="s">
        <v>192</v>
      </c>
      <c r="H86" s="128">
        <v>75</v>
      </c>
      <c r="I86" s="96">
        <f>IF(G86="Buy",L86,K86)</f>
        <v>65.8</v>
      </c>
      <c r="J86" s="18">
        <f>I86/S86</f>
        <v>9.8357225070628856E-2</v>
      </c>
      <c r="K86" s="35" cm="1">
        <f t="array" ref="K86">_xll.BDP($B86&amp;" Equity","bid")</f>
        <v>65.8</v>
      </c>
      <c r="L86" s="35" cm="1">
        <f t="array" ref="L86">_xll.BDP($B86&amp;" Equity","ask")</f>
        <v>66.3</v>
      </c>
      <c r="M86" s="39">
        <f>(L86/K86-1)</f>
        <v>7.5987841945288626E-3</v>
      </c>
      <c r="N86" s="35" cm="1">
        <f t="array" ref="N86">_xll.BDP(F86&amp;" Curncy","PX_LAST")</f>
        <v>1</v>
      </c>
      <c r="O86" s="133" cm="1">
        <f t="array" ref="O86">_xll.BDP(B86&amp;" Equity","OPT_MULTIPLIER")</f>
        <v>100</v>
      </c>
      <c r="P86" s="15">
        <f>IF(G86="Buy",((I86/N86)*H86*O86),((I86/N86)*-H86*O86))</f>
        <v>-493500</v>
      </c>
      <c r="Q86" s="57">
        <f>P86/'Master P&amp;L'!$AD$5*10000</f>
        <v>-2.1972052308134309</v>
      </c>
      <c r="R86" s="36" cm="1">
        <f t="array" ref="R86">_xll.BDP($C86&amp;" Equity","EST_PE_NXT_YR")*(T86/S86)</f>
        <v>17.796902807660636</v>
      </c>
      <c r="S86" s="35" cm="1">
        <f t="array" ref="S86">_xll.BDP(C86&amp;" Equity","LAST_PRICE")</f>
        <v>668.99</v>
      </c>
      <c r="T86" s="52" cm="1">
        <f t="array" ref="T86">_xll.BDP(B86&amp;" Equity","OPT_STRIKE_PX")</f>
        <v>670</v>
      </c>
      <c r="U86" s="39">
        <f>T86/S86-1</f>
        <v>1.5097385611144709E-3</v>
      </c>
      <c r="V86" s="36" cm="1">
        <f t="array" ref="V86">_xll.BDP($B86&amp;" Equity","ivol_mid")</f>
        <v>34.66169</v>
      </c>
      <c r="W86" s="37" cm="1">
        <f t="array" ref="W86">_xll.BDP(B86&amp;" Equity","DELTA_MID_RT")</f>
        <v>0.5700756311416626</v>
      </c>
      <c r="X86" s="47">
        <f>Y86/'Master P&amp;L'!$AE$5</f>
        <v>-1.2734937955033551E-3</v>
      </c>
      <c r="Y86" s="15">
        <f>IF(G86="Sell", S86*W86*-H86*O86/N86, S86*W86*H86*O86/N86)</f>
        <v>-2860311.7235809565</v>
      </c>
      <c r="Z86" s="15" cm="1">
        <f t="array" ref="Z86">_xll.BDP($B86&amp;" Equity","opt_theta")*H86*O86/N86</f>
        <v>-1426.08</v>
      </c>
      <c r="AA86" s="18" cm="1">
        <f t="array" ref="AA86">_xll.BDP($B86&amp;" Equity","opt_theta")/I86</f>
        <v>-2.8897264437689973E-3</v>
      </c>
      <c r="AB86" s="35" t="str" cm="1">
        <f t="array" ref="AB86">_xll.BDP($C86&amp;" Equity","EXPECTED_REPORT_DT")</f>
        <v>30/04/2026</v>
      </c>
      <c r="AC86" s="15">
        <f>S86*H86*O86/N86</f>
        <v>5017425</v>
      </c>
      <c r="AD86" s="47">
        <f>AC86/'Master P&amp;L'!$AE$5</f>
        <v>2.2339032330727618E-3</v>
      </c>
      <c r="AE86" t="str">
        <f>B86&amp;" -&gt; Buy to open "&amp;H86&amp;"x"</f>
        <v>META US 07/17/26 C670 -&gt; Buy to open 75x</v>
      </c>
      <c r="AK86" t="s">
        <v>204</v>
      </c>
    </row>
    <row r="87" spans="1:37" hidden="1">
      <c r="A87" s="192">
        <v>2</v>
      </c>
      <c r="B87" s="72" t="s">
        <v>1056</v>
      </c>
      <c r="C87" t="str" cm="1">
        <f t="array" ref="C87">_xll.BDP(B87&amp;" Equity","OPT_UNDL_TICKER")</f>
        <v>META US</v>
      </c>
      <c r="D87" s="63">
        <f>A87*AVERAGE(K87:L87)</f>
        <v>103.80000000000001</v>
      </c>
      <c r="E87" cm="1">
        <f t="array" ref="E87">_xll.BDP($B87&amp;" Index","opt_days_expire")</f>
        <v>162</v>
      </c>
      <c r="F87" t="str" cm="1">
        <f t="array" ref="F87">_xll.BDP(B87&amp;" Equity","QUOTED_CURRENCY_REALTIME")</f>
        <v>USD</v>
      </c>
      <c r="G87" s="103" t="s">
        <v>191</v>
      </c>
      <c r="H87" s="128">
        <v>75</v>
      </c>
      <c r="I87" s="96">
        <f>IF(G87="Buy",L87,K87)</f>
        <v>52.1</v>
      </c>
      <c r="J87" s="18">
        <f>I87/S87</f>
        <v>7.7878593103035923E-2</v>
      </c>
      <c r="K87" s="35" cm="1">
        <f t="array" ref="K87">_xll.BDP($B87&amp;" Equity","bid")</f>
        <v>51.7</v>
      </c>
      <c r="L87" s="35" cm="1">
        <f t="array" ref="L87">_xll.BDP($B87&amp;" Equity","ask")</f>
        <v>52.1</v>
      </c>
      <c r="M87" s="39">
        <f>(L87/K87-1)</f>
        <v>7.7369439071566237E-3</v>
      </c>
      <c r="N87" s="35" cm="1">
        <f t="array" ref="N87">_xll.BDP(F87&amp;" Curncy","PX_LAST")</f>
        <v>1</v>
      </c>
      <c r="O87" s="133" cm="1">
        <f t="array" ref="O87">_xll.BDP(B87&amp;" Equity","OPT_MULTIPLIER")</f>
        <v>100</v>
      </c>
      <c r="P87" s="15">
        <f>IF(G87="Buy",((I87/N87)*H87*O87),((I87/N87)*-H87*O87))</f>
        <v>390750</v>
      </c>
      <c r="Q87" s="57">
        <f>P87/'Master P&amp;L'!$AD$5*10000</f>
        <v>1.7397324092003004</v>
      </c>
      <c r="R87" s="36" cm="1">
        <f t="array" ref="R87">_xll.BDP($C87&amp;" Equity","EST_PE_NXT_YR")*(T87/S87)</f>
        <v>18.59377905277977</v>
      </c>
      <c r="S87" s="35" cm="1">
        <f t="array" ref="S87">_xll.BDP(C87&amp;" Equity","LAST_PRICE")</f>
        <v>668.99</v>
      </c>
      <c r="T87" s="52" cm="1">
        <f t="array" ref="T87">_xll.BDP(B87&amp;" Equity","OPT_STRIKE_PX")</f>
        <v>700</v>
      </c>
      <c r="U87" s="39">
        <f>T87/S87-1</f>
        <v>4.6353458198179265E-2</v>
      </c>
      <c r="V87" s="36" cm="1">
        <f t="array" ref="V87">_xll.BDP(B87&amp;" Equity","ivol_mid")</f>
        <v>34.02966</v>
      </c>
      <c r="W87" s="37" cm="1">
        <f t="array" ref="W87">_xll.BDP(B87&amp;" Equity","DELTA_MID_RT")</f>
        <v>0.49266603589057922</v>
      </c>
      <c r="X87" s="47">
        <f>Y87/'Master P&amp;L'!$AE$5</f>
        <v>1.1005682504011064E-3</v>
      </c>
      <c r="Y87" s="15">
        <f>IF(G87="Sell", S87*W87*-H87*O87/N87, S87*W87*H87*O87/N87)</f>
        <v>2471914.8851282899</v>
      </c>
      <c r="Z87" s="15" cm="1">
        <f t="array" ref="Z87">_xll.BDP($B87&amp;" Equity","opt_theta")*H87*O87/N87</f>
        <v>-1425.1275000000001</v>
      </c>
      <c r="AA87" s="18" cm="1">
        <f t="array" ref="AA87">_xll.BDP($B87&amp;" Equity","opt_theta")/I87</f>
        <v>-3.647159309021113E-3</v>
      </c>
      <c r="AB87" s="35" t="str" cm="1">
        <f t="array" ref="AB87">_xll.BDP($C87&amp;" Equity","EXPECTED_REPORT_DT")</f>
        <v>30/04/2026</v>
      </c>
      <c r="AC87" s="15">
        <f>S87*H87*O87/N87</f>
        <v>5017425</v>
      </c>
      <c r="AD87" s="18">
        <f>AC87/'Master P&amp;L'!$AE$5</f>
        <v>2.2339032330727618E-3</v>
      </c>
      <c r="AE87" t="str">
        <f>B87  &amp; " -&gt; Sell to open " &amp;   H87 &amp;"x"</f>
        <v>META US 07/17/26 C700 -&gt; Sell to open 75x</v>
      </c>
      <c r="AK87" t="s">
        <v>205</v>
      </c>
    </row>
    <row r="88" spans="1:37" hidden="1">
      <c r="H88" s="99" t="s">
        <v>64</v>
      </c>
      <c r="I88" s="101">
        <f>I86-I85-I87</f>
        <v>-16.250000000000007</v>
      </c>
      <c r="J88" s="99" t="s">
        <v>193</v>
      </c>
      <c r="K88" s="100">
        <f>K87/L86</f>
        <v>0.77978883861236814</v>
      </c>
      <c r="P88" s="127">
        <f>P86+P87+P85</f>
        <v>76950</v>
      </c>
      <c r="Q88" s="57">
        <f>P88/'Master P&amp;L'!$AD$5*10000</f>
        <v>0.34260373355844681</v>
      </c>
      <c r="S88" s="99" t="s">
        <v>195</v>
      </c>
      <c r="T88" s="101"/>
      <c r="W88" s="99" t="s">
        <v>196</v>
      </c>
      <c r="X88" s="120">
        <f>X86+X87+X85</f>
        <v>6.4628603573930251E-4</v>
      </c>
      <c r="AC88" s="99" t="s">
        <v>173</v>
      </c>
      <c r="AD88" s="120">
        <f>AD86</f>
        <v>2.2339032330727618E-3</v>
      </c>
    </row>
    <row r="89" spans="1:37" hidden="1">
      <c r="H89" s="99" t="s">
        <v>197</v>
      </c>
      <c r="I89" s="101"/>
      <c r="J89" s="99" t="s">
        <v>90</v>
      </c>
      <c r="K89" s="107">
        <f>-AVERAGE(K85:L85)+AVERAGE(K86:L86)-AVERAGE(K87:L87)</f>
        <v>-15.625000000000007</v>
      </c>
      <c r="P89" s="99"/>
      <c r="Q89" s="106"/>
      <c r="S89" s="99"/>
      <c r="T89" s="101"/>
      <c r="W89" s="99"/>
      <c r="X89" s="120"/>
      <c r="Y89" s="13">
        <f>(Y85+Y86+Y87)/S86</f>
        <v>2169.8098629713063</v>
      </c>
      <c r="AC89" s="99"/>
      <c r="AD89" s="102"/>
    </row>
    <row r="90" spans="1:37" hidden="1">
      <c r="D90" s="63"/>
      <c r="H90" s="95"/>
      <c r="I90" s="63">
        <f>(I86*A86)-(I87*A87)-(I85*A85)</f>
        <v>-2.5500000000000078</v>
      </c>
      <c r="K90" s="63"/>
      <c r="N90" s="35"/>
      <c r="O90" s="133"/>
      <c r="P90" s="15"/>
      <c r="Q90" s="57"/>
    </row>
    <row r="91" spans="1:37" hidden="1">
      <c r="I91" s="20">
        <f>I87/I86</f>
        <v>0.79179331306990886</v>
      </c>
    </row>
    <row r="92" spans="1:37" hidden="1">
      <c r="I92" s="20"/>
    </row>
    <row r="93" spans="1:37" hidden="1">
      <c r="H93" s="206">
        <v>1</v>
      </c>
      <c r="I93" s="63" t="e">
        <f>I95-I94</f>
        <v>#VALUE!</v>
      </c>
      <c r="J93" s="17" t="e">
        <f>T94-T95</f>
        <v>#VALUE!</v>
      </c>
      <c r="K93" s="206" t="e">
        <f>(J93-I93)/I93</f>
        <v>#VALUE!</v>
      </c>
      <c r="Q93" s="206" t="e">
        <f>Q95+Q94</f>
        <v>#VALUE!</v>
      </c>
    </row>
    <row r="94" spans="1:37" hidden="1">
      <c r="A94" s="192"/>
      <c r="C94" t="str" cm="1">
        <f t="array" ref="C94">_xll.BDP(B94&amp;" Equity","OPT_UNDL_TICKER")</f>
        <v>#N/A Invalid Security</v>
      </c>
      <c r="D94" s="63" t="e">
        <f>A94*AVERAGE(K94:L94)</f>
        <v>#DIV/0!</v>
      </c>
      <c r="E94" t="str" cm="1">
        <f t="array" ref="E94">_xll.BDP($B94&amp;" Index","opt_days_expire")</f>
        <v>#N/A Invalid Security</v>
      </c>
      <c r="F94" t="str" cm="1">
        <f t="array" ref="F94">_xll.BDP(B94&amp;" Equity","QUOTED_CURRENCY_REALTIME")</f>
        <v>#N/A Invalid Security</v>
      </c>
      <c r="G94" s="103" t="s">
        <v>192</v>
      </c>
      <c r="H94" s="128">
        <f>H95*H93</f>
        <v>20</v>
      </c>
      <c r="I94" s="96" t="str">
        <f>IF(G94="Buy",L94,K94)</f>
        <v>#N/A Invalid Security</v>
      </c>
      <c r="J94" s="18" t="e">
        <f>I94/S94</f>
        <v>#VALUE!</v>
      </c>
      <c r="K94" s="35" t="str" cm="1">
        <f t="array" ref="K94">_xll.BDP($B94&amp;" Equity","bid")</f>
        <v>#N/A Invalid Security</v>
      </c>
      <c r="L94" s="35" t="str" cm="1">
        <f t="array" ref="L94">_xll.BDP($B94&amp;" Equity","ask")</f>
        <v>#N/A Invalid Security</v>
      </c>
      <c r="M94" s="39" t="e">
        <f>(L94/K94-1)</f>
        <v>#VALUE!</v>
      </c>
      <c r="N94" s="35" t="str" cm="1">
        <f t="array" ref="N94">_xll.BDP(F94&amp;" Curncy","PX_LAST")</f>
        <v>#N/A Invalid Security Curncy</v>
      </c>
      <c r="O94" s="133" t="str" cm="1">
        <f t="array" ref="O94">_xll.BDP(B94&amp;" Equity","OPT_MULTIPLIER")</f>
        <v>#N/A Invalid Security</v>
      </c>
      <c r="P94" s="15" t="e">
        <f>IF(G94="Buy",((I94/N94)*H94*O94),((I94/N94)*-H94*O94))</f>
        <v>#VALUE!</v>
      </c>
      <c r="Q94" s="57" t="e">
        <f>P94/'Master P&amp;L'!$AD$5*10000</f>
        <v>#VALUE!</v>
      </c>
      <c r="R94" s="36" t="e" cm="1">
        <f t="array" ref="R94">_xll.BDP($C94&amp;" Equity","EST_PE_NXT_YR")*(T94/S94)</f>
        <v>#VALUE!</v>
      </c>
      <c r="S94" s="35" t="str" cm="1">
        <f t="array" ref="S94">_xll.BDP(C94&amp;" Equity","LAST_PRICE")</f>
        <v>#N/A Invalid Security Equity</v>
      </c>
      <c r="T94" s="52" t="str" cm="1">
        <f t="array" ref="T94">_xll.BDP(B94&amp;" Equity","OPT_STRIKE_PX")</f>
        <v>#N/A Invalid Security</v>
      </c>
      <c r="U94" s="39" t="e">
        <f>T94/S94-1</f>
        <v>#VALUE!</v>
      </c>
      <c r="V94" s="36" t="str" cm="1">
        <f t="array" ref="V94">_xll.BDP($B94&amp;" Equity","ivol_mid")</f>
        <v>#N/A Invalid Security</v>
      </c>
      <c r="W94" s="37" t="str" cm="1">
        <f t="array" ref="W94">_xll.BDP(B94&amp;" Equity","DELTA_MID_RT")</f>
        <v>#N/A Invalid Security</v>
      </c>
      <c r="X94" s="47" t="e">
        <f>Y94/'Master P&amp;L'!$AE$5</f>
        <v>#VALUE!</v>
      </c>
      <c r="Y94" s="15" t="e">
        <f>IF(G94="Sell", S94*W94*-H94*O94/N94, S94*W94*H94*O94/N94)</f>
        <v>#VALUE!</v>
      </c>
      <c r="Z94" s="15" t="e" cm="1">
        <f t="array" ref="Z94">_xll.BDP($B94&amp;" Equity","opt_theta")*H94*O94/N94</f>
        <v>#VALUE!</v>
      </c>
      <c r="AA94" s="18" t="e" cm="1">
        <f t="array" ref="AA94">_xll.BDP($B94&amp;" Equity","opt_theta")/I94</f>
        <v>#VALUE!</v>
      </c>
      <c r="AB94" s="35" t="str" cm="1">
        <f t="array" ref="AB94">_xll.BDP($C94&amp;" Equity","EXPECTED_REPORT_DT")</f>
        <v>#N/A Invalid Security Equity</v>
      </c>
      <c r="AC94" s="15" t="e">
        <f>S94*H94*O94/N94</f>
        <v>#VALUE!</v>
      </c>
      <c r="AD94" s="18" t="e">
        <f>AC94/'Master P&amp;L'!$AE$5</f>
        <v>#VALUE!</v>
      </c>
      <c r="AE94" t="str">
        <f>B94  &amp; " - Buy to open " &amp;  "-" &amp; H94 &amp;"x"</f>
        <v xml:space="preserve"> - Buy to open -20x</v>
      </c>
      <c r="AK94" s="58"/>
    </row>
    <row r="95" spans="1:37" hidden="1">
      <c r="A95" s="192"/>
      <c r="B95" s="72"/>
      <c r="C95" t="str" cm="1">
        <f t="array" ref="C95">_xll.BDP(B95&amp;" Equity","OPT_UNDL_TICKER")</f>
        <v>#N/A Invalid Security</v>
      </c>
      <c r="D95" s="63" t="e">
        <f>A95*AVERAGE(K95:L95)</f>
        <v>#DIV/0!</v>
      </c>
      <c r="E95" t="str" cm="1">
        <f t="array" ref="E95">_xll.BDP($B95&amp;" Index","opt_days_expire")</f>
        <v>#N/A Invalid Security</v>
      </c>
      <c r="F95" t="str" cm="1">
        <f t="array" ref="F95">_xll.BDP(B95&amp;" Equity","QUOTED_CURRENCY_REALTIME")</f>
        <v>#N/A Invalid Security</v>
      </c>
      <c r="G95" s="103" t="s">
        <v>191</v>
      </c>
      <c r="H95" s="128">
        <v>20</v>
      </c>
      <c r="I95" s="96" t="str">
        <f>IF(G95="Buy",L95,K95)</f>
        <v>#N/A Invalid Security</v>
      </c>
      <c r="J95" s="18" t="e">
        <f>I95/S95</f>
        <v>#VALUE!</v>
      </c>
      <c r="K95" s="35" t="str" cm="1">
        <f t="array" ref="K95">_xll.BDP($B95&amp;" Equity","bid")</f>
        <v>#N/A Invalid Security</v>
      </c>
      <c r="L95" s="35" t="str" cm="1">
        <f t="array" ref="L95">_xll.BDP($B95&amp;" Equity","ask")</f>
        <v>#N/A Invalid Security</v>
      </c>
      <c r="M95" s="39" t="e">
        <f>(L95/K95-1)</f>
        <v>#VALUE!</v>
      </c>
      <c r="N95" s="35" t="str" cm="1">
        <f t="array" ref="N95">_xll.BDP(F95&amp;" Curncy","PX_LAST")</f>
        <v>#N/A Invalid Security Curncy</v>
      </c>
      <c r="O95" s="133" t="str" cm="1">
        <f t="array" ref="O95">_xll.BDP(B95&amp;" Equity","OPT_MULTIPLIER")</f>
        <v>#N/A Invalid Security</v>
      </c>
      <c r="P95" s="15" t="e">
        <f>IF(G95="Buy",((I95/N95)*H95*O95),((I95/N95)*-H95*O95))</f>
        <v>#VALUE!</v>
      </c>
      <c r="Q95" s="57" t="e">
        <f>P95/'Master P&amp;L'!$AD$5*10000</f>
        <v>#VALUE!</v>
      </c>
      <c r="R95" s="36" t="e" cm="1">
        <f t="array" ref="R95">_xll.BDP($C95&amp;" Equity","EST_PE_NXT_YR")*(T95/S95)</f>
        <v>#VALUE!</v>
      </c>
      <c r="S95" s="35" t="str" cm="1">
        <f t="array" ref="S95">_xll.BDP(C95&amp;" Equity","LAST_PRICE")</f>
        <v>#N/A Invalid Security Equity</v>
      </c>
      <c r="T95" s="52" t="str" cm="1">
        <f t="array" ref="T95">_xll.BDP(B95&amp;" Equity","OPT_STRIKE_PX")</f>
        <v>#N/A Invalid Security</v>
      </c>
      <c r="U95" s="39" t="e">
        <f>T95/S95-1</f>
        <v>#VALUE!</v>
      </c>
      <c r="V95" s="36" t="str" cm="1">
        <f t="array" ref="V95">_xll.BDP($B95&amp;" Equity","ivol_mid")</f>
        <v>#N/A Invalid Security</v>
      </c>
      <c r="W95" s="37" t="str" cm="1">
        <f t="array" ref="W95">_xll.BDP(B95&amp;" Equity","DELTA_MID_RT")</f>
        <v>#N/A Invalid Security</v>
      </c>
      <c r="X95" s="47" t="e">
        <f>Y95/'Master P&amp;L'!$AE$5</f>
        <v>#VALUE!</v>
      </c>
      <c r="Y95" s="15" t="e">
        <f>IF(G95="Sell", S95*W95*-H95*O95/N95, S95*W95*H95*O95/N95)</f>
        <v>#VALUE!</v>
      </c>
      <c r="Z95" s="15" t="e" cm="1">
        <f t="array" ref="Z95">_xll.BDP($B95&amp;" Equity","opt_theta")*H95*O95/N95</f>
        <v>#VALUE!</v>
      </c>
      <c r="AA95" s="18" t="e" cm="1">
        <f t="array" ref="AA95">_xll.BDP($B95&amp;" Equity","opt_theta")/I95</f>
        <v>#VALUE!</v>
      </c>
      <c r="AB95" s="35" t="str" cm="1">
        <f t="array" ref="AB95">_xll.BDP($C95&amp;" Equity","EXPECTED_REPORT_DT")</f>
        <v>#N/A Invalid Security Equity</v>
      </c>
      <c r="AC95" s="15" t="e">
        <f>S95*H95*O95/N95</f>
        <v>#VALUE!</v>
      </c>
      <c r="AD95" s="47" t="e">
        <f>AC95/'Master P&amp;L'!$AE$5</f>
        <v>#VALUE!</v>
      </c>
      <c r="AE95" t="str">
        <f>B95&amp;" -&gt; Buy to open "&amp;H95&amp;"x"</f>
        <v xml:space="preserve"> -&gt; Buy to open 20x</v>
      </c>
    </row>
    <row r="96" spans="1:37" hidden="1">
      <c r="A96" s="192"/>
      <c r="B96" t="s">
        <v>952</v>
      </c>
      <c r="C96" t="str" cm="1">
        <f t="array" ref="C96">_xll.BDP(B96&amp;" Equity","OPT_UNDL_TICKER")</f>
        <v>META US</v>
      </c>
      <c r="D96" s="63">
        <f>A96*AVERAGE(K96:L96)</f>
        <v>0</v>
      </c>
      <c r="E96" cm="1">
        <f t="array" ref="E96">_xll.BDP($B96&amp;" Index","opt_days_expire")</f>
        <v>22</v>
      </c>
      <c r="F96" t="str" cm="1">
        <f t="array" ref="F96">_xll.BDP(B96&amp;" Equity","QUOTED_CURRENCY_REALTIME")</f>
        <v>USD</v>
      </c>
      <c r="G96" s="103" t="s">
        <v>191</v>
      </c>
      <c r="H96" s="128">
        <v>35</v>
      </c>
      <c r="I96" s="96">
        <f>IF(G96="Buy",L96,K96)</f>
        <v>28.35</v>
      </c>
      <c r="J96" s="18">
        <f>I96/S96</f>
        <v>4.2377315057026264E-2</v>
      </c>
      <c r="K96" s="35" cm="1">
        <f t="array" ref="K96">_xll.BDP($B96&amp;" Equity","bid")</f>
        <v>28.05</v>
      </c>
      <c r="L96" s="35" cm="1">
        <f t="array" ref="L96">_xll.BDP($B96&amp;" Equity","ask")</f>
        <v>28.35</v>
      </c>
      <c r="M96" s="39">
        <f>(L96/K96-1)</f>
        <v>1.0695187165775444E-2</v>
      </c>
      <c r="N96" s="35" cm="1">
        <f t="array" ref="N96">_xll.BDP(F96&amp;" Curncy","PX_LAST")</f>
        <v>1</v>
      </c>
      <c r="O96" s="133" cm="1">
        <f t="array" ref="O96">_xll.BDP(B96&amp;" Equity","OPT_MULTIPLIER")</f>
        <v>100</v>
      </c>
      <c r="P96" s="15">
        <f>IF(G96="Buy",((I96/N96)*H96*O96),((I96/N96)*-H96*O96))</f>
        <v>99225</v>
      </c>
      <c r="Q96" s="57">
        <f>P96/'Master P&amp;L'!$AD$5*10000</f>
        <v>0.44177849853589196</v>
      </c>
      <c r="R96" s="36" cm="1">
        <f t="array" ref="R96">_xll.BDP($C96&amp;" Equity","EST_PE_NXT_YR")*(T96/S96)</f>
        <v>17.531277392620925</v>
      </c>
      <c r="S96" s="35" cm="1">
        <f t="array" ref="S96">_xll.BDP(C96&amp;" Equity","LAST_PRICE")</f>
        <v>668.99</v>
      </c>
      <c r="T96" s="52" cm="1">
        <f t="array" ref="T96">_xll.BDP(B96&amp;" Equity","OPT_STRIKE_PX")</f>
        <v>660</v>
      </c>
      <c r="U96" s="39">
        <f>T96/S96-1</f>
        <v>-1.3438167984573757E-2</v>
      </c>
      <c r="V96" s="36" cm="1">
        <f t="array" ref="V96">_xll.BDP(B96&amp;" Equity","ivol_mid")</f>
        <v>33.800660000000001</v>
      </c>
      <c r="W96" s="37" cm="1">
        <f t="array" ref="W96">_xll.BDP(B96&amp;" Equity","DELTA_MID_RT")</f>
        <v>0.59051430225372314</v>
      </c>
      <c r="X96" s="47">
        <f>Y96/'Master P&amp;L'!$AE$5</f>
        <v>6.1560417752413922E-4</v>
      </c>
      <c r="Y96" s="15">
        <f>IF(G96="Sell", S96*W96*-H96*O96/N96, S96*W96*H96*O96/N96)</f>
        <v>1382668.5707265141</v>
      </c>
      <c r="Z96" s="15" cm="1">
        <f t="array" ref="Z96">_xll.BDP($B96&amp;" Equity","opt_theta")*H96*O96/N96</f>
        <v>-1705.8685</v>
      </c>
      <c r="AA96" s="18" cm="1">
        <f t="array" ref="AA96">_xll.BDP($B96&amp;" Equity","opt_theta")/I96</f>
        <v>-1.7191922398589066E-2</v>
      </c>
      <c r="AB96" s="35" t="str" cm="1">
        <f t="array" ref="AB96">_xll.BDP($C96&amp;" Equity","EXPECTED_REPORT_DT")</f>
        <v>30/04/2026</v>
      </c>
      <c r="AC96" s="15">
        <f>S96*H96*O96/N96</f>
        <v>2341465</v>
      </c>
      <c r="AD96" s="18">
        <f>AC96/'Master P&amp;L'!$AE$5</f>
        <v>1.0424881754339554E-3</v>
      </c>
      <c r="AE96" t="str">
        <f>B96  &amp; " -&gt; Sell to open " &amp;   H96 &amp;"x"</f>
        <v>META US 02/27/26 C660 -&gt; Sell to open 35x</v>
      </c>
    </row>
    <row r="97" spans="1:37" hidden="1">
      <c r="H97" s="99" t="s">
        <v>64</v>
      </c>
      <c r="I97" s="101" t="e">
        <f>I95-I94-I96</f>
        <v>#VALUE!</v>
      </c>
      <c r="J97" s="99" t="s">
        <v>193</v>
      </c>
      <c r="K97" s="100" t="e">
        <f>K96/L95</f>
        <v>#VALUE!</v>
      </c>
      <c r="P97" s="127" t="e">
        <f>P95+P96+P94</f>
        <v>#VALUE!</v>
      </c>
      <c r="Q97" s="57" t="e">
        <f>P97/'Master P&amp;L'!$AD$5*10000</f>
        <v>#VALUE!</v>
      </c>
      <c r="S97" s="99" t="s">
        <v>195</v>
      </c>
      <c r="T97" s="101"/>
      <c r="W97" s="99" t="s">
        <v>196</v>
      </c>
      <c r="X97" s="120" t="e">
        <f>X95+X96+X94</f>
        <v>#VALUE!</v>
      </c>
      <c r="AC97" s="99" t="s">
        <v>173</v>
      </c>
      <c r="AD97" s="120" t="e">
        <f>AD95</f>
        <v>#VALUE!</v>
      </c>
    </row>
    <row r="98" spans="1:37" hidden="1">
      <c r="H98" s="99" t="s">
        <v>197</v>
      </c>
      <c r="I98" s="101"/>
      <c r="J98" s="99" t="s">
        <v>90</v>
      </c>
      <c r="K98" s="107" t="e">
        <f>-AVERAGE(K94:L94)+AVERAGE(K95:L95)-AVERAGE(K96:L96)</f>
        <v>#DIV/0!</v>
      </c>
      <c r="P98" s="99"/>
      <c r="Q98" s="106"/>
      <c r="S98" s="99"/>
      <c r="T98" s="101"/>
      <c r="W98" s="99"/>
      <c r="X98" s="120"/>
      <c r="Y98" s="13" t="e">
        <f>(Y94+Y95+Y96)/S95</f>
        <v>#VALUE!</v>
      </c>
      <c r="AC98" s="99"/>
      <c r="AD98" s="102"/>
    </row>
    <row r="99" spans="1:37" hidden="1">
      <c r="D99" s="63"/>
      <c r="H99" s="95"/>
      <c r="I99" s="63" t="e">
        <f>(I95*A95)-(I96*A96)-(I94*A94)</f>
        <v>#VALUE!</v>
      </c>
      <c r="K99" s="63"/>
      <c r="N99" s="35"/>
      <c r="O99" s="133"/>
      <c r="P99" s="15"/>
      <c r="Q99" s="57"/>
    </row>
    <row r="101" spans="1:37">
      <c r="A101">
        <v>300</v>
      </c>
      <c r="H101" s="206">
        <v>1</v>
      </c>
      <c r="I101" s="63">
        <f>I103-I102</f>
        <v>9.999999999999995E-3</v>
      </c>
      <c r="J101" s="17">
        <f>T102-T103</f>
        <v>6</v>
      </c>
      <c r="K101" s="206">
        <f>(J101-I101)/I101</f>
        <v>599.00000000000034</v>
      </c>
      <c r="Q101" s="206">
        <f>Q103+Q102</f>
        <v>-7.7915079106859316E-4</v>
      </c>
    </row>
    <row r="102" spans="1:37">
      <c r="A102" s="192">
        <v>1</v>
      </c>
      <c r="B102" t="s">
        <v>1117</v>
      </c>
      <c r="C102" t="str" cm="1">
        <f t="array" ref="C102">_xll.BDP(B102&amp;" Equity","OPT_UNDL_TICKER")</f>
        <v>QQQ US</v>
      </c>
      <c r="D102" s="63">
        <f>A102*AVERAGE(K102:L102)</f>
        <v>4.4999999999999998E-2</v>
      </c>
      <c r="E102" cm="1">
        <f t="array" ref="E102">_xll.BDP($B102&amp;" Index","opt_days_expire")</f>
        <v>1</v>
      </c>
      <c r="F102" t="str" cm="1">
        <f t="array" ref="F102">_xll.BDP(B102&amp;" Equity","QUOTED_CURRENCY_REALTIME")</f>
        <v>USD</v>
      </c>
      <c r="G102" s="103" t="s">
        <v>191</v>
      </c>
      <c r="H102" s="128">
        <f>H103</f>
        <v>175</v>
      </c>
      <c r="I102" s="96">
        <f>IF(G102="Buy",L102,K102)</f>
        <v>0.05</v>
      </c>
      <c r="J102" s="18">
        <f>I102/S102</f>
        <v>8.2542302930251762E-5</v>
      </c>
      <c r="K102" s="35" cm="1">
        <f t="array" ref="K102">_xll.BDP($B102&amp;" Equity","bid")</f>
        <v>0.04</v>
      </c>
      <c r="L102" s="35" cm="1">
        <f t="array" ref="L102">_xll.BDP($B102&amp;" Equity","ask")</f>
        <v>0.05</v>
      </c>
      <c r="M102" s="39">
        <f>(L102/K102-1)</f>
        <v>0.25</v>
      </c>
      <c r="N102" s="35" cm="1">
        <f t="array" ref="N102">_xll.BDP(F102&amp;" Curncy","PX_LAST")</f>
        <v>1</v>
      </c>
      <c r="O102" s="133" cm="1">
        <f t="array" ref="O102">_xll.BDP(B102&amp;" Equity","OPT_MULTIPLIER")</f>
        <v>100</v>
      </c>
      <c r="P102" s="15">
        <f>IF(G102="Buy",((I102/N102)*H102*O102),((I102/N102)*-H102*O102))</f>
        <v>875</v>
      </c>
      <c r="Q102" s="57">
        <f>P102/'Master P&amp;L'!$AD$5*10000</f>
        <v>3.8957539553429624E-3</v>
      </c>
      <c r="R102" s="36" t="e" cm="1">
        <f t="array" ref="R102">_xll.BDP($C102&amp;" Equity","EST_PE_NXT_YR")*(T102/S102)</f>
        <v>#VALUE!</v>
      </c>
      <c r="S102" s="35" cm="1">
        <f t="array" ref="S102">_xll.BDP(C102&amp;" Equity","LAST_PRICE")</f>
        <v>605.75</v>
      </c>
      <c r="T102" s="52" cm="1">
        <f t="array" ref="T102">_xll.BDP(B102&amp;" Equity","OPT_STRIKE_PX")</f>
        <v>640</v>
      </c>
      <c r="U102" s="39">
        <f>T102/S102-1</f>
        <v>5.6541477507222382E-2</v>
      </c>
      <c r="V102" s="36" cm="1">
        <f t="array" ref="V102">_xll.BDP($B102&amp;" Equity","ivol_mid")</f>
        <v>26.103280000000002</v>
      </c>
      <c r="W102" s="37" cm="1">
        <f t="array" ref="W102">_xll.BDP(B102&amp;" Equity","DELTA_MID_RT")</f>
        <v>9.539920836687088E-3</v>
      </c>
      <c r="X102" s="47">
        <f>Y102/'Master P&amp;L'!$AE$5</f>
        <v>4.502562081965056E-5</v>
      </c>
      <c r="Y102" s="15">
        <f>IF(G102="Sell", S102*W102*-H102*O102/N102, S102*W102*H102*O102/N102)</f>
        <v>101129.12331940606</v>
      </c>
      <c r="Z102" s="15" cm="1">
        <f t="array" ref="Z102">_xll.BDP($B102&amp;" Equity","opt_theta")*H102*O102/N102</f>
        <v>-608.65</v>
      </c>
      <c r="AA102" s="18" cm="1">
        <f t="array" ref="AA102">_xll.BDP($B102&amp;" Equity","opt_theta")/I102</f>
        <v>-0.69559999999999989</v>
      </c>
      <c r="AB102" s="35" t="str" cm="1">
        <f t="array" ref="AB102">_xll.BDP($C102&amp;" Equity","EXPECTED_REPORT_DT")</f>
        <v>#N/A N/A</v>
      </c>
      <c r="AC102" s="15">
        <f>S102*H102*O102/N102</f>
        <v>10600625</v>
      </c>
      <c r="AD102" s="18">
        <f>AC102/'Master P&amp;L'!$AE$5</f>
        <v>4.7197059168979996E-3</v>
      </c>
      <c r="AE102" t="str">
        <f>B102  &amp; " - Buy to open " &amp;  "-" &amp; H102 &amp;"x"</f>
        <v>QQQ US 02/06/26 C640 - Buy to open -175x</v>
      </c>
      <c r="AK102" s="58"/>
    </row>
    <row r="103" spans="1:37">
      <c r="A103" s="192">
        <v>2</v>
      </c>
      <c r="B103" t="s">
        <v>1114</v>
      </c>
      <c r="C103" t="str" cm="1">
        <f t="array" ref="C103">_xll.BDP(B103&amp;" Equity","OPT_UNDL_TICKER")</f>
        <v>QQQ US</v>
      </c>
      <c r="D103" s="63">
        <f>A103*AVERAGE(K103:L103)</f>
        <v>0.15</v>
      </c>
      <c r="E103" cm="1">
        <f t="array" ref="E103">_xll.BDP($B103&amp;" Index","opt_days_expire")</f>
        <v>1</v>
      </c>
      <c r="F103" t="str" cm="1">
        <f t="array" ref="F103">_xll.BDP(B103&amp;" Equity","QUOTED_CURRENCY_REALTIME")</f>
        <v>USD</v>
      </c>
      <c r="G103" s="103" t="s">
        <v>192</v>
      </c>
      <c r="H103" s="128">
        <v>175</v>
      </c>
      <c r="I103" s="96">
        <f>IF(G103="Buy",L103,K103)</f>
        <v>0.06</v>
      </c>
      <c r="J103" s="18">
        <f>I103/S103</f>
        <v>9.9050763516302098E-5</v>
      </c>
      <c r="K103" s="35" cm="1">
        <f t="array" ref="K103">_xll.BDP($B103&amp;" Equity","bid")</f>
        <v>0.06</v>
      </c>
      <c r="L103" s="35" cm="1">
        <f t="array" ref="L103">_xll.BDP($B103&amp;" Equity","ask")</f>
        <v>0.09</v>
      </c>
      <c r="M103" s="39">
        <f>(L103/K103-1)</f>
        <v>0.5</v>
      </c>
      <c r="N103" s="35" cm="1">
        <f t="array" ref="N103">_xll.BDP(F103&amp;" Curncy","PX_LAST")</f>
        <v>1</v>
      </c>
      <c r="O103" s="133" cm="1">
        <f t="array" ref="O103">_xll.BDP(B103&amp;" Equity","OPT_MULTIPLIER")</f>
        <v>100</v>
      </c>
      <c r="P103" s="15">
        <f>IF(G103="Buy",((I103/N103)*H103*O103),((I103/N103)*-H103*O103))</f>
        <v>-1050</v>
      </c>
      <c r="Q103" s="57">
        <f>P103/'Master P&amp;L'!$AD$5*10000</f>
        <v>-4.6749047464115555E-3</v>
      </c>
      <c r="R103" s="36" t="e" cm="1">
        <f t="array" ref="R103">_xll.BDP($C103&amp;" Equity","EST_PE_NXT_YR")*(T103/S103)</f>
        <v>#VALUE!</v>
      </c>
      <c r="S103" s="35" cm="1">
        <f t="array" ref="S103">_xll.BDP(C103&amp;" Equity","LAST_PRICE")</f>
        <v>605.75</v>
      </c>
      <c r="T103" s="52" cm="1">
        <f t="array" ref="T103">_xll.BDP(B103&amp;" Equity","OPT_STRIKE_PX")</f>
        <v>634</v>
      </c>
      <c r="U103" s="39">
        <f>T103/S103-1</f>
        <v>4.66364011555922E-2</v>
      </c>
      <c r="V103" s="36" cm="1">
        <f t="array" ref="V103">_xll.BDP($B103&amp;" Equity","ivol_mid")</f>
        <v>23.968330000000002</v>
      </c>
      <c r="W103" s="37" cm="1">
        <f t="array" ref="W103">_xll.BDP(B103&amp;" Equity","DELTA_MID_RT")</f>
        <v>1.6434827819466591E-2</v>
      </c>
      <c r="X103" s="47">
        <f>Y103/'Master P&amp;L'!$AE$5</f>
        <v>-7.7567554102736308E-5</v>
      </c>
      <c r="Y103" s="15">
        <f>IF(G103="Sell", S103*W103*-H103*O103/N103, S103*W103*H103*O103/N103)</f>
        <v>-174219.44665373303</v>
      </c>
      <c r="Z103" s="15" cm="1">
        <f t="array" ref="Z103">_xll.BDP($B103&amp;" Equity","opt_theta")*H103*O103/N103</f>
        <v>-1014.1075000000001</v>
      </c>
      <c r="AA103" s="18" cm="1">
        <f t="array" ref="AA103">_xll.BDP($B103&amp;" Equity","opt_theta")/I103</f>
        <v>-0.96581666666666666</v>
      </c>
      <c r="AB103" s="35" t="str" cm="1">
        <f t="array" ref="AB103">_xll.BDP($C103&amp;" Equity","EXPECTED_REPORT_DT")</f>
        <v>#N/A N/A</v>
      </c>
      <c r="AC103" s="15">
        <f>S103*H103*O103/N103</f>
        <v>10600625</v>
      </c>
      <c r="AD103" s="47">
        <f>AC103/'Master P&amp;L'!$AE$5</f>
        <v>4.7197059168979996E-3</v>
      </c>
      <c r="AE103" t="str">
        <f>B103&amp;" -&gt; Buy to open "&amp;H103&amp;"x"</f>
        <v>QQQ US 02/06/26 C634 -&gt; Buy to open 175x</v>
      </c>
    </row>
    <row r="104" spans="1:37">
      <c r="A104" s="192">
        <v>2</v>
      </c>
      <c r="B104" t="s">
        <v>1115</v>
      </c>
      <c r="C104" t="str" cm="1">
        <f t="array" ref="C104">_xll.BDP(B104&amp;" Equity","OPT_UNDL_TICKER")</f>
        <v>QQQ US</v>
      </c>
      <c r="D104" s="63">
        <f>A104*AVERAGE(K104:L104)</f>
        <v>35.03</v>
      </c>
      <c r="E104" cm="1">
        <f t="array" ref="E104">_xll.BDP($B104&amp;" Index","opt_days_expire")</f>
        <v>1</v>
      </c>
      <c r="F104" t="str" cm="1">
        <f t="array" ref="F104">_xll.BDP(B104&amp;" Equity","QUOTED_CURRENCY_REALTIME")</f>
        <v>USD</v>
      </c>
      <c r="G104" s="103" t="s">
        <v>191</v>
      </c>
      <c r="H104" s="128">
        <f>H103</f>
        <v>175</v>
      </c>
      <c r="I104" s="96">
        <f>IF(G104="Buy",L104,K104)</f>
        <v>19.5</v>
      </c>
      <c r="J104" s="18">
        <f>I104/S104</f>
        <v>3.2191498142798182E-2</v>
      </c>
      <c r="K104" s="35" cm="1">
        <f t="array" ref="K104">_xll.BDP($B104&amp;" Equity","bid")</f>
        <v>15.53</v>
      </c>
      <c r="L104" s="35" cm="1">
        <f t="array" ref="L104">_xll.BDP($B104&amp;" Equity","ask")</f>
        <v>19.5</v>
      </c>
      <c r="M104" s="39">
        <f>(L104/K104-1)</f>
        <v>0.25563425627817127</v>
      </c>
      <c r="N104" s="35" cm="1">
        <f t="array" ref="N104">_xll.BDP(F104&amp;" Curncy","PX_LAST")</f>
        <v>1</v>
      </c>
      <c r="O104" s="133" cm="1">
        <f t="array" ref="O104">_xll.BDP(B104&amp;" Equity","OPT_MULTIPLIER")</f>
        <v>100</v>
      </c>
      <c r="P104" s="15">
        <f>IF(G104="Buy",((I104/N104)*H104*O104),((I104/N104)*-H104*O104))</f>
        <v>341250</v>
      </c>
      <c r="Q104" s="57">
        <f>P104/'Master P&amp;L'!$AD$5*10000</f>
        <v>1.5193440425837554</v>
      </c>
      <c r="R104" s="36" t="e" cm="1">
        <f t="array" ref="R104">_xll.BDP($C104&amp;" Equity","EST_PE_NXT_YR")*(T104/S104)</f>
        <v>#VALUE!</v>
      </c>
      <c r="S104" s="35" cm="1">
        <f t="array" ref="S104">_xll.BDP(C104&amp;" Equity","LAST_PRICE")</f>
        <v>605.75</v>
      </c>
      <c r="T104" s="52" cm="1">
        <f t="array" ref="T104">_xll.BDP(B104&amp;" Equity","OPT_STRIKE_PX")</f>
        <v>624</v>
      </c>
      <c r="U104" s="39">
        <f>T104/S104-1</f>
        <v>3.0127940569541822E-2</v>
      </c>
      <c r="V104" s="36" t="str" cm="1">
        <f t="array" ref="V104">_xll.BDP(B104&amp;" Equity","ivol_mid")</f>
        <v>#N/A N/A</v>
      </c>
      <c r="W104" s="37" cm="1">
        <f t="array" ref="W104">_xll.BDP(B104&amp;" Equity","DELTA_MID_RT")</f>
        <v>-1</v>
      </c>
      <c r="X104" s="47">
        <f>Y104/'Master P&amp;L'!$AE$5</f>
        <v>-4.7197059168979996E-3</v>
      </c>
      <c r="Y104" s="15">
        <f>IF(G104="Sell", S104*W104*-H104*O104/N104, S104*W104*H104*O104/N104)</f>
        <v>-10600625</v>
      </c>
      <c r="Z104" s="15" cm="1">
        <f t="array" ref="Z104">_xll.BDP($B104&amp;" Equity","opt_theta")*H104*O104/N104</f>
        <v>0</v>
      </c>
      <c r="AA104" s="18" cm="1">
        <f t="array" ref="AA104">_xll.BDP($B104&amp;" Equity","opt_theta")/I104</f>
        <v>0</v>
      </c>
      <c r="AB104" s="35" t="str" cm="1">
        <f t="array" ref="AB104">_xll.BDP($C104&amp;" Equity","EXPECTED_REPORT_DT")</f>
        <v>#N/A N/A</v>
      </c>
      <c r="AC104" s="15">
        <f>S104*H104*O104/N104</f>
        <v>10600625</v>
      </c>
      <c r="AD104" s="18">
        <f>AC104/'Master P&amp;L'!$AE$5</f>
        <v>4.7197059168979996E-3</v>
      </c>
      <c r="AE104" t="str">
        <f>B104  &amp; " -&gt; Sell to open " &amp;   H104 &amp;"x"</f>
        <v>QQQ US 02/06/26 P624 -&gt; Sell to open 175x</v>
      </c>
    </row>
    <row r="105" spans="1:37">
      <c r="H105" s="99" t="s">
        <v>64</v>
      </c>
      <c r="I105" s="101">
        <f>I103-I102-I104</f>
        <v>-19.489999999999998</v>
      </c>
      <c r="J105" s="99" t="s">
        <v>193</v>
      </c>
      <c r="K105" s="100">
        <f>K104/L103</f>
        <v>172.55555555555554</v>
      </c>
      <c r="P105" s="127">
        <f>P103+P104+P102</f>
        <v>341075</v>
      </c>
      <c r="Q105" s="57">
        <f>P105/'Master P&amp;L'!$AD$5*10000</f>
        <v>1.5185648917926866</v>
      </c>
      <c r="S105" s="99" t="s">
        <v>195</v>
      </c>
      <c r="T105" s="101"/>
      <c r="W105" s="99" t="s">
        <v>196</v>
      </c>
      <c r="X105" s="120">
        <f>X103+X104+X102</f>
        <v>-4.7522478501810855E-3</v>
      </c>
      <c r="AC105" s="99" t="s">
        <v>173</v>
      </c>
      <c r="AD105" s="120">
        <f>AD103</f>
        <v>4.7197059168979996E-3</v>
      </c>
    </row>
    <row r="106" spans="1:37">
      <c r="H106" s="99" t="s">
        <v>197</v>
      </c>
      <c r="I106" s="101"/>
      <c r="J106" s="99" t="s">
        <v>90</v>
      </c>
      <c r="K106" s="107">
        <f>-AVERAGE(K102:L102)+AVERAGE(K103:L103)-AVERAGE(K104:L104)</f>
        <v>-17.484999999999999</v>
      </c>
      <c r="P106" s="99"/>
      <c r="Q106" s="106"/>
      <c r="S106" s="99"/>
      <c r="T106" s="101"/>
      <c r="W106" s="99"/>
      <c r="X106" s="120"/>
      <c r="Y106" s="13">
        <f>(Y102+Y103+Y104)/S103</f>
        <v>-17620.660872198641</v>
      </c>
      <c r="AC106" s="99"/>
      <c r="AD106" s="102"/>
    </row>
    <row r="107" spans="1:37">
      <c r="B107" s="198">
        <f>(H103*100*(T102-T103)+P105)/'Master P&amp;L'!$AD$5*10000</f>
        <v>1.9860553664338425</v>
      </c>
      <c r="D107" s="63"/>
      <c r="H107" s="95"/>
      <c r="I107" s="63">
        <f>I103-I102</f>
        <v>9.999999999999995E-3</v>
      </c>
      <c r="K107" s="63"/>
      <c r="N107" s="35"/>
      <c r="O107" s="133"/>
      <c r="P107" s="15"/>
      <c r="Q107" s="57"/>
    </row>
    <row r="108" spans="1:37">
      <c r="D108" s="63"/>
      <c r="E108" s="126"/>
    </row>
    <row r="109" spans="1:37">
      <c r="D109" s="63"/>
      <c r="I109" s="63">
        <f>I112-I113</f>
        <v>5.2</v>
      </c>
      <c r="Q109" s="63">
        <f>Q112+Q113</f>
        <v>0.34727863830485839</v>
      </c>
    </row>
    <row r="110" spans="1:37">
      <c r="A110">
        <v>300</v>
      </c>
      <c r="H110" s="206">
        <v>1</v>
      </c>
      <c r="I110" s="126">
        <f>(I112-I111)/I113</f>
        <v>1.15625</v>
      </c>
      <c r="K110" s="126"/>
      <c r="Q110" s="126">
        <f>(Q112+Q111)/Q113</f>
        <v>-1.15625</v>
      </c>
    </row>
    <row r="111" spans="1:37">
      <c r="A111" s="192">
        <v>1</v>
      </c>
      <c r="B111" s="129" t="s">
        <v>985</v>
      </c>
      <c r="C111" t="str" cm="1">
        <f t="array" ref="C111">_xll.BDP(B111&amp;" Equity","OPT_UNDL_TICKER")</f>
        <v>INTC US</v>
      </c>
      <c r="D111" t="str" cm="1">
        <f t="array" ref="D111">_xll.BDP($B111&amp;" Index","mifid_Maturity_date")</f>
        <v>#N/A Invalid Security</v>
      </c>
      <c r="E111" t="str" cm="1">
        <f t="array" ref="E111">_xll.BDP($B111&amp;" Index","opt_days_expire")</f>
        <v>#N/A Invalid Security</v>
      </c>
      <c r="F111" t="str" cm="1">
        <f t="array" ref="F111">_xll.BDP(B111&amp;" Equity","QUOTED_CURRENCY_REALTIME")</f>
        <v>USD</v>
      </c>
      <c r="G111" s="103" t="s">
        <v>192</v>
      </c>
      <c r="H111" s="128">
        <f>H110*H112</f>
        <v>150</v>
      </c>
      <c r="I111" s="96">
        <f>IF(G111="Buy",L111,K111)</f>
        <v>4.7</v>
      </c>
      <c r="J111" s="18">
        <f>I111/S111</f>
        <v>9.6707818930041156E-2</v>
      </c>
      <c r="K111" s="35" cm="1">
        <f t="array" ref="K111">_xll.BDP($B111&amp;" Equity","bid")</f>
        <v>4.7</v>
      </c>
      <c r="L111" s="35" cm="1">
        <f t="array" ref="L111">_xll.BDP($B111&amp;" Equity","ask")</f>
        <v>5</v>
      </c>
      <c r="M111" s="39">
        <f>(L111/K111-1)</f>
        <v>6.3829787234042534E-2</v>
      </c>
      <c r="N111" s="35" cm="1">
        <f t="array" ref="N111">_xll.BDP(F111&amp;" Curncy","PX_LAST")</f>
        <v>1</v>
      </c>
      <c r="O111" s="133" cm="1">
        <f t="array" ref="O111">_xll.BDP(B111&amp;" Equity","OPT_MULTIPLIER")</f>
        <v>100</v>
      </c>
      <c r="P111" s="15">
        <f>IF(G111="Buy",((I111/N111)*H111*O111),((I111/N111)*-H111*O111))</f>
        <v>-70500</v>
      </c>
      <c r="Q111" s="57">
        <f>P111/'Master P&amp;L'!$AD$5*10000</f>
        <v>-0.31388646154477584</v>
      </c>
      <c r="R111" s="36" cm="1">
        <f t="array" ref="R111">_xll.BDP($C111&amp;" Equity","EST_PE_NXT_YR")*(T111/S111)</f>
        <v>60.606060606060609</v>
      </c>
      <c r="S111" s="35" cm="1">
        <f t="array" ref="S111">_xll.BDP(C111&amp;" Equity","LAST_PRICE")</f>
        <v>48.6</v>
      </c>
      <c r="T111" s="52" cm="1">
        <f t="array" ref="T111">_xll.BDP(B111&amp;" Equity","OPT_STRIKE_PX")</f>
        <v>60</v>
      </c>
      <c r="U111" s="39">
        <f>T111/S111-1</f>
        <v>0.23456790123456783</v>
      </c>
      <c r="V111" s="36" cm="1">
        <f t="array" ref="V111">_xll.BDP($B111&amp;" Equity","ivol_mid")</f>
        <v>64.793170000000003</v>
      </c>
      <c r="W111" s="37" cm="1">
        <f t="array" ref="W111">_xll.BDP(B111&amp;" Equity","DELTA_MID_RT")</f>
        <v>0.40669932961463928</v>
      </c>
      <c r="X111" s="47">
        <f>Y111/'Master P&amp;L'!$AE$5</f>
        <v>-1.3200319777423531E-4</v>
      </c>
      <c r="Y111" s="15">
        <f>IF(G111="Sell", S111*W111*-H111*O111/N111, S111*W111*H111*O111/N111)</f>
        <v>-296483.81128907204</v>
      </c>
      <c r="Z111" s="15" cm="1">
        <f t="array" ref="Z111">_xll.BDP($B111&amp;" Equity","opt_theta")*H111*O111/N111</f>
        <v>-376.56</v>
      </c>
      <c r="AA111" s="18" cm="1">
        <f t="array" ref="AA111">_xll.BDP($B111&amp;" Equity","opt_theta")/I111</f>
        <v>-5.3412765957446809E-3</v>
      </c>
      <c r="AB111" s="35" t="str" cm="1">
        <f t="array" ref="AB111">_xll.BDP($C111&amp;" Equity","EXPECTED_REPORT_DT")</f>
        <v>24/04/2026</v>
      </c>
      <c r="AC111" s="15">
        <f>S111*H111*O111/N111</f>
        <v>729000</v>
      </c>
      <c r="AD111" s="18">
        <f>AC111/'Master P&amp;L'!$AE$5</f>
        <v>3.2457195810800223E-4</v>
      </c>
      <c r="AE111" t="str">
        <f>B111  &amp; " - Buy to open " &amp;  "-" &amp; H111 &amp;"x"</f>
        <v>INTC US 07/17/26 C60 - Buy to open -150x</v>
      </c>
      <c r="AK111" s="58" t="s">
        <v>488</v>
      </c>
    </row>
    <row r="112" spans="1:37">
      <c r="A112" s="192">
        <v>2</v>
      </c>
      <c r="B112" s="129" t="s">
        <v>984</v>
      </c>
      <c r="C112" t="str" cm="1">
        <f t="array" ref="C112">_xll.BDP(B112&amp;" Equity","OPT_UNDL_TICKER")</f>
        <v>INTC US</v>
      </c>
      <c r="D112" t="str" cm="1">
        <f t="array" ref="D112">_xll.BDP($B112&amp;" Index","mifid_Maturity_date")</f>
        <v>#N/A Invalid Security</v>
      </c>
      <c r="E112" t="str" cm="1">
        <f t="array" ref="E112">_xll.BDP($B112&amp;" Index","opt_days_expire")</f>
        <v>#N/A Invalid Security</v>
      </c>
      <c r="F112" t="str" cm="1">
        <f t="array" ref="F112">_xll.BDP(B112&amp;" Equity","QUOTED_CURRENCY_REALTIME")</f>
        <v>USD</v>
      </c>
      <c r="G112" s="103" t="s">
        <v>191</v>
      </c>
      <c r="H112" s="128">
        <v>150</v>
      </c>
      <c r="I112" s="96">
        <f>IF(G112="Buy",L112,K112)</f>
        <v>8.4</v>
      </c>
      <c r="J112" s="18">
        <f>I112/S112</f>
        <v>0.1728395061728395</v>
      </c>
      <c r="K112" s="35" cm="1">
        <f t="array" ref="K112">_xll.BDP($B112&amp;" Equity","bid")</f>
        <v>7.75</v>
      </c>
      <c r="L112" s="35" cm="1">
        <f t="array" ref="L112">_xll.BDP($B112&amp;" Equity","ask")</f>
        <v>8.4</v>
      </c>
      <c r="M112" s="39">
        <f>(L112/K112-1)</f>
        <v>8.3870967741935587E-2</v>
      </c>
      <c r="N112" s="35" cm="1">
        <f t="array" ref="N112">_xll.BDP(F112&amp;" Curncy","PX_LAST")</f>
        <v>1</v>
      </c>
      <c r="O112" s="133" cm="1">
        <f t="array" ref="O112">_xll.BDP(B112&amp;" Equity","OPT_MULTIPLIER")</f>
        <v>100</v>
      </c>
      <c r="P112" s="15">
        <f>IF(G112="Buy",((I112/N112)*H112*O112),((I112/N112)*-H112*O112))</f>
        <v>126000</v>
      </c>
      <c r="Q112" s="57">
        <f>P112/'Master P&amp;L'!$AD$5*10000</f>
        <v>0.56098856956938659</v>
      </c>
      <c r="R112" s="36" cm="1">
        <f t="array" ref="R112">_xll.BDP($C112&amp;" Equity","EST_PE_NXT_YR")*(T112/S112)</f>
        <v>50.505050505050505</v>
      </c>
      <c r="S112" s="35">
        <f>_xll.BDP(C112&amp;" Equity","LAST_PRICE")</f>
        <v>48.6</v>
      </c>
      <c r="T112" s="52" cm="1">
        <f t="array" ref="T112">_xll.BDP(B112&amp;" Equity","OPT_STRIKE_PX")</f>
        <v>50</v>
      </c>
      <c r="U112" s="39">
        <f>T112/S112-1</f>
        <v>2.8806584362139898E-2</v>
      </c>
      <c r="V112" s="36" cm="1">
        <f t="array" ref="V112">_xll.BDP($B112&amp;" Equity","ivol_mid")</f>
        <v>64.946740000000005</v>
      </c>
      <c r="W112" s="37" cm="1">
        <f t="array" ref="W112">_xll.BDP(B112&amp;" Equity","DELTA_MID_RT")</f>
        <v>0.57466357946395874</v>
      </c>
      <c r="X112" s="47">
        <f>Y112/'Master P&amp;L'!$AE$5</f>
        <v>1.8651968323997063E-4</v>
      </c>
      <c r="Y112" s="15">
        <f>IF(G112="Sell", S112*W112*-H112*O112/N112, S112*W112*H112*O112/N112)</f>
        <v>418929.74942922592</v>
      </c>
      <c r="Z112" s="15" cm="1">
        <f t="array" ref="Z112">_xll.BDP($B112&amp;" Equity","opt_theta")*H112*O112/N112</f>
        <v>-364.66499999999996</v>
      </c>
      <c r="AA112" s="18" cm="1">
        <f t="array" ref="AA112">_xll.BDP($B112&amp;" Equity","opt_theta")/I112</f>
        <v>-2.8941666666666664E-3</v>
      </c>
      <c r="AB112" s="35" t="str" cm="1">
        <f t="array" ref="AB112">_xll.BDP($C112&amp;" Equity","EXPECTED_REPORT_DT")</f>
        <v>24/04/2026</v>
      </c>
      <c r="AC112" s="15">
        <f>S112*H112*O112/N112</f>
        <v>729000</v>
      </c>
      <c r="AD112" s="18">
        <f>AC112/'Master P&amp;L'!$AE$5</f>
        <v>3.2457195810800223E-4</v>
      </c>
      <c r="AE112" t="str">
        <f>B112  &amp; " - Buy to open " &amp;  "-" &amp; H112 &amp;"x"</f>
        <v>INTC US 07/17/26 C50 - Buy to open -150x</v>
      </c>
      <c r="AK112" s="58" t="s">
        <v>488</v>
      </c>
    </row>
    <row r="113" spans="1:37">
      <c r="A113" s="192">
        <v>2</v>
      </c>
      <c r="B113" s="129" t="s">
        <v>983</v>
      </c>
      <c r="C113" t="str" cm="1">
        <f t="array" ref="C113">_xll.BDP(B113&amp;" Equity","OPT_UNDL_TICKER")</f>
        <v>INTC US</v>
      </c>
      <c r="D113" t="str" cm="1">
        <f t="array" ref="D113">_xll.BDP($B113&amp;" Index","mifid_Maturity_date")</f>
        <v>#N/A Invalid Security</v>
      </c>
      <c r="E113" t="str" cm="1">
        <f t="array" ref="E113">_xll.BDP($B113&amp;" Index","opt_days_expire")</f>
        <v>#N/A Invalid Security</v>
      </c>
      <c r="F113" t="str" cm="1">
        <f t="array" ref="F113">_xll.BDP(B113&amp;" Equity","QUOTED_CURRENCY_REALTIME")</f>
        <v>USD</v>
      </c>
      <c r="G113" s="103" t="s">
        <v>192</v>
      </c>
      <c r="H113" s="128">
        <f>H112</f>
        <v>150</v>
      </c>
      <c r="I113" s="96">
        <f>IF(G113="Buy",L113,K113)</f>
        <v>3.2</v>
      </c>
      <c r="J113" s="18">
        <f>I113/S113</f>
        <v>6.584362139917696E-2</v>
      </c>
      <c r="K113" s="35" cm="1">
        <f t="array" ref="K113">_xll.BDP($B113&amp;" Equity","bid")</f>
        <v>3.2</v>
      </c>
      <c r="L113" s="35" cm="1">
        <f t="array" ref="L113">_xll.BDP($B113&amp;" Equity","ask")</f>
        <v>3.7</v>
      </c>
      <c r="M113" s="39">
        <f>(L113/K113-1)</f>
        <v>0.15625</v>
      </c>
      <c r="N113" s="35" cm="1">
        <f t="array" ref="N113">_xll.BDP(F113&amp;" Curncy","PX_LAST")</f>
        <v>1</v>
      </c>
      <c r="O113" s="133" cm="1">
        <f t="array" ref="O113">_xll.BDP(B113&amp;" Equity","OPT_MULTIPLIER")</f>
        <v>100</v>
      </c>
      <c r="P113" s="15">
        <f>IF(G113="Buy",((I113/N113)*H113*O113),((I113/N113)*-H113*O113))</f>
        <v>-48000</v>
      </c>
      <c r="Q113" s="57">
        <f>P113/'Master P&amp;L'!$AD$5*10000</f>
        <v>-0.21370993126452822</v>
      </c>
      <c r="R113" s="36" cm="1">
        <f t="array" ref="R113">_xll.BDP($C113&amp;" Equity","EST_PE_NXT_YR")*(T113/S113)</f>
        <v>40.404040404040408</v>
      </c>
      <c r="S113" s="35" cm="1">
        <f t="array" ref="S113">_xll.BDP(C113&amp;" Equity","LAST_PRICE")</f>
        <v>48.6</v>
      </c>
      <c r="T113" s="52" cm="1">
        <f t="array" ref="T113">_xll.BDP(B113&amp;" Equity","OPT_STRIKE_PX")</f>
        <v>40</v>
      </c>
      <c r="U113" s="39">
        <f>T113/S113-1</f>
        <v>-0.17695473251028804</v>
      </c>
      <c r="V113" s="36" cm="1">
        <f t="array" ref="V113">_xll.BDP($B113&amp;" Equity","ivol_mid")</f>
        <v>61.580640000000002</v>
      </c>
      <c r="W113" s="37" cm="1">
        <f t="array" ref="W113">_xll.BDP(B113&amp;" Equity","DELTA_MID_RT")</f>
        <v>-0.23777511715888977</v>
      </c>
      <c r="X113" s="47">
        <f>Y113/'Master P&amp;L'!$AE$5</f>
        <v>7.7175135365620506E-5</v>
      </c>
      <c r="Y113" s="15">
        <f>IF(G113="Sell", S113*W113*-H113*O113/N113, S113*W113*H113*O113/N113)</f>
        <v>173338.06040883067</v>
      </c>
      <c r="Z113" s="15" cm="1">
        <f t="array" ref="Z113">_xll.BDP($B113&amp;" Equity","opt_theta")*H113*O113/N113</f>
        <v>-289.14000000000004</v>
      </c>
      <c r="AA113" s="18" cm="1">
        <f t="array" ref="AA113">_xll.BDP($B113&amp;" Equity","opt_theta")/I113</f>
        <v>-6.0237500000000005E-3</v>
      </c>
      <c r="AB113" s="35" t="str" cm="1">
        <f t="array" ref="AB113">_xll.BDP($C113&amp;" Equity","EXPECTED_REPORT_DT")</f>
        <v>24/04/2026</v>
      </c>
      <c r="AC113" s="15">
        <f>S113*H113*O113/N113</f>
        <v>729000</v>
      </c>
      <c r="AD113" s="18">
        <f>AC113/'Master P&amp;L'!$AE$5</f>
        <v>3.2457195810800223E-4</v>
      </c>
      <c r="AE113" t="str">
        <f>B113  &amp; " - Buy to open " &amp;  "-" &amp; H113 &amp;"x"</f>
        <v>INTC US 07/17/26 P40 - Buy to open -150x</v>
      </c>
      <c r="AK113" s="58" t="s">
        <v>488</v>
      </c>
    </row>
    <row r="114" spans="1:37">
      <c r="H114" s="99" t="s">
        <v>64</v>
      </c>
      <c r="I114" s="101">
        <f>I112-I111-I113</f>
        <v>0.5</v>
      </c>
      <c r="J114" s="99" t="s">
        <v>193</v>
      </c>
      <c r="K114" s="100">
        <f>K113/L112</f>
        <v>0.38095238095238093</v>
      </c>
      <c r="P114" s="127">
        <f>P112+P113+P111</f>
        <v>7500</v>
      </c>
      <c r="Q114" s="57">
        <f>P114/'Master P&amp;L'!$AD$5*10000</f>
        <v>3.3392176760082541E-2</v>
      </c>
      <c r="S114" s="99" t="s">
        <v>195</v>
      </c>
      <c r="T114" s="101"/>
      <c r="W114" s="99" t="s">
        <v>196</v>
      </c>
      <c r="X114" s="120">
        <f>X112+X113+X111</f>
        <v>1.3169162083135586E-4</v>
      </c>
      <c r="AC114" s="99" t="s">
        <v>173</v>
      </c>
      <c r="AD114" s="120">
        <f>AD112</f>
        <v>3.2457195810800223E-4</v>
      </c>
    </row>
    <row r="115" spans="1:37">
      <c r="H115" s="99" t="s">
        <v>197</v>
      </c>
      <c r="I115" s="101"/>
      <c r="J115" s="99" t="s">
        <v>90</v>
      </c>
      <c r="K115" s="107">
        <f>-AVERAGE(K111:L111)+AVERAGE(K112:L112)-AVERAGE(K113:L113)</f>
        <v>-0.22500000000000053</v>
      </c>
      <c r="P115" s="99"/>
      <c r="Q115" s="106"/>
      <c r="S115" s="99"/>
      <c r="T115" s="101"/>
      <c r="W115" s="99"/>
      <c r="X115" s="120"/>
      <c r="Y115" s="13">
        <f>(Y111+Y112+Y113)/S112</f>
        <v>6086.0905051231384</v>
      </c>
      <c r="AC115" s="99"/>
      <c r="AD115" s="102"/>
    </row>
    <row r="116" spans="1:37">
      <c r="D116" s="63"/>
      <c r="H116" s="95">
        <v>186</v>
      </c>
      <c r="I116" s="63">
        <f>(I112*A112)-(I113*A113)-(I111*A111)</f>
        <v>5.7</v>
      </c>
      <c r="K116" s="63"/>
      <c r="N116" s="35"/>
      <c r="O116" s="133"/>
      <c r="P116" s="15"/>
      <c r="Q116" s="57"/>
      <c r="X116" s="70">
        <f>AD114+X114</f>
        <v>4.5626357893935809E-4</v>
      </c>
    </row>
    <row r="117" spans="1:37">
      <c r="I117" s="63"/>
      <c r="K117" s="63"/>
    </row>
    <row r="118" spans="1:37">
      <c r="H118" s="206">
        <v>1</v>
      </c>
      <c r="I118" s="63" t="e">
        <f>#REF!-#REF!</f>
        <v>#REF!</v>
      </c>
      <c r="K118" s="63"/>
      <c r="Q118" s="126" t="e">
        <f>(#REF!+#REF!)/#REF!</f>
        <v>#REF!</v>
      </c>
    </row>
  </sheetData>
  <phoneticPr fontId="5" type="noConversion"/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C9680-8A17-4F57-93E3-0C8EAAA0B9D1}">
  <sheetPr codeName="Sheet20">
    <tabColor theme="5" tint="0.79998168889431442"/>
  </sheetPr>
  <dimension ref="A1:V400"/>
  <sheetViews>
    <sheetView showGridLines="0" zoomScale="70" zoomScaleNormal="70" workbookViewId="0">
      <selection activeCell="O5" sqref="O5:O400"/>
    </sheetView>
  </sheetViews>
  <sheetFormatPr defaultRowHeight="15" outlineLevelCol="1"/>
  <cols>
    <col min="2" max="2" width="25" style="139" bestFit="1" customWidth="1"/>
    <col min="3" max="3" width="20.28515625" style="4" bestFit="1" customWidth="1"/>
    <col min="4" max="4" width="17.85546875" style="4" customWidth="1" outlineLevel="1"/>
    <col min="5" max="5" width="12.140625" bestFit="1" customWidth="1"/>
    <col min="6" max="6" width="20" style="4" customWidth="1" outlineLevel="1"/>
    <col min="7" max="7" width="33.140625" style="4" customWidth="1" outlineLevel="1"/>
    <col min="8" max="8" width="14" style="175" customWidth="1" outlineLevel="1"/>
    <col min="9" max="9" width="17.85546875" customWidth="1" outlineLevel="1"/>
    <col min="10" max="10" width="12.140625" customWidth="1" outlineLevel="1"/>
    <col min="11" max="11" width="20" bestFit="1" customWidth="1"/>
    <col min="12" max="12" width="21.5703125" bestFit="1" customWidth="1"/>
    <col min="13" max="13" width="21.5703125" customWidth="1"/>
    <col min="15" max="15" width="40" style="139" bestFit="1" customWidth="1"/>
    <col min="16" max="16" width="17.85546875" bestFit="1" customWidth="1"/>
    <col min="17" max="17" width="15.85546875" bestFit="1" customWidth="1"/>
    <col min="18" max="18" width="15.28515625" bestFit="1" customWidth="1"/>
    <col min="19" max="19" width="12.140625" bestFit="1" customWidth="1"/>
  </cols>
  <sheetData>
    <row r="1" spans="2:22">
      <c r="F1" s="189" t="s">
        <v>210</v>
      </c>
      <c r="G1" s="189" t="s">
        <v>211</v>
      </c>
      <c r="H1" s="7"/>
      <c r="N1">
        <f>2900+860</f>
        <v>3760</v>
      </c>
    </row>
    <row r="2" spans="2:22">
      <c r="H2"/>
      <c r="K2" s="175"/>
    </row>
    <row r="3" spans="2:22">
      <c r="H3"/>
      <c r="K3" s="21" t="s">
        <v>112</v>
      </c>
      <c r="L3" s="21" t="s">
        <v>112</v>
      </c>
      <c r="M3" s="134" t="s">
        <v>427</v>
      </c>
    </row>
    <row r="4" spans="2:22">
      <c r="B4" s="205" t="s">
        <v>212</v>
      </c>
      <c r="C4" s="187" t="s">
        <v>213</v>
      </c>
      <c r="D4" s="187" t="s">
        <v>214</v>
      </c>
      <c r="E4" s="173" t="s">
        <v>215</v>
      </c>
      <c r="F4" s="187" t="s">
        <v>216</v>
      </c>
      <c r="G4" s="187" t="s">
        <v>217</v>
      </c>
      <c r="H4" s="173" t="s">
        <v>218</v>
      </c>
      <c r="I4" s="173" t="s">
        <v>214</v>
      </c>
      <c r="J4" s="173" t="s">
        <v>215</v>
      </c>
      <c r="K4" s="187" t="s">
        <v>216</v>
      </c>
      <c r="L4" s="187" t="s">
        <v>217</v>
      </c>
      <c r="M4" s="187" t="s">
        <v>219</v>
      </c>
      <c r="O4" s="205" t="s">
        <v>220</v>
      </c>
      <c r="P4" s="173" t="s">
        <v>214</v>
      </c>
      <c r="Q4" s="173" t="s">
        <v>221</v>
      </c>
      <c r="R4" s="177" t="s">
        <v>222</v>
      </c>
    </row>
    <row r="5" spans="2:22">
      <c r="B5" s="139" t="s">
        <v>117</v>
      </c>
      <c r="C5" s="188">
        <f>IF(B5="","",IF(LEN(B5)&gt;9,SUMIFS(Options!$H$3:$H$25,Options!$B$3:$B$25,Check!B5),SUMIFS('Master P&amp;L'!$H$11:$H$92,'Master P&amp;L'!$B$11:$B$92,Check!B5)))</f>
        <v>0</v>
      </c>
      <c r="D5" s="188">
        <f>IF(B5="","",SUMIFS(Input_APM!N:N,Input_APM!L:L,Check!B5,Input_APM!M:M,Check!$F$1))</f>
        <v>0</v>
      </c>
      <c r="E5" s="176">
        <f>IF(B5="","",C5-M5)</f>
        <v>0</v>
      </c>
      <c r="F5" s="188">
        <f>IF(B5="","",SUMIFS(Input_APM!N:N,Input_APM!M:M,Check!$F$1,Input_APM!L:L,Check!B5))</f>
        <v>0</v>
      </c>
      <c r="G5" s="188">
        <f>IF(B5="","",SUMIFS(Input_APM!N:N,Input_APM!M:M,Check!$G$1,Input_APM!L:L,Check!B5))</f>
        <v>0</v>
      </c>
      <c r="H5" s="174">
        <f>IF(B5="","",F5-G5)</f>
        <v>0</v>
      </c>
      <c r="I5" s="174">
        <f>SUMIFS(Input_APM!N:N,Input_APM!L:L,Check!B5)</f>
        <v>0</v>
      </c>
      <c r="J5" s="176">
        <f>IF(B5="","",(F5+G5)-I5)</f>
        <v>0</v>
      </c>
      <c r="K5" s="21">
        <f>IF(B5="","",SUMIFS('Input_APM (Zenith)'!N:N,'Input_APM (Zenith)'!L:L,Check!B5,'Input_APM (Zenith)'!M:M,Check!$F$1))</f>
        <v>0</v>
      </c>
      <c r="L5" s="21">
        <f>IF(B5="","",SUMIFS('Input_APM (Zenith)'!N:N,'Input_APM (Zenith)'!L:L,Check!B5,'Input_APM (Zenith)'!M:M,Check!$G$1))</f>
        <v>0</v>
      </c>
      <c r="M5" s="194">
        <f>IF(B5="","",F5+G5+K5+L5)</f>
        <v>0</v>
      </c>
      <c r="O5" s="139" t="s">
        <v>1099</v>
      </c>
      <c r="P5" s="174">
        <f>IF(O5="","",IF(OR(LEFT(O5,4)="Cash",LEFT(O5,4)="Prov"),0,SUMIFS(Input_APM!N:N,Input_APM!L:L,Check!O5)))</f>
        <v>0</v>
      </c>
      <c r="Q5" s="21">
        <f>IF(O5="","",IF(LEN(O5)&gt;9,SUMIFS(Options!$H$3:$H$25,Options!$B$3:$B$25,Check!O5),SUMIFS('Master P&amp;L'!$H$11:$H$92,'Master P&amp;L'!$B$11:$B$92,Check!O5)))</f>
        <v>0</v>
      </c>
      <c r="R5" s="174">
        <f>IF(O5="","",P5-Q5)</f>
        <v>0</v>
      </c>
      <c r="S5" s="289" t="str">
        <f>IF(O5="","",IF((P5+Q5)=0,"Ok",IF(OR(P5=0,Q5=0),"Erro",P5/Q5)))</f>
        <v>Ok</v>
      </c>
      <c r="V5" s="13"/>
    </row>
    <row r="6" spans="2:22">
      <c r="B6" t="s">
        <v>336</v>
      </c>
      <c r="C6" s="188">
        <f>IF(B6="","",IF(LEN(B6)&gt;9,SUMIFS(Options!$H$3:$H$25,Options!$B$3:$B$25,Check!B6),SUMIFS('Master P&amp;L'!$H$11:$H$92,'Master P&amp;L'!$B$11:$B$92,Check!B6)))</f>
        <v>3378</v>
      </c>
      <c r="D6" s="188">
        <f>IF(B6="","",SUMIFS(Input_APM!N:N,Input_APM!L:L,Check!B6,Input_APM!M:M,Check!$F$1))</f>
        <v>3163</v>
      </c>
      <c r="E6" s="176">
        <f>IF(B6="","",C6-M6)</f>
        <v>215</v>
      </c>
      <c r="F6" s="188">
        <f>IF(B6="","",SUMIFS(Input_APM!N:N,Input_APM!M:M,Check!$F$1,Input_APM!L:L,Check!B6))</f>
        <v>3163</v>
      </c>
      <c r="G6" s="188">
        <f>IF(B6="","",SUMIFS(Input_APM!N:N,Input_APM!M:M,Check!$G$1,Input_APM!L:L,Check!B6))</f>
        <v>0</v>
      </c>
      <c r="H6" s="174">
        <f t="shared" ref="H6:H69" si="0">IF(B6="","",F6-G6)</f>
        <v>3163</v>
      </c>
      <c r="I6" s="174">
        <f>SUMIFS(Input_APM!N:N,Input_APM!L:L,Check!B6)</f>
        <v>3163</v>
      </c>
      <c r="J6" s="176">
        <f>IF(B6="","",(F6+G6)-I6)</f>
        <v>0</v>
      </c>
      <c r="K6" s="21">
        <f>IF(B6="","",SUMIFS('Input_APM (Zenith)'!N:N,'Input_APM (Zenith)'!L:L,Check!B6,'Input_APM (Zenith)'!M:M,Check!$F$1))</f>
        <v>0</v>
      </c>
      <c r="L6" s="21">
        <f>IF(B6="","",SUMIFS('Input_APM (Zenith)'!N:N,'Input_APM (Zenith)'!L:L,Check!B6,'Input_APM (Zenith)'!M:M,Check!$G$1))</f>
        <v>0</v>
      </c>
      <c r="M6" s="194">
        <f>IF(B6="","",F6+G6+K6+L6)</f>
        <v>3163</v>
      </c>
      <c r="O6" t="s">
        <v>1116</v>
      </c>
      <c r="P6" s="174">
        <f>IF(O6="","",IF(OR(LEFT(O6,4)="Cash",LEFT(O6,4)="Prov"),0,SUMIFS(Input_APM!N:N,Input_APM!L:L,Check!O6)))</f>
        <v>0</v>
      </c>
      <c r="Q6" s="21">
        <f>IF(O6="","",IF(LEN(O6)&gt;9,SUMIFS(Options!$H$3:$H$25,Options!$B$3:$B$25,Check!O6),SUMIFS('Master P&amp;L'!$H$11:$H$92,'Master P&amp;L'!$B$11:$B$92,Check!O6)))</f>
        <v>0</v>
      </c>
      <c r="R6" s="174">
        <f t="shared" ref="R6:R69" si="1">IF(O6="","",P6-Q6)</f>
        <v>0</v>
      </c>
      <c r="S6" s="289" t="str">
        <f t="shared" ref="S6:S69" si="2">IF(O6="","",IF((P6+Q6)=0,"Ok",IF(OR(P6=0,Q6=0),"Erro",P6/Q6)))</f>
        <v>Ok</v>
      </c>
      <c r="V6" s="13"/>
    </row>
    <row r="7" spans="2:22">
      <c r="B7" t="s">
        <v>809</v>
      </c>
      <c r="C7" s="188">
        <f>IF(B7="","",IF(LEN(B7)&gt;9,SUMIFS(Options!$H$3:$H$25,Options!$B$3:$B$25,Check!B7),SUMIFS('Master P&amp;L'!$H$11:$H$92,'Master P&amp;L'!$B$11:$B$92,Check!B7)))</f>
        <v>3910</v>
      </c>
      <c r="D7" s="188">
        <f>IF(B7="","",SUMIFS(Input_APM!N:N,Input_APM!L:L,Check!B7,Input_APM!M:M,Check!$F$1))</f>
        <v>3285</v>
      </c>
      <c r="E7" s="176">
        <f>IF(B7="","",C7-M7)</f>
        <v>625</v>
      </c>
      <c r="F7" s="188">
        <f>IF(B7="","",SUMIFS(Input_APM!N:N,Input_APM!M:M,Check!$F$1,Input_APM!L:L,Check!B7))</f>
        <v>3285</v>
      </c>
      <c r="G7" s="188">
        <f>IF(B7="","",SUMIFS(Input_APM!N:N,Input_APM!M:M,Check!$G$1,Input_APM!L:L,Check!B7))</f>
        <v>0</v>
      </c>
      <c r="H7" s="174">
        <f>IF(B7="","",F7-G7)</f>
        <v>3285</v>
      </c>
      <c r="I7" s="174">
        <f>SUMIFS(Input_APM!N:N,Input_APM!L:L,Check!B7)</f>
        <v>3285</v>
      </c>
      <c r="J7" s="176">
        <f t="shared" ref="J7:J69" si="3">IF(B7="","",(F7+G7)-I7)</f>
        <v>0</v>
      </c>
      <c r="K7" s="21">
        <f>IF(B7="","",SUMIFS('Input_APM (Zenith)'!N:N,'Input_APM (Zenith)'!L:L,Check!B7,'Input_APM (Zenith)'!M:M,Check!$F$1))</f>
        <v>0</v>
      </c>
      <c r="L7" s="21">
        <f>IF(B7="","",SUMIFS('Input_APM (Zenith)'!N:N,'Input_APM (Zenith)'!L:L,Check!B7,'Input_APM (Zenith)'!M:M,Check!$G$1))</f>
        <v>0</v>
      </c>
      <c r="M7" s="194">
        <f t="shared" ref="M7:M69" si="4">IF(B7="","",F7+G7+K7+L7)</f>
        <v>3285</v>
      </c>
      <c r="O7" t="s">
        <v>27</v>
      </c>
      <c r="P7" s="174">
        <f>IF(O7="","",IF(OR(LEFT(O7,4)="Cash",LEFT(O7,4)="Prov"),0,SUMIFS(Input_APM!N:N,Input_APM!L:L,Check!O7)))</f>
        <v>7980</v>
      </c>
      <c r="Q7" s="21">
        <f>IF(O7="","",IF(LEN(O7)&gt;9,SUMIFS(Options!$H$3:$H$25,Options!$B$3:$B$25,Check!O7),SUMIFS('Master P&amp;L'!$H$11:$H$92,'Master P&amp;L'!$B$11:$B$92,Check!O7)))</f>
        <v>4105</v>
      </c>
      <c r="R7" s="174">
        <f t="shared" si="1"/>
        <v>3875</v>
      </c>
      <c r="S7" s="289">
        <f t="shared" si="2"/>
        <v>1.9439707673568818</v>
      </c>
      <c r="V7" s="13"/>
    </row>
    <row r="8" spans="2:22">
      <c r="B8" t="s">
        <v>7</v>
      </c>
      <c r="C8" s="188">
        <f>IF(B8="","",IF(LEN(B8)&gt;9,SUMIFS(Options!$H$3:$H$25,Options!$B$3:$B$25,Check!B8),SUMIFS('Master P&amp;L'!$H$11:$H$92,'Master P&amp;L'!$B$11:$B$92,Check!B8)))</f>
        <v>0</v>
      </c>
      <c r="D8" s="188">
        <f>IF(B8="","",SUMIFS(Input_APM!N:N,Input_APM!L:L,Check!B8,Input_APM!M:M,Check!$F$1))</f>
        <v>19706</v>
      </c>
      <c r="E8" s="176">
        <f>IF(B8="","",C8-M8)</f>
        <v>-19706</v>
      </c>
      <c r="F8" s="188">
        <f>IF(B8="","",SUMIFS(Input_APM!N:N,Input_APM!M:M,Check!$F$1,Input_APM!L:L,Check!B8))</f>
        <v>19706</v>
      </c>
      <c r="G8" s="188">
        <f>IF(B8="","",SUMIFS(Input_APM!N:N,Input_APM!M:M,Check!$G$1,Input_APM!L:L,Check!B8))</f>
        <v>0</v>
      </c>
      <c r="H8" s="174">
        <f t="shared" si="0"/>
        <v>19706</v>
      </c>
      <c r="I8" s="174">
        <f>SUMIFS(Input_APM!N:N,Input_APM!L:L,Check!B8)</f>
        <v>19706</v>
      </c>
      <c r="J8" s="176">
        <f t="shared" si="3"/>
        <v>0</v>
      </c>
      <c r="K8" s="21">
        <f>IF(B8="","",SUMIFS('Input_APM (Zenith)'!N:N,'Input_APM (Zenith)'!L:L,Check!B8,'Input_APM (Zenith)'!M:M,Check!$F$1))</f>
        <v>0</v>
      </c>
      <c r="L8" s="21">
        <f>IF(B8="","",SUMIFS('Input_APM (Zenith)'!N:N,'Input_APM (Zenith)'!L:L,Check!B8,'Input_APM (Zenith)'!M:M,Check!$G$1))</f>
        <v>0</v>
      </c>
      <c r="M8" s="194">
        <f t="shared" si="4"/>
        <v>19706</v>
      </c>
      <c r="O8" t="s">
        <v>1095</v>
      </c>
      <c r="P8" s="174">
        <f>IF(O8="","",IF(OR(LEFT(O8,4)="Cash",LEFT(O8,4)="Prov"),0,SUMIFS(Input_APM!N:N,Input_APM!L:L,Check!O8)))</f>
        <v>329</v>
      </c>
      <c r="Q8" s="21">
        <f>IF(O8="","",IF(LEN(O8)&gt;9,SUMIFS(Options!$H$3:$H$25,Options!$B$3:$B$25,Check!O8),SUMIFS('Master P&amp;L'!$H$11:$H$92,'Master P&amp;L'!$B$11:$B$92,Check!O8)))</f>
        <v>350</v>
      </c>
      <c r="R8" s="174">
        <f t="shared" si="1"/>
        <v>-21</v>
      </c>
      <c r="S8" s="289">
        <f t="shared" si="2"/>
        <v>0.94</v>
      </c>
      <c r="V8" s="13"/>
    </row>
    <row r="9" spans="2:22">
      <c r="B9" t="s">
        <v>1130</v>
      </c>
      <c r="C9" s="188">
        <f>IF(B9="","",IF(LEN(B9)&gt;9,SUMIFS(Options!$H$3:$H$25,Options!$B$3:$B$25,Check!B9),SUMIFS('Master P&amp;L'!$H$11:$H$92,'Master P&amp;L'!$B$11:$B$92,Check!B9)))</f>
        <v>0</v>
      </c>
      <c r="D9" s="188">
        <f>IF(B9="","",SUMIFS(Input_APM!N:N,Input_APM!L:L,Check!B9,Input_APM!M:M,Check!$F$1))</f>
        <v>0</v>
      </c>
      <c r="E9" s="176">
        <f>IF(B9="","",C9-M9)</f>
        <v>0</v>
      </c>
      <c r="F9" s="188">
        <f>IF(B9="","",SUMIFS(Input_APM!N:N,Input_APM!M:M,Check!$F$1,Input_APM!L:L,Check!B9))</f>
        <v>0</v>
      </c>
      <c r="G9" s="188">
        <f>IF(B9="","",SUMIFS(Input_APM!N:N,Input_APM!M:M,Check!$G$1,Input_APM!L:L,Check!B9))</f>
        <v>0</v>
      </c>
      <c r="H9" s="174">
        <f t="shared" si="0"/>
        <v>0</v>
      </c>
      <c r="I9" s="174">
        <f>SUMIFS(Input_APM!N:N,Input_APM!L:L,Check!B9)</f>
        <v>0</v>
      </c>
      <c r="J9" s="176">
        <f t="shared" si="3"/>
        <v>0</v>
      </c>
      <c r="K9" s="21">
        <f>IF(B9="","",SUMIFS('Input_APM (Zenith)'!N:N,'Input_APM (Zenith)'!L:L,Check!B9,'Input_APM (Zenith)'!M:M,Check!$F$1))</f>
        <v>0</v>
      </c>
      <c r="L9" s="21">
        <f>IF(B9="","",SUMIFS('Input_APM (Zenith)'!N:N,'Input_APM (Zenith)'!L:L,Check!B9,'Input_APM (Zenith)'!M:M,Check!$G$1))</f>
        <v>0</v>
      </c>
      <c r="M9" s="194">
        <f t="shared" si="4"/>
        <v>0</v>
      </c>
      <c r="O9" t="s">
        <v>1096</v>
      </c>
      <c r="P9" s="174">
        <f>IF(O9="","",IF(OR(LEFT(O9,4)="Cash",LEFT(O9,4)="Prov"),0,SUMIFS(Input_APM!N:N,Input_APM!L:L,Check!O9)))</f>
        <v>-329</v>
      </c>
      <c r="Q9" s="21">
        <f>IF(O9="","",IF(LEN(O9)&gt;9,SUMIFS(Options!$H$3:$H$25,Options!$B$3:$B$25,Check!O9),SUMIFS('Master P&amp;L'!$H$11:$H$92,'Master P&amp;L'!$B$11:$B$92,Check!O9)))</f>
        <v>-350</v>
      </c>
      <c r="R9" s="174">
        <f t="shared" si="1"/>
        <v>21</v>
      </c>
      <c r="S9" s="289">
        <f t="shared" si="2"/>
        <v>0.94</v>
      </c>
      <c r="V9" s="13"/>
    </row>
    <row r="10" spans="2:22">
      <c r="B10" t="s">
        <v>580</v>
      </c>
      <c r="C10" s="188">
        <f>IF(B10="","",IF(LEN(B10)&gt;9,SUMIFS(Options!$H$3:$H$25,Options!$B$3:$B$25,Check!B10),SUMIFS('Master P&amp;L'!$H$11:$H$92,'Master P&amp;L'!$B$11:$B$92,Check!B10)))</f>
        <v>-5</v>
      </c>
      <c r="D10" s="188">
        <f>IF(B10="","",SUMIFS(Input_APM!N:N,Input_APM!L:L,Check!B10,Input_APM!M:M,Check!$F$1))</f>
        <v>0</v>
      </c>
      <c r="E10" s="174">
        <f t="shared" ref="E10:E65" si="5">IF(B10="","",C10-M10)</f>
        <v>-5</v>
      </c>
      <c r="F10" s="188">
        <f>IF(B10="","",SUMIFS(Input_APM!N:N,Input_APM!M:M,Check!$F$1,Input_APM!L:L,Check!B10))</f>
        <v>0</v>
      </c>
      <c r="G10" s="188">
        <f>IF(B10="","",SUMIFS(Input_APM!N:N,Input_APM!M:M,Check!$G$1,Input_APM!L:L,Check!B10))</f>
        <v>0</v>
      </c>
      <c r="H10" s="174">
        <f t="shared" si="0"/>
        <v>0</v>
      </c>
      <c r="I10" s="174">
        <f>SUMIFS(Input_APM!N:N,Input_APM!L:L,Check!B10)</f>
        <v>0</v>
      </c>
      <c r="J10" s="176">
        <f t="shared" si="3"/>
        <v>0</v>
      </c>
      <c r="K10" s="21">
        <f>IF(B10="","",SUMIFS('Input_APM (Zenith)'!N:N,'Input_APM (Zenith)'!L:L,Check!B10,'Input_APM (Zenith)'!M:M,Check!$F$1))</f>
        <v>0</v>
      </c>
      <c r="L10" s="21">
        <f>IF(B10="","",SUMIFS('Input_APM (Zenith)'!N:N,'Input_APM (Zenith)'!L:L,Check!B10,'Input_APM (Zenith)'!M:M,Check!$G$1))</f>
        <v>0</v>
      </c>
      <c r="M10" s="194">
        <f t="shared" si="4"/>
        <v>0</v>
      </c>
      <c r="O10" t="s">
        <v>1013</v>
      </c>
      <c r="P10" s="174">
        <f>IF(O10="","",IF(OR(LEFT(O10,4)="Cash",LEFT(O10,4)="Prov"),0,SUMIFS(Input_APM!N:N,Input_APM!L:L,Check!O10)))</f>
        <v>9585</v>
      </c>
      <c r="Q10" s="21">
        <f>IF(O10="","",IF(LEN(O10)&gt;9,SUMIFS(Options!$H$3:$H$25,Options!$B$3:$B$25,Check!O10),SUMIFS('Master P&amp;L'!$H$11:$H$92,'Master P&amp;L'!$B$11:$B$92,Check!O10)))</f>
        <v>0</v>
      </c>
      <c r="R10" s="174">
        <f t="shared" si="1"/>
        <v>9585</v>
      </c>
      <c r="S10" s="289" t="str">
        <f t="shared" si="2"/>
        <v>Erro</v>
      </c>
      <c r="V10" s="13"/>
    </row>
    <row r="11" spans="2:22">
      <c r="B11" t="s">
        <v>816</v>
      </c>
      <c r="C11" s="188">
        <f>IF(B11="","",IF(LEN(B11)&gt;9,SUMIFS(Options!$H$3:$H$25,Options!$B$3:$B$25,Check!B11),SUMIFS('Master P&amp;L'!$H$11:$H$92,'Master P&amp;L'!$B$11:$B$92,Check!B11)))</f>
        <v>14500</v>
      </c>
      <c r="D11" s="188">
        <f>IF(B11="","",SUMIFS(Input_APM!N:N,Input_APM!L:L,Check!B11,Input_APM!M:M,Check!$F$1))</f>
        <v>13594</v>
      </c>
      <c r="E11" s="174">
        <f t="shared" si="5"/>
        <v>906</v>
      </c>
      <c r="F11" s="188">
        <f>IF(B11="","",SUMIFS(Input_APM!N:N,Input_APM!M:M,Check!$F$1,Input_APM!L:L,Check!B11))</f>
        <v>13594</v>
      </c>
      <c r="G11" s="188">
        <f>IF(B11="","",SUMIFS(Input_APM!N:N,Input_APM!M:M,Check!$G$1,Input_APM!L:L,Check!B11))</f>
        <v>0</v>
      </c>
      <c r="H11" s="174">
        <f t="shared" si="0"/>
        <v>13594</v>
      </c>
      <c r="I11" s="174">
        <f>SUMIFS(Input_APM!N:N,Input_APM!L:L,Check!B11)</f>
        <v>13594</v>
      </c>
      <c r="J11" s="176">
        <f t="shared" si="3"/>
        <v>0</v>
      </c>
      <c r="K11" s="21">
        <f>IF(B11="","",SUMIFS('Input_APM (Zenith)'!N:N,'Input_APM (Zenith)'!L:L,Check!B11,'Input_APM (Zenith)'!M:M,Check!$F$1))</f>
        <v>0</v>
      </c>
      <c r="L11" s="21">
        <f>IF(B11="","",SUMIFS('Input_APM (Zenith)'!N:N,'Input_APM (Zenith)'!L:L,Check!B11,'Input_APM (Zenith)'!M:M,Check!$G$1))</f>
        <v>0</v>
      </c>
      <c r="M11" s="194">
        <f t="shared" si="4"/>
        <v>13594</v>
      </c>
      <c r="O11" t="s">
        <v>318</v>
      </c>
      <c r="P11" s="174">
        <f>IF(O11="","",IF(OR(LEFT(O11,4)="Cash",LEFT(O11,4)="Prov"),0,SUMIFS(Input_APM!N:N,Input_APM!L:L,Check!O11)))</f>
        <v>13772</v>
      </c>
      <c r="Q11" s="21">
        <f>IF(O11="","",IF(LEN(O11)&gt;9,SUMIFS(Options!$H$3:$H$25,Options!$B$3:$B$25,Check!O11),SUMIFS('Master P&amp;L'!$H$11:$H$92,'Master P&amp;L'!$B$11:$B$92,Check!O11)))</f>
        <v>12200</v>
      </c>
      <c r="R11" s="174">
        <f t="shared" si="1"/>
        <v>1572</v>
      </c>
      <c r="S11" s="289">
        <f t="shared" si="2"/>
        <v>1.1288524590163935</v>
      </c>
      <c r="V11" s="13"/>
    </row>
    <row r="12" spans="2:22">
      <c r="B12" t="s">
        <v>27</v>
      </c>
      <c r="C12" s="188">
        <f>IF(B12="","",IF(LEN(B12)&gt;9,SUMIFS(Options!$H$3:$H$25,Options!$B$3:$B$25,Check!B12),SUMIFS('Master P&amp;L'!$H$11:$H$92,'Master P&amp;L'!$B$11:$B$92,Check!B12)))</f>
        <v>4105</v>
      </c>
      <c r="D12" s="188">
        <f>IF(B12="","",SUMIFS(Input_APM!N:N,Input_APM!L:L,Check!B12,Input_APM!M:M,Check!$F$1))</f>
        <v>7980</v>
      </c>
      <c r="E12" s="174">
        <f t="shared" si="5"/>
        <v>-3875</v>
      </c>
      <c r="F12" s="188">
        <f>IF(B12="","",SUMIFS(Input_APM!N:N,Input_APM!M:M,Check!$F$1,Input_APM!L:L,Check!B12))</f>
        <v>7980</v>
      </c>
      <c r="G12" s="188">
        <f>IF(B12="","",SUMIFS(Input_APM!N:N,Input_APM!M:M,Check!$G$1,Input_APM!L:L,Check!B12))</f>
        <v>0</v>
      </c>
      <c r="H12" s="174">
        <f t="shared" si="0"/>
        <v>7980</v>
      </c>
      <c r="I12" s="174">
        <f>SUMIFS(Input_APM!N:N,Input_APM!L:L,Check!B12)</f>
        <v>7980</v>
      </c>
      <c r="J12" s="176">
        <f t="shared" si="3"/>
        <v>0</v>
      </c>
      <c r="K12" s="21">
        <f>IF(B12="","",SUMIFS('Input_APM (Zenith)'!N:N,'Input_APM (Zenith)'!L:L,Check!B12,'Input_APM (Zenith)'!M:M,Check!$F$1))</f>
        <v>0</v>
      </c>
      <c r="L12" s="21">
        <f>IF(B12="","",SUMIFS('Input_APM (Zenith)'!N:N,'Input_APM (Zenith)'!L:L,Check!B12,'Input_APM (Zenith)'!M:M,Check!$G$1))</f>
        <v>0</v>
      </c>
      <c r="M12" s="194">
        <f t="shared" si="4"/>
        <v>7980</v>
      </c>
      <c r="O12" t="s">
        <v>7</v>
      </c>
      <c r="P12" s="174">
        <f>IF(O12="","",IF(OR(LEFT(O12,4)="Cash",LEFT(O12,4)="Prov"),0,SUMIFS(Input_APM!N:N,Input_APM!L:L,Check!O12)))</f>
        <v>19706</v>
      </c>
      <c r="Q12" s="21">
        <f>IF(O12="","",IF(LEN(O12)&gt;9,SUMIFS(Options!$H$3:$H$25,Options!$B$3:$B$25,Check!O12),SUMIFS('Master P&amp;L'!$H$11:$H$92,'Master P&amp;L'!$B$11:$B$92,Check!O12)))</f>
        <v>0</v>
      </c>
      <c r="R12" s="174">
        <f t="shared" si="1"/>
        <v>19706</v>
      </c>
      <c r="S12" s="289" t="str">
        <f t="shared" si="2"/>
        <v>Erro</v>
      </c>
      <c r="V12" s="13"/>
    </row>
    <row r="13" spans="2:22">
      <c r="B13" t="s">
        <v>318</v>
      </c>
      <c r="C13" s="188">
        <f>IF(B13="","",IF(LEN(B13)&gt;9,SUMIFS(Options!$H$3:$H$25,Options!$B$3:$B$25,Check!B13),SUMIFS('Master P&amp;L'!$H$11:$H$92,'Master P&amp;L'!$B$11:$B$92,Check!B13)))</f>
        <v>12200</v>
      </c>
      <c r="D13" s="188">
        <f>IF(B13="","",SUMIFS(Input_APM!N:N,Input_APM!L:L,Check!B13,Input_APM!M:M,Check!$F$1))</f>
        <v>13772</v>
      </c>
      <c r="E13" s="176">
        <f t="shared" si="5"/>
        <v>-1572</v>
      </c>
      <c r="F13" s="188">
        <f>IF(B13="","",SUMIFS(Input_APM!N:N,Input_APM!M:M,Check!$F$1,Input_APM!L:L,Check!B13))</f>
        <v>13772</v>
      </c>
      <c r="G13" s="188">
        <f>IF(B13="","",SUMIFS(Input_APM!N:N,Input_APM!M:M,Check!$G$1,Input_APM!L:L,Check!B13))</f>
        <v>0</v>
      </c>
      <c r="H13" s="174">
        <f t="shared" si="0"/>
        <v>13772</v>
      </c>
      <c r="I13" s="174">
        <f>SUMIFS(Input_APM!N:N,Input_APM!L:L,Check!B13)</f>
        <v>13772</v>
      </c>
      <c r="J13" s="176">
        <f t="shared" si="3"/>
        <v>0</v>
      </c>
      <c r="K13" s="21">
        <f>IF(B13="","",SUMIFS('Input_APM (Zenith)'!N:N,'Input_APM (Zenith)'!L:L,Check!B13,'Input_APM (Zenith)'!M:M,Check!$F$1))</f>
        <v>0</v>
      </c>
      <c r="L13" s="21">
        <f>IF(B13="","",SUMIFS('Input_APM (Zenith)'!N:N,'Input_APM (Zenith)'!L:L,Check!B13,'Input_APM (Zenith)'!M:M,Check!$G$1))</f>
        <v>0</v>
      </c>
      <c r="M13" s="194">
        <f t="shared" si="4"/>
        <v>13772</v>
      </c>
      <c r="O13" t="s">
        <v>895</v>
      </c>
      <c r="P13" s="174">
        <f>IF(O13="","",IF(OR(LEFT(O13,4)="Cash",LEFT(O13,4)="Prov"),0,SUMIFS(Input_APM!N:N,Input_APM!L:L,Check!O13)))</f>
        <v>935</v>
      </c>
      <c r="Q13" s="21">
        <f>IF(O13="","",IF(LEN(O13)&gt;9,SUMIFS(Options!$H$3:$H$25,Options!$B$3:$B$25,Check!O13),SUMIFS('Master P&amp;L'!$H$11:$H$92,'Master P&amp;L'!$B$11:$B$92,Check!O13)))</f>
        <v>1000</v>
      </c>
      <c r="R13" s="174">
        <f t="shared" si="1"/>
        <v>-65</v>
      </c>
      <c r="S13" s="289">
        <f t="shared" si="2"/>
        <v>0.93500000000000005</v>
      </c>
      <c r="V13" s="13"/>
    </row>
    <row r="14" spans="2:22">
      <c r="B14" t="s">
        <v>1141</v>
      </c>
      <c r="C14" s="188">
        <f>IF(B14="","",IF(LEN(B14)&gt;9,SUMIFS(Options!$H$3:$H$25,Options!$B$3:$B$25,Check!B14),SUMIFS('Master P&amp;L'!$H$11:$H$92,'Master P&amp;L'!$B$11:$B$92,Check!B14)))</f>
        <v>0</v>
      </c>
      <c r="D14" s="188">
        <f>IF(B14="","",SUMIFS(Input_APM!N:N,Input_APM!L:L,Check!B14,Input_APM!M:M,Check!$F$1))</f>
        <v>0</v>
      </c>
      <c r="E14" s="174">
        <f t="shared" si="5"/>
        <v>0</v>
      </c>
      <c r="F14" s="188">
        <f>IF(B14="","",SUMIFS(Input_APM!N:N,Input_APM!M:M,Check!$F$1,Input_APM!L:L,Check!B14))</f>
        <v>0</v>
      </c>
      <c r="G14" s="188">
        <f>IF(B14="","",SUMIFS(Input_APM!N:N,Input_APM!M:M,Check!$G$1,Input_APM!L:L,Check!B14))</f>
        <v>0</v>
      </c>
      <c r="H14" s="174">
        <f t="shared" si="0"/>
        <v>0</v>
      </c>
      <c r="I14" s="174">
        <f>SUMIFS(Input_APM!N:N,Input_APM!L:L,Check!B14)</f>
        <v>0</v>
      </c>
      <c r="J14" s="176">
        <f t="shared" si="3"/>
        <v>0</v>
      </c>
      <c r="K14" s="21">
        <f>IF(B14="","",SUMIFS('Input_APM (Zenith)'!N:N,'Input_APM (Zenith)'!L:L,Check!B14,'Input_APM (Zenith)'!M:M,Check!$F$1))</f>
        <v>0</v>
      </c>
      <c r="L14" s="21">
        <f>IF(B14="","",SUMIFS('Input_APM (Zenith)'!N:N,'Input_APM (Zenith)'!L:L,Check!B14,'Input_APM (Zenith)'!M:M,Check!$G$1))</f>
        <v>0</v>
      </c>
      <c r="M14" s="194">
        <f t="shared" si="4"/>
        <v>0</v>
      </c>
      <c r="O14" t="s">
        <v>84</v>
      </c>
      <c r="P14" s="174">
        <f>IF(O14="","",IF(OR(LEFT(O14,4)="Cash",LEFT(O14,4)="Prov"),0,SUMIFS(Input_APM!N:N,Input_APM!L:L,Check!O14)))</f>
        <v>0</v>
      </c>
      <c r="Q14" s="21">
        <f>IF(O14="","",IF(LEN(O14)&gt;9,SUMIFS(Options!$H$3:$H$25,Options!$B$3:$B$25,Check!O14),SUMIFS('Master P&amp;L'!$H$11:$H$92,'Master P&amp;L'!$B$11:$B$92,Check!O14)))</f>
        <v>0</v>
      </c>
      <c r="R14" s="174">
        <f t="shared" si="1"/>
        <v>0</v>
      </c>
      <c r="S14" s="289" t="str">
        <f t="shared" si="2"/>
        <v>Ok</v>
      </c>
      <c r="V14" s="13"/>
    </row>
    <row r="15" spans="2:22">
      <c r="B15" t="s">
        <v>29</v>
      </c>
      <c r="C15" s="188">
        <f>IF(B15="","",IF(LEN(B15)&gt;9,SUMIFS(Options!$H$3:$H$25,Options!$B$3:$B$25,Check!B15),SUMIFS('Master P&amp;L'!$H$11:$H$92,'Master P&amp;L'!$B$11:$B$92,Check!B15)))</f>
        <v>4450</v>
      </c>
      <c r="D15" s="188">
        <f>IF(B15="","",SUMIFS(Input_APM!N:N,Input_APM!L:L,Check!B15,Input_APM!M:M,Check!$F$1))</f>
        <v>4183</v>
      </c>
      <c r="E15" s="176">
        <f t="shared" si="5"/>
        <v>267</v>
      </c>
      <c r="F15" s="188">
        <f>IF(B15="","",SUMIFS(Input_APM!N:N,Input_APM!M:M,Check!$F$1,Input_APM!L:L,Check!B15))</f>
        <v>4183</v>
      </c>
      <c r="G15" s="188">
        <f>IF(B15="","",SUMIFS(Input_APM!N:N,Input_APM!M:M,Check!$G$1,Input_APM!L:L,Check!B15))</f>
        <v>0</v>
      </c>
      <c r="H15" s="174">
        <f t="shared" si="0"/>
        <v>4183</v>
      </c>
      <c r="I15" s="174">
        <f>SUMIFS(Input_APM!N:N,Input_APM!L:L,Check!B15)</f>
        <v>4183</v>
      </c>
      <c r="J15" s="176">
        <f t="shared" si="3"/>
        <v>0</v>
      </c>
      <c r="K15" s="21">
        <f>IF(B15="","",SUMIFS('Input_APM (Zenith)'!N:N,'Input_APM (Zenith)'!L:L,Check!B15,'Input_APM (Zenith)'!M:M,Check!$F$1))</f>
        <v>0</v>
      </c>
      <c r="L15" s="21">
        <f>IF(B15="","",SUMIFS('Input_APM (Zenith)'!N:N,'Input_APM (Zenith)'!L:L,Check!B15,'Input_APM (Zenith)'!M:M,Check!$G$1))</f>
        <v>0</v>
      </c>
      <c r="M15" s="194">
        <f t="shared" si="4"/>
        <v>4183</v>
      </c>
      <c r="O15" t="s">
        <v>774</v>
      </c>
      <c r="P15" s="174">
        <f>IF(O15="","",IF(OR(LEFT(O15,4)="Cash",LEFT(O15,4)="Prov"),0,SUMIFS(Input_APM!N:N,Input_APM!L:L,Check!O15)))</f>
        <v>114</v>
      </c>
      <c r="Q15" s="21">
        <f>IF(O15="","",IF(LEN(O15)&gt;9,SUMIFS(Options!$H$3:$H$25,Options!$B$3:$B$25,Check!O15),SUMIFS('Master P&amp;L'!$H$11:$H$92,'Master P&amp;L'!$B$11:$B$92,Check!O15)))</f>
        <v>120</v>
      </c>
      <c r="R15" s="174">
        <f t="shared" si="1"/>
        <v>-6</v>
      </c>
      <c r="S15" s="289">
        <f t="shared" si="2"/>
        <v>0.95</v>
      </c>
      <c r="V15" s="13"/>
    </row>
    <row r="16" spans="2:22">
      <c r="B16" t="s">
        <v>38</v>
      </c>
      <c r="C16" s="188">
        <f>IF(B16="","",IF(LEN(B16)&gt;9,SUMIFS(Options!$H$3:$H$25,Options!$B$3:$B$25,Check!B16),SUMIFS('Master P&amp;L'!$H$11:$H$92,'Master P&amp;L'!$B$11:$B$92,Check!B16)))</f>
        <v>1880</v>
      </c>
      <c r="D16" s="188">
        <f>IF(B16="","",SUMIFS(Input_APM!N:N,Input_APM!L:L,Check!B16,Input_APM!M:M,Check!$F$1))</f>
        <v>1751</v>
      </c>
      <c r="E16" s="174">
        <f t="shared" si="5"/>
        <v>129</v>
      </c>
      <c r="F16" s="188">
        <f>IF(B16="","",SUMIFS(Input_APM!N:N,Input_APM!M:M,Check!$F$1,Input_APM!L:L,Check!B16))</f>
        <v>1751</v>
      </c>
      <c r="G16" s="188">
        <f>IF(B16="","",SUMIFS(Input_APM!N:N,Input_APM!M:M,Check!$G$1,Input_APM!L:L,Check!B16))</f>
        <v>0</v>
      </c>
      <c r="H16" s="174">
        <f t="shared" si="0"/>
        <v>1751</v>
      </c>
      <c r="I16" s="174">
        <f>SUMIFS(Input_APM!N:N,Input_APM!L:L,Check!B16)</f>
        <v>1751</v>
      </c>
      <c r="J16" s="176">
        <f t="shared" si="3"/>
        <v>0</v>
      </c>
      <c r="K16" s="21">
        <f>IF(B16="","",SUMIFS('Input_APM (Zenith)'!N:N,'Input_APM (Zenith)'!L:L,Check!B16,'Input_APM (Zenith)'!M:M,Check!$F$1))</f>
        <v>0</v>
      </c>
      <c r="L16" s="21">
        <f>IF(B16="","",SUMIFS('Input_APM (Zenith)'!N:N,'Input_APM (Zenith)'!L:L,Check!B16,'Input_APM (Zenith)'!M:M,Check!$G$1))</f>
        <v>0</v>
      </c>
      <c r="M16" s="194">
        <f t="shared" si="4"/>
        <v>1751</v>
      </c>
      <c r="O16" t="s">
        <v>336</v>
      </c>
      <c r="P16" s="174">
        <f>IF(O16="","",IF(OR(LEFT(O16,4)="Cash",LEFT(O16,4)="Prov"),0,SUMIFS(Input_APM!N:N,Input_APM!L:L,Check!O16)))</f>
        <v>3163</v>
      </c>
      <c r="Q16" s="21">
        <f>IF(O16="","",IF(LEN(O16)&gt;9,SUMIFS(Options!$H$3:$H$25,Options!$B$3:$B$25,Check!O16),SUMIFS('Master P&amp;L'!$H$11:$H$92,'Master P&amp;L'!$B$11:$B$92,Check!O16)))</f>
        <v>3378</v>
      </c>
      <c r="R16" s="174">
        <f t="shared" si="1"/>
        <v>-215</v>
      </c>
      <c r="S16" s="289">
        <f t="shared" si="2"/>
        <v>0.9363528715216104</v>
      </c>
      <c r="V16" s="13"/>
    </row>
    <row r="17" spans="2:22">
      <c r="B17" t="s">
        <v>37</v>
      </c>
      <c r="C17" s="188">
        <f>IF(B17="","",IF(LEN(B17)&gt;9,SUMIFS(Options!$H$3:$H$25,Options!$B$3:$B$25,Check!B17),SUMIFS('Master P&amp;L'!$H$11:$H$92,'Master P&amp;L'!$B$11:$B$92,Check!B17)))</f>
        <v>-11500</v>
      </c>
      <c r="D17" s="188">
        <f>IF(B17="","",SUMIFS(Input_APM!N:N,Input_APM!L:L,Check!B17,Input_APM!M:M,Check!$F$1))</f>
        <v>-18789</v>
      </c>
      <c r="E17" s="176">
        <f t="shared" si="5"/>
        <v>7289</v>
      </c>
      <c r="F17" s="188">
        <f>IF(B17="","",SUMIFS(Input_APM!N:N,Input_APM!M:M,Check!$F$1,Input_APM!L:L,Check!B17))</f>
        <v>-18789</v>
      </c>
      <c r="G17" s="188">
        <f>IF(B17="","",SUMIFS(Input_APM!N:N,Input_APM!M:M,Check!$G$1,Input_APM!L:L,Check!B17))</f>
        <v>0</v>
      </c>
      <c r="H17" s="174">
        <f t="shared" si="0"/>
        <v>-18789</v>
      </c>
      <c r="I17" s="174">
        <f>SUMIFS(Input_APM!N:N,Input_APM!L:L,Check!B17)</f>
        <v>-18789</v>
      </c>
      <c r="J17" s="176">
        <f t="shared" si="3"/>
        <v>0</v>
      </c>
      <c r="K17" s="21">
        <f>IF(B17="","",SUMIFS('Input_APM (Zenith)'!N:N,'Input_APM (Zenith)'!L:L,Check!B17,'Input_APM (Zenith)'!M:M,Check!$F$1))</f>
        <v>0</v>
      </c>
      <c r="L17" s="21">
        <f>IF(B17="","",SUMIFS('Input_APM (Zenith)'!N:N,'Input_APM (Zenith)'!L:L,Check!B17,'Input_APM (Zenith)'!M:M,Check!$G$1))</f>
        <v>0</v>
      </c>
      <c r="M17" s="194">
        <f t="shared" si="4"/>
        <v>-18789</v>
      </c>
      <c r="O17" t="s">
        <v>809</v>
      </c>
      <c r="P17" s="174">
        <f>IF(O17="","",IF(OR(LEFT(O17,4)="Cash",LEFT(O17,4)="Prov"),0,SUMIFS(Input_APM!N:N,Input_APM!L:L,Check!O17)))</f>
        <v>3285</v>
      </c>
      <c r="Q17" s="21">
        <f>IF(O17="","",IF(LEN(O17)&gt;9,SUMIFS(Options!$H$3:$H$25,Options!$B$3:$B$25,Check!O17),SUMIFS('Master P&amp;L'!$H$11:$H$92,'Master P&amp;L'!$B$11:$B$92,Check!O17)))</f>
        <v>3910</v>
      </c>
      <c r="R17" s="174">
        <f t="shared" si="1"/>
        <v>-625</v>
      </c>
      <c r="S17" s="289">
        <f t="shared" si="2"/>
        <v>0.84015345268542196</v>
      </c>
      <c r="V17" s="13"/>
    </row>
    <row r="18" spans="2:22">
      <c r="B18" t="s">
        <v>933</v>
      </c>
      <c r="C18" s="188">
        <f>IF(B18="","",IF(LEN(B18)&gt;9,SUMIFS(Options!$H$3:$H$25,Options!$B$3:$B$25,Check!B18),SUMIFS('Master P&amp;L'!$H$11:$H$92,'Master P&amp;L'!$B$11:$B$92,Check!B18)))</f>
        <v>1563</v>
      </c>
      <c r="D18" s="188">
        <f>IF(B18="","",SUMIFS(Input_APM!N:N,Input_APM!L:L,Check!B18,Input_APM!M:M,Check!$F$1))</f>
        <v>0</v>
      </c>
      <c r="E18" s="176">
        <f t="shared" si="5"/>
        <v>1563</v>
      </c>
      <c r="F18" s="188">
        <f>IF(B18="","",SUMIFS(Input_APM!N:N,Input_APM!M:M,Check!$F$1,Input_APM!L:L,Check!B18))</f>
        <v>0</v>
      </c>
      <c r="G18" s="188">
        <f>IF(B18="","",SUMIFS(Input_APM!N:N,Input_APM!M:M,Check!$G$1,Input_APM!L:L,Check!B18))</f>
        <v>0</v>
      </c>
      <c r="H18" s="174">
        <f t="shared" si="0"/>
        <v>0</v>
      </c>
      <c r="I18" s="174">
        <f>SUMIFS(Input_APM!N:N,Input_APM!L:L,Check!B18)</f>
        <v>0</v>
      </c>
      <c r="J18" s="176">
        <f t="shared" si="3"/>
        <v>0</v>
      </c>
      <c r="K18" s="21">
        <f>IF(B18="","",SUMIFS('Input_APM (Zenith)'!N:N,'Input_APM (Zenith)'!L:L,Check!B18,'Input_APM (Zenith)'!M:M,Check!$F$1))</f>
        <v>0</v>
      </c>
      <c r="L18" s="21">
        <f>IF(B18="","",SUMIFS('Input_APM (Zenith)'!N:N,'Input_APM (Zenith)'!L:L,Check!B18,'Input_APM (Zenith)'!M:M,Check!$G$1))</f>
        <v>0</v>
      </c>
      <c r="M18" s="194">
        <f t="shared" si="4"/>
        <v>0</v>
      </c>
      <c r="O18" t="s">
        <v>223</v>
      </c>
      <c r="P18" s="174">
        <f>IF(O18="","",IF(OR(LEFT(O18,4)="Cash",LEFT(O18,4)="Prov"),0,SUMIFS(Input_APM!N:N,Input_APM!L:L,Check!O18)))</f>
        <v>0</v>
      </c>
      <c r="Q18" s="21">
        <f>IF(O18="","",IF(LEN(O18)&gt;9,SUMIFS(Options!$H$3:$H$25,Options!$B$3:$B$25,Check!O18),SUMIFS('Master P&amp;L'!$H$11:$H$92,'Master P&amp;L'!$B$11:$B$92,Check!O18)))</f>
        <v>0</v>
      </c>
      <c r="R18" s="174">
        <f t="shared" si="1"/>
        <v>0</v>
      </c>
      <c r="S18" s="289" t="str">
        <f t="shared" si="2"/>
        <v>Ok</v>
      </c>
      <c r="V18" s="13"/>
    </row>
    <row r="19" spans="2:22">
      <c r="B19" t="s">
        <v>530</v>
      </c>
      <c r="C19" s="188">
        <f>IF(B19="","",IF(LEN(B19)&gt;9,SUMIFS(Options!$H$3:$H$25,Options!$B$3:$B$25,Check!B19),SUMIFS('Master P&amp;L'!$H$11:$H$92,'Master P&amp;L'!$B$11:$B$92,Check!B19)))</f>
        <v>1180</v>
      </c>
      <c r="D19" s="188">
        <f>IF(B19="","",SUMIFS(Input_APM!N:N,Input_APM!L:L,Check!B19,Input_APM!M:M,Check!$F$1))</f>
        <v>0</v>
      </c>
      <c r="E19" s="176">
        <f t="shared" si="5"/>
        <v>1180</v>
      </c>
      <c r="F19" s="188">
        <f>IF(B19="","",SUMIFS(Input_APM!N:N,Input_APM!M:M,Check!$F$1,Input_APM!L:L,Check!B19))</f>
        <v>0</v>
      </c>
      <c r="G19" s="188">
        <f>IF(B19="","",SUMIFS(Input_APM!N:N,Input_APM!M:M,Check!$G$1,Input_APM!L:L,Check!B19))</f>
        <v>0</v>
      </c>
      <c r="H19" s="174">
        <f t="shared" si="0"/>
        <v>0</v>
      </c>
      <c r="I19" s="174">
        <f>SUMIFS(Input_APM!N:N,Input_APM!L:L,Check!B19)</f>
        <v>0</v>
      </c>
      <c r="J19" s="176">
        <f t="shared" si="3"/>
        <v>0</v>
      </c>
      <c r="K19" s="21">
        <f>IF(B19="","",SUMIFS('Input_APM (Zenith)'!N:N,'Input_APM (Zenith)'!L:L,Check!B19,'Input_APM (Zenith)'!M:M,Check!$F$1))</f>
        <v>0</v>
      </c>
      <c r="L19" s="21">
        <f>IF(B19="","",SUMIFS('Input_APM (Zenith)'!N:N,'Input_APM (Zenith)'!L:L,Check!B19,'Input_APM (Zenith)'!M:M,Check!$G$1))</f>
        <v>0</v>
      </c>
      <c r="M19" s="194">
        <f t="shared" si="4"/>
        <v>0</v>
      </c>
      <c r="O19" t="s">
        <v>224</v>
      </c>
      <c r="P19" s="174">
        <f>IF(O19="","",IF(OR(LEFT(O19,4)="Cash",LEFT(O19,4)="Prov"),0,SUMIFS(Input_APM!N:N,Input_APM!L:L,Check!O19)))</f>
        <v>0</v>
      </c>
      <c r="Q19" s="21">
        <f>IF(O19="","",IF(LEN(O19)&gt;9,SUMIFS(Options!$H$3:$H$25,Options!$B$3:$B$25,Check!O19),SUMIFS('Master P&amp;L'!$H$11:$H$92,'Master P&amp;L'!$B$11:$B$92,Check!O19)))</f>
        <v>0</v>
      </c>
      <c r="R19" s="174">
        <f t="shared" si="1"/>
        <v>0</v>
      </c>
      <c r="S19" s="289" t="str">
        <f t="shared" si="2"/>
        <v>Ok</v>
      </c>
      <c r="V19" s="13"/>
    </row>
    <row r="20" spans="2:22">
      <c r="B20" t="s">
        <v>1091</v>
      </c>
      <c r="C20" s="188">
        <f>IF(B20="","",IF(LEN(B20)&gt;9,SUMIFS(Options!$H$3:$H$25,Options!$B$3:$B$25,Check!B20),SUMIFS('Master P&amp;L'!$H$11:$H$92,'Master P&amp;L'!$B$11:$B$92,Check!B20)))</f>
        <v>7080</v>
      </c>
      <c r="D20" s="188">
        <f>IF(B20="","",SUMIFS(Input_APM!N:N,Input_APM!L:L,Check!B20,Input_APM!M:M,Check!$F$1))</f>
        <v>0</v>
      </c>
      <c r="E20" s="176">
        <f>IF(B20="","",C20-M20)</f>
        <v>7080</v>
      </c>
      <c r="F20" s="188">
        <f>IF(B20="","",SUMIFS(Input_APM!N:N,Input_APM!M:M,Check!$F$1,Input_APM!L:L,Check!B20))</f>
        <v>0</v>
      </c>
      <c r="G20" s="188">
        <f>IF(B20="","",SUMIFS(Input_APM!N:N,Input_APM!M:M,Check!$G$1,Input_APM!L:L,Check!B20))</f>
        <v>0</v>
      </c>
      <c r="H20" s="174">
        <f t="shared" si="0"/>
        <v>0</v>
      </c>
      <c r="I20" s="174">
        <f>SUMIFS(Input_APM!N:N,Input_APM!L:L,Check!B20)</f>
        <v>0</v>
      </c>
      <c r="J20" s="176">
        <f t="shared" si="3"/>
        <v>0</v>
      </c>
      <c r="K20" s="21">
        <f>IF(B20="","",SUMIFS('Input_APM (Zenith)'!N:N,'Input_APM (Zenith)'!L:L,Check!B20,'Input_APM (Zenith)'!M:M,Check!$F$1))</f>
        <v>0</v>
      </c>
      <c r="L20" s="21">
        <f>IF(B20="","",SUMIFS('Input_APM (Zenith)'!N:N,'Input_APM (Zenith)'!L:L,Check!B20,'Input_APM (Zenith)'!M:M,Check!$G$1))</f>
        <v>0</v>
      </c>
      <c r="M20" s="194">
        <f t="shared" si="4"/>
        <v>0</v>
      </c>
      <c r="O20" t="s">
        <v>225</v>
      </c>
      <c r="P20" s="174">
        <f>IF(O20="","",IF(OR(LEFT(O20,4)="Cash",LEFT(O20,4)="Prov"),0,SUMIFS(Input_APM!N:N,Input_APM!L:L,Check!O20)))</f>
        <v>0</v>
      </c>
      <c r="Q20" s="21">
        <f>IF(O20="","",IF(LEN(O20)&gt;9,SUMIFS(Options!$H$3:$H$25,Options!$B$3:$B$25,Check!O20),SUMIFS('Master P&amp;L'!$H$11:$H$92,'Master P&amp;L'!$B$11:$B$92,Check!O20)))</f>
        <v>0</v>
      </c>
      <c r="R20" s="174">
        <f t="shared" si="1"/>
        <v>0</v>
      </c>
      <c r="S20" s="289" t="str">
        <f t="shared" si="2"/>
        <v>Ok</v>
      </c>
      <c r="V20" s="13"/>
    </row>
    <row r="21" spans="2:22">
      <c r="B21" t="s">
        <v>1149</v>
      </c>
      <c r="C21" s="188">
        <f>IF(B21="","",IF(LEN(B21)&gt;9,SUMIFS(Options!$H$3:$H$25,Options!$B$3:$B$25,Check!B21),SUMIFS('Master P&amp;L'!$H$11:$H$92,'Master P&amp;L'!$B$11:$B$92,Check!B21)))</f>
        <v>1400</v>
      </c>
      <c r="D21" s="188">
        <f>IF(B21="","",SUMIFS(Input_APM!N:N,Input_APM!L:L,Check!B21,Input_APM!M:M,Check!$F$1))</f>
        <v>0</v>
      </c>
      <c r="E21" s="174">
        <f t="shared" si="5"/>
        <v>1400</v>
      </c>
      <c r="F21" s="188">
        <f>IF(B21="","",SUMIFS(Input_APM!N:N,Input_APM!M:M,Check!$F$1,Input_APM!L:L,Check!B21))</f>
        <v>0</v>
      </c>
      <c r="G21" s="188">
        <f>IF(B21="","",SUMIFS(Input_APM!N:N,Input_APM!M:M,Check!$G$1,Input_APM!L:L,Check!B21))</f>
        <v>0</v>
      </c>
      <c r="H21" s="174">
        <f t="shared" si="0"/>
        <v>0</v>
      </c>
      <c r="I21" s="174">
        <f>SUMIFS(Input_APM!N:N,Input_APM!L:L,Check!B21)</f>
        <v>0</v>
      </c>
      <c r="J21" s="176">
        <f t="shared" si="3"/>
        <v>0</v>
      </c>
      <c r="K21" s="21">
        <f>IF(B21="","",SUMIFS('Input_APM (Zenith)'!N:N,'Input_APM (Zenith)'!L:L,Check!B21,'Input_APM (Zenith)'!M:M,Check!$F$1))</f>
        <v>0</v>
      </c>
      <c r="L21" s="21">
        <f>IF(B21="","",SUMIFS('Input_APM (Zenith)'!N:N,'Input_APM (Zenith)'!L:L,Check!B21,'Input_APM (Zenith)'!M:M,Check!$G$1))</f>
        <v>0</v>
      </c>
      <c r="M21" s="194">
        <f t="shared" si="4"/>
        <v>0</v>
      </c>
      <c r="O21" t="s">
        <v>795</v>
      </c>
      <c r="P21" s="174">
        <f>IF(O21="","",IF(OR(LEFT(O21,4)="Cash",LEFT(O21,4)="Prov"),0,SUMIFS(Input_APM!N:N,Input_APM!L:L,Check!O21)))</f>
        <v>0</v>
      </c>
      <c r="Q21" s="21">
        <f>IF(O21="","",IF(LEN(O21)&gt;9,SUMIFS(Options!$H$3:$H$25,Options!$B$3:$B$25,Check!O21),SUMIFS('Master P&amp;L'!$H$11:$H$92,'Master P&amp;L'!$B$11:$B$92,Check!O21)))</f>
        <v>0</v>
      </c>
      <c r="R21" s="174">
        <f t="shared" si="1"/>
        <v>0</v>
      </c>
      <c r="S21" s="289" t="str">
        <f t="shared" si="2"/>
        <v>Ok</v>
      </c>
      <c r="V21" s="13"/>
    </row>
    <row r="22" spans="2:22">
      <c r="B22" t="s">
        <v>432</v>
      </c>
      <c r="C22" s="188">
        <f>IF(B22="","",IF(LEN(B22)&gt;9,SUMIFS(Options!$H$3:$H$25,Options!$B$3:$B$25,Check!B22),SUMIFS('Master P&amp;L'!$H$11:$H$92,'Master P&amp;L'!$B$11:$B$92,Check!B22)))</f>
        <v>34700</v>
      </c>
      <c r="D22" s="188">
        <f>IF(B22="","",SUMIFS(Input_APM!N:N,Input_APM!L:L,Check!B22,Input_APM!M:M,Check!$F$1))</f>
        <v>43349</v>
      </c>
      <c r="E22" s="174">
        <f t="shared" si="5"/>
        <v>-8649</v>
      </c>
      <c r="F22" s="188">
        <f>IF(B22="","",SUMIFS(Input_APM!N:N,Input_APM!M:M,Check!$F$1,Input_APM!L:L,Check!B22))</f>
        <v>43349</v>
      </c>
      <c r="G22" s="188">
        <f>IF(B22="","",SUMIFS(Input_APM!N:N,Input_APM!M:M,Check!$G$1,Input_APM!L:L,Check!B22))</f>
        <v>0</v>
      </c>
      <c r="H22" s="174">
        <f t="shared" si="0"/>
        <v>43349</v>
      </c>
      <c r="I22" s="174">
        <f>SUMIFS(Input_APM!N:N,Input_APM!L:L,Check!B22)</f>
        <v>43349</v>
      </c>
      <c r="J22" s="176">
        <f t="shared" si="3"/>
        <v>0</v>
      </c>
      <c r="K22" s="21">
        <f>IF(B22="","",SUMIFS('Input_APM (Zenith)'!N:N,'Input_APM (Zenith)'!L:L,Check!B22,'Input_APM (Zenith)'!M:M,Check!$F$1))</f>
        <v>0</v>
      </c>
      <c r="L22" s="21">
        <f>IF(B22="","",SUMIFS('Input_APM (Zenith)'!N:N,'Input_APM (Zenith)'!L:L,Check!B22,'Input_APM (Zenith)'!M:M,Check!$G$1))</f>
        <v>0</v>
      </c>
      <c r="M22" s="194">
        <f t="shared" si="4"/>
        <v>43349</v>
      </c>
      <c r="O22" t="s">
        <v>226</v>
      </c>
      <c r="P22" s="174">
        <f>IF(O22="","",IF(OR(LEFT(O22,4)="Cash",LEFT(O22,4)="Prov"),0,SUMIFS(Input_APM!N:N,Input_APM!L:L,Check!O22)))</f>
        <v>0</v>
      </c>
      <c r="Q22" s="21">
        <f>IF(O22="","",IF(LEN(O22)&gt;9,SUMIFS(Options!$H$3:$H$25,Options!$B$3:$B$25,Check!O22),SUMIFS('Master P&amp;L'!$H$11:$H$92,'Master P&amp;L'!$B$11:$B$92,Check!O22)))</f>
        <v>0</v>
      </c>
      <c r="R22" s="174">
        <f t="shared" si="1"/>
        <v>0</v>
      </c>
      <c r="S22" s="289" t="str">
        <f t="shared" si="2"/>
        <v>Ok</v>
      </c>
      <c r="V22" s="13"/>
    </row>
    <row r="23" spans="2:22">
      <c r="B23" t="s">
        <v>735</v>
      </c>
      <c r="C23" s="188">
        <f>IF(B23="","",IF(LEN(B23)&gt;9,SUMIFS(Options!$H$3:$H$25,Options!$B$3:$B$25,Check!B23),SUMIFS('Master P&amp;L'!$H$11:$H$92,'Master P&amp;L'!$B$11:$B$92,Check!B23)))</f>
        <v>4450</v>
      </c>
      <c r="D23" s="188">
        <f>IF(B23="","",SUMIFS(Input_APM!N:N,Input_APM!L:L,Check!B23,Input_APM!M:M,Check!$F$1))</f>
        <v>3380</v>
      </c>
      <c r="E23" s="174">
        <f t="shared" si="5"/>
        <v>1070</v>
      </c>
      <c r="F23" s="188">
        <f>IF(B23="","",SUMIFS(Input_APM!N:N,Input_APM!M:M,Check!$F$1,Input_APM!L:L,Check!B23))</f>
        <v>3380</v>
      </c>
      <c r="G23" s="188">
        <f>IF(B23="","",SUMIFS(Input_APM!N:N,Input_APM!M:M,Check!$G$1,Input_APM!L:L,Check!B23))</f>
        <v>0</v>
      </c>
      <c r="H23" s="174">
        <f t="shared" si="0"/>
        <v>3380</v>
      </c>
      <c r="I23" s="174">
        <f>SUMIFS(Input_APM!N:N,Input_APM!L:L,Check!B23)</f>
        <v>3380</v>
      </c>
      <c r="J23" s="176">
        <f t="shared" si="3"/>
        <v>0</v>
      </c>
      <c r="K23" s="21">
        <f>IF(B23="","",SUMIFS('Input_APM (Zenith)'!N:N,'Input_APM (Zenith)'!L:L,Check!B23,'Input_APM (Zenith)'!M:M,Check!$F$1))</f>
        <v>0</v>
      </c>
      <c r="L23" s="21">
        <f>IF(B23="","",SUMIFS('Input_APM (Zenith)'!N:N,'Input_APM (Zenith)'!L:L,Check!B23,'Input_APM (Zenith)'!M:M,Check!$G$1))</f>
        <v>0</v>
      </c>
      <c r="M23" s="194">
        <f t="shared" si="4"/>
        <v>3380</v>
      </c>
      <c r="O23" t="s">
        <v>227</v>
      </c>
      <c r="P23" s="174">
        <f>IF(O23="","",IF(OR(LEFT(O23,4)="Cash",LEFT(O23,4)="Prov"),0,SUMIFS(Input_APM!N:N,Input_APM!L:L,Check!O23)))</f>
        <v>0</v>
      </c>
      <c r="Q23" s="21">
        <f>IF(O23="","",IF(LEN(O23)&gt;9,SUMIFS(Options!$H$3:$H$25,Options!$B$3:$B$25,Check!O23),SUMIFS('Master P&amp;L'!$H$11:$H$92,'Master P&amp;L'!$B$11:$B$92,Check!O23)))</f>
        <v>0</v>
      </c>
      <c r="R23" s="174">
        <f t="shared" si="1"/>
        <v>0</v>
      </c>
      <c r="S23" s="289" t="str">
        <f t="shared" si="2"/>
        <v>Ok</v>
      </c>
      <c r="V23" s="13"/>
    </row>
    <row r="24" spans="2:22">
      <c r="B24" t="s">
        <v>1004</v>
      </c>
      <c r="C24" s="188">
        <f>IF(B24="","",IF(LEN(B24)&gt;9,SUMIFS(Options!$H$3:$H$25,Options!$B$3:$B$25,Check!B24),SUMIFS('Master P&amp;L'!$H$11:$H$92,'Master P&amp;L'!$B$11:$B$92,Check!B24)))</f>
        <v>44721</v>
      </c>
      <c r="D24" s="188">
        <f>IF(B24="","",SUMIFS(Input_APM!N:N,Input_APM!L:L,Check!B24,Input_APM!M:M,Check!$F$1))</f>
        <v>41972</v>
      </c>
      <c r="E24" s="174">
        <f t="shared" si="5"/>
        <v>2749</v>
      </c>
      <c r="F24" s="188">
        <f>IF(B24="","",SUMIFS(Input_APM!N:N,Input_APM!M:M,Check!$F$1,Input_APM!L:L,Check!B24))</f>
        <v>41972</v>
      </c>
      <c r="G24" s="188">
        <f>IF(B24="","",SUMIFS(Input_APM!N:N,Input_APM!M:M,Check!$G$1,Input_APM!L:L,Check!B24))</f>
        <v>0</v>
      </c>
      <c r="H24" s="174">
        <f t="shared" si="0"/>
        <v>41972</v>
      </c>
      <c r="I24" s="174">
        <f>SUMIFS(Input_APM!N:N,Input_APM!L:L,Check!B24)</f>
        <v>41972</v>
      </c>
      <c r="J24" s="176">
        <f t="shared" si="3"/>
        <v>0</v>
      </c>
      <c r="K24" s="21">
        <f>IF(B24="","",SUMIFS('Input_APM (Zenith)'!N:N,'Input_APM (Zenith)'!L:L,Check!B24,'Input_APM (Zenith)'!M:M,Check!$F$1))</f>
        <v>0</v>
      </c>
      <c r="L24" s="21">
        <f>IF(B24="","",SUMIFS('Input_APM (Zenith)'!N:N,'Input_APM (Zenith)'!L:L,Check!B24,'Input_APM (Zenith)'!M:M,Check!$G$1))</f>
        <v>0</v>
      </c>
      <c r="M24" s="194">
        <f t="shared" si="4"/>
        <v>41972</v>
      </c>
      <c r="O24" t="s">
        <v>228</v>
      </c>
      <c r="P24" s="174">
        <f>IF(O24="","",IF(OR(LEFT(O24,4)="Cash",LEFT(O24,4)="Prov"),0,SUMIFS(Input_APM!N:N,Input_APM!L:L,Check!O24)))</f>
        <v>0</v>
      </c>
      <c r="Q24" s="21">
        <f>IF(O24="","",IF(LEN(O24)&gt;9,SUMIFS(Options!$H$3:$H$25,Options!$B$3:$B$25,Check!O24),SUMIFS('Master P&amp;L'!$H$11:$H$92,'Master P&amp;L'!$B$11:$B$92,Check!O24)))</f>
        <v>0</v>
      </c>
      <c r="R24" s="174">
        <f t="shared" si="1"/>
        <v>0</v>
      </c>
      <c r="S24" s="289" t="str">
        <f t="shared" si="2"/>
        <v>Ok</v>
      </c>
      <c r="V24" s="13"/>
    </row>
    <row r="25" spans="2:22">
      <c r="B25" t="s">
        <v>1013</v>
      </c>
      <c r="C25" s="188">
        <f>IF(B25="","",IF(LEN(B25)&gt;9,SUMIFS(Options!$H$3:$H$25,Options!$B$3:$B$25,Check!B25),SUMIFS('Master P&amp;L'!$H$11:$H$92,'Master P&amp;L'!$B$11:$B$92,Check!B25)))</f>
        <v>0</v>
      </c>
      <c r="D25" s="188">
        <f>IF(B25="","",SUMIFS(Input_APM!N:N,Input_APM!L:L,Check!B25,Input_APM!M:M,Check!$F$1))</f>
        <v>9585</v>
      </c>
      <c r="E25" s="174">
        <f t="shared" si="5"/>
        <v>-9585</v>
      </c>
      <c r="F25" s="188">
        <f>IF(B25="","",SUMIFS(Input_APM!N:N,Input_APM!M:M,Check!$F$1,Input_APM!L:L,Check!B25))</f>
        <v>9585</v>
      </c>
      <c r="G25" s="188">
        <f>IF(B25="","",SUMIFS(Input_APM!N:N,Input_APM!M:M,Check!$G$1,Input_APM!L:L,Check!B25))</f>
        <v>0</v>
      </c>
      <c r="H25" s="174">
        <f t="shared" si="0"/>
        <v>9585</v>
      </c>
      <c r="I25" s="174">
        <f>SUMIFS(Input_APM!N:N,Input_APM!L:L,Check!B25)</f>
        <v>9585</v>
      </c>
      <c r="J25" s="176">
        <f t="shared" si="3"/>
        <v>0</v>
      </c>
      <c r="K25" s="21">
        <f>IF(B25="","",SUMIFS('Input_APM (Zenith)'!N:N,'Input_APM (Zenith)'!L:L,Check!B25,'Input_APM (Zenith)'!M:M,Check!$F$1))</f>
        <v>0</v>
      </c>
      <c r="L25" s="21">
        <f>IF(B25="","",SUMIFS('Input_APM (Zenith)'!N:N,'Input_APM (Zenith)'!L:L,Check!B25,'Input_APM (Zenith)'!M:M,Check!$G$1))</f>
        <v>0</v>
      </c>
      <c r="M25" s="194">
        <f t="shared" si="4"/>
        <v>9585</v>
      </c>
      <c r="O25" t="s">
        <v>229</v>
      </c>
      <c r="P25" s="174">
        <f>IF(O25="","",IF(OR(LEFT(O25,4)="Cash",LEFT(O25,4)="Prov"),0,SUMIFS(Input_APM!N:N,Input_APM!L:L,Check!O25)))</f>
        <v>0</v>
      </c>
      <c r="Q25" s="21">
        <f>IF(O25="","",IF(LEN(O25)&gt;9,SUMIFS(Options!$H$3:$H$25,Options!$B$3:$B$25,Check!O25),SUMIFS('Master P&amp;L'!$H$11:$H$92,'Master P&amp;L'!$B$11:$B$92,Check!O25)))</f>
        <v>0</v>
      </c>
      <c r="R25" s="174">
        <f t="shared" si="1"/>
        <v>0</v>
      </c>
      <c r="S25" s="289" t="str">
        <f t="shared" si="2"/>
        <v>Ok</v>
      </c>
      <c r="V25" s="13"/>
    </row>
    <row r="26" spans="2:22">
      <c r="B26" t="s">
        <v>84</v>
      </c>
      <c r="C26" s="188">
        <f>IF(B26="","",IF(LEN(B26)&gt;9,SUMIFS(Options!$H$3:$H$25,Options!$B$3:$B$25,Check!B26),SUMIFS('Master P&amp;L'!$H$11:$H$92,'Master P&amp;L'!$B$11:$B$92,Check!B26)))</f>
        <v>0</v>
      </c>
      <c r="D26" s="188">
        <f>IF(B26="","",SUMIFS(Input_APM!N:N,Input_APM!L:L,Check!B26,Input_APM!M:M,Check!$F$1))</f>
        <v>0</v>
      </c>
      <c r="E26" s="176">
        <f>IF(B26="","",C26-M26)</f>
        <v>0</v>
      </c>
      <c r="F26" s="188">
        <f>IF(B26="","",SUMIFS(Input_APM!N:N,Input_APM!M:M,Check!$F$1,Input_APM!L:L,Check!B26))</f>
        <v>0</v>
      </c>
      <c r="G26" s="188">
        <f>IF(B26="","",SUMIFS(Input_APM!N:N,Input_APM!M:M,Check!$G$1,Input_APM!L:L,Check!B26))</f>
        <v>0</v>
      </c>
      <c r="H26" s="174">
        <f t="shared" si="0"/>
        <v>0</v>
      </c>
      <c r="I26" s="174">
        <f>SUMIFS(Input_APM!N:N,Input_APM!L:L,Check!B26)</f>
        <v>0</v>
      </c>
      <c r="J26" s="176">
        <f t="shared" si="3"/>
        <v>0</v>
      </c>
      <c r="K26" s="21">
        <f>IF(B26="","",SUMIFS('Input_APM (Zenith)'!N:N,'Input_APM (Zenith)'!L:L,Check!B26,'Input_APM (Zenith)'!M:M,Check!$F$1))</f>
        <v>0</v>
      </c>
      <c r="L26" s="21">
        <f>IF(B26="","",SUMIFS('Input_APM (Zenith)'!N:N,'Input_APM (Zenith)'!L:L,Check!B26,'Input_APM (Zenith)'!M:M,Check!$G$1))</f>
        <v>0</v>
      </c>
      <c r="M26" s="194">
        <f t="shared" si="4"/>
        <v>0</v>
      </c>
      <c r="O26" t="s">
        <v>230</v>
      </c>
      <c r="P26" s="174">
        <f>IF(O26="","",IF(OR(LEFT(O26,4)="Cash",LEFT(O26,4)="Prov"),0,SUMIFS(Input_APM!N:N,Input_APM!L:L,Check!O26)))</f>
        <v>0</v>
      </c>
      <c r="Q26" s="21">
        <f>IF(O26="","",IF(LEN(O26)&gt;9,SUMIFS(Options!$H$3:$H$25,Options!$B$3:$B$25,Check!O26),SUMIFS('Master P&amp;L'!$H$11:$H$92,'Master P&amp;L'!$B$11:$B$92,Check!O26)))</f>
        <v>0</v>
      </c>
      <c r="R26" s="174">
        <f t="shared" si="1"/>
        <v>0</v>
      </c>
      <c r="S26" s="289" t="str">
        <f t="shared" si="2"/>
        <v>Ok</v>
      </c>
      <c r="V26" s="13"/>
    </row>
    <row r="27" spans="2:22">
      <c r="B27" t="s">
        <v>44</v>
      </c>
      <c r="C27" s="188">
        <f>IF(B27="","",IF(LEN(B27)&gt;9,SUMIFS(Options!$H$3:$H$25,Options!$B$3:$B$25,Check!B27),SUMIFS('Master P&amp;L'!$H$11:$H$92,'Master P&amp;L'!$B$11:$B$92,Check!B27)))</f>
        <v>3638</v>
      </c>
      <c r="D27" s="188">
        <f>IF(B27="","",SUMIFS(Input_APM!N:N,Input_APM!L:L,Check!B27,Input_APM!M:M,Check!$F$1))</f>
        <v>3468</v>
      </c>
      <c r="E27" s="176">
        <f t="shared" si="5"/>
        <v>170</v>
      </c>
      <c r="F27" s="188">
        <f>IF(B27="","",SUMIFS(Input_APM!N:N,Input_APM!M:M,Check!$F$1,Input_APM!L:L,Check!B27))</f>
        <v>3468</v>
      </c>
      <c r="G27" s="188">
        <f>IF(B27="","",SUMIFS(Input_APM!N:N,Input_APM!M:M,Check!$G$1,Input_APM!L:L,Check!B27))</f>
        <v>0</v>
      </c>
      <c r="H27" s="174">
        <f t="shared" si="0"/>
        <v>3468</v>
      </c>
      <c r="I27" s="174">
        <f>SUMIFS(Input_APM!N:N,Input_APM!L:L,Check!B27)</f>
        <v>3468</v>
      </c>
      <c r="J27" s="176">
        <f t="shared" si="3"/>
        <v>0</v>
      </c>
      <c r="K27" s="21">
        <f>IF(B27="","",SUMIFS('Input_APM (Zenith)'!N:N,'Input_APM (Zenith)'!L:L,Check!B27,'Input_APM (Zenith)'!M:M,Check!$F$1))</f>
        <v>0</v>
      </c>
      <c r="L27" s="21">
        <f>IF(B27="","",SUMIFS('Input_APM (Zenith)'!N:N,'Input_APM (Zenith)'!L:L,Check!B27,'Input_APM (Zenith)'!M:M,Check!$G$1))</f>
        <v>0</v>
      </c>
      <c r="M27" s="194">
        <f t="shared" si="4"/>
        <v>3468</v>
      </c>
      <c r="O27" t="s">
        <v>578</v>
      </c>
      <c r="P27" s="174">
        <f>IF(O27="","",IF(OR(LEFT(O27,4)="Cash",LEFT(O27,4)="Prov"),0,SUMIFS(Input_APM!N:N,Input_APM!L:L,Check!O27)))</f>
        <v>4625000</v>
      </c>
      <c r="Q27" s="21">
        <f>IF(O27="","",IF(LEN(O27)&gt;9,SUMIFS(Options!$H$3:$H$25,Options!$B$3:$B$25,Check!O27),SUMIFS('Master P&amp;L'!$H$11:$H$92,'Master P&amp;L'!$B$11:$B$92,Check!O27)))</f>
        <v>0</v>
      </c>
      <c r="R27" s="174">
        <f t="shared" si="1"/>
        <v>4625000</v>
      </c>
      <c r="S27" s="289" t="str">
        <f t="shared" si="2"/>
        <v>Erro</v>
      </c>
      <c r="V27" s="13"/>
    </row>
    <row r="28" spans="2:22">
      <c r="B28" t="s">
        <v>345</v>
      </c>
      <c r="C28" s="188">
        <f>IF(B28="","",IF(LEN(B28)&gt;9,SUMIFS(Options!$H$3:$H$25,Options!$B$3:$B$25,Check!B28),SUMIFS('Master P&amp;L'!$H$11:$H$92,'Master P&amp;L'!$B$11:$B$92,Check!B28)))</f>
        <v>1500</v>
      </c>
      <c r="D28" s="188">
        <f>IF(B28="","",SUMIFS(Input_APM!N:N,Input_APM!L:L,Check!B28,Input_APM!M:M,Check!$F$1))</f>
        <v>0</v>
      </c>
      <c r="E28" s="176">
        <f>IF(B28="","",C28-M28)</f>
        <v>1500</v>
      </c>
      <c r="F28" s="188">
        <f>IF(B28="","",SUMIFS(Input_APM!N:N,Input_APM!M:M,Check!$F$1,Input_APM!L:L,Check!B28))</f>
        <v>0</v>
      </c>
      <c r="G28" s="188">
        <f>IF(B28="","",SUMIFS(Input_APM!N:N,Input_APM!M:M,Check!$G$1,Input_APM!L:L,Check!B28))</f>
        <v>0</v>
      </c>
      <c r="H28" s="174">
        <f t="shared" si="0"/>
        <v>0</v>
      </c>
      <c r="I28" s="174">
        <f>SUMIFS(Input_APM!N:N,Input_APM!L:L,Check!B28)</f>
        <v>0</v>
      </c>
      <c r="J28" s="176">
        <f t="shared" si="3"/>
        <v>0</v>
      </c>
      <c r="K28" s="21">
        <f>IF(B28="","",SUMIFS('Input_APM (Zenith)'!N:N,'Input_APM (Zenith)'!L:L,Check!B28,'Input_APM (Zenith)'!M:M,Check!$F$1))</f>
        <v>0</v>
      </c>
      <c r="L28" s="21">
        <f>IF(B28="","",SUMIFS('Input_APM (Zenith)'!N:N,'Input_APM (Zenith)'!L:L,Check!B28,'Input_APM (Zenith)'!M:M,Check!$G$1))</f>
        <v>0</v>
      </c>
      <c r="M28" s="194">
        <f t="shared" si="4"/>
        <v>0</v>
      </c>
      <c r="O28" t="s">
        <v>1004</v>
      </c>
      <c r="P28" s="174">
        <f>IF(O28="","",IF(OR(LEFT(O28,4)="Cash",LEFT(O28,4)="Prov"),0,SUMIFS(Input_APM!N:N,Input_APM!L:L,Check!O28)))</f>
        <v>41972</v>
      </c>
      <c r="Q28" s="21">
        <f>IF(O28="","",IF(LEN(O28)&gt;9,SUMIFS(Options!$H$3:$H$25,Options!$B$3:$B$25,Check!O28),SUMIFS('Master P&amp;L'!$H$11:$H$92,'Master P&amp;L'!$B$11:$B$92,Check!O28)))</f>
        <v>44721</v>
      </c>
      <c r="R28" s="174">
        <f t="shared" si="1"/>
        <v>-2749</v>
      </c>
      <c r="S28" s="289">
        <f t="shared" si="2"/>
        <v>0.93852999709308826</v>
      </c>
      <c r="V28" s="13"/>
    </row>
    <row r="29" spans="2:22">
      <c r="B29" t="s">
        <v>42</v>
      </c>
      <c r="C29" s="188">
        <f>IF(B29="","",IF(LEN(B29)&gt;9,SUMIFS(Options!$H$3:$H$25,Options!$B$3:$B$25,Check!B29),SUMIFS('Master P&amp;L'!$H$11:$H$92,'Master P&amp;L'!$B$11:$B$92,Check!B29)))</f>
        <v>25027</v>
      </c>
      <c r="D29" s="188">
        <f>IF(B29="","",SUMIFS(Input_APM!N:N,Input_APM!L:L,Check!B29,Input_APM!M:M,Check!$F$1))</f>
        <v>21537</v>
      </c>
      <c r="E29" s="176">
        <f t="shared" si="5"/>
        <v>3490</v>
      </c>
      <c r="F29" s="188">
        <f>IF(B29="","",SUMIFS(Input_APM!N:N,Input_APM!M:M,Check!$F$1,Input_APM!L:L,Check!B29))</f>
        <v>21537</v>
      </c>
      <c r="G29" s="188">
        <f>IF(B29="","",SUMIFS(Input_APM!N:N,Input_APM!M:M,Check!$G$1,Input_APM!L:L,Check!B29))</f>
        <v>0</v>
      </c>
      <c r="H29" s="174">
        <f t="shared" si="0"/>
        <v>21537</v>
      </c>
      <c r="I29" s="174">
        <f>SUMIFS(Input_APM!N:N,Input_APM!L:L,Check!B29)</f>
        <v>21537</v>
      </c>
      <c r="J29" s="176">
        <f t="shared" si="3"/>
        <v>0</v>
      </c>
      <c r="K29" s="21">
        <f>IF(B29="","",SUMIFS('Input_APM (Zenith)'!N:N,'Input_APM (Zenith)'!L:L,Check!B29,'Input_APM (Zenith)'!M:M,Check!$F$1))</f>
        <v>0</v>
      </c>
      <c r="L29" s="21">
        <f>IF(B29="","",SUMIFS('Input_APM (Zenith)'!N:N,'Input_APM (Zenith)'!L:L,Check!B29,'Input_APM (Zenith)'!M:M,Check!$G$1))</f>
        <v>0</v>
      </c>
      <c r="M29" s="194">
        <f>IF(B29="","",F29+G29+K29+L29)</f>
        <v>21537</v>
      </c>
      <c r="O29" t="s">
        <v>432</v>
      </c>
      <c r="P29" s="174">
        <f>IF(O29="","",IF(OR(LEFT(O29,4)="Cash",LEFT(O29,4)="Prov"),0,SUMIFS(Input_APM!N:N,Input_APM!L:L,Check!O29)))</f>
        <v>43349</v>
      </c>
      <c r="Q29" s="21">
        <f>IF(O29="","",IF(LEN(O29)&gt;9,SUMIFS(Options!$H$3:$H$25,Options!$B$3:$B$25,Check!O29),SUMIFS('Master P&amp;L'!$H$11:$H$92,'Master P&amp;L'!$B$11:$B$92,Check!O29)))</f>
        <v>34700</v>
      </c>
      <c r="R29" s="174">
        <f t="shared" si="1"/>
        <v>8649</v>
      </c>
      <c r="S29" s="289">
        <f t="shared" si="2"/>
        <v>1.2492507204610952</v>
      </c>
      <c r="V29" s="13"/>
    </row>
    <row r="30" spans="2:22">
      <c r="B30" t="s">
        <v>334</v>
      </c>
      <c r="C30" s="188">
        <f>IF(B30="","",IF(LEN(B30)&gt;9,SUMIFS(Options!$H$3:$H$25,Options!$B$3:$B$25,Check!B30),SUMIFS('Master P&amp;L'!$H$11:$H$92,'Master P&amp;L'!$B$11:$B$92,Check!B30)))</f>
        <v>0</v>
      </c>
      <c r="D30" s="188">
        <f>IF(B30="","",SUMIFS(Input_APM!N:N,Input_APM!L:L,Check!B30,Input_APM!M:M,Check!$F$1))</f>
        <v>-1878</v>
      </c>
      <c r="E30" s="176">
        <f t="shared" si="5"/>
        <v>1878</v>
      </c>
      <c r="F30" s="188">
        <f>IF(B30="","",SUMIFS(Input_APM!N:N,Input_APM!M:M,Check!$F$1,Input_APM!L:L,Check!B30))</f>
        <v>-1878</v>
      </c>
      <c r="G30" s="188">
        <f>IF(B30="","",SUMIFS(Input_APM!N:N,Input_APM!M:M,Check!$G$1,Input_APM!L:L,Check!B30))</f>
        <v>0</v>
      </c>
      <c r="H30" s="174">
        <f t="shared" si="0"/>
        <v>-1878</v>
      </c>
      <c r="I30" s="174">
        <f>SUMIFS(Input_APM!N:N,Input_APM!L:L,Check!B30)</f>
        <v>-1878</v>
      </c>
      <c r="J30" s="176">
        <f t="shared" si="3"/>
        <v>0</v>
      </c>
      <c r="K30" s="21">
        <f>IF(B30="","",SUMIFS('Input_APM (Zenith)'!N:N,'Input_APM (Zenith)'!L:L,Check!B30,'Input_APM (Zenith)'!M:M,Check!$F$1))</f>
        <v>0</v>
      </c>
      <c r="L30" s="21">
        <f>IF(B30="","",SUMIFS('Input_APM (Zenith)'!N:N,'Input_APM (Zenith)'!L:L,Check!B30,'Input_APM (Zenith)'!M:M,Check!$G$1))</f>
        <v>0</v>
      </c>
      <c r="M30" s="194">
        <f>IF(B30="","",F30+G30+K30+L30)</f>
        <v>-1878</v>
      </c>
      <c r="O30" t="s">
        <v>807</v>
      </c>
      <c r="P30" s="174">
        <f>IF(O30="","",IF(OR(LEFT(O30,4)="Cash",LEFT(O30,4)="Prov"),0,SUMIFS(Input_APM!N:N,Input_APM!L:L,Check!O30)))</f>
        <v>0</v>
      </c>
      <c r="Q30" s="21">
        <f>IF(O30="","",IF(LEN(O30)&gt;9,SUMIFS(Options!$H$3:$H$25,Options!$B$3:$B$25,Check!O30),SUMIFS('Master P&amp;L'!$H$11:$H$92,'Master P&amp;L'!$B$11:$B$92,Check!O30)))</f>
        <v>0</v>
      </c>
      <c r="R30" s="174">
        <f t="shared" si="1"/>
        <v>0</v>
      </c>
      <c r="S30" s="289" t="str">
        <f t="shared" si="2"/>
        <v>Ok</v>
      </c>
      <c r="V30" s="13"/>
    </row>
    <row r="31" spans="2:22">
      <c r="B31" t="s">
        <v>85</v>
      </c>
      <c r="C31" s="188">
        <f>IF(B31="","",IF(LEN(B31)&gt;9,SUMIFS(Options!$H$3:$H$25,Options!$B$3:$B$25,Check!B31),SUMIFS('Master P&amp;L'!$H$11:$H$92,'Master P&amp;L'!$B$11:$B$92,Check!B31)))</f>
        <v>0</v>
      </c>
      <c r="D31" s="188">
        <f>IF(B31="","",SUMIFS(Input_APM!N:N,Input_APM!L:L,Check!B31,Input_APM!M:M,Check!$F$1))</f>
        <v>0</v>
      </c>
      <c r="E31" s="176">
        <f>IF(B31="","",C31-M31)</f>
        <v>0</v>
      </c>
      <c r="F31" s="188">
        <f>IF(B31="","",SUMIFS(Input_APM!N:N,Input_APM!M:M,Check!$F$1,Input_APM!L:L,Check!B31))</f>
        <v>0</v>
      </c>
      <c r="G31" s="188">
        <f>IF(B31="","",SUMIFS(Input_APM!N:N,Input_APM!M:M,Check!$G$1,Input_APM!L:L,Check!B31))</f>
        <v>0</v>
      </c>
      <c r="H31" s="174">
        <f t="shared" si="0"/>
        <v>0</v>
      </c>
      <c r="I31" s="174">
        <f>SUMIFS(Input_APM!N:N,Input_APM!L:L,Check!B31)</f>
        <v>0</v>
      </c>
      <c r="J31" s="176">
        <f t="shared" si="3"/>
        <v>0</v>
      </c>
      <c r="K31" s="21">
        <f>IF(B31="","",SUMIFS('Input_APM (Zenith)'!N:N,'Input_APM (Zenith)'!L:L,Check!B31,'Input_APM (Zenith)'!M:M,Check!$F$1))</f>
        <v>0</v>
      </c>
      <c r="L31" s="21">
        <f>IF(B31="","",SUMIFS('Input_APM (Zenith)'!N:N,'Input_APM (Zenith)'!L:L,Check!B31,'Input_APM (Zenith)'!M:M,Check!$G$1))</f>
        <v>0</v>
      </c>
      <c r="M31" s="194">
        <f t="shared" si="4"/>
        <v>0</v>
      </c>
      <c r="O31" t="s">
        <v>924</v>
      </c>
      <c r="P31" s="174">
        <f>IF(O31="","",IF(OR(LEFT(O31,4)="Cash",LEFT(O31,4)="Prov"),0,SUMIFS(Input_APM!N:N,Input_APM!L:L,Check!O31)))</f>
        <v>797</v>
      </c>
      <c r="Q31" s="21">
        <f>IF(O31="","",IF(LEN(O31)&gt;9,SUMIFS(Options!$H$3:$H$25,Options!$B$3:$B$25,Check!O31),SUMIFS('Master P&amp;L'!$H$11:$H$92,'Master P&amp;L'!$B$11:$B$92,Check!O31)))</f>
        <v>0</v>
      </c>
      <c r="R31" s="174">
        <f t="shared" si="1"/>
        <v>797</v>
      </c>
      <c r="S31" s="289" t="str">
        <f t="shared" si="2"/>
        <v>Erro</v>
      </c>
      <c r="V31" s="13"/>
    </row>
    <row r="32" spans="2:22">
      <c r="B32" t="s">
        <v>799</v>
      </c>
      <c r="C32" s="188">
        <f>IF(B32="","",IF(LEN(B32)&gt;9,SUMIFS(Options!$H$3:$H$25,Options!$B$3:$B$25,Check!B32),SUMIFS('Master P&amp;L'!$H$11:$H$92,'Master P&amp;L'!$B$11:$B$92,Check!B32)))</f>
        <v>39000</v>
      </c>
      <c r="D32" s="188">
        <f>IF(B32="","",SUMIFS(Input_APM!N:N,Input_APM!L:L,Check!B32,Input_APM!M:M,Check!$F$1))</f>
        <v>33235</v>
      </c>
      <c r="E32" s="176">
        <f t="shared" si="5"/>
        <v>5765</v>
      </c>
      <c r="F32" s="188">
        <f>IF(B32="","",SUMIFS(Input_APM!N:N,Input_APM!M:M,Check!$F$1,Input_APM!L:L,Check!B32))</f>
        <v>33235</v>
      </c>
      <c r="G32" s="188">
        <f>IF(B32="","",SUMIFS(Input_APM!N:N,Input_APM!M:M,Check!$G$1,Input_APM!L:L,Check!B32))</f>
        <v>0</v>
      </c>
      <c r="H32" s="174">
        <f t="shared" si="0"/>
        <v>33235</v>
      </c>
      <c r="I32" s="174">
        <f>SUMIFS(Input_APM!N:N,Input_APM!L:L,Check!B32)</f>
        <v>33235</v>
      </c>
      <c r="J32" s="176">
        <f t="shared" si="3"/>
        <v>0</v>
      </c>
      <c r="K32" s="21">
        <f>IF(B32="","",SUMIFS('Input_APM (Zenith)'!N:N,'Input_APM (Zenith)'!L:L,Check!B32,'Input_APM (Zenith)'!M:M,Check!$F$1))</f>
        <v>0</v>
      </c>
      <c r="L32" s="21">
        <f>IF(B32="","",SUMIFS('Input_APM (Zenith)'!N:N,'Input_APM (Zenith)'!L:L,Check!B32,'Input_APM (Zenith)'!M:M,Check!$G$1))</f>
        <v>0</v>
      </c>
      <c r="M32" s="194">
        <f t="shared" si="4"/>
        <v>33235</v>
      </c>
      <c r="O32" t="s">
        <v>925</v>
      </c>
      <c r="P32" s="174">
        <f>IF(O32="","",IF(OR(LEFT(O32,4)="Cash",LEFT(O32,4)="Prov"),0,SUMIFS(Input_APM!N:N,Input_APM!L:L,Check!O32)))</f>
        <v>-797</v>
      </c>
      <c r="Q32" s="21">
        <f>IF(O32="","",IF(LEN(O32)&gt;9,SUMIFS(Options!$H$3:$H$25,Options!$B$3:$B$25,Check!O32),SUMIFS('Master P&amp;L'!$H$11:$H$92,'Master P&amp;L'!$B$11:$B$92,Check!O32)))</f>
        <v>0</v>
      </c>
      <c r="R32" s="174">
        <f t="shared" si="1"/>
        <v>-797</v>
      </c>
      <c r="S32" s="289" t="str">
        <f t="shared" si="2"/>
        <v>Erro</v>
      </c>
      <c r="V32" s="13"/>
    </row>
    <row r="33" spans="1:22">
      <c r="B33" t="s">
        <v>1131</v>
      </c>
      <c r="C33" s="188">
        <f>IF(B33="","",IF(LEN(B33)&gt;9,SUMIFS(Options!$H$3:$H$25,Options!$B$3:$B$25,Check!B33),SUMIFS('Master P&amp;L'!$H$11:$H$92,'Master P&amp;L'!$B$11:$B$92,Check!B33)))</f>
        <v>31500</v>
      </c>
      <c r="D33" s="188">
        <f>IF(B33="","",SUMIFS(Input_APM!N:N,Input_APM!L:L,Check!B33,Input_APM!M:M,Check!$F$1))</f>
        <v>24409</v>
      </c>
      <c r="E33" s="174">
        <f t="shared" si="5"/>
        <v>7091</v>
      </c>
      <c r="F33" s="188">
        <f>IF(B33="","",SUMIFS(Input_APM!N:N,Input_APM!M:M,Check!$F$1,Input_APM!L:L,Check!B33))</f>
        <v>24409</v>
      </c>
      <c r="G33" s="188">
        <f>IF(B33="","",SUMIFS(Input_APM!N:N,Input_APM!M:M,Check!$G$1,Input_APM!L:L,Check!B33))</f>
        <v>0</v>
      </c>
      <c r="H33" s="174">
        <f t="shared" si="0"/>
        <v>24409</v>
      </c>
      <c r="I33" s="174">
        <f>SUMIFS(Input_APM!N:N,Input_APM!L:L,Check!B33)</f>
        <v>24409</v>
      </c>
      <c r="J33" s="176">
        <f t="shared" si="3"/>
        <v>0</v>
      </c>
      <c r="K33" s="21">
        <f>IF(B33="","",SUMIFS('Input_APM (Zenith)'!N:N,'Input_APM (Zenith)'!L:L,Check!B33,'Input_APM (Zenith)'!M:M,Check!$F$1))</f>
        <v>0</v>
      </c>
      <c r="L33" s="21">
        <f>IF(B33="","",SUMIFS('Input_APM (Zenith)'!N:N,'Input_APM (Zenith)'!L:L,Check!B33,'Input_APM (Zenith)'!M:M,Check!$G$1))</f>
        <v>0</v>
      </c>
      <c r="M33" s="194">
        <f t="shared" si="4"/>
        <v>24409</v>
      </c>
      <c r="O33" t="s">
        <v>816</v>
      </c>
      <c r="P33" s="174">
        <f>IF(O33="","",IF(OR(LEFT(O33,4)="Cash",LEFT(O33,4)="Prov"),0,SUMIFS(Input_APM!N:N,Input_APM!L:L,Check!O33)))</f>
        <v>13594</v>
      </c>
      <c r="Q33" s="21">
        <f>IF(O33="","",IF(LEN(O33)&gt;9,SUMIFS(Options!$H$3:$H$25,Options!$B$3:$B$25,Check!O33),SUMIFS('Master P&amp;L'!$H$11:$H$92,'Master P&amp;L'!$B$11:$B$92,Check!O33)))</f>
        <v>14500</v>
      </c>
      <c r="R33" s="174">
        <f t="shared" si="1"/>
        <v>-906</v>
      </c>
      <c r="S33" s="289">
        <f t="shared" si="2"/>
        <v>0.93751724137931036</v>
      </c>
      <c r="V33" s="13"/>
    </row>
    <row r="34" spans="1:22">
      <c r="B34" t="s">
        <v>36</v>
      </c>
      <c r="C34" s="188">
        <f>IF(B34="","",IF(LEN(B34)&gt;9,SUMIFS(Options!$H$3:$H$25,Options!$B$3:$B$25,Check!B34),SUMIFS('Master P&amp;L'!$H$11:$H$92,'Master P&amp;L'!$B$11:$B$92,Check!B34)))</f>
        <v>23500</v>
      </c>
      <c r="D34" s="188">
        <f>IF(B34="","",SUMIFS(Input_APM!N:N,Input_APM!L:L,Check!B34,Input_APM!M:M,Check!$F$1))</f>
        <v>21977</v>
      </c>
      <c r="E34" s="174">
        <f t="shared" si="5"/>
        <v>1523</v>
      </c>
      <c r="F34" s="188">
        <f>IF(B34="","",SUMIFS(Input_APM!N:N,Input_APM!M:M,Check!$F$1,Input_APM!L:L,Check!B34))</f>
        <v>21977</v>
      </c>
      <c r="G34" s="188">
        <f>IF(B34="","",SUMIFS(Input_APM!N:N,Input_APM!M:M,Check!$G$1,Input_APM!L:L,Check!B34))</f>
        <v>0</v>
      </c>
      <c r="H34" s="174">
        <f t="shared" si="0"/>
        <v>21977</v>
      </c>
      <c r="I34" s="174">
        <f>SUMIFS(Input_APM!N:N,Input_APM!L:L,Check!B34)</f>
        <v>21977</v>
      </c>
      <c r="J34" s="176">
        <f t="shared" si="3"/>
        <v>0</v>
      </c>
      <c r="K34" s="21">
        <f>IF(B34="","",SUMIFS('Input_APM (Zenith)'!N:N,'Input_APM (Zenith)'!L:L,Check!B34,'Input_APM (Zenith)'!M:M,Check!$F$1))</f>
        <v>0</v>
      </c>
      <c r="L34" s="21">
        <f>IF(B34="","",SUMIFS('Input_APM (Zenith)'!N:N,'Input_APM (Zenith)'!L:L,Check!B34,'Input_APM (Zenith)'!M:M,Check!$G$1))</f>
        <v>0</v>
      </c>
      <c r="M34" s="194">
        <f t="shared" si="4"/>
        <v>21977</v>
      </c>
      <c r="O34" t="s">
        <v>568</v>
      </c>
      <c r="P34" s="174">
        <f>IF(O34="","",IF(OR(LEFT(O34,4)="Cash",LEFT(O34,4)="Prov"),0,SUMIFS(Input_APM!N:N,Input_APM!L:L,Check!O34)))</f>
        <v>276451</v>
      </c>
      <c r="Q34" s="21">
        <f>IF(O34="","",IF(LEN(O34)&gt;9,SUMIFS(Options!$H$3:$H$25,Options!$B$3:$B$25,Check!O34),SUMIFS('Master P&amp;L'!$H$11:$H$92,'Master P&amp;L'!$B$11:$B$92,Check!O34)))</f>
        <v>0</v>
      </c>
      <c r="R34" s="174">
        <f t="shared" si="1"/>
        <v>276451</v>
      </c>
      <c r="S34" s="289" t="str">
        <f t="shared" si="2"/>
        <v>Erro</v>
      </c>
      <c r="V34" s="13"/>
    </row>
    <row r="35" spans="1:22">
      <c r="B35" t="s">
        <v>6</v>
      </c>
      <c r="C35" s="188">
        <f>IF(B35="","",IF(LEN(B35)&gt;9,SUMIFS(Options!$H$3:$H$25,Options!$B$3:$B$25,Check!B35),SUMIFS('Master P&amp;L'!$H$11:$H$92,'Master P&amp;L'!$B$11:$B$92,Check!B35)))</f>
        <v>15000</v>
      </c>
      <c r="D35" s="188">
        <f>IF(B35="","",SUMIFS(Input_APM!N:N,Input_APM!L:L,Check!B35,Input_APM!M:M,Check!$F$1))</f>
        <v>14082</v>
      </c>
      <c r="E35" s="176">
        <f t="shared" si="5"/>
        <v>918</v>
      </c>
      <c r="F35" s="188">
        <f>IF(B35="","",SUMIFS(Input_APM!N:N,Input_APM!M:M,Check!$F$1,Input_APM!L:L,Check!B35))</f>
        <v>14082</v>
      </c>
      <c r="G35" s="188">
        <f>IF(B35="","",SUMIFS(Input_APM!N:N,Input_APM!M:M,Check!$G$1,Input_APM!L:L,Check!B35))</f>
        <v>0</v>
      </c>
      <c r="H35" s="174">
        <f t="shared" si="0"/>
        <v>14082</v>
      </c>
      <c r="I35" s="174">
        <f>SUMIFS(Input_APM!N:N,Input_APM!L:L,Check!B35)</f>
        <v>14082</v>
      </c>
      <c r="J35" s="176">
        <f t="shared" si="3"/>
        <v>0</v>
      </c>
      <c r="K35" s="21">
        <f>IF(B35="","",SUMIFS('Input_APM (Zenith)'!N:N,'Input_APM (Zenith)'!L:L,Check!B35,'Input_APM (Zenith)'!M:M,Check!$F$1))</f>
        <v>0</v>
      </c>
      <c r="L35" s="21">
        <f>IF(B35="","",SUMIFS('Input_APM (Zenith)'!N:N,'Input_APM (Zenith)'!L:L,Check!B35,'Input_APM (Zenith)'!M:M,Check!$G$1))</f>
        <v>0</v>
      </c>
      <c r="M35" s="194">
        <f t="shared" si="4"/>
        <v>14082</v>
      </c>
      <c r="O35" t="s">
        <v>569</v>
      </c>
      <c r="P35" s="174">
        <f>IF(O35="","",IF(OR(LEFT(O35,4)="Cash",LEFT(O35,4)="Prov"),0,SUMIFS(Input_APM!N:N,Input_APM!L:L,Check!O35)))</f>
        <v>-276451</v>
      </c>
      <c r="Q35" s="21">
        <f>IF(O35="","",IF(LEN(O35)&gt;9,SUMIFS(Options!$H$3:$H$25,Options!$B$3:$B$25,Check!O35),SUMIFS('Master P&amp;L'!$H$11:$H$92,'Master P&amp;L'!$B$11:$B$92,Check!O35)))</f>
        <v>0</v>
      </c>
      <c r="R35" s="174">
        <f t="shared" si="1"/>
        <v>-276451</v>
      </c>
      <c r="S35" s="289" t="str">
        <f t="shared" si="2"/>
        <v>Erro</v>
      </c>
      <c r="V35" s="13"/>
    </row>
    <row r="36" spans="1:22">
      <c r="B36" t="s">
        <v>926</v>
      </c>
      <c r="C36" s="188">
        <f>IF(B36="","",IF(LEN(B36)&gt;9,SUMIFS(Options!$H$3:$H$25,Options!$B$3:$B$25,Check!B36),SUMIFS('Master P&amp;L'!$H$11:$H$92,'Master P&amp;L'!$B$11:$B$92,Check!B36)))</f>
        <v>-13470</v>
      </c>
      <c r="D36" s="188">
        <f>IF(B36="","",SUMIFS(Input_APM!N:N,Input_APM!L:L,Check!B36,Input_APM!M:M,Check!$F$1))</f>
        <v>-10782</v>
      </c>
      <c r="E36" s="176">
        <f>IF(B36="","",C36-M36)</f>
        <v>-2688</v>
      </c>
      <c r="F36" s="188">
        <f>IF(B36="","",SUMIFS(Input_APM!N:N,Input_APM!M:M,Check!$F$1,Input_APM!L:L,Check!B36))</f>
        <v>-10782</v>
      </c>
      <c r="G36" s="188">
        <f>IF(B36="","",SUMIFS(Input_APM!N:N,Input_APM!M:M,Check!$G$1,Input_APM!L:L,Check!B36))</f>
        <v>0</v>
      </c>
      <c r="H36" s="174">
        <f t="shared" si="0"/>
        <v>-10782</v>
      </c>
      <c r="I36" s="174">
        <f>SUMIFS(Input_APM!N:N,Input_APM!L:L,Check!B36)</f>
        <v>-10782</v>
      </c>
      <c r="J36" s="176">
        <f t="shared" si="3"/>
        <v>0</v>
      </c>
      <c r="K36" s="21">
        <f>IF(B36="","",SUMIFS('Input_APM (Zenith)'!N:N,'Input_APM (Zenith)'!L:L,Check!B36,'Input_APM (Zenith)'!M:M,Check!$F$1))</f>
        <v>0</v>
      </c>
      <c r="L36" s="21">
        <f>IF(B36="","",SUMIFS('Input_APM (Zenith)'!N:N,'Input_APM (Zenith)'!L:L,Check!B36,'Input_APM (Zenith)'!M:M,Check!$G$1))</f>
        <v>0</v>
      </c>
      <c r="M36" s="194">
        <f>IF(B36="","",F36+G36+K36+L36)</f>
        <v>-10782</v>
      </c>
      <c r="O36" t="s">
        <v>37</v>
      </c>
      <c r="P36" s="174">
        <f>IF(O36="","",IF(OR(LEFT(O36,4)="Cash",LEFT(O36,4)="Prov"),0,SUMIFS(Input_APM!N:N,Input_APM!L:L,Check!O36)))</f>
        <v>-18789</v>
      </c>
      <c r="Q36" s="21">
        <f>IF(O36="","",IF(LEN(O36)&gt;9,SUMIFS(Options!$H$3:$H$25,Options!$B$3:$B$25,Check!O36),SUMIFS('Master P&amp;L'!$H$11:$H$92,'Master P&amp;L'!$B$11:$B$92,Check!O36)))</f>
        <v>-11500</v>
      </c>
      <c r="R36" s="174">
        <f t="shared" si="1"/>
        <v>-7289</v>
      </c>
      <c r="S36" s="289">
        <f t="shared" si="2"/>
        <v>1.6338260869565218</v>
      </c>
      <c r="V36" s="13"/>
    </row>
    <row r="37" spans="1:22">
      <c r="B37" t="s">
        <v>4</v>
      </c>
      <c r="C37" s="188">
        <f>IF(B37="","",IF(LEN(B37)&gt;9,SUMIFS(Options!$H$3:$H$25,Options!$B$3:$B$25,Check!B37),SUMIFS('Master P&amp;L'!$H$11:$H$92,'Master P&amp;L'!$B$11:$B$92,Check!B37)))</f>
        <v>-27500</v>
      </c>
      <c r="D37" s="188">
        <f>IF(B37="","",SUMIFS(Input_APM!N:N,Input_APM!L:L,Check!B37,Input_APM!M:M,Check!$F$1))</f>
        <v>-25765</v>
      </c>
      <c r="E37" s="176">
        <f>IF(B37="","",C37-M37)</f>
        <v>-1735</v>
      </c>
      <c r="F37" s="188">
        <f>IF(B37="","",SUMIFS(Input_APM!N:N,Input_APM!M:M,Check!$F$1,Input_APM!L:L,Check!B37))</f>
        <v>-25765</v>
      </c>
      <c r="G37" s="188">
        <f>IF(B37="","",SUMIFS(Input_APM!N:N,Input_APM!M:M,Check!$G$1,Input_APM!L:L,Check!B37))</f>
        <v>0</v>
      </c>
      <c r="H37" s="174">
        <f t="shared" si="0"/>
        <v>-25765</v>
      </c>
      <c r="I37" s="174">
        <f>SUMIFS(Input_APM!N:N,Input_APM!L:L,Check!B37)</f>
        <v>-25765</v>
      </c>
      <c r="J37" s="176">
        <f t="shared" si="3"/>
        <v>0</v>
      </c>
      <c r="K37" s="21">
        <f>IF(B37="","",SUMIFS('Input_APM (Zenith)'!N:N,'Input_APM (Zenith)'!L:L,Check!B37,'Input_APM (Zenith)'!M:M,Check!$F$1))</f>
        <v>0</v>
      </c>
      <c r="L37" s="21">
        <f>IF(B37="","",SUMIFS('Input_APM (Zenith)'!N:N,'Input_APM (Zenith)'!L:L,Check!B37,'Input_APM (Zenith)'!M:M,Check!$G$1))</f>
        <v>0</v>
      </c>
      <c r="M37" s="194">
        <f t="shared" si="4"/>
        <v>-25765</v>
      </c>
      <c r="O37" t="s">
        <v>984</v>
      </c>
      <c r="P37" s="174">
        <f>IF(O37="","",IF(OR(LEFT(O37,4)="Cash",LEFT(O37,4)="Prov"),0,SUMIFS(Input_APM!N:N,Input_APM!L:L,Check!O37)))</f>
        <v>260</v>
      </c>
      <c r="Q37" s="21">
        <f>IF(O37="","",IF(LEN(O37)&gt;9,SUMIFS(Options!$H$3:$H$25,Options!$B$3:$B$25,Check!O37),SUMIFS('Master P&amp;L'!$H$11:$H$92,'Master P&amp;L'!$B$11:$B$92,Check!O37)))</f>
        <v>275</v>
      </c>
      <c r="R37" s="174">
        <f t="shared" si="1"/>
        <v>-15</v>
      </c>
      <c r="S37" s="289">
        <f t="shared" si="2"/>
        <v>0.94545454545454544</v>
      </c>
      <c r="V37" s="13"/>
    </row>
    <row r="38" spans="1:22">
      <c r="B38" t="s">
        <v>895</v>
      </c>
      <c r="C38" s="188">
        <f>IF(B38="","",IF(LEN(B38)&gt;9,SUMIFS(Options!$H$3:$H$25,Options!$B$3:$B$25,Check!B38),SUMIFS('Master P&amp;L'!$H$11:$H$92,'Master P&amp;L'!$B$11:$B$92,Check!B38)))</f>
        <v>1000</v>
      </c>
      <c r="D38" s="188">
        <f>IF(B38="","",SUMIFS(Input_APM!N:N,Input_APM!L:L,Check!B38,Input_APM!M:M,Check!$F$1))</f>
        <v>935</v>
      </c>
      <c r="E38" s="174">
        <f t="shared" si="5"/>
        <v>65</v>
      </c>
      <c r="F38" s="188">
        <f>IF(B38="","",SUMIFS(Input_APM!N:N,Input_APM!M:M,Check!$F$1,Input_APM!L:L,Check!B38))</f>
        <v>935</v>
      </c>
      <c r="G38" s="188">
        <f>IF(B38="","",SUMIFS(Input_APM!N:N,Input_APM!M:M,Check!$G$1,Input_APM!L:L,Check!B38))</f>
        <v>0</v>
      </c>
      <c r="H38" s="174">
        <f t="shared" si="0"/>
        <v>935</v>
      </c>
      <c r="I38" s="174">
        <f>SUMIFS(Input_APM!N:N,Input_APM!L:L,Check!B38)</f>
        <v>935</v>
      </c>
      <c r="J38" s="176">
        <f t="shared" si="3"/>
        <v>0</v>
      </c>
      <c r="K38" s="21">
        <f>IF(B38="","",SUMIFS('Input_APM (Zenith)'!N:N,'Input_APM (Zenith)'!L:L,Check!B38,'Input_APM (Zenith)'!M:M,Check!$F$1))</f>
        <v>0</v>
      </c>
      <c r="L38" s="21">
        <f>IF(B38="","",SUMIFS('Input_APM (Zenith)'!N:N,'Input_APM (Zenith)'!L:L,Check!B38,'Input_APM (Zenith)'!M:M,Check!$G$1))</f>
        <v>0</v>
      </c>
      <c r="M38" s="194">
        <f t="shared" si="4"/>
        <v>935</v>
      </c>
      <c r="O38" t="s">
        <v>985</v>
      </c>
      <c r="P38" s="174">
        <f>IF(O38="","",IF(OR(LEFT(O38,4)="Cash",LEFT(O38,4)="Prov"),0,SUMIFS(Input_APM!N:N,Input_APM!L:L,Check!O38)))</f>
        <v>-141</v>
      </c>
      <c r="Q38" s="21">
        <f>IF(O38="","",IF(LEN(O38)&gt;9,SUMIFS(Options!$H$3:$H$25,Options!$B$3:$B$25,Check!O38),SUMIFS('Master P&amp;L'!$H$11:$H$92,'Master P&amp;L'!$B$11:$B$92,Check!O38)))</f>
        <v>-150</v>
      </c>
      <c r="R38" s="174">
        <f t="shared" si="1"/>
        <v>9</v>
      </c>
      <c r="S38" s="289">
        <f t="shared" si="2"/>
        <v>0.94</v>
      </c>
      <c r="V38" s="13"/>
    </row>
    <row r="39" spans="1:22">
      <c r="B39" t="s">
        <v>774</v>
      </c>
      <c r="C39" s="188">
        <f>IF(B39="","",IF(LEN(B39)&gt;9,SUMIFS(Options!$H$3:$H$25,Options!$B$3:$B$25,Check!B39),SUMIFS('Master P&amp;L'!$H$11:$H$92,'Master P&amp;L'!$B$11:$B$92,Check!B39)))</f>
        <v>120</v>
      </c>
      <c r="D39" s="188">
        <f>IF(B39="","",SUMIFS(Input_APM!N:N,Input_APM!L:L,Check!B39,Input_APM!M:M,Check!$F$1))</f>
        <v>114</v>
      </c>
      <c r="E39" s="174">
        <f t="shared" si="5"/>
        <v>6</v>
      </c>
      <c r="F39" s="188">
        <f>IF(B39="","",SUMIFS(Input_APM!N:N,Input_APM!M:M,Check!$F$1,Input_APM!L:L,Check!B39))</f>
        <v>114</v>
      </c>
      <c r="G39" s="188">
        <f>IF(B39="","",SUMIFS(Input_APM!N:N,Input_APM!M:M,Check!$G$1,Input_APM!L:L,Check!B39))</f>
        <v>0</v>
      </c>
      <c r="H39" s="174">
        <f t="shared" si="0"/>
        <v>114</v>
      </c>
      <c r="I39" s="174">
        <f>SUMIFS(Input_APM!N:N,Input_APM!L:L,Check!B39)</f>
        <v>114</v>
      </c>
      <c r="J39" s="176">
        <f t="shared" si="3"/>
        <v>0</v>
      </c>
      <c r="K39" s="21">
        <f>IF(B39="","",SUMIFS('Input_APM (Zenith)'!N:N,'Input_APM (Zenith)'!L:L,Check!B39,'Input_APM (Zenith)'!M:M,Check!$F$1))</f>
        <v>0</v>
      </c>
      <c r="L39" s="21">
        <f>IF(B39="","",SUMIFS('Input_APM (Zenith)'!N:N,'Input_APM (Zenith)'!L:L,Check!B39,'Input_APM (Zenith)'!M:M,Check!$G$1))</f>
        <v>0</v>
      </c>
      <c r="M39" s="194">
        <f t="shared" si="4"/>
        <v>114</v>
      </c>
      <c r="O39" t="s">
        <v>983</v>
      </c>
      <c r="P39" s="174">
        <f>IF(O39="","",IF(OR(LEFT(O39,4)="Cash",LEFT(O39,4)="Prov"),0,SUMIFS(Input_APM!N:N,Input_APM!L:L,Check!O39)))</f>
        <v>-47</v>
      </c>
      <c r="Q39" s="21">
        <f>IF(O39="","",IF(LEN(O39)&gt;9,SUMIFS(Options!$H$3:$H$25,Options!$B$3:$B$25,Check!O39),SUMIFS('Master P&amp;L'!$H$11:$H$92,'Master P&amp;L'!$B$11:$B$92,Check!O39)))</f>
        <v>-50</v>
      </c>
      <c r="R39" s="174">
        <f t="shared" si="1"/>
        <v>3</v>
      </c>
      <c r="S39" s="289">
        <f t="shared" si="2"/>
        <v>0.94</v>
      </c>
      <c r="V39" s="13"/>
    </row>
    <row r="40" spans="1:22">
      <c r="B40" t="s">
        <v>1043</v>
      </c>
      <c r="C40" s="188">
        <f>IF(B40="","",IF(LEN(B40)&gt;9,SUMIFS(Options!$H$3:$H$25,Options!$B$3:$B$25,Check!B40),SUMIFS('Master P&amp;L'!$H$11:$H$92,'Master P&amp;L'!$B$11:$B$92,Check!B40)))</f>
        <v>150</v>
      </c>
      <c r="D40" s="188">
        <f>IF(B40="","",SUMIFS(Input_APM!N:N,Input_APM!L:L,Check!B40,Input_APM!M:M,Check!$F$1))</f>
        <v>142</v>
      </c>
      <c r="E40" s="176">
        <f t="shared" si="5"/>
        <v>8</v>
      </c>
      <c r="F40" s="188">
        <f>IF(B40="","",SUMIFS(Input_APM!N:N,Input_APM!M:M,Check!$F$1,Input_APM!L:L,Check!B40))</f>
        <v>142</v>
      </c>
      <c r="G40" s="188">
        <f>IF(B40="","",SUMIFS(Input_APM!N:N,Input_APM!M:M,Check!$G$1,Input_APM!L:L,Check!B40))</f>
        <v>0</v>
      </c>
      <c r="H40" s="174">
        <f t="shared" si="0"/>
        <v>142</v>
      </c>
      <c r="I40" s="174">
        <f>SUMIFS(Input_APM!N:N,Input_APM!L:L,Check!B40)</f>
        <v>142</v>
      </c>
      <c r="J40" s="176">
        <f t="shared" si="3"/>
        <v>0</v>
      </c>
      <c r="K40" s="21">
        <f>IF(B40="","",SUMIFS('Input_APM (Zenith)'!N:N,'Input_APM (Zenith)'!L:L,Check!B40,'Input_APM (Zenith)'!M:M,Check!$F$1))</f>
        <v>0</v>
      </c>
      <c r="L40" s="21">
        <f>IF(B40="","",SUMIFS('Input_APM (Zenith)'!N:N,'Input_APM (Zenith)'!L:L,Check!B40,'Input_APM (Zenith)'!M:M,Check!$G$1))</f>
        <v>0</v>
      </c>
      <c r="M40" s="194">
        <f t="shared" si="4"/>
        <v>142</v>
      </c>
      <c r="O40" t="s">
        <v>926</v>
      </c>
      <c r="P40" s="174">
        <f>IF(O40="","",IF(OR(LEFT(O40,4)="Cash",LEFT(O40,4)="Prov"),0,SUMIFS(Input_APM!N:N,Input_APM!L:L,Check!O40)))</f>
        <v>-10782</v>
      </c>
      <c r="Q40" s="21">
        <f>IF(O40="","",IF(LEN(O40)&gt;9,SUMIFS(Options!$H$3:$H$25,Options!$B$3:$B$25,Check!O40),SUMIFS('Master P&amp;L'!$H$11:$H$92,'Master P&amp;L'!$B$11:$B$92,Check!O40)))</f>
        <v>-13470</v>
      </c>
      <c r="R40" s="174">
        <f t="shared" si="1"/>
        <v>2688</v>
      </c>
      <c r="S40" s="289">
        <f t="shared" si="2"/>
        <v>0.80044543429844095</v>
      </c>
      <c r="V40" s="13"/>
    </row>
    <row r="41" spans="1:22">
      <c r="B41" t="s">
        <v>1139</v>
      </c>
      <c r="C41" s="188">
        <f>IF(B41="","",IF(LEN(B41)&gt;9,SUMIFS(Options!$H$3:$H$25,Options!$B$3:$B$25,Check!B41),SUMIFS('Master P&amp;L'!$H$11:$H$92,'Master P&amp;L'!$B$11:$B$92,Check!B41)))</f>
        <v>-200</v>
      </c>
      <c r="D41" s="188">
        <f>IF(B41="","",SUMIFS(Input_APM!N:N,Input_APM!L:L,Check!B41,Input_APM!M:M,Check!$F$1))</f>
        <v>-188</v>
      </c>
      <c r="E41" s="174">
        <f t="shared" si="5"/>
        <v>-12</v>
      </c>
      <c r="F41" s="188">
        <f>IF(B41="","",SUMIFS(Input_APM!N:N,Input_APM!M:M,Check!$F$1,Input_APM!L:L,Check!B41))</f>
        <v>-188</v>
      </c>
      <c r="G41" s="188">
        <f>IF(B41="","",SUMIFS(Input_APM!N:N,Input_APM!M:M,Check!$G$1,Input_APM!L:L,Check!B41))</f>
        <v>0</v>
      </c>
      <c r="H41" s="174">
        <f t="shared" si="0"/>
        <v>-188</v>
      </c>
      <c r="I41" s="174">
        <f>SUMIFS(Input_APM!N:N,Input_APM!L:L,Check!B41)</f>
        <v>-188</v>
      </c>
      <c r="J41" s="176">
        <f t="shared" si="3"/>
        <v>0</v>
      </c>
      <c r="K41" s="21">
        <f>IF(B41="","",SUMIFS('Input_APM (Zenith)'!N:N,'Input_APM (Zenith)'!L:L,Check!B41,'Input_APM (Zenith)'!M:M,Check!$F$1))</f>
        <v>0</v>
      </c>
      <c r="L41" s="21">
        <f>IF(B41="","",SUMIFS('Input_APM (Zenith)'!N:N,'Input_APM (Zenith)'!L:L,Check!B41,'Input_APM (Zenith)'!M:M,Check!$G$1))</f>
        <v>0</v>
      </c>
      <c r="M41" s="194">
        <f t="shared" si="4"/>
        <v>-188</v>
      </c>
      <c r="O41" t="s">
        <v>958</v>
      </c>
      <c r="P41" s="174">
        <f>IF(O41="","",IF(OR(LEFT(O41,4)="Cash",LEFT(O41,4)="Prov"),0,SUMIFS(Input_APM!N:N,Input_APM!L:L,Check!O41)))</f>
        <v>10349446</v>
      </c>
      <c r="Q41" s="21">
        <f>IF(O41="","",IF(LEN(O41)&gt;9,SUMIFS(Options!$H$3:$H$25,Options!$B$3:$B$25,Check!O41),SUMIFS('Master P&amp;L'!$H$11:$H$92,'Master P&amp;L'!$B$11:$B$92,Check!O41)))</f>
        <v>0</v>
      </c>
      <c r="R41" s="174">
        <f t="shared" si="1"/>
        <v>10349446</v>
      </c>
      <c r="S41" s="289" t="str">
        <f t="shared" si="2"/>
        <v>Erro</v>
      </c>
      <c r="V41" s="13"/>
    </row>
    <row r="42" spans="1:22">
      <c r="B42" t="s">
        <v>1140</v>
      </c>
      <c r="C42" s="188">
        <f>IF(B42="","",IF(LEN(B42)&gt;9,SUMIFS(Options!$H$3:$H$25,Options!$B$3:$B$25,Check!B42),SUMIFS('Master P&amp;L'!$H$11:$H$92,'Master P&amp;L'!$B$11:$B$92,Check!B42)))</f>
        <v>-200</v>
      </c>
      <c r="D42" s="188">
        <f>IF(B42="","",SUMIFS(Input_APM!N:N,Input_APM!L:L,Check!B42,Input_APM!M:M,Check!$F$1))</f>
        <v>-188</v>
      </c>
      <c r="E42" s="176">
        <f t="shared" si="5"/>
        <v>-12</v>
      </c>
      <c r="F42" s="188">
        <f>IF(B42="","",SUMIFS(Input_APM!N:N,Input_APM!M:M,Check!$F$1,Input_APM!L:L,Check!B42))</f>
        <v>-188</v>
      </c>
      <c r="G42" s="188">
        <f>IF(B42="","",SUMIFS(Input_APM!N:N,Input_APM!M:M,Check!$G$1,Input_APM!L:L,Check!B42))</f>
        <v>0</v>
      </c>
      <c r="H42" s="174">
        <f t="shared" si="0"/>
        <v>-188</v>
      </c>
      <c r="I42" s="174">
        <f>SUMIFS(Input_APM!N:N,Input_APM!L:L,Check!B42)</f>
        <v>-188</v>
      </c>
      <c r="J42" s="176">
        <f t="shared" si="3"/>
        <v>0</v>
      </c>
      <c r="K42" s="21">
        <f>IF(B42="","",SUMIFS('Input_APM (Zenith)'!N:N,'Input_APM (Zenith)'!L:L,Check!B42,'Input_APM (Zenith)'!M:M,Check!$F$1))</f>
        <v>0</v>
      </c>
      <c r="L42" s="21">
        <f>IF(B42="","",SUMIFS('Input_APM (Zenith)'!N:N,'Input_APM (Zenith)'!L:L,Check!B42,'Input_APM (Zenith)'!M:M,Check!$G$1))</f>
        <v>0</v>
      </c>
      <c r="M42" s="194">
        <f t="shared" si="4"/>
        <v>-188</v>
      </c>
      <c r="O42" t="s">
        <v>735</v>
      </c>
      <c r="P42" s="174">
        <f>IF(O42="","",IF(OR(LEFT(O42,4)="Cash",LEFT(O42,4)="Prov"),0,SUMIFS(Input_APM!N:N,Input_APM!L:L,Check!O42)))</f>
        <v>3380</v>
      </c>
      <c r="Q42" s="21">
        <f>IF(O42="","",IF(LEN(O42)&gt;9,SUMIFS(Options!$H$3:$H$25,Options!$B$3:$B$25,Check!O42),SUMIFS('Master P&amp;L'!$H$11:$H$92,'Master P&amp;L'!$B$11:$B$92,Check!O42)))</f>
        <v>4450</v>
      </c>
      <c r="R42" s="174">
        <f t="shared" si="1"/>
        <v>-1070</v>
      </c>
      <c r="S42" s="289">
        <f t="shared" si="2"/>
        <v>0.75955056179775282</v>
      </c>
      <c r="V42" s="13"/>
    </row>
    <row r="43" spans="1:22">
      <c r="A43" t="s">
        <v>448</v>
      </c>
      <c r="B43" t="s">
        <v>1094</v>
      </c>
      <c r="C43" s="188">
        <f>IF(B43="","",IF(LEN(B43)&gt;9,SUMIFS(Options!$H$3:$H$25,Options!$B$3:$B$25,Check!B43),SUMIFS('Master P&amp;L'!$H$11:$H$92,'Master P&amp;L'!$B$11:$B$92,Check!B43)))</f>
        <v>135</v>
      </c>
      <c r="D43" s="188">
        <f>IF(B43="","",SUMIFS(Input_APM!N:N,Input_APM!L:L,Check!B43,Input_APM!M:M,Check!$F$1))</f>
        <v>128</v>
      </c>
      <c r="E43" s="174">
        <f t="shared" si="5"/>
        <v>7</v>
      </c>
      <c r="F43" s="188">
        <f>IF(B43="","",SUMIFS(Input_APM!N:N,Input_APM!M:M,Check!$F$1,Input_APM!L:L,Check!B43))</f>
        <v>128</v>
      </c>
      <c r="G43" s="188">
        <f>IF(B43="","",SUMIFS(Input_APM!N:N,Input_APM!M:M,Check!$G$1,Input_APM!L:L,Check!B43))</f>
        <v>0</v>
      </c>
      <c r="H43" s="174">
        <f t="shared" si="0"/>
        <v>128</v>
      </c>
      <c r="I43" s="174">
        <f>SUMIFS(Input_APM!N:N,Input_APM!L:L,Check!B43)</f>
        <v>128</v>
      </c>
      <c r="J43" s="176">
        <f t="shared" si="3"/>
        <v>0</v>
      </c>
      <c r="K43" s="21">
        <f>IF(B43="","",SUMIFS('Input_APM (Zenith)'!N:N,'Input_APM (Zenith)'!L:L,Check!B43,'Input_APM (Zenith)'!M:M,Check!$F$1))</f>
        <v>0</v>
      </c>
      <c r="L43" s="21">
        <f>IF(B43="","",SUMIFS('Input_APM (Zenith)'!N:N,'Input_APM (Zenith)'!L:L,Check!B43,'Input_APM (Zenith)'!M:M,Check!$G$1))</f>
        <v>0</v>
      </c>
      <c r="M43" s="174">
        <f t="shared" si="4"/>
        <v>128</v>
      </c>
      <c r="O43" t="s">
        <v>947</v>
      </c>
      <c r="P43" s="174">
        <f>IF(O43="","",IF(OR(LEFT(O43,4)="Cash",LEFT(O43,4)="Prov"),0,SUMIFS(Input_APM!N:N,Input_APM!L:L,Check!O43)))</f>
        <v>0</v>
      </c>
      <c r="Q43" s="21">
        <f>IF(O43="","",IF(LEN(O43)&gt;9,SUMIFS(Options!$H$3:$H$25,Options!$B$3:$B$25,Check!O43),SUMIFS('Master P&amp;L'!$H$11:$H$92,'Master P&amp;L'!$B$11:$B$92,Check!O43)))</f>
        <v>0</v>
      </c>
      <c r="R43" s="174">
        <f t="shared" si="1"/>
        <v>0</v>
      </c>
      <c r="S43" s="289" t="str">
        <f t="shared" si="2"/>
        <v>Ok</v>
      </c>
      <c r="V43" s="13"/>
    </row>
    <row r="44" spans="1:22">
      <c r="B44" t="s">
        <v>1094</v>
      </c>
      <c r="C44" s="188">
        <f>IF(B44="","",IF(LEN(B44)&gt;9,SUMIFS(Options!$H$3:$H$25,Options!$B$3:$B$25,Check!B44),SUMIFS('Master P&amp;L'!$H$11:$H$92,'Master P&amp;L'!$B$11:$B$92,Check!B44)))</f>
        <v>135</v>
      </c>
      <c r="D44" s="188">
        <f>IF(B44="","",SUMIFS(Input_APM!N:N,Input_APM!L:L,Check!B44,Input_APM!M:M,Check!$F$1))</f>
        <v>128</v>
      </c>
      <c r="E44" s="174">
        <f>IF(B44="","",C44-M44)</f>
        <v>7</v>
      </c>
      <c r="F44" s="188">
        <f>IF(B44="","",SUMIFS(Input_APM!N:N,Input_APM!M:M,Check!$F$1,Input_APM!L:L,Check!B44))</f>
        <v>128</v>
      </c>
      <c r="G44" s="188">
        <f>IF(B44="","",SUMIFS(Input_APM!N:N,Input_APM!M:M,Check!$G$1,Input_APM!L:L,Check!B44))</f>
        <v>0</v>
      </c>
      <c r="H44" s="174">
        <f t="shared" si="0"/>
        <v>128</v>
      </c>
      <c r="I44" s="174">
        <f>SUMIFS(Input_APM!N:N,Input_APM!L:L,Check!B44)</f>
        <v>128</v>
      </c>
      <c r="J44" s="176">
        <f t="shared" si="3"/>
        <v>0</v>
      </c>
      <c r="K44" s="21">
        <f>IF(B44="","",SUMIFS('Input_APM (Zenith)'!N:N,'Input_APM (Zenith)'!L:L,Check!B44,'Input_APM (Zenith)'!M:M,Check!$F$1))</f>
        <v>0</v>
      </c>
      <c r="L44" s="21">
        <f>IF(B44="","",SUMIFS('Input_APM (Zenith)'!N:N,'Input_APM (Zenith)'!L:L,Check!B44,'Input_APM (Zenith)'!M:M,Check!$G$1))</f>
        <v>0</v>
      </c>
      <c r="M44" s="174">
        <f t="shared" si="4"/>
        <v>128</v>
      </c>
      <c r="O44" t="s">
        <v>1058</v>
      </c>
      <c r="P44" s="174">
        <f>IF(O44="","",IF(OR(LEFT(O44,4)="Cash",LEFT(O44,4)="Prov"),0,SUMIFS(Input_APM!N:N,Input_APM!L:L,Check!O44)))</f>
        <v>-9372000</v>
      </c>
      <c r="Q44" s="21">
        <f>IF(O44="","",IF(LEN(O44)&gt;9,SUMIFS(Options!$H$3:$H$25,Options!$B$3:$B$25,Check!O44),SUMIFS('Master P&amp;L'!$H$11:$H$92,'Master P&amp;L'!$B$11:$B$92,Check!O44)))</f>
        <v>0</v>
      </c>
      <c r="R44" s="174">
        <f t="shared" si="1"/>
        <v>-9372000</v>
      </c>
      <c r="S44" s="289" t="str">
        <f t="shared" si="2"/>
        <v>Erro</v>
      </c>
      <c r="V44" s="13"/>
    </row>
    <row r="45" spans="1:22">
      <c r="B45" t="s">
        <v>935</v>
      </c>
      <c r="C45" s="188">
        <f>IF(B45="","",IF(LEN(B45)&gt;9,SUMIFS(Options!$H$3:$H$25,Options!$B$3:$B$25,Check!B45),SUMIFS('Master P&amp;L'!$H$11:$H$92,'Master P&amp;L'!$B$11:$B$92,Check!B45)))</f>
        <v>450</v>
      </c>
      <c r="D45" s="188">
        <f>IF(B45="","",SUMIFS(Input_APM!N:N,Input_APM!L:L,Check!B45,Input_APM!M:M,Check!$F$1))</f>
        <v>422</v>
      </c>
      <c r="E45" s="174">
        <f t="shared" si="5"/>
        <v>28</v>
      </c>
      <c r="F45" s="188">
        <f>IF(B45="","",SUMIFS(Input_APM!N:N,Input_APM!M:M,Check!$F$1,Input_APM!L:L,Check!B45))</f>
        <v>422</v>
      </c>
      <c r="G45" s="188">
        <f>IF(B45="","",SUMIFS(Input_APM!N:N,Input_APM!M:M,Check!$G$1,Input_APM!L:L,Check!B45))</f>
        <v>0</v>
      </c>
      <c r="H45" s="174">
        <f t="shared" si="0"/>
        <v>422</v>
      </c>
      <c r="I45" s="174">
        <f>SUMIFS(Input_APM!N:N,Input_APM!L:L,Check!B45)</f>
        <v>422</v>
      </c>
      <c r="J45" s="176">
        <f t="shared" si="3"/>
        <v>0</v>
      </c>
      <c r="K45" s="21">
        <f>IF(B45="","",SUMIFS('Input_APM (Zenith)'!N:N,'Input_APM (Zenith)'!L:L,Check!B45,'Input_APM (Zenith)'!M:M,Check!$F$1))</f>
        <v>0</v>
      </c>
      <c r="L45" s="21">
        <f>IF(B45="","",SUMIFS('Input_APM (Zenith)'!N:N,'Input_APM (Zenith)'!L:L,Check!B45,'Input_APM (Zenith)'!M:M,Check!$G$1))</f>
        <v>0</v>
      </c>
      <c r="M45" s="174">
        <f t="shared" si="4"/>
        <v>422</v>
      </c>
      <c r="O45" t="s">
        <v>29</v>
      </c>
      <c r="P45" s="174">
        <f>IF(O45="","",IF(OR(LEFT(O45,4)="Cash",LEFT(O45,4)="Prov"),0,SUMIFS(Input_APM!N:N,Input_APM!L:L,Check!O45)))</f>
        <v>4183</v>
      </c>
      <c r="Q45" s="21">
        <f>IF(O45="","",IF(LEN(O45)&gt;9,SUMIFS(Options!$H$3:$H$25,Options!$B$3:$B$25,Check!O45),SUMIFS('Master P&amp;L'!$H$11:$H$92,'Master P&amp;L'!$B$11:$B$92,Check!O45)))</f>
        <v>4450</v>
      </c>
      <c r="R45" s="174">
        <f t="shared" si="1"/>
        <v>-267</v>
      </c>
      <c r="S45" s="289">
        <f t="shared" si="2"/>
        <v>0.94</v>
      </c>
      <c r="V45" s="13"/>
    </row>
    <row r="46" spans="1:22">
      <c r="B46" t="s">
        <v>1138</v>
      </c>
      <c r="C46" s="188">
        <f>IF(B46="","",IF(LEN(B46)&gt;9,SUMIFS(Options!$H$3:$H$25,Options!$B$3:$B$25,Check!B46),SUMIFS('Master P&amp;L'!$H$11:$H$92,'Master P&amp;L'!$B$11:$B$92,Check!B46)))</f>
        <v>-450</v>
      </c>
      <c r="D46" s="188">
        <f>IF(B46="","",SUMIFS(Input_APM!N:N,Input_APM!L:L,Check!B46,Input_APM!M:M,Check!$F$1))</f>
        <v>-422</v>
      </c>
      <c r="E46" s="176">
        <f t="shared" si="5"/>
        <v>-28</v>
      </c>
      <c r="F46" s="188">
        <f>IF(B46="","",SUMIFS(Input_APM!N:N,Input_APM!M:M,Check!$F$1,Input_APM!L:L,Check!B46))</f>
        <v>-422</v>
      </c>
      <c r="G46" s="188">
        <f>IF(B46="","",SUMIFS(Input_APM!N:N,Input_APM!M:M,Check!$G$1,Input_APM!L:L,Check!B46))</f>
        <v>0</v>
      </c>
      <c r="H46" s="174">
        <f t="shared" si="0"/>
        <v>-422</v>
      </c>
      <c r="I46" s="174">
        <f>SUMIFS(Input_APM!N:N,Input_APM!L:L,Check!B46)</f>
        <v>-422</v>
      </c>
      <c r="J46" s="176">
        <f t="shared" si="3"/>
        <v>0</v>
      </c>
      <c r="K46" s="21">
        <f>IF(B46="","",SUMIFS('Input_APM (Zenith)'!N:N,'Input_APM (Zenith)'!L:L,Check!B46,'Input_APM (Zenith)'!M:M,Check!$F$1))</f>
        <v>0</v>
      </c>
      <c r="L46" s="21">
        <f>IF(B46="","",SUMIFS('Input_APM (Zenith)'!N:N,'Input_APM (Zenith)'!L:L,Check!B46,'Input_APM (Zenith)'!M:M,Check!$G$1))</f>
        <v>0</v>
      </c>
      <c r="M46" s="174">
        <f t="shared" si="4"/>
        <v>-422</v>
      </c>
      <c r="O46" t="s">
        <v>1056</v>
      </c>
      <c r="P46" s="174">
        <f>IF(O46="","",IF(OR(LEFT(O46,4)="Cash",LEFT(O46,4)="Prov"),0,SUMIFS(Input_APM!N:N,Input_APM!L:L,Check!O46)))</f>
        <v>0</v>
      </c>
      <c r="Q46" s="21">
        <f>IF(O46="","",IF(LEN(O46)&gt;9,SUMIFS(Options!$H$3:$H$25,Options!$B$3:$B$25,Check!O46),SUMIFS('Master P&amp;L'!$H$11:$H$92,'Master P&amp;L'!$B$11:$B$92,Check!O46)))</f>
        <v>0</v>
      </c>
      <c r="R46" s="174">
        <f t="shared" si="1"/>
        <v>0</v>
      </c>
      <c r="S46" s="289" t="str">
        <f t="shared" si="2"/>
        <v>Ok</v>
      </c>
      <c r="V46" s="13"/>
    </row>
    <row r="47" spans="1:22">
      <c r="B47" t="s">
        <v>1095</v>
      </c>
      <c r="C47" s="188">
        <f>IF(B47="","",IF(LEN(B47)&gt;9,SUMIFS(Options!$H$3:$H$25,Options!$B$3:$B$25,Check!B47),SUMIFS('Master P&amp;L'!$H$11:$H$92,'Master P&amp;L'!$B$11:$B$92,Check!B47)))</f>
        <v>350</v>
      </c>
      <c r="D47" s="188">
        <f>IF(B47="","",SUMIFS(Input_APM!N:N,Input_APM!L:L,Check!B47,Input_APM!M:M,Check!$F$1))</f>
        <v>329</v>
      </c>
      <c r="E47" s="176">
        <f t="shared" si="5"/>
        <v>21</v>
      </c>
      <c r="F47" s="188">
        <f>IF(B47="","",SUMIFS(Input_APM!N:N,Input_APM!M:M,Check!$F$1,Input_APM!L:L,Check!B47))</f>
        <v>329</v>
      </c>
      <c r="G47" s="188">
        <f>IF(B47="","",SUMIFS(Input_APM!N:N,Input_APM!M:M,Check!$G$1,Input_APM!L:L,Check!B47))</f>
        <v>0</v>
      </c>
      <c r="H47" s="174">
        <f t="shared" si="0"/>
        <v>329</v>
      </c>
      <c r="I47" s="174">
        <f>SUMIFS(Input_APM!N:N,Input_APM!L:L,Check!B47)</f>
        <v>329</v>
      </c>
      <c r="J47" s="176">
        <f t="shared" si="3"/>
        <v>0</v>
      </c>
      <c r="K47" s="21">
        <f>IF(B47="","",SUMIFS('Input_APM (Zenith)'!N:N,'Input_APM (Zenith)'!L:L,Check!B47,'Input_APM (Zenith)'!M:M,Check!$F$1))</f>
        <v>0</v>
      </c>
      <c r="L47" s="21">
        <f>IF(B47="","",SUMIFS('Input_APM (Zenith)'!N:N,'Input_APM (Zenith)'!L:L,Check!B47,'Input_APM (Zenith)'!M:M,Check!$G$1))</f>
        <v>0</v>
      </c>
      <c r="M47" s="174">
        <f t="shared" si="4"/>
        <v>329</v>
      </c>
      <c r="O47" t="s">
        <v>1094</v>
      </c>
      <c r="P47" s="174">
        <f>IF(O47="","",IF(OR(LEFT(O47,4)="Cash",LEFT(O47,4)="Prov"),0,SUMIFS(Input_APM!N:N,Input_APM!L:L,Check!O47)))</f>
        <v>128</v>
      </c>
      <c r="Q47" s="21">
        <f>IF(O47="","",IF(LEN(O47)&gt;9,SUMIFS(Options!$H$3:$H$25,Options!$B$3:$B$25,Check!O47),SUMIFS('Master P&amp;L'!$H$11:$H$92,'Master P&amp;L'!$B$11:$B$92,Check!O47)))</f>
        <v>135</v>
      </c>
      <c r="R47" s="174">
        <f t="shared" si="1"/>
        <v>-7</v>
      </c>
      <c r="S47" s="289">
        <f t="shared" si="2"/>
        <v>0.94814814814814818</v>
      </c>
    </row>
    <row r="48" spans="1:22">
      <c r="B48" t="s">
        <v>1096</v>
      </c>
      <c r="C48" s="188">
        <f>IF(B48="","",IF(LEN(B48)&gt;9,SUMIFS(Options!$H$3:$H$25,Options!$B$3:$B$25,Check!B48),SUMIFS('Master P&amp;L'!$H$11:$H$92,'Master P&amp;L'!$B$11:$B$92,Check!B48)))</f>
        <v>-350</v>
      </c>
      <c r="D48" s="188">
        <f>IF(B48="","",SUMIFS(Input_APM!N:N,Input_APM!L:L,Check!B48,Input_APM!M:M,Check!$F$1))</f>
        <v>-329</v>
      </c>
      <c r="E48" s="176">
        <f t="shared" si="5"/>
        <v>-21</v>
      </c>
      <c r="F48" s="188">
        <f>IF(B48="","",SUMIFS(Input_APM!N:N,Input_APM!M:M,Check!$F$1,Input_APM!L:L,Check!B48))</f>
        <v>-329</v>
      </c>
      <c r="G48" s="188">
        <f>IF(B48="","",SUMIFS(Input_APM!N:N,Input_APM!M:M,Check!$G$1,Input_APM!L:L,Check!B48))</f>
        <v>0</v>
      </c>
      <c r="H48" s="174">
        <f t="shared" si="0"/>
        <v>-329</v>
      </c>
      <c r="I48" s="174">
        <f>SUMIFS(Input_APM!N:N,Input_APM!L:L,Check!B48)</f>
        <v>-329</v>
      </c>
      <c r="J48" s="176">
        <f t="shared" si="3"/>
        <v>0</v>
      </c>
      <c r="K48" s="21">
        <f>IF(B48="","",SUMIFS('Input_APM (Zenith)'!N:N,'Input_APM (Zenith)'!L:L,Check!B48,'Input_APM (Zenith)'!M:M,Check!$F$1))</f>
        <v>0</v>
      </c>
      <c r="L48" s="21">
        <f>IF(B48="","",SUMIFS('Input_APM (Zenith)'!N:N,'Input_APM (Zenith)'!L:L,Check!B48,'Input_APM (Zenith)'!M:M,Check!$G$1))</f>
        <v>0</v>
      </c>
      <c r="M48" s="174">
        <f t="shared" si="4"/>
        <v>-329</v>
      </c>
      <c r="O48" t="s">
        <v>85</v>
      </c>
      <c r="P48" s="174">
        <f>IF(O48="","",IF(OR(LEFT(O48,4)="Cash",LEFT(O48,4)="Prov"),0,SUMIFS(Input_APM!N:N,Input_APM!L:L,Check!O48)))</f>
        <v>0</v>
      </c>
      <c r="Q48" s="21">
        <f>IF(O48="","",IF(LEN(O48)&gt;9,SUMIFS(Options!$H$3:$H$25,Options!$B$3:$B$25,Check!O48),SUMIFS('Master P&amp;L'!$H$11:$H$92,'Master P&amp;L'!$B$11:$B$92,Check!O48)))</f>
        <v>0</v>
      </c>
      <c r="R48" s="174">
        <f t="shared" si="1"/>
        <v>0</v>
      </c>
      <c r="S48" s="289" t="str">
        <f t="shared" si="2"/>
        <v>Ok</v>
      </c>
    </row>
    <row r="49" spans="1:19">
      <c r="B49" t="s">
        <v>985</v>
      </c>
      <c r="C49" s="188">
        <f>IF(B49="","",IF(LEN(B49)&gt;9,SUMIFS(Options!$H$3:$H$25,Options!$B$3:$B$25,Check!B49),SUMIFS('Master P&amp;L'!$H$11:$H$92,'Master P&amp;L'!$B$11:$B$92,Check!B49)))</f>
        <v>-150</v>
      </c>
      <c r="D49" s="188">
        <f>IF(B49="","",SUMIFS(Input_APM!N:N,Input_APM!L:L,Check!B49,Input_APM!M:M,Check!$F$1))</f>
        <v>-141</v>
      </c>
      <c r="E49" s="176">
        <f t="shared" si="5"/>
        <v>-9</v>
      </c>
      <c r="F49" s="188">
        <f>IF(B49="","",SUMIFS(Input_APM!N:N,Input_APM!M:M,Check!$F$1,Input_APM!L:L,Check!B49))</f>
        <v>-141</v>
      </c>
      <c r="G49" s="188">
        <f>IF(B49="","",SUMIFS(Input_APM!N:N,Input_APM!M:M,Check!$G$1,Input_APM!L:L,Check!B49))</f>
        <v>0</v>
      </c>
      <c r="H49" s="174">
        <f t="shared" si="0"/>
        <v>-141</v>
      </c>
      <c r="I49" s="174">
        <f>SUMIFS(Input_APM!N:N,Input_APM!L:L,Check!B49)</f>
        <v>-141</v>
      </c>
      <c r="J49" s="176">
        <f t="shared" si="3"/>
        <v>0</v>
      </c>
      <c r="K49" s="21">
        <f>IF(B49="","",SUMIFS('Input_APM (Zenith)'!N:N,'Input_APM (Zenith)'!L:L,Check!B49,'Input_APM (Zenith)'!M:M,Check!$F$1))</f>
        <v>0</v>
      </c>
      <c r="L49" s="21">
        <f>IF(B49="","",SUMIFS('Input_APM (Zenith)'!N:N,'Input_APM (Zenith)'!L:L,Check!B49,'Input_APM (Zenith)'!M:M,Check!$G$1))</f>
        <v>0</v>
      </c>
      <c r="M49" s="174">
        <f t="shared" si="4"/>
        <v>-141</v>
      </c>
      <c r="O49" t="s">
        <v>935</v>
      </c>
      <c r="P49" s="174">
        <f>IF(O49="","",IF(OR(LEFT(O49,4)="Cash",LEFT(O49,4)="Prov"),0,SUMIFS(Input_APM!N:N,Input_APM!L:L,Check!O49)))</f>
        <v>422</v>
      </c>
      <c r="Q49" s="21">
        <f>IF(O49="","",IF(LEN(O49)&gt;9,SUMIFS(Options!$H$3:$H$25,Options!$B$3:$B$25,Check!O49),SUMIFS('Master P&amp;L'!$H$11:$H$92,'Master P&amp;L'!$B$11:$B$92,Check!O49)))</f>
        <v>450</v>
      </c>
      <c r="R49" s="174">
        <f t="shared" si="1"/>
        <v>-28</v>
      </c>
      <c r="S49" s="289">
        <f t="shared" si="2"/>
        <v>0.93777777777777782</v>
      </c>
    </row>
    <row r="50" spans="1:19">
      <c r="A50" t="s">
        <v>448</v>
      </c>
      <c r="B50" t="s">
        <v>984</v>
      </c>
      <c r="C50" s="188">
        <f>IF(B50="","",IF(LEN(B50)&gt;9,SUMIFS(Options!$H$3:$H$25,Options!$B$3:$B$25,Check!B50),SUMIFS('Master P&amp;L'!$H$11:$H$92,'Master P&amp;L'!$B$11:$B$92,Check!B50)))</f>
        <v>275</v>
      </c>
      <c r="D50" s="188">
        <f>IF(B50="","",SUMIFS(Input_APM!N:N,Input_APM!L:L,Check!B50,Input_APM!M:M,Check!$F$1))</f>
        <v>260</v>
      </c>
      <c r="E50" s="176">
        <f t="shared" si="5"/>
        <v>15</v>
      </c>
      <c r="F50" s="188">
        <f>IF(B50="","",SUMIFS(Input_APM!N:N,Input_APM!M:M,Check!$F$1,Input_APM!L:L,Check!B50))</f>
        <v>260</v>
      </c>
      <c r="G50" s="188">
        <f>IF(B50="","",SUMIFS(Input_APM!N:N,Input_APM!M:M,Check!$G$1,Input_APM!L:L,Check!B50))</f>
        <v>0</v>
      </c>
      <c r="H50" s="174">
        <f t="shared" si="0"/>
        <v>260</v>
      </c>
      <c r="I50" s="174">
        <f>SUMIFS(Input_APM!N:N,Input_APM!L:L,Check!B50)</f>
        <v>260</v>
      </c>
      <c r="J50" s="176">
        <f t="shared" si="3"/>
        <v>0</v>
      </c>
      <c r="K50" s="21">
        <f>IF(B50="","",SUMIFS('Input_APM (Zenith)'!N:N,'Input_APM (Zenith)'!L:L,Check!B50,'Input_APM (Zenith)'!M:M,Check!$F$1))</f>
        <v>0</v>
      </c>
      <c r="L50" s="21">
        <f>IF(B50="","",SUMIFS('Input_APM (Zenith)'!N:N,'Input_APM (Zenith)'!L:L,Check!B50,'Input_APM (Zenith)'!M:M,Check!$G$1))</f>
        <v>0</v>
      </c>
      <c r="M50" s="174">
        <f t="shared" si="4"/>
        <v>260</v>
      </c>
      <c r="O50" t="s">
        <v>767</v>
      </c>
      <c r="P50" s="174">
        <f>IF(O50="","",IF(OR(LEFT(O50,4)="Cash",LEFT(O50,4)="Prov"),0,SUMIFS(Input_APM!N:N,Input_APM!L:L,Check!O50)))</f>
        <v>0</v>
      </c>
      <c r="Q50" s="21">
        <f>IF(O50="","",IF(LEN(O50)&gt;9,SUMIFS(Options!$H$3:$H$25,Options!$B$3:$B$25,Check!O50),SUMIFS('Master P&amp;L'!$H$11:$H$92,'Master P&amp;L'!$B$11:$B$92,Check!O50)))</f>
        <v>0</v>
      </c>
      <c r="R50" s="174">
        <f t="shared" si="1"/>
        <v>0</v>
      </c>
      <c r="S50" s="289" t="str">
        <f t="shared" si="2"/>
        <v>Ok</v>
      </c>
    </row>
    <row r="51" spans="1:19">
      <c r="B51" t="s">
        <v>983</v>
      </c>
      <c r="C51" s="188">
        <f>IF(B51="","",IF(LEN(B51)&gt;9,SUMIFS(Options!$H$3:$H$25,Options!$B$3:$B$25,Check!B51),SUMIFS('Master P&amp;L'!$H$11:$H$92,'Master P&amp;L'!$B$11:$B$92,Check!B51)))</f>
        <v>-50</v>
      </c>
      <c r="D51" s="188">
        <f>IF(B51="","",SUMIFS(Input_APM!N:N,Input_APM!L:L,Check!B51,Input_APM!M:M,Check!$F$1))</f>
        <v>-47</v>
      </c>
      <c r="E51" s="176">
        <f t="shared" si="5"/>
        <v>-3</v>
      </c>
      <c r="F51" s="188">
        <f>IF(B51="","",SUMIFS(Input_APM!N:N,Input_APM!M:M,Check!$F$1,Input_APM!L:L,Check!B51))</f>
        <v>-47</v>
      </c>
      <c r="G51" s="188">
        <f>IF(B51="","",SUMIFS(Input_APM!N:N,Input_APM!M:M,Check!$G$1,Input_APM!L:L,Check!B51))</f>
        <v>0</v>
      </c>
      <c r="H51" s="174">
        <f t="shared" si="0"/>
        <v>-47</v>
      </c>
      <c r="I51" s="174">
        <f>SUMIFS(Input_APM!N:N,Input_APM!L:L,Check!B51)</f>
        <v>-47</v>
      </c>
      <c r="J51" s="176">
        <f t="shared" si="3"/>
        <v>0</v>
      </c>
      <c r="K51" s="21">
        <f>IF(B51="","",SUMIFS('Input_APM (Zenith)'!N:N,'Input_APM (Zenith)'!L:L,Check!B51,'Input_APM (Zenith)'!M:M,Check!$F$1))</f>
        <v>0</v>
      </c>
      <c r="L51" s="21">
        <f>IF(B51="","",SUMIFS('Input_APM (Zenith)'!N:N,'Input_APM (Zenith)'!L:L,Check!B51,'Input_APM (Zenith)'!M:M,Check!$G$1))</f>
        <v>0</v>
      </c>
      <c r="M51" s="174">
        <f t="shared" si="4"/>
        <v>-47</v>
      </c>
      <c r="O51" t="s">
        <v>730</v>
      </c>
      <c r="P51" s="174">
        <f>IF(O51="","",IF(OR(LEFT(O51,4)="Cash",LEFT(O51,4)="Prov"),0,SUMIFS(Input_APM!N:N,Input_APM!L:L,Check!O51)))</f>
        <v>0</v>
      </c>
      <c r="Q51" s="21">
        <f>IF(O51="","",IF(LEN(O51)&gt;9,SUMIFS(Options!$H$3:$H$25,Options!$B$3:$B$25,Check!O51),SUMIFS('Master P&amp;L'!$H$11:$H$92,'Master P&amp;L'!$B$11:$B$92,Check!O51)))</f>
        <v>0</v>
      </c>
      <c r="R51" s="174">
        <f t="shared" si="1"/>
        <v>0</v>
      </c>
      <c r="S51" s="289" t="str">
        <f t="shared" si="2"/>
        <v>Ok</v>
      </c>
    </row>
    <row r="52" spans="1:19">
      <c r="B52" t="s">
        <v>1129</v>
      </c>
      <c r="C52" s="188">
        <f>IF(B52="","",IF(LEN(B52)&gt;9,SUMIFS(Options!$H$3:$H$25,Options!$B$3:$B$25,Check!B52),SUMIFS('Master P&amp;L'!$H$11:$H$92,'Master P&amp;L'!$B$11:$B$92,Check!B52)))</f>
        <v>0</v>
      </c>
      <c r="D52" s="188">
        <f>IF(B52="","",SUMIFS(Input_APM!N:N,Input_APM!L:L,Check!B52,Input_APM!M:M,Check!$F$1))</f>
        <v>14</v>
      </c>
      <c r="E52" s="174">
        <f>IF(B52="","",C52-M52)</f>
        <v>-14</v>
      </c>
      <c r="F52" s="188">
        <f>IF(B52="","",SUMIFS(Input_APM!N:N,Input_APM!M:M,Check!$F$1,Input_APM!L:L,Check!B52))</f>
        <v>14</v>
      </c>
      <c r="G52" s="188">
        <f>IF(B52="","",SUMIFS(Input_APM!N:N,Input_APM!M:M,Check!$G$1,Input_APM!L:L,Check!B52))</f>
        <v>0</v>
      </c>
      <c r="H52" s="174">
        <f t="shared" si="0"/>
        <v>14</v>
      </c>
      <c r="I52" s="174">
        <f>SUMIFS(Input_APM!N:N,Input_APM!L:L,Check!B52)</f>
        <v>14</v>
      </c>
      <c r="J52" s="176">
        <f t="shared" si="3"/>
        <v>0</v>
      </c>
      <c r="K52" s="21">
        <f>IF(B52="","",SUMIFS('Input_APM (Zenith)'!N:N,'Input_APM (Zenith)'!L:L,Check!B52,'Input_APM (Zenith)'!M:M,Check!$F$1))</f>
        <v>0</v>
      </c>
      <c r="L52" s="21">
        <f>IF(B52="","",SUMIFS('Input_APM (Zenith)'!N:N,'Input_APM (Zenith)'!L:L,Check!B52,'Input_APM (Zenith)'!M:M,Check!$G$1))</f>
        <v>0</v>
      </c>
      <c r="M52" s="174">
        <f t="shared" si="4"/>
        <v>14</v>
      </c>
      <c r="O52" t="s">
        <v>766</v>
      </c>
      <c r="P52" s="174">
        <f>IF(O52="","",IF(OR(LEFT(O52,4)="Cash",LEFT(O52,4)="Prov"),0,SUMIFS(Input_APM!N:N,Input_APM!L:L,Check!O52)))</f>
        <v>0</v>
      </c>
      <c r="Q52" s="21">
        <f>IF(O52="","",IF(LEN(O52)&gt;9,SUMIFS(Options!$H$3:$H$25,Options!$B$3:$B$25,Check!O52),SUMIFS('Master P&amp;L'!$H$11:$H$92,'Master P&amp;L'!$B$11:$B$92,Check!O52)))</f>
        <v>0</v>
      </c>
      <c r="R52" s="174">
        <f t="shared" si="1"/>
        <v>0</v>
      </c>
      <c r="S52" s="289" t="str">
        <f t="shared" si="2"/>
        <v>Ok</v>
      </c>
    </row>
    <row r="53" spans="1:19">
      <c r="B53" t="s">
        <v>896</v>
      </c>
      <c r="C53" s="188">
        <f>IF(B53="","",IF(LEN(B53)&gt;9,SUMIFS(Options!$H$3:$H$25,Options!$B$3:$B$25,Check!B53),SUMIFS('Master P&amp;L'!$H$11:$H$92,'Master P&amp;L'!$B$11:$B$92,Check!B53)))</f>
        <v>1550</v>
      </c>
      <c r="D53" s="188">
        <f>IF(B53="","",SUMIFS(Input_APM!N:N,Input_APM!L:L,Check!B53,Input_APM!M:M,Check!$F$1))</f>
        <v>1453</v>
      </c>
      <c r="E53" s="174">
        <f>IF(B53="","",C53-M53)</f>
        <v>97</v>
      </c>
      <c r="F53" s="188">
        <f>IF(B53="","",SUMIFS(Input_APM!N:N,Input_APM!M:M,Check!$F$1,Input_APM!L:L,Check!B53))</f>
        <v>1453</v>
      </c>
      <c r="G53" s="188">
        <f>IF(B53="","",SUMIFS(Input_APM!N:N,Input_APM!M:M,Check!$G$1,Input_APM!L:L,Check!B53))</f>
        <v>0</v>
      </c>
      <c r="H53" s="174">
        <f t="shared" si="0"/>
        <v>1453</v>
      </c>
      <c r="I53" s="174">
        <f>SUMIFS(Input_APM!N:N,Input_APM!L:L,Check!B53)</f>
        <v>1453</v>
      </c>
      <c r="J53" s="176">
        <f t="shared" si="3"/>
        <v>0</v>
      </c>
      <c r="K53" s="21">
        <f>IF(B53="","",SUMIFS('Input_APM (Zenith)'!N:N,'Input_APM (Zenith)'!L:L,Check!B53,'Input_APM (Zenith)'!M:M,Check!$F$1))</f>
        <v>0</v>
      </c>
      <c r="L53" s="21">
        <f>IF(B53="","",SUMIFS('Input_APM (Zenith)'!N:N,'Input_APM (Zenith)'!L:L,Check!B53,'Input_APM (Zenith)'!M:M,Check!$G$1))</f>
        <v>0</v>
      </c>
      <c r="M53" s="174">
        <f>IF(B53="","",F53+G53+K53+L53)</f>
        <v>1453</v>
      </c>
      <c r="O53" t="s">
        <v>38</v>
      </c>
      <c r="P53" s="174">
        <f>IF(O53="","",IF(OR(LEFT(O53,4)="Cash",LEFT(O53,4)="Prov"),0,SUMIFS(Input_APM!N:N,Input_APM!L:L,Check!O53)))</f>
        <v>1751</v>
      </c>
      <c r="Q53" s="21">
        <f>IF(O53="","",IF(LEN(O53)&gt;9,SUMIFS(Options!$H$3:$H$25,Options!$B$3:$B$25,Check!O53),SUMIFS('Master P&amp;L'!$H$11:$H$92,'Master P&amp;L'!$B$11:$B$92,Check!O53)))</f>
        <v>1880</v>
      </c>
      <c r="R53" s="174">
        <f t="shared" si="1"/>
        <v>-129</v>
      </c>
      <c r="S53" s="289">
        <f t="shared" si="2"/>
        <v>0.93138297872340425</v>
      </c>
    </row>
    <row r="54" spans="1:19">
      <c r="B54" t="s">
        <v>897</v>
      </c>
      <c r="C54" s="188">
        <f>IF(B54="","",IF(LEN(B54)&gt;9,SUMIFS(Options!$H$3:$H$25,Options!$B$3:$B$25,Check!B54),SUMIFS('Master P&amp;L'!$H$11:$H$92,'Master P&amp;L'!$B$11:$B$92,Check!B54)))</f>
        <v>-1275</v>
      </c>
      <c r="D54" s="188">
        <f>IF(B54="","",SUMIFS(Input_APM!N:N,Input_APM!L:L,Check!B54,Input_APM!M:M,Check!$F$1))</f>
        <v>-1195</v>
      </c>
      <c r="E54" s="176">
        <f t="shared" si="5"/>
        <v>-80</v>
      </c>
      <c r="F54" s="188">
        <f>IF(B54="","",SUMIFS(Input_APM!N:N,Input_APM!M:M,Check!$F$1,Input_APM!L:L,Check!B54))</f>
        <v>-1195</v>
      </c>
      <c r="G54" s="188">
        <f>IF(B54="","",SUMIFS(Input_APM!N:N,Input_APM!M:M,Check!$G$1,Input_APM!L:L,Check!B54))</f>
        <v>0</v>
      </c>
      <c r="H54" s="174">
        <f t="shared" si="0"/>
        <v>-1195</v>
      </c>
      <c r="I54" s="174">
        <f>SUMIFS(Input_APM!N:N,Input_APM!L:L,Check!B54)</f>
        <v>-1195</v>
      </c>
      <c r="J54" s="176">
        <f t="shared" si="3"/>
        <v>0</v>
      </c>
      <c r="K54" s="21">
        <f>IF(B54="","",SUMIFS('Input_APM (Zenith)'!N:N,'Input_APM (Zenith)'!L:L,Check!B54,'Input_APM (Zenith)'!M:M,Check!$F$1))</f>
        <v>0</v>
      </c>
      <c r="L54" s="21">
        <f>IF(B54="","",SUMIFS('Input_APM (Zenith)'!N:N,'Input_APM (Zenith)'!L:L,Check!B54,'Input_APM (Zenith)'!M:M,Check!$G$1))</f>
        <v>0</v>
      </c>
      <c r="M54" s="174">
        <f t="shared" si="4"/>
        <v>-1195</v>
      </c>
      <c r="O54" t="s">
        <v>1102</v>
      </c>
      <c r="P54" s="174">
        <f>IF(O54="","",IF(OR(LEFT(O54,4)="Cash",LEFT(O54,4)="Prov"),0,SUMIFS(Input_APM!N:N,Input_APM!L:L,Check!O54)))</f>
        <v>-20</v>
      </c>
      <c r="Q54" s="21">
        <f>IF(O54="","",IF(LEN(O54)&gt;9,SUMIFS(Options!$H$3:$H$25,Options!$B$3:$B$25,Check!O54),SUMIFS('Master P&amp;L'!$H$11:$H$92,'Master P&amp;L'!$B$11:$B$92,Check!O54)))</f>
        <v>0</v>
      </c>
      <c r="R54" s="174">
        <f t="shared" si="1"/>
        <v>-20</v>
      </c>
      <c r="S54" s="289" t="str">
        <f t="shared" si="2"/>
        <v>Erro</v>
      </c>
    </row>
    <row r="55" spans="1:19">
      <c r="B55"/>
      <c r="C55" s="188" t="str">
        <f>IF(B55="","",IF(LEN(B55)&gt;9,SUMIFS(Options!$H$3:$H$25,Options!$B$3:$B$25,Check!B55),SUMIFS('Master P&amp;L'!$H$11:$H$92,'Master P&amp;L'!$B$11:$B$92,Check!B55)))</f>
        <v/>
      </c>
      <c r="D55" s="188" t="str">
        <f>IF(B55="","",SUMIFS(Input_APM!N:N,Input_APM!L:L,Check!B55,Input_APM!M:M,Check!$F$1))</f>
        <v/>
      </c>
      <c r="E55" s="176" t="str">
        <f t="shared" si="5"/>
        <v/>
      </c>
      <c r="F55" s="188" t="str">
        <f>IF(B55="","",SUMIFS(Input_APM!N:N,Input_APM!M:M,Check!$F$1,Input_APM!L:L,Check!B55))</f>
        <v/>
      </c>
      <c r="G55" s="188" t="str">
        <f>IF(B55="","",SUMIFS(Input_APM!N:N,Input_APM!M:M,Check!$G$1,Input_APM!L:L,Check!B55))</f>
        <v/>
      </c>
      <c r="H55" s="174" t="str">
        <f t="shared" si="0"/>
        <v/>
      </c>
      <c r="I55" s="174">
        <f>SUMIFS(Input_APM!N:N,Input_APM!L:L,Check!B55)</f>
        <v>0</v>
      </c>
      <c r="J55" s="176" t="str">
        <f t="shared" si="3"/>
        <v/>
      </c>
      <c r="K55" s="21" t="str">
        <f>IF(B55="","",SUMIFS('Input_APM (Zenith)'!N:N,'Input_APM (Zenith)'!L:L,Check!B55,'Input_APM (Zenith)'!M:M,Check!$F$1))</f>
        <v/>
      </c>
      <c r="L55" s="21" t="str">
        <f>IF(B55="","",SUMIFS('Input_APM (Zenith)'!N:N,'Input_APM (Zenith)'!L:L,Check!B55,'Input_APM (Zenith)'!M:M,Check!$G$1))</f>
        <v/>
      </c>
      <c r="M55" s="174" t="str">
        <f t="shared" si="4"/>
        <v/>
      </c>
      <c r="O55" t="s">
        <v>42</v>
      </c>
      <c r="P55" s="174">
        <f>IF(O55="","",IF(OR(LEFT(O55,4)="Cash",LEFT(O55,4)="Prov"),0,SUMIFS(Input_APM!N:N,Input_APM!L:L,Check!O55)))</f>
        <v>21537</v>
      </c>
      <c r="Q55" s="21">
        <f>IF(O55="","",IF(LEN(O55)&gt;9,SUMIFS(Options!$H$3:$H$25,Options!$B$3:$B$25,Check!O55),SUMIFS('Master P&amp;L'!$H$11:$H$92,'Master P&amp;L'!$B$11:$B$92,Check!O55)))</f>
        <v>25027</v>
      </c>
      <c r="R55" s="174">
        <f t="shared" si="1"/>
        <v>-3490</v>
      </c>
      <c r="S55" s="289">
        <f t="shared" si="2"/>
        <v>0.86055060534622607</v>
      </c>
    </row>
    <row r="56" spans="1:19">
      <c r="B56"/>
      <c r="C56" s="188" t="str">
        <f>IF(B56="","",IF(LEN(B56)&gt;9,SUMIFS(Options!$H$3:$H$25,Options!$B$3:$B$25,Check!B56),SUMIFS('Master P&amp;L'!$H$11:$H$92,'Master P&amp;L'!$B$11:$B$92,Check!B56)))</f>
        <v/>
      </c>
      <c r="D56" s="188" t="str">
        <f>IF(B56="","",SUMIFS(Input_APM!N:N,Input_APM!L:L,Check!B56,Input_APM!M:M,Check!$F$1))</f>
        <v/>
      </c>
      <c r="E56" s="176" t="str">
        <f t="shared" si="5"/>
        <v/>
      </c>
      <c r="F56" s="188" t="str">
        <f>IF(B56="","",SUMIFS(Input_APM!N:N,Input_APM!M:M,Check!$F$1,Input_APM!L:L,Check!B56))</f>
        <v/>
      </c>
      <c r="G56" s="188" t="str">
        <f>IF(B56="","",SUMIFS(Input_APM!N:N,Input_APM!M:M,Check!$G$1,Input_APM!L:L,Check!B56))</f>
        <v/>
      </c>
      <c r="H56" s="174" t="str">
        <f t="shared" si="0"/>
        <v/>
      </c>
      <c r="I56" s="174">
        <f>SUMIFS(Input_APM!N:N,Input_APM!L:L,Check!B56)</f>
        <v>0</v>
      </c>
      <c r="J56" s="176" t="str">
        <f t="shared" si="3"/>
        <v/>
      </c>
      <c r="K56" s="21" t="str">
        <f>IF(B56="","",SUMIFS('Input_APM (Zenith)'!N:N,'Input_APM (Zenith)'!L:L,Check!B56,'Input_APM (Zenith)'!M:M,Check!$F$1))</f>
        <v/>
      </c>
      <c r="L56" s="21" t="str">
        <f>IF(B56="","",SUMIFS('Input_APM (Zenith)'!N:N,'Input_APM (Zenith)'!L:L,Check!B56,'Input_APM (Zenith)'!M:M,Check!$G$1))</f>
        <v/>
      </c>
      <c r="M56" s="174" t="str">
        <f t="shared" si="4"/>
        <v/>
      </c>
      <c r="O56" t="s">
        <v>1043</v>
      </c>
      <c r="P56" s="174">
        <f>IF(O56="","",IF(OR(LEFT(O56,4)="Cash",LEFT(O56,4)="Prov"),0,SUMIFS(Input_APM!N:N,Input_APM!L:L,Check!O56)))</f>
        <v>142</v>
      </c>
      <c r="Q56" s="21">
        <f>IF(O56="","",IF(LEN(O56)&gt;9,SUMIFS(Options!$H$3:$H$25,Options!$B$3:$B$25,Check!O56),SUMIFS('Master P&amp;L'!$H$11:$H$92,'Master P&amp;L'!$B$11:$B$92,Check!O56)))</f>
        <v>150</v>
      </c>
      <c r="R56" s="174">
        <f t="shared" si="1"/>
        <v>-8</v>
      </c>
      <c r="S56" s="289">
        <f t="shared" si="2"/>
        <v>0.94666666666666666</v>
      </c>
    </row>
    <row r="57" spans="1:19">
      <c r="B57"/>
      <c r="C57" s="188" t="str">
        <f>IF(B57="","",IF(LEN(B57)&gt;9,SUMIFS(Options!$H$3:$H$25,Options!$B$3:$B$25,Check!B57),SUMIFS('Master P&amp;L'!$H$11:$H$92,'Master P&amp;L'!$B$11:$B$92,Check!B57)))</f>
        <v/>
      </c>
      <c r="D57" s="188" t="str">
        <f>IF(B57="","",SUMIFS(Input_APM!N:N,Input_APM!L:L,Check!B57,Input_APM!M:M,Check!$F$1))</f>
        <v/>
      </c>
      <c r="E57" s="176" t="str">
        <f>IF(B57="","",C57-M57)</f>
        <v/>
      </c>
      <c r="F57" s="188" t="str">
        <f>IF(B57="","",SUMIFS(Input_APM!N:N,Input_APM!M:M,Check!$F$1,Input_APM!L:L,Check!B57))</f>
        <v/>
      </c>
      <c r="G57" s="188" t="str">
        <f>IF(B57="","",SUMIFS(Input_APM!N:N,Input_APM!M:M,Check!$G$1,Input_APM!L:L,Check!B57))</f>
        <v/>
      </c>
      <c r="H57" s="174" t="str">
        <f t="shared" si="0"/>
        <v/>
      </c>
      <c r="I57" s="174">
        <f>SUMIFS(Input_APM!N:N,Input_APM!L:L,Check!B57)</f>
        <v>0</v>
      </c>
      <c r="J57" s="176" t="str">
        <f t="shared" si="3"/>
        <v/>
      </c>
      <c r="K57" s="21" t="str">
        <f>IF(B57="","",SUMIFS('Input_APM (Zenith)'!N:N,'Input_APM (Zenith)'!L:L,Check!B57,'Input_APM (Zenith)'!M:M,Check!$F$1))</f>
        <v/>
      </c>
      <c r="L57" s="21" t="str">
        <f>IF(B57="","",SUMIFS('Input_APM (Zenith)'!N:N,'Input_APM (Zenith)'!L:L,Check!B57,'Input_APM (Zenith)'!M:M,Check!$G$1))</f>
        <v/>
      </c>
      <c r="M57" s="174" t="str">
        <f t="shared" si="4"/>
        <v/>
      </c>
      <c r="O57" t="s">
        <v>1121</v>
      </c>
      <c r="P57" s="174">
        <f>IF(O57="","",IF(OR(LEFT(O57,4)="Cash",LEFT(O57,4)="Prov"),0,SUMIFS(Input_APM!N:N,Input_APM!L:L,Check!O57)))</f>
        <v>0</v>
      </c>
      <c r="Q57" s="21">
        <f>IF(O57="","",IF(LEN(O57)&gt;9,SUMIFS(Options!$H$3:$H$25,Options!$B$3:$B$25,Check!O57),SUMIFS('Master P&amp;L'!$H$11:$H$92,'Master P&amp;L'!$B$11:$B$92,Check!O57)))</f>
        <v>0</v>
      </c>
      <c r="R57" s="174">
        <f t="shared" si="1"/>
        <v>0</v>
      </c>
      <c r="S57" s="289" t="str">
        <f t="shared" si="2"/>
        <v>Ok</v>
      </c>
    </row>
    <row r="58" spans="1:19">
      <c r="B58"/>
      <c r="C58" s="188" t="str">
        <f>IF(B58="","",IF(LEN(B58)&gt;9,SUMIFS(Options!$H$3:$H$25,Options!$B$3:$B$25,Check!B58),SUMIFS('Master P&amp;L'!$H$11:$H$92,'Master P&amp;L'!$B$11:$B$92,Check!B58)))</f>
        <v/>
      </c>
      <c r="D58" s="188" t="str">
        <f>IF(B58="","",SUMIFS(Input_APM!N:N,Input_APM!L:L,Check!B58,Input_APM!M:M,Check!$F$1))</f>
        <v/>
      </c>
      <c r="E58" s="174" t="str">
        <f t="shared" si="5"/>
        <v/>
      </c>
      <c r="F58" s="188" t="str">
        <f>IF(B58="","",SUMIFS(Input_APM!N:N,Input_APM!M:M,Check!$F$1,Input_APM!L:L,Check!B58))</f>
        <v/>
      </c>
      <c r="G58" s="188" t="str">
        <f>IF(B58="","",SUMIFS(Input_APM!N:N,Input_APM!M:M,Check!$G$1,Input_APM!L:L,Check!B58))</f>
        <v/>
      </c>
      <c r="H58" s="174" t="str">
        <f t="shared" si="0"/>
        <v/>
      </c>
      <c r="I58" s="174">
        <f>SUMIFS(Input_APM!N:N,Input_APM!L:L,Check!B58)</f>
        <v>0</v>
      </c>
      <c r="J58" s="176" t="str">
        <f t="shared" si="3"/>
        <v/>
      </c>
      <c r="K58" s="21" t="str">
        <f>IF(B58="","",SUMIFS('Input_APM (Zenith)'!N:N,'Input_APM (Zenith)'!L:L,Check!B58,'Input_APM (Zenith)'!M:M,Check!$F$1))</f>
        <v/>
      </c>
      <c r="L58" s="21" t="str">
        <f>IF(B58="","",SUMIFS('Input_APM (Zenith)'!N:N,'Input_APM (Zenith)'!L:L,Check!B58,'Input_APM (Zenith)'!M:M,Check!$G$1))</f>
        <v/>
      </c>
      <c r="M58" s="174" t="str">
        <f t="shared" si="4"/>
        <v/>
      </c>
      <c r="O58" t="s">
        <v>1059</v>
      </c>
      <c r="P58" s="174">
        <f>IF(O58="","",IF(OR(LEFT(O58,4)="Cash",LEFT(O58,4)="Prov"),0,SUMIFS(Input_APM!N:N,Input_APM!L:L,Check!O58)))</f>
        <v>0</v>
      </c>
      <c r="Q58" s="21">
        <f>IF(O58="","",IF(LEN(O58)&gt;9,SUMIFS(Options!$H$3:$H$25,Options!$B$3:$B$25,Check!O58),SUMIFS('Master P&amp;L'!$H$11:$H$92,'Master P&amp;L'!$B$11:$B$92,Check!O58)))</f>
        <v>0</v>
      </c>
      <c r="R58" s="174">
        <f t="shared" si="1"/>
        <v>0</v>
      </c>
      <c r="S58" s="289" t="str">
        <f t="shared" si="2"/>
        <v>Ok</v>
      </c>
    </row>
    <row r="59" spans="1:19">
      <c r="B59"/>
      <c r="C59" s="188" t="str">
        <f>IF(B59="","",IF(LEN(B59)&gt;9,SUMIFS(Options!$H$3:$H$25,Options!$B$3:$B$25,Check!B59),SUMIFS('Master P&amp;L'!$H$11:$H$92,'Master P&amp;L'!$B$11:$B$92,Check!B59)))</f>
        <v/>
      </c>
      <c r="D59" s="188" t="str">
        <f>IF(B59="","",SUMIFS(Input_APM!N:N,Input_APM!L:L,Check!B59,Input_APM!M:M,Check!$F$1))</f>
        <v/>
      </c>
      <c r="E59" s="174" t="str">
        <f t="shared" si="5"/>
        <v/>
      </c>
      <c r="F59" s="188" t="str">
        <f>IF(B59="","",SUMIFS(Input_APM!N:N,Input_APM!M:M,Check!$F$1,Input_APM!L:L,Check!B59))</f>
        <v/>
      </c>
      <c r="G59" s="188" t="str">
        <f>IF(B59="","",SUMIFS(Input_APM!N:N,Input_APM!M:M,Check!$G$1,Input_APM!L:L,Check!B59))</f>
        <v/>
      </c>
      <c r="H59" s="174" t="str">
        <f t="shared" si="0"/>
        <v/>
      </c>
      <c r="I59" s="174">
        <f>SUMIFS(Input_APM!N:N,Input_APM!L:L,Check!B59)</f>
        <v>0</v>
      </c>
      <c r="J59" s="176" t="str">
        <f t="shared" si="3"/>
        <v/>
      </c>
      <c r="K59" s="21" t="str">
        <f>IF(B59="","",SUMIFS('Input_APM (Zenith)'!N:N,'Input_APM (Zenith)'!L:L,Check!B59,'Input_APM (Zenith)'!M:M,Check!$F$1))</f>
        <v/>
      </c>
      <c r="L59" s="21" t="str">
        <f>IF(B59="","",SUMIFS('Input_APM (Zenith)'!N:N,'Input_APM (Zenith)'!L:L,Check!B59,'Input_APM (Zenith)'!M:M,Check!$G$1))</f>
        <v/>
      </c>
      <c r="M59" s="174" t="str">
        <f t="shared" si="4"/>
        <v/>
      </c>
      <c r="O59" t="s">
        <v>262</v>
      </c>
      <c r="P59" s="174">
        <f>IF(O59="","",IF(OR(LEFT(O59,4)="Cash",LEFT(O59,4)="Prov"),0,SUMIFS(Input_APM!N:N,Input_APM!L:L,Check!O59)))</f>
        <v>0</v>
      </c>
      <c r="Q59" s="21">
        <f>IF(O59="","",IF(LEN(O59)&gt;9,SUMIFS(Options!$H$3:$H$25,Options!$B$3:$B$25,Check!O59),SUMIFS('Master P&amp;L'!$H$11:$H$92,'Master P&amp;L'!$B$11:$B$92,Check!O59)))</f>
        <v>0</v>
      </c>
      <c r="R59" s="174">
        <f t="shared" si="1"/>
        <v>0</v>
      </c>
      <c r="S59" s="289" t="str">
        <f t="shared" si="2"/>
        <v>Ok</v>
      </c>
    </row>
    <row r="60" spans="1:19">
      <c r="B60"/>
      <c r="C60" s="188" t="str">
        <f>IF(B60="","",IF(LEN(B60)&gt;9,SUMIFS(Options!$H$3:$H$25,Options!$B$3:$B$25,Check!B60),SUMIFS('Master P&amp;L'!$H$11:$H$92,'Master P&amp;L'!$B$11:$B$92,Check!B60)))</f>
        <v/>
      </c>
      <c r="D60" s="188" t="str">
        <f>IF(B60="","",SUMIFS(Input_APM!N:N,Input_APM!L:L,Check!B60,Input_APM!M:M,Check!$F$1))</f>
        <v/>
      </c>
      <c r="E60" s="176" t="str">
        <f t="shared" si="5"/>
        <v/>
      </c>
      <c r="F60" s="188" t="str">
        <f>IF(B60="","",SUMIFS(Input_APM!N:N,Input_APM!M:M,Check!$F$1,Input_APM!L:L,Check!B60))</f>
        <v/>
      </c>
      <c r="G60" s="188" t="str">
        <f>IF(B60="","",SUMIFS(Input_APM!N:N,Input_APM!M:M,Check!$G$1,Input_APM!L:L,Check!B60))</f>
        <v/>
      </c>
      <c r="H60" s="174" t="str">
        <f t="shared" si="0"/>
        <v/>
      </c>
      <c r="I60" s="174">
        <f>SUMIFS(Input_APM!N:N,Input_APM!L:L,Check!B60)</f>
        <v>0</v>
      </c>
      <c r="J60" s="176" t="str">
        <f t="shared" si="3"/>
        <v/>
      </c>
      <c r="K60" s="21" t="str">
        <f>IF(B60="","",SUMIFS('Input_APM (Zenith)'!N:N,'Input_APM (Zenith)'!L:L,Check!B60,'Input_APM (Zenith)'!M:M,Check!$F$1))</f>
        <v/>
      </c>
      <c r="L60" s="21" t="str">
        <f>IF(B60="","",SUMIFS('Input_APM (Zenith)'!N:N,'Input_APM (Zenith)'!L:L,Check!B60,'Input_APM (Zenith)'!M:M,Check!$G$1))</f>
        <v/>
      </c>
      <c r="M60" s="174" t="str">
        <f t="shared" si="4"/>
        <v/>
      </c>
      <c r="O60" t="s">
        <v>234</v>
      </c>
      <c r="P60" s="174">
        <f>IF(O60="","",IF(OR(LEFT(O60,4)="Cash",LEFT(O60,4)="Prov"),0,SUMIFS(Input_APM!N:N,Input_APM!L:L,Check!O60)))</f>
        <v>0</v>
      </c>
      <c r="Q60" s="21">
        <f>IF(O60="","",IF(LEN(O60)&gt;9,SUMIFS(Options!$H$3:$H$25,Options!$B$3:$B$25,Check!O60),SUMIFS('Master P&amp;L'!$H$11:$H$92,'Master P&amp;L'!$B$11:$B$92,Check!O60)))</f>
        <v>0</v>
      </c>
      <c r="R60" s="174">
        <f t="shared" si="1"/>
        <v>0</v>
      </c>
      <c r="S60" s="289" t="str">
        <f t="shared" si="2"/>
        <v>Ok</v>
      </c>
    </row>
    <row r="61" spans="1:19">
      <c r="B61"/>
      <c r="C61" s="188" t="str">
        <f>IF(B61="","",IF(LEN(B61)&gt;9,SUMIFS(Options!$H$3:$H$25,Options!$B$3:$B$25,Check!B61),SUMIFS('Master P&amp;L'!$H$11:$H$92,'Master P&amp;L'!$B$11:$B$92,Check!B61)))</f>
        <v/>
      </c>
      <c r="D61" s="188" t="str">
        <f>IF(B61="","",SUMIFS(Input_APM!N:N,Input_APM!L:L,Check!B61,Input_APM!M:M,Check!$F$1))</f>
        <v/>
      </c>
      <c r="E61" s="174" t="str">
        <f t="shared" si="5"/>
        <v/>
      </c>
      <c r="F61" s="188" t="str">
        <f>IF(B61="","",SUMIFS(Input_APM!N:N,Input_APM!M:M,Check!$F$1,Input_APM!L:L,Check!B61))</f>
        <v/>
      </c>
      <c r="G61" s="188" t="str">
        <f>IF(B61="","",SUMIFS(Input_APM!N:N,Input_APM!M:M,Check!$G$1,Input_APM!L:L,Check!B61))</f>
        <v/>
      </c>
      <c r="H61" s="174" t="str">
        <f t="shared" si="0"/>
        <v/>
      </c>
      <c r="I61" s="174">
        <f>SUMIFS(Input_APM!N:N,Input_APM!L:L,Check!B61)</f>
        <v>0</v>
      </c>
      <c r="J61" s="176" t="str">
        <f t="shared" si="3"/>
        <v/>
      </c>
      <c r="K61" s="21" t="str">
        <f>IF(B61="","",SUMIFS('Input_APM (Zenith)'!N:N,'Input_APM (Zenith)'!L:L,Check!B61,'Input_APM (Zenith)'!M:M,Check!$F$1))</f>
        <v/>
      </c>
      <c r="L61" s="21" t="str">
        <f>IF(B61="","",SUMIFS('Input_APM (Zenith)'!N:N,'Input_APM (Zenith)'!L:L,Check!B61,'Input_APM (Zenith)'!M:M,Check!$G$1))</f>
        <v/>
      </c>
      <c r="M61" s="174" t="str">
        <f t="shared" si="4"/>
        <v/>
      </c>
      <c r="O61" t="s">
        <v>348</v>
      </c>
      <c r="P61" s="174">
        <f>IF(O61="","",IF(OR(LEFT(O61,4)="Cash",LEFT(O61,4)="Prov"),0,SUMIFS(Input_APM!N:N,Input_APM!L:L,Check!O61)))</f>
        <v>0</v>
      </c>
      <c r="Q61" s="21">
        <f>IF(O61="","",IF(LEN(O61)&gt;9,SUMIFS(Options!$H$3:$H$25,Options!$B$3:$B$25,Check!O61),SUMIFS('Master P&amp;L'!$H$11:$H$92,'Master P&amp;L'!$B$11:$B$92,Check!O61)))</f>
        <v>0</v>
      </c>
      <c r="R61" s="174">
        <f t="shared" si="1"/>
        <v>0</v>
      </c>
      <c r="S61" s="289" t="str">
        <f t="shared" si="2"/>
        <v>Ok</v>
      </c>
    </row>
    <row r="62" spans="1:19">
      <c r="B62"/>
      <c r="C62" s="188" t="str">
        <f>IF(B62="","",IF(LEN(B62)&gt;9,SUMIFS(Options!$H$3:$H$25,Options!$B$3:$B$25,Check!B62),SUMIFS('Master P&amp;L'!$H$11:$H$92,'Master P&amp;L'!$B$11:$B$92,Check!B62)))</f>
        <v/>
      </c>
      <c r="D62" s="188" t="str">
        <f>IF(B62="","",SUMIFS(Input_APM!N:N,Input_APM!L:L,Check!B62,Input_APM!M:M,Check!$F$1))</f>
        <v/>
      </c>
      <c r="E62" s="176" t="str">
        <f t="shared" si="5"/>
        <v/>
      </c>
      <c r="F62" s="188" t="str">
        <f>IF(B62="","",SUMIFS(Input_APM!N:N,Input_APM!M:M,Check!$F$1,Input_APM!L:L,Check!B62))</f>
        <v/>
      </c>
      <c r="G62" s="188" t="str">
        <f>IF(B62="","",SUMIFS(Input_APM!N:N,Input_APM!M:M,Check!$G$1,Input_APM!L:L,Check!B62))</f>
        <v/>
      </c>
      <c r="H62" s="174" t="str">
        <f t="shared" si="0"/>
        <v/>
      </c>
      <c r="I62" s="174">
        <f>SUMIFS(Input_APM!N:N,Input_APM!L:L,Check!B62)</f>
        <v>0</v>
      </c>
      <c r="J62" s="176" t="str">
        <f t="shared" si="3"/>
        <v/>
      </c>
      <c r="K62" s="21" t="str">
        <f>IF(B62="","",SUMIFS('Input_APM (Zenith)'!N:N,'Input_APM (Zenith)'!L:L,Check!B62,'Input_APM (Zenith)'!M:M,Check!$F$1))</f>
        <v/>
      </c>
      <c r="L62" s="21" t="str">
        <f>IF(B62="","",SUMIFS('Input_APM (Zenith)'!N:N,'Input_APM (Zenith)'!L:L,Check!B62,'Input_APM (Zenith)'!M:M,Check!$G$1))</f>
        <v/>
      </c>
      <c r="M62" s="174" t="str">
        <f t="shared" si="4"/>
        <v/>
      </c>
      <c r="O62" t="s">
        <v>263</v>
      </c>
      <c r="P62" s="174">
        <f>IF(O62="","",IF(OR(LEFT(O62,4)="Cash",LEFT(O62,4)="Prov"),0,SUMIFS(Input_APM!N:N,Input_APM!L:L,Check!O62)))</f>
        <v>0</v>
      </c>
      <c r="Q62" s="21">
        <f>IF(O62="","",IF(LEN(O62)&gt;9,SUMIFS(Options!$H$3:$H$25,Options!$B$3:$B$25,Check!O62),SUMIFS('Master P&amp;L'!$H$11:$H$92,'Master P&amp;L'!$B$11:$B$92,Check!O62)))</f>
        <v>0</v>
      </c>
      <c r="R62" s="174">
        <f t="shared" si="1"/>
        <v>0</v>
      </c>
      <c r="S62" s="289" t="str">
        <f t="shared" si="2"/>
        <v>Ok</v>
      </c>
    </row>
    <row r="63" spans="1:19">
      <c r="B63"/>
      <c r="C63" s="188" t="str">
        <f>IF(B63="","",IF(LEN(B63)&gt;9,SUMIFS(Options!$H$3:$H$25,Options!$B$3:$B$25,Check!B63),SUMIFS('Master P&amp;L'!$H$11:$H$92,'Master P&amp;L'!$B$11:$B$92,Check!B63)))</f>
        <v/>
      </c>
      <c r="D63" s="188" t="str">
        <f>IF(B63="","",SUMIFS(Input_APM!N:N,Input_APM!L:L,Check!B63,Input_APM!M:M,Check!$F$1))</f>
        <v/>
      </c>
      <c r="E63" s="176" t="str">
        <f t="shared" si="5"/>
        <v/>
      </c>
      <c r="F63" s="188" t="str">
        <f>IF(B63="","",SUMIFS(Input_APM!N:N,Input_APM!M:M,Check!$F$1,Input_APM!L:L,Check!B63))</f>
        <v/>
      </c>
      <c r="G63" s="188" t="str">
        <f>IF(B63="","",SUMIFS(Input_APM!N:N,Input_APM!M:M,Check!$G$1,Input_APM!L:L,Check!B63))</f>
        <v/>
      </c>
      <c r="H63" s="174" t="str">
        <f t="shared" si="0"/>
        <v/>
      </c>
      <c r="I63" s="174">
        <f>SUMIFS(Input_APM!N:N,Input_APM!L:L,Check!B63)</f>
        <v>0</v>
      </c>
      <c r="J63" s="176" t="str">
        <f t="shared" si="3"/>
        <v/>
      </c>
      <c r="K63" s="21" t="str">
        <f>IF(B63="","",SUMIFS('Input_APM (Zenith)'!N:N,'Input_APM (Zenith)'!L:L,Check!B63,'Input_APM (Zenith)'!M:M,Check!$F$1))</f>
        <v/>
      </c>
      <c r="L63" s="21" t="str">
        <f>IF(B63="","",SUMIFS('Input_APM (Zenith)'!N:N,'Input_APM (Zenith)'!L:L,Check!B63,'Input_APM (Zenith)'!M:M,Check!$G$1))</f>
        <v/>
      </c>
      <c r="M63" s="174" t="str">
        <f t="shared" si="4"/>
        <v/>
      </c>
      <c r="O63" t="s">
        <v>235</v>
      </c>
      <c r="P63" s="174">
        <f>IF(O63="","",IF(OR(LEFT(O63,4)="Cash",LEFT(O63,4)="Prov"),0,SUMIFS(Input_APM!N:N,Input_APM!L:L,Check!O63)))</f>
        <v>0</v>
      </c>
      <c r="Q63" s="21">
        <f>IF(O63="","",IF(LEN(O63)&gt;9,SUMIFS(Options!$H$3:$H$25,Options!$B$3:$B$25,Check!O63),SUMIFS('Master P&amp;L'!$H$11:$H$92,'Master P&amp;L'!$B$11:$B$92,Check!O63)))</f>
        <v>0</v>
      </c>
      <c r="R63" s="174">
        <f t="shared" si="1"/>
        <v>0</v>
      </c>
      <c r="S63" s="289" t="str">
        <f t="shared" si="2"/>
        <v>Ok</v>
      </c>
    </row>
    <row r="64" spans="1:19">
      <c r="B64"/>
      <c r="C64" s="188" t="str">
        <f>IF(B64="","",IF(LEN(B64)&gt;9,SUMIFS(Options!$H$3:$H$25,Options!$B$3:$B$25,Check!B64),SUMIFS('Master P&amp;L'!$H$11:$H$92,'Master P&amp;L'!$B$11:$B$92,Check!B64)))</f>
        <v/>
      </c>
      <c r="D64" s="188" t="str">
        <f>IF(B64="","",SUMIFS(Input_APM!N:N,Input_APM!L:L,Check!B64,Input_APM!M:M,Check!$F$1))</f>
        <v/>
      </c>
      <c r="E64" s="176" t="str">
        <f t="shared" si="5"/>
        <v/>
      </c>
      <c r="F64" s="188" t="str">
        <f>IF(B64="","",SUMIFS(Input_APM!N:N,Input_APM!M:M,Check!$F$1,Input_APM!L:L,Check!B64))</f>
        <v/>
      </c>
      <c r="G64" s="188" t="str">
        <f>IF(B64="","",SUMIFS(Input_APM!N:N,Input_APM!M:M,Check!$G$1,Input_APM!L:L,Check!B64))</f>
        <v/>
      </c>
      <c r="H64" s="174" t="str">
        <f t="shared" si="0"/>
        <v/>
      </c>
      <c r="I64" s="174">
        <f>SUMIFS(Input_APM!N:N,Input_APM!L:L,Check!B64)</f>
        <v>0</v>
      </c>
      <c r="J64" s="176" t="str">
        <f t="shared" si="3"/>
        <v/>
      </c>
      <c r="K64" s="21" t="str">
        <f>IF(B64="","",SUMIFS('Input_APM (Zenith)'!N:N,'Input_APM (Zenith)'!L:L,Check!B64,'Input_APM (Zenith)'!M:M,Check!$F$1))</f>
        <v/>
      </c>
      <c r="L64" s="21" t="str">
        <f>IF(B64="","",SUMIFS('Input_APM (Zenith)'!N:N,'Input_APM (Zenith)'!L:L,Check!B64,'Input_APM (Zenith)'!M:M,Check!$G$1))</f>
        <v/>
      </c>
      <c r="M64" s="174" t="str">
        <f t="shared" si="4"/>
        <v/>
      </c>
      <c r="O64" t="s">
        <v>1119</v>
      </c>
      <c r="P64" s="174">
        <f>IF(O64="","",IF(OR(LEFT(O64,4)="Cash",LEFT(O64,4)="Prov"),0,SUMIFS(Input_APM!N:N,Input_APM!L:L,Check!O64)))</f>
        <v>0</v>
      </c>
      <c r="Q64" s="21">
        <f>IF(O64="","",IF(LEN(O64)&gt;9,SUMIFS(Options!$H$3:$H$25,Options!$B$3:$B$25,Check!O64),SUMIFS('Master P&amp;L'!$H$11:$H$92,'Master P&amp;L'!$B$11:$B$92,Check!O64)))</f>
        <v>0</v>
      </c>
      <c r="R64" s="174">
        <f t="shared" si="1"/>
        <v>0</v>
      </c>
      <c r="S64" s="289" t="str">
        <f t="shared" si="2"/>
        <v>Ok</v>
      </c>
    </row>
    <row r="65" spans="2:19">
      <c r="B65"/>
      <c r="C65" s="188" t="str">
        <f>IF(B65="","",IF(LEN(B65)&gt;9,SUMIFS(Options!$H$3:$H$25,Options!$B$3:$B$25,Check!B65),SUMIFS('Master P&amp;L'!$H$11:$H$92,'Master P&amp;L'!$B$11:$B$92,Check!B65)))</f>
        <v/>
      </c>
      <c r="D65" s="188" t="str">
        <f>IF(B65="","",SUMIFS(Input_APM!N:N,Input_APM!L:L,Check!B65,Input_APM!M:M,Check!$F$1))</f>
        <v/>
      </c>
      <c r="E65" s="176" t="str">
        <f t="shared" si="5"/>
        <v/>
      </c>
      <c r="F65" s="188" t="str">
        <f>IF(B65="","",SUMIFS(Input_APM!N:N,Input_APM!M:M,Check!$F$1,Input_APM!L:L,Check!B65))</f>
        <v/>
      </c>
      <c r="G65" s="188" t="str">
        <f>IF(B65="","",SUMIFS(Input_APM!N:N,Input_APM!M:M,Check!$G$1,Input_APM!L:L,Check!B65))</f>
        <v/>
      </c>
      <c r="H65" s="174" t="str">
        <f t="shared" si="0"/>
        <v/>
      </c>
      <c r="I65" s="174">
        <f>SUMIFS(Input_APM!N:N,Input_APM!L:L,Check!B65)</f>
        <v>0</v>
      </c>
      <c r="J65" s="176" t="str">
        <f t="shared" si="3"/>
        <v/>
      </c>
      <c r="K65" s="21" t="str">
        <f>IF(B65="","",SUMIFS('Input_APM (Zenith)'!N:N,'Input_APM (Zenith)'!L:L,Check!B65,'Input_APM (Zenith)'!M:M,Check!$F$1))</f>
        <v/>
      </c>
      <c r="L65" s="21" t="str">
        <f>IF(B65="","",SUMIFS('Input_APM (Zenith)'!N:N,'Input_APM (Zenith)'!L:L,Check!B65,'Input_APM (Zenith)'!M:M,Check!$G$1))</f>
        <v/>
      </c>
      <c r="M65" s="174" t="str">
        <f t="shared" si="4"/>
        <v/>
      </c>
      <c r="O65" t="s">
        <v>1118</v>
      </c>
      <c r="P65" s="174">
        <f>IF(O65="","",IF(OR(LEFT(O65,4)="Cash",LEFT(O65,4)="Prov"),0,SUMIFS(Input_APM!N:N,Input_APM!L:L,Check!O65)))</f>
        <v>0</v>
      </c>
      <c r="Q65" s="21">
        <f>IF(O65="","",IF(LEN(O65)&gt;9,SUMIFS(Options!$H$3:$H$25,Options!$B$3:$B$25,Check!O65),SUMIFS('Master P&amp;L'!$H$11:$H$92,'Master P&amp;L'!$B$11:$B$92,Check!O65)))</f>
        <v>0</v>
      </c>
      <c r="R65" s="174">
        <f t="shared" si="1"/>
        <v>0</v>
      </c>
      <c r="S65" s="289" t="str">
        <f t="shared" si="2"/>
        <v>Ok</v>
      </c>
    </row>
    <row r="66" spans="2:19">
      <c r="B66"/>
      <c r="C66" s="188" t="str">
        <f>IF(B66="","",IF(LEN(B66)&gt;9,SUMIFS(Options!$H$3:$H$25,Options!$B$3:$B$25,Check!B66),SUMIFS('Master P&amp;L'!$H$11:$H$92,'Master P&amp;L'!$B$11:$B$92,Check!B66)))</f>
        <v/>
      </c>
      <c r="D66" s="188" t="str">
        <f>IF(B66="","",SUMIFS(Input_APM!N:N,Input_APM!L:L,Check!B66,Input_APM!M:M,Check!$F$1))</f>
        <v/>
      </c>
      <c r="E66" s="176" t="str">
        <f t="shared" ref="E66:E72" si="6">IF(B66="","",C66-M66)</f>
        <v/>
      </c>
      <c r="F66" s="188" t="str">
        <f>IF(B66="","",SUMIFS(Input_APM!N:N,Input_APM!M:M,Check!$F$1,Input_APM!L:L,Check!B66))</f>
        <v/>
      </c>
      <c r="G66" s="188" t="str">
        <f>IF(B66="","",SUMIFS(Input_APM!N:N,Input_APM!M:M,Check!$G$1,Input_APM!L:L,Check!B66))</f>
        <v/>
      </c>
      <c r="H66" s="174" t="str">
        <f t="shared" si="0"/>
        <v/>
      </c>
      <c r="I66" s="174">
        <f>SUMIFS(Input_APM!N:N,Input_APM!L:L,Check!B66)</f>
        <v>0</v>
      </c>
      <c r="J66" s="176" t="str">
        <f t="shared" si="3"/>
        <v/>
      </c>
      <c r="K66" s="21" t="str">
        <f>IF(B66="","",SUMIFS('Input_APM (Zenith)'!N:N,'Input_APM (Zenith)'!L:L,Check!B66,'Input_APM (Zenith)'!M:M,Check!$F$1))</f>
        <v/>
      </c>
      <c r="L66" s="21" t="str">
        <f>IF(B66="","",SUMIFS('Input_APM (Zenith)'!N:N,'Input_APM (Zenith)'!L:L,Check!B66,'Input_APM (Zenith)'!M:M,Check!$G$1))</f>
        <v/>
      </c>
      <c r="M66" s="174" t="str">
        <f t="shared" si="4"/>
        <v/>
      </c>
      <c r="O66" t="s">
        <v>799</v>
      </c>
      <c r="P66" s="174">
        <f>IF(O66="","",IF(OR(LEFT(O66,4)="Cash",LEFT(O66,4)="Prov"),0,SUMIFS(Input_APM!N:N,Input_APM!L:L,Check!O66)))</f>
        <v>33235</v>
      </c>
      <c r="Q66" s="21">
        <f>IF(O66="","",IF(LEN(O66)&gt;9,SUMIFS(Options!$H$3:$H$25,Options!$B$3:$B$25,Check!O66),SUMIFS('Master P&amp;L'!$H$11:$H$92,'Master P&amp;L'!$B$11:$B$92,Check!O66)))</f>
        <v>39000</v>
      </c>
      <c r="R66" s="174">
        <f t="shared" si="1"/>
        <v>-5765</v>
      </c>
      <c r="S66" s="289">
        <f t="shared" si="2"/>
        <v>0.85217948717948722</v>
      </c>
    </row>
    <row r="67" spans="2:19">
      <c r="B67"/>
      <c r="C67" s="188" t="str">
        <f>IF(B67="","",IF(LEN(B67)&gt;9,SUMIFS(Options!$H$3:$H$25,Options!$B$3:$B$25,Check!B67),SUMIFS('Master P&amp;L'!$H$11:$H$92,'Master P&amp;L'!$B$11:$B$92,Check!B67)))</f>
        <v/>
      </c>
      <c r="D67" s="188" t="str">
        <f>IF(B67="","",SUMIFS(Input_APM!N:N,Input_APM!L:L,Check!B67,Input_APM!M:M,Check!$F$1))</f>
        <v/>
      </c>
      <c r="E67" s="176" t="str">
        <f t="shared" si="6"/>
        <v/>
      </c>
      <c r="F67" s="188" t="str">
        <f>IF(B67="","",SUMIFS(Input_APM!N:N,Input_APM!M:M,Check!$F$1,Input_APM!L:L,Check!B67))</f>
        <v/>
      </c>
      <c r="G67" s="188" t="str">
        <f>IF(B67="","",SUMIFS(Input_APM!N:N,Input_APM!M:M,Check!$G$1,Input_APM!L:L,Check!B67))</f>
        <v/>
      </c>
      <c r="H67" s="174" t="str">
        <f t="shared" si="0"/>
        <v/>
      </c>
      <c r="I67" s="174">
        <f>SUMIFS(Input_APM!N:N,Input_APM!L:L,Check!B67)</f>
        <v>0</v>
      </c>
      <c r="J67" s="176" t="str">
        <f t="shared" si="3"/>
        <v/>
      </c>
      <c r="K67" s="21" t="str">
        <f>IF(B67="","",SUMIFS('Input_APM (Zenith)'!N:N,'Input_APM (Zenith)'!L:L,Check!B67,'Input_APM (Zenith)'!M:M,Check!$F$1))</f>
        <v/>
      </c>
      <c r="L67" s="21" t="str">
        <f>IF(B67="","",SUMIFS('Input_APM (Zenith)'!N:N,'Input_APM (Zenith)'!L:L,Check!B67,'Input_APM (Zenith)'!M:M,Check!$G$1))</f>
        <v/>
      </c>
      <c r="M67" s="174" t="str">
        <f t="shared" si="4"/>
        <v/>
      </c>
      <c r="O67" t="s">
        <v>3</v>
      </c>
      <c r="P67" s="174">
        <f>IF(O67="","",IF(OR(LEFT(O67,4)="Cash",LEFT(O67,4)="Prov"),0,SUMIFS(Input_APM!N:N,Input_APM!L:L,Check!O67)))</f>
        <v>0</v>
      </c>
      <c r="Q67" s="21">
        <f>IF(O67="","",IF(LEN(O67)&gt;9,SUMIFS(Options!$H$3:$H$25,Options!$B$3:$B$25,Check!O67),SUMIFS('Master P&amp;L'!$H$11:$H$92,'Master P&amp;L'!$B$11:$B$92,Check!O67)))</f>
        <v>0</v>
      </c>
      <c r="R67" s="174">
        <f t="shared" si="1"/>
        <v>0</v>
      </c>
      <c r="S67" s="289" t="str">
        <f t="shared" si="2"/>
        <v>Ok</v>
      </c>
    </row>
    <row r="68" spans="2:19">
      <c r="B68"/>
      <c r="C68" s="188" t="str">
        <f>IF(B68="","",IF(LEN(B68)&gt;9,SUMIFS(Options!$H$3:$H$25,Options!$B$3:$B$25,Check!B68),SUMIFS('Master P&amp;L'!$H$11:$H$92,'Master P&amp;L'!$B$11:$B$92,Check!B68)))</f>
        <v/>
      </c>
      <c r="D68" s="188" t="str">
        <f>IF(B68="","",SUMIFS(Input_APM!N:N,Input_APM!L:L,Check!B68,Input_APM!M:M,Check!$F$1))</f>
        <v/>
      </c>
      <c r="E68" s="176" t="str">
        <f t="shared" si="6"/>
        <v/>
      </c>
      <c r="F68" s="188" t="str">
        <f>IF(B68="","",SUMIFS(Input_APM!N:N,Input_APM!M:M,Check!$F$1,Input_APM!L:L,Check!B68))</f>
        <v/>
      </c>
      <c r="G68" s="188" t="str">
        <f>IF(B68="","",SUMIFS(Input_APM!N:N,Input_APM!M:M,Check!$G$1,Input_APM!L:L,Check!B68))</f>
        <v/>
      </c>
      <c r="H68" s="174" t="str">
        <f t="shared" si="0"/>
        <v/>
      </c>
      <c r="I68" s="174">
        <f>SUMIFS(Input_APM!N:N,Input_APM!L:L,Check!B68)</f>
        <v>0</v>
      </c>
      <c r="J68" s="176" t="str">
        <f t="shared" si="3"/>
        <v/>
      </c>
      <c r="K68" s="21" t="str">
        <f>IF(B68="","",SUMIFS('Input_APM (Zenith)'!N:N,'Input_APM (Zenith)'!L:L,Check!B68,'Input_APM (Zenith)'!M:M,Check!$F$1))</f>
        <v/>
      </c>
      <c r="L68" s="21" t="str">
        <f>IF(B68="","",SUMIFS('Input_APM (Zenith)'!N:N,'Input_APM (Zenith)'!L:L,Check!B68,'Input_APM (Zenith)'!M:M,Check!$G$1))</f>
        <v/>
      </c>
      <c r="M68" s="174" t="str">
        <f t="shared" si="4"/>
        <v/>
      </c>
      <c r="O68" t="s">
        <v>439</v>
      </c>
      <c r="P68" s="174">
        <f>IF(O68="","",IF(OR(LEFT(O68,4)="Cash",LEFT(O68,4)="Prov"),0,SUMIFS(Input_APM!N:N,Input_APM!L:L,Check!O68)))</f>
        <v>655</v>
      </c>
      <c r="Q68" s="21">
        <f>IF(O68="","",IF(LEN(O68)&gt;9,SUMIFS(Options!$H$3:$H$25,Options!$B$3:$B$25,Check!O68),SUMIFS('Master P&amp;L'!$H$11:$H$92,'Master P&amp;L'!$B$11:$B$92,Check!O68)))</f>
        <v>0</v>
      </c>
      <c r="R68" s="174">
        <f t="shared" si="1"/>
        <v>655</v>
      </c>
      <c r="S68" s="289" t="str">
        <f t="shared" si="2"/>
        <v>Erro</v>
      </c>
    </row>
    <row r="69" spans="2:19">
      <c r="B69"/>
      <c r="C69" s="188" t="str">
        <f>IF(B69="","",IF(LEN(B69)&gt;9,SUMIFS(Options!$H$3:$H$25,Options!$B$3:$B$25,Check!B69),SUMIFS('Master P&amp;L'!$H$11:$H$92,'Master P&amp;L'!$B$11:$B$92,Check!B69)))</f>
        <v/>
      </c>
      <c r="D69" s="188" t="str">
        <f>IF(B69="","",SUMIFS(Input_APM!N:N,Input_APM!L:L,Check!B69,Input_APM!M:M,Check!$F$1))</f>
        <v/>
      </c>
      <c r="E69" s="174" t="str">
        <f t="shared" si="6"/>
        <v/>
      </c>
      <c r="F69" s="188" t="str">
        <f>IF(B69="","",SUMIFS(Input_APM!N:N,Input_APM!M:M,Check!$F$1,Input_APM!L:L,Check!B69))</f>
        <v/>
      </c>
      <c r="G69" s="188" t="str">
        <f>IF(B69="","",SUMIFS(Input_APM!N:N,Input_APM!M:M,Check!$G$1,Input_APM!L:L,Check!B69))</f>
        <v/>
      </c>
      <c r="H69" s="174" t="str">
        <f t="shared" si="0"/>
        <v/>
      </c>
      <c r="I69" s="174">
        <f>SUMIFS(Input_APM!N:N,Input_APM!L:L,Check!B69)</f>
        <v>0</v>
      </c>
      <c r="J69" s="176" t="str">
        <f t="shared" si="3"/>
        <v/>
      </c>
      <c r="K69" s="21" t="str">
        <f>IF(B69="","",SUMIFS('Input_APM (Zenith)'!N:N,'Input_APM (Zenith)'!L:L,Check!B69,'Input_APM (Zenith)'!M:M,Check!$F$1))</f>
        <v/>
      </c>
      <c r="L69" s="21" t="str">
        <f>IF(B69="","",SUMIFS('Input_APM (Zenith)'!N:N,'Input_APM (Zenith)'!L:L,Check!B69,'Input_APM (Zenith)'!M:M,Check!$G$1))</f>
        <v/>
      </c>
      <c r="M69" s="174" t="str">
        <f t="shared" si="4"/>
        <v/>
      </c>
      <c r="O69" t="s">
        <v>982</v>
      </c>
      <c r="P69" s="174">
        <f>IF(O69="","",IF(OR(LEFT(O69,4)="Cash",LEFT(O69,4)="Prov"),0,SUMIFS(Input_APM!N:N,Input_APM!L:L,Check!O69)))</f>
        <v>643</v>
      </c>
      <c r="Q69" s="21">
        <f>IF(O69="","",IF(LEN(O69)&gt;9,SUMIFS(Options!$H$3:$H$25,Options!$B$3:$B$25,Check!O69),SUMIFS('Master P&amp;L'!$H$11:$H$92,'Master P&amp;L'!$B$11:$B$92,Check!O69)))</f>
        <v>0</v>
      </c>
      <c r="R69" s="174">
        <f t="shared" si="1"/>
        <v>643</v>
      </c>
      <c r="S69" s="289" t="str">
        <f t="shared" si="2"/>
        <v>Erro</v>
      </c>
    </row>
    <row r="70" spans="2:19">
      <c r="B70"/>
      <c r="C70" s="188" t="str">
        <f>IF(B70="","",IF(LEN(B70)&gt;9,SUMIFS(Options!$H$3:$H$25,Options!$B$3:$B$25,Check!B70),SUMIFS('Master P&amp;L'!$H$11:$H$92,'Master P&amp;L'!$B$11:$B$92,Check!B70)))</f>
        <v/>
      </c>
      <c r="D70" s="188" t="str">
        <f>IF(B70="","",SUMIFS(Input_APM!N:N,Input_APM!L:L,Check!B70,Input_APM!M:M,Check!$F$1))</f>
        <v/>
      </c>
      <c r="E70" s="174" t="str">
        <f t="shared" si="6"/>
        <v/>
      </c>
      <c r="F70" s="188" t="str">
        <f>IF(B70="","",SUMIFS(Input_APM!N:N,Input_APM!M:M,Check!$F$1,Input_APM!L:L,Check!B70))</f>
        <v/>
      </c>
      <c r="G70" s="188" t="str">
        <f>IF(B70="","",SUMIFS(Input_APM!N:N,Input_APM!M:M,Check!$G$1,Input_APM!L:L,Check!B70))</f>
        <v/>
      </c>
      <c r="H70" s="174" t="str">
        <f t="shared" ref="H70:H77" si="7">IF(B70="","",F70-G70)</f>
        <v/>
      </c>
      <c r="I70" s="174">
        <f>SUMIFS(Input_APM!N:N,Input_APM!L:L,Check!B70)</f>
        <v>0</v>
      </c>
      <c r="J70" s="176" t="str">
        <f t="shared" ref="J70:J77" si="8">IF(B70="","",(F70+G70)-I70)</f>
        <v/>
      </c>
      <c r="K70" s="21" t="str">
        <f>IF(B70="","",SUMIFS('Input_APM (Zenith)'!N:N,'Input_APM (Zenith)'!L:L,Check!B70,'Input_APM (Zenith)'!M:M,Check!$F$1))</f>
        <v/>
      </c>
      <c r="L70" s="21" t="str">
        <f>IF(B70="","",SUMIFS('Input_APM (Zenith)'!N:N,'Input_APM (Zenith)'!L:L,Check!B70,'Input_APM (Zenith)'!M:M,Check!$G$1))</f>
        <v/>
      </c>
      <c r="M70" s="174" t="str">
        <f t="shared" ref="M70:M79" si="9">IF(B70="","",F70+G70+K70+L70)</f>
        <v/>
      </c>
      <c r="O70" t="s">
        <v>1060</v>
      </c>
      <c r="P70" s="174">
        <f>IF(O70="","",IF(OR(LEFT(O70,4)="Cash",LEFT(O70,4)="Prov"),0,SUMIFS(Input_APM!N:N,Input_APM!L:L,Check!O70)))</f>
        <v>2470</v>
      </c>
      <c r="Q70" s="21">
        <f>IF(O70="","",IF(LEN(O70)&gt;9,SUMIFS(Options!$H$3:$H$25,Options!$B$3:$B$25,Check!O70),SUMIFS('Master P&amp;L'!$H$11:$H$92,'Master P&amp;L'!$B$11:$B$92,Check!O70)))</f>
        <v>0</v>
      </c>
      <c r="R70" s="174">
        <f t="shared" ref="R70:R99" si="10">IF(O70="","",P70-Q70)</f>
        <v>2470</v>
      </c>
      <c r="S70" s="289" t="str">
        <f t="shared" ref="S70:S133" si="11">IF(O70="","",IF((P70+Q70)=0,"Ok",IF(OR(P70=0,Q70=0),"Erro",P70/Q70)))</f>
        <v>Erro</v>
      </c>
    </row>
    <row r="71" spans="2:19">
      <c r="B71"/>
      <c r="C71" s="188" t="str">
        <f>IF(B71="","",IF(LEN(B71)&gt;9,SUMIFS(Options!$H$3:$H$25,Options!$B$3:$B$25,Check!B71),SUMIFS('Master P&amp;L'!$H$11:$H$92,'Master P&amp;L'!$B$11:$B$92,Check!B71)))</f>
        <v/>
      </c>
      <c r="D71" s="188" t="str">
        <f>IF(B71="","",SUMIFS(Input_APM!N:N,Input_APM!L:L,Check!B71,Input_APM!M:M,Check!$F$1))</f>
        <v/>
      </c>
      <c r="E71" s="174" t="str">
        <f t="shared" si="6"/>
        <v/>
      </c>
      <c r="F71" s="188" t="str">
        <f>IF(B71="","",SUMIFS(Input_APM!N:N,Input_APM!M:M,Check!$F$1,Input_APM!L:L,Check!B71))</f>
        <v/>
      </c>
      <c r="G71" s="188" t="str">
        <f>IF(B71="","",SUMIFS(Input_APM!N:N,Input_APM!M:M,Check!$G$1,Input_APM!L:L,Check!B71))</f>
        <v/>
      </c>
      <c r="H71" s="174" t="str">
        <f t="shared" si="7"/>
        <v/>
      </c>
      <c r="I71" s="174">
        <f>SUMIFS(Input_APM!N:N,Input_APM!L:L,Check!B71)</f>
        <v>0</v>
      </c>
      <c r="J71" s="176" t="str">
        <f t="shared" si="8"/>
        <v/>
      </c>
      <c r="K71" s="21" t="str">
        <f>IF(B71="","",SUMIFS('Input_APM (Zenith)'!N:N,'Input_APM (Zenith)'!L:L,Check!B71,'Input_APM (Zenith)'!M:M,Check!$F$1))</f>
        <v/>
      </c>
      <c r="L71" s="21" t="str">
        <f>IF(B71="","",SUMIFS('Input_APM (Zenith)'!N:N,'Input_APM (Zenith)'!L:L,Check!B71,'Input_APM (Zenith)'!M:M,Check!$G$1))</f>
        <v/>
      </c>
      <c r="M71" s="174" t="str">
        <f t="shared" si="9"/>
        <v/>
      </c>
      <c r="O71" t="s">
        <v>1062</v>
      </c>
      <c r="P71" s="174">
        <f>IF(O71="","",IF(OR(LEFT(O71,4)="Cash",LEFT(O71,4)="Prov"),0,SUMIFS(Input_APM!N:N,Input_APM!L:L,Check!O71)))</f>
        <v>9090840</v>
      </c>
      <c r="Q71" s="21">
        <f>IF(O71="","",IF(LEN(O71)&gt;9,SUMIFS(Options!$H$3:$H$25,Options!$B$3:$B$25,Check!O71),SUMIFS('Master P&amp;L'!$H$11:$H$92,'Master P&amp;L'!$B$11:$B$92,Check!O71)))</f>
        <v>0</v>
      </c>
      <c r="R71" s="174">
        <f t="shared" si="10"/>
        <v>9090840</v>
      </c>
      <c r="S71" s="289" t="str">
        <f t="shared" si="11"/>
        <v>Erro</v>
      </c>
    </row>
    <row r="72" spans="2:19">
      <c r="B72"/>
      <c r="C72" s="188" t="str">
        <f>IF(B72="","",IF(LEN(B72)&gt;9,SUMIFS(Options!$H$3:$H$25,Options!$B$3:$B$25,Check!B72),SUMIFS('Master P&amp;L'!$H$11:$H$92,'Master P&amp;L'!$B$11:$B$92,Check!B72)))</f>
        <v/>
      </c>
      <c r="D72" s="188" t="str">
        <f>IF(B72="","",SUMIFS(Input_APM!N:N,Input_APM!L:L,Check!B72,Input_APM!M:M,Check!$F$1))</f>
        <v/>
      </c>
      <c r="E72" s="174" t="str">
        <f t="shared" si="6"/>
        <v/>
      </c>
      <c r="F72" s="188" t="str">
        <f>IF(B72="","",SUMIFS(Input_APM!N:N,Input_APM!M:M,Check!$F$1,Input_APM!L:L,Check!B72))</f>
        <v/>
      </c>
      <c r="G72" s="188" t="str">
        <f>IF(B72="","",SUMIFS(Input_APM!N:N,Input_APM!M:M,Check!$G$1,Input_APM!L:L,Check!B72))</f>
        <v/>
      </c>
      <c r="H72" s="174" t="str">
        <f t="shared" si="7"/>
        <v/>
      </c>
      <c r="I72" s="174">
        <f>SUMIFS(Input_APM!N:N,Input_APM!L:L,Check!B72)</f>
        <v>0</v>
      </c>
      <c r="J72" s="176" t="str">
        <f t="shared" si="8"/>
        <v/>
      </c>
      <c r="K72" s="21" t="str">
        <f>IF(B72="","",SUMIFS('Input_APM (Zenith)'!N:N,'Input_APM (Zenith)'!L:L,Check!B72,'Input_APM (Zenith)'!M:M,Check!$F$1))</f>
        <v/>
      </c>
      <c r="L72" s="21" t="str">
        <f>IF(B72="","",SUMIFS('Input_APM (Zenith)'!N:N,'Input_APM (Zenith)'!L:L,Check!B72,'Input_APM (Zenith)'!M:M,Check!$G$1))</f>
        <v/>
      </c>
      <c r="M72" s="174" t="str">
        <f t="shared" si="9"/>
        <v/>
      </c>
      <c r="O72" t="s">
        <v>44</v>
      </c>
      <c r="P72" s="174">
        <f>IF(O72="","",IF(OR(LEFT(O72,4)="Cash",LEFT(O72,4)="Prov"),0,SUMIFS(Input_APM!N:N,Input_APM!L:L,Check!O72)))</f>
        <v>3468</v>
      </c>
      <c r="Q72" s="21">
        <f>IF(O72="","",IF(LEN(O72)&gt;9,SUMIFS(Options!$H$3:$H$25,Options!$B$3:$B$25,Check!O72),SUMIFS('Master P&amp;L'!$H$11:$H$92,'Master P&amp;L'!$B$11:$B$92,Check!O72)))</f>
        <v>3638</v>
      </c>
      <c r="R72" s="174">
        <f t="shared" si="10"/>
        <v>-170</v>
      </c>
      <c r="S72" s="289">
        <f t="shared" si="11"/>
        <v>0.95327102803738317</v>
      </c>
    </row>
    <row r="73" spans="2:19">
      <c r="B73"/>
      <c r="C73" s="188" t="str">
        <f>IF(B73="","",IF(LEN(B73)&gt;9,SUMIFS(Options!$H$3:$H$25,Options!$B$3:$B$25,Check!B73),SUMIFS('Master P&amp;L'!$H$11:$H$92,'Master P&amp;L'!$B$11:$B$92,Check!B73)))</f>
        <v/>
      </c>
      <c r="D73" s="188" t="str">
        <f>IF(B73="","",SUMIFS(Input_APM!N:N,Input_APM!L:L,Check!B73,Input_APM!M:M,Check!$F$1))</f>
        <v/>
      </c>
      <c r="E73" s="174" t="str">
        <f t="shared" ref="E73:E79" si="12">IF(B73="","",C73-M73)</f>
        <v/>
      </c>
      <c r="F73" s="188" t="str">
        <f>IF(B73="","",SUMIFS(Input_APM!N:N,Input_APM!M:M,Check!$F$1,Input_APM!L:L,Check!B73))</f>
        <v/>
      </c>
      <c r="G73" s="188" t="str">
        <f>IF(B73="","",SUMIFS(Input_APM!N:N,Input_APM!M:M,Check!$G$1,Input_APM!L:L,Check!B73))</f>
        <v/>
      </c>
      <c r="H73" s="174" t="str">
        <f t="shared" si="7"/>
        <v/>
      </c>
      <c r="I73" s="174">
        <f>SUMIFS(Input_APM!N:N,Input_APM!L:L,Check!B73)</f>
        <v>0</v>
      </c>
      <c r="J73" s="176" t="str">
        <f t="shared" si="8"/>
        <v/>
      </c>
      <c r="K73" s="21" t="str">
        <f>IF(B73="","",SUMIFS('Input_APM (Zenith)'!N:N,'Input_APM (Zenith)'!L:L,Check!B73,'Input_APM (Zenith)'!M:M,Check!$F$1))</f>
        <v/>
      </c>
      <c r="L73" s="21" t="str">
        <f>IF(B73="","",SUMIFS('Input_APM (Zenith)'!N:N,'Input_APM (Zenith)'!L:L,Check!B73,'Input_APM (Zenith)'!M:M,Check!$G$1))</f>
        <v/>
      </c>
      <c r="M73" s="174" t="str">
        <f t="shared" si="9"/>
        <v/>
      </c>
      <c r="O73" t="s">
        <v>896</v>
      </c>
      <c r="P73" s="174">
        <f>IF(O73="","",IF(OR(LEFT(O73,4)="Cash",LEFT(O73,4)="Prov"),0,SUMIFS(Input_APM!N:N,Input_APM!L:L,Check!O73)))</f>
        <v>1453</v>
      </c>
      <c r="Q73" s="21">
        <f>IF(O73="","",IF(LEN(O73)&gt;9,SUMIFS(Options!$H$3:$H$25,Options!$B$3:$B$25,Check!O73),SUMIFS('Master P&amp;L'!$H$11:$H$92,'Master P&amp;L'!$B$11:$B$92,Check!O73)))</f>
        <v>1550</v>
      </c>
      <c r="R73" s="174">
        <f t="shared" si="10"/>
        <v>-97</v>
      </c>
      <c r="S73" s="289">
        <f t="shared" si="11"/>
        <v>0.93741935483870964</v>
      </c>
    </row>
    <row r="74" spans="2:19">
      <c r="B74"/>
      <c r="C74" s="188" t="str">
        <f>IF(B74="","",IF(LEN(B74)&gt;9,SUMIFS(Options!$H$3:$H$25,Options!$B$3:$B$25,Check!B74),SUMIFS('Master P&amp;L'!$H$11:$H$92,'Master P&amp;L'!$B$11:$B$92,Check!B74)))</f>
        <v/>
      </c>
      <c r="D74" s="188" t="str">
        <f>IF(B74="","",SUMIFS(Input_APM!N:N,Input_APM!L:L,Check!B74,Input_APM!M:M,Check!$F$1))</f>
        <v/>
      </c>
      <c r="E74" s="174" t="str">
        <f t="shared" si="12"/>
        <v/>
      </c>
      <c r="F74" s="188" t="str">
        <f>IF(B74="","",SUMIFS(Input_APM!N:N,Input_APM!M:M,Check!$F$1,Input_APM!L:L,Check!B74))</f>
        <v/>
      </c>
      <c r="G74" s="188" t="str">
        <f>IF(B74="","",SUMIFS(Input_APM!N:N,Input_APM!M:M,Check!$G$1,Input_APM!L:L,Check!B74))</f>
        <v/>
      </c>
      <c r="H74" s="174" t="str">
        <f t="shared" si="7"/>
        <v/>
      </c>
      <c r="I74" s="174">
        <f>SUMIFS(Input_APM!N:N,Input_APM!L:L,Check!B74)</f>
        <v>0</v>
      </c>
      <c r="J74" s="176" t="str">
        <f t="shared" si="8"/>
        <v/>
      </c>
      <c r="K74" s="21" t="str">
        <f>IF(B74="","",SUMIFS('Input_APM (Zenith)'!N:N,'Input_APM (Zenith)'!L:L,Check!B74,'Input_APM (Zenith)'!M:M,Check!$F$1))</f>
        <v/>
      </c>
      <c r="L74" s="21" t="str">
        <f>IF(B74="","",SUMIFS('Input_APM (Zenith)'!N:N,'Input_APM (Zenith)'!L:L,Check!B74,'Input_APM (Zenith)'!M:M,Check!$G$1))</f>
        <v/>
      </c>
      <c r="M74" s="174" t="str">
        <f t="shared" si="9"/>
        <v/>
      </c>
      <c r="O74" t="s">
        <v>897</v>
      </c>
      <c r="P74" s="174">
        <f>IF(O74="","",IF(OR(LEFT(O74,4)="Cash",LEFT(O74,4)="Prov"),0,SUMIFS(Input_APM!N:N,Input_APM!L:L,Check!O74)))</f>
        <v>-1195</v>
      </c>
      <c r="Q74" s="21">
        <f>IF(O74="","",IF(LEN(O74)&gt;9,SUMIFS(Options!$H$3:$H$25,Options!$B$3:$B$25,Check!O74),SUMIFS('Master P&amp;L'!$H$11:$H$92,'Master P&amp;L'!$B$11:$B$92,Check!O74)))</f>
        <v>-1275</v>
      </c>
      <c r="R74" s="174">
        <f t="shared" si="10"/>
        <v>80</v>
      </c>
      <c r="S74" s="289">
        <f t="shared" si="11"/>
        <v>0.93725490196078431</v>
      </c>
    </row>
    <row r="75" spans="2:19">
      <c r="B75"/>
      <c r="C75" s="188" t="str">
        <f>IF(B75="","",IF(LEN(B75)&gt;9,SUMIFS(Options!$H$3:$H$25,Options!$B$3:$B$25,Check!B75),SUMIFS('Master P&amp;L'!$H$11:$H$92,'Master P&amp;L'!$B$11:$B$92,Check!B75)))</f>
        <v/>
      </c>
      <c r="D75" s="188" t="str">
        <f>IF(B75="","",SUMIFS(Input_APM!N:N,Input_APM!L:L,Check!B75,Input_APM!M:M,Check!$F$1))</f>
        <v/>
      </c>
      <c r="E75" s="174" t="str">
        <f t="shared" si="12"/>
        <v/>
      </c>
      <c r="F75" s="188" t="str">
        <f>IF(B75="","",SUMIFS(Input_APM!N:N,Input_APM!M:M,Check!$F$1,Input_APM!L:L,Check!B75))</f>
        <v/>
      </c>
      <c r="G75" s="188" t="str">
        <f>IF(B75="","",SUMIFS(Input_APM!N:N,Input_APM!M:M,Check!$G$1,Input_APM!L:L,Check!B75))</f>
        <v/>
      </c>
      <c r="H75" s="174" t="str">
        <f t="shared" si="7"/>
        <v/>
      </c>
      <c r="I75" s="174">
        <f>SUMIFS(Input_APM!N:N,Input_APM!L:L,Check!B75)</f>
        <v>0</v>
      </c>
      <c r="J75" s="176" t="str">
        <f t="shared" si="8"/>
        <v/>
      </c>
      <c r="K75" s="21" t="str">
        <f>IF(B75="","",SUMIFS('Input_APM (Zenith)'!N:N,'Input_APM (Zenith)'!L:L,Check!B75,'Input_APM (Zenith)'!M:M,Check!$F$1))</f>
        <v/>
      </c>
      <c r="L75" s="21" t="str">
        <f>IF(B75="","",SUMIFS('Input_APM (Zenith)'!N:N,'Input_APM (Zenith)'!L:L,Check!B75,'Input_APM (Zenith)'!M:M,Check!$G$1))</f>
        <v/>
      </c>
      <c r="M75" s="174" t="str">
        <f t="shared" si="9"/>
        <v/>
      </c>
      <c r="O75" t="s">
        <v>36</v>
      </c>
      <c r="P75" s="174">
        <f>IF(O75="","",IF(OR(LEFT(O75,4)="Cash",LEFT(O75,4)="Prov"),0,SUMIFS(Input_APM!N:N,Input_APM!L:L,Check!O75)))</f>
        <v>21977</v>
      </c>
      <c r="Q75" s="21">
        <f>IF(O75="","",IF(LEN(O75)&gt;9,SUMIFS(Options!$H$3:$H$25,Options!$B$3:$B$25,Check!O75),SUMIFS('Master P&amp;L'!$H$11:$H$92,'Master P&amp;L'!$B$11:$B$92,Check!O75)))</f>
        <v>23500</v>
      </c>
      <c r="R75" s="174">
        <f t="shared" si="10"/>
        <v>-1523</v>
      </c>
      <c r="S75" s="289">
        <f t="shared" si="11"/>
        <v>0.93519148936170216</v>
      </c>
    </row>
    <row r="76" spans="2:19">
      <c r="B76"/>
      <c r="C76" s="188" t="str">
        <f>IF(B76="","",IF(LEN(B76)&gt;9,SUMIFS(Options!$H$3:$H$25,Options!$B$3:$B$25,Check!B76),SUMIFS('Master P&amp;L'!$H$11:$H$92,'Master P&amp;L'!$B$11:$B$92,Check!B76)))</f>
        <v/>
      </c>
      <c r="D76" s="188" t="str">
        <f>IF(B76="","",SUMIFS(Input_APM!N:N,Input_APM!L:L,Check!B76,Input_APM!M:M,Check!$F$1))</f>
        <v/>
      </c>
      <c r="E76" s="174" t="str">
        <f t="shared" si="12"/>
        <v/>
      </c>
      <c r="F76" s="188" t="str">
        <f>IF(B76="","",SUMIFS(Input_APM!N:N,Input_APM!M:M,Check!$F$1,Input_APM!L:L,Check!B76))</f>
        <v/>
      </c>
      <c r="G76" s="188" t="str">
        <f>IF(B76="","",SUMIFS(Input_APM!N:N,Input_APM!M:M,Check!$G$1,Input_APM!L:L,Check!B76))</f>
        <v/>
      </c>
      <c r="H76" s="174" t="str">
        <f t="shared" si="7"/>
        <v/>
      </c>
      <c r="I76" s="174">
        <f>SUMIFS(Input_APM!N:N,Input_APM!L:L,Check!B76)</f>
        <v>0</v>
      </c>
      <c r="J76" s="176" t="str">
        <f t="shared" si="8"/>
        <v/>
      </c>
      <c r="K76" s="21" t="str">
        <f>IF(B76="","",SUMIFS('Input_APM (Zenith)'!N:N,'Input_APM (Zenith)'!L:L,Check!B76,'Input_APM (Zenith)'!M:M,Check!$F$1))</f>
        <v/>
      </c>
      <c r="L76" s="21" t="str">
        <f>IF(B76="","",SUMIFS('Input_APM (Zenith)'!N:N,'Input_APM (Zenith)'!L:L,Check!B76,'Input_APM (Zenith)'!M:M,Check!$G$1))</f>
        <v/>
      </c>
      <c r="M76" s="174" t="str">
        <f t="shared" si="9"/>
        <v/>
      </c>
      <c r="O76" t="s">
        <v>4</v>
      </c>
      <c r="P76" s="174">
        <f>IF(O76="","",IF(OR(LEFT(O76,4)="Cash",LEFT(O76,4)="Prov"),0,SUMIFS(Input_APM!N:N,Input_APM!L:L,Check!O76)))</f>
        <v>-25765</v>
      </c>
      <c r="Q76" s="21">
        <f>IF(O76="","",IF(LEN(O76)&gt;9,SUMIFS(Options!$H$3:$H$25,Options!$B$3:$B$25,Check!O76),SUMIFS('Master P&amp;L'!$H$11:$H$92,'Master P&amp;L'!$B$11:$B$92,Check!O76)))</f>
        <v>-27500</v>
      </c>
      <c r="R76" s="174">
        <f t="shared" si="10"/>
        <v>1735</v>
      </c>
      <c r="S76" s="289">
        <f t="shared" si="11"/>
        <v>0.93690909090909091</v>
      </c>
    </row>
    <row r="77" spans="2:19">
      <c r="B77"/>
      <c r="C77" s="188" t="str">
        <f>IF(B77="","",IF(LEN(B77)&gt;9,SUMIFS(Options!$H$3:$H$25,Options!$B$3:$B$25,Check!B77),SUMIFS('Master P&amp;L'!$H$11:$H$92,'Master P&amp;L'!$B$11:$B$92,Check!B77)))</f>
        <v/>
      </c>
      <c r="D77" s="188" t="str">
        <f>IF(B77="","",SUMIFS(Input_APM!N:N,Input_APM!L:L,Check!B77,Input_APM!M:M,Check!$F$1))</f>
        <v/>
      </c>
      <c r="E77" s="174" t="str">
        <f t="shared" si="12"/>
        <v/>
      </c>
      <c r="F77" s="188" t="str">
        <f>IF(B77="","",SUMIFS(Input_APM!N:N,Input_APM!M:M,Check!$F$1,Input_APM!L:L,Check!B77))</f>
        <v/>
      </c>
      <c r="G77" s="188" t="str">
        <f>IF(B77="","",SUMIFS(Input_APM!N:N,Input_APM!M:M,Check!$G$1,Input_APM!L:L,Check!B77))</f>
        <v/>
      </c>
      <c r="H77" s="174" t="str">
        <f t="shared" si="7"/>
        <v/>
      </c>
      <c r="I77" s="174">
        <f>SUMIFS(Input_APM!N:N,Input_APM!L:L,Check!B77)</f>
        <v>0</v>
      </c>
      <c r="J77" s="176" t="str">
        <f t="shared" si="8"/>
        <v/>
      </c>
      <c r="K77" s="21" t="str">
        <f>IF(B77="","",SUMIFS('Input_APM (Zenith)'!N:N,'Input_APM (Zenith)'!L:L,Check!B77,'Input_APM (Zenith)'!M:M,Check!$F$1))</f>
        <v/>
      </c>
      <c r="L77" s="21" t="str">
        <f>IF(B77="","",SUMIFS('Input_APM (Zenith)'!N:N,'Input_APM (Zenith)'!L:L,Check!B77,'Input_APM (Zenith)'!M:M,Check!$G$1))</f>
        <v/>
      </c>
      <c r="M77" s="174" t="str">
        <f t="shared" si="9"/>
        <v/>
      </c>
      <c r="O77" t="s">
        <v>1092</v>
      </c>
      <c r="P77" s="174">
        <f>IF(O77="","",IF(OR(LEFT(O77,4)="Cash",LEFT(O77,4)="Prov"),0,SUMIFS(Input_APM!N:N,Input_APM!L:L,Check!O77)))</f>
        <v>0</v>
      </c>
      <c r="Q77" s="21">
        <f>IF(O77="","",IF(LEN(O77)&gt;9,SUMIFS(Options!$H$3:$H$25,Options!$B$3:$B$25,Check!O77),SUMIFS('Master P&amp;L'!$H$11:$H$92,'Master P&amp;L'!$B$11:$B$92,Check!O77)))</f>
        <v>0</v>
      </c>
      <c r="R77" s="174">
        <f t="shared" si="10"/>
        <v>0</v>
      </c>
      <c r="S77" s="289" t="str">
        <f t="shared" si="11"/>
        <v>Ok</v>
      </c>
    </row>
    <row r="78" spans="2:19">
      <c r="B78"/>
      <c r="C78" s="188" t="str">
        <f>IF(B78="","",IF(LEN(B78)&gt;9,SUMIFS(Options!$H$3:$H$25,Options!$B$3:$B$25,Check!B78),SUMIFS('Master P&amp;L'!$H$11:$H$92,'Master P&amp;L'!$B$11:$B$92,Check!B78)))</f>
        <v/>
      </c>
      <c r="D78" s="188" t="str">
        <f>IF(B78="","",SUMIFS(Input_APM!N:N,Input_APM!L:L,Check!B78,Input_APM!M:M,Check!$F$1))</f>
        <v/>
      </c>
      <c r="E78" s="174" t="str">
        <f t="shared" si="12"/>
        <v/>
      </c>
      <c r="F78" s="188" t="str">
        <f>IF(B78="","",SUMIFS(Input_APM!N:N,Input_APM!M:M,Check!$F$1,Input_APM!L:L,Check!B78))</f>
        <v/>
      </c>
      <c r="G78" s="188" t="str">
        <f>IF(B78="","",SUMIFS(Input_APM!N:N,Input_APM!M:M,Check!$G$1,Input_APM!L:L,Check!B78))</f>
        <v/>
      </c>
      <c r="H78" s="174" t="str">
        <f>IF(B78="","",F78-G78)</f>
        <v/>
      </c>
      <c r="I78" s="174">
        <f>SUMIFS(Input_APM!N:N,Input_APM!L:L,Check!B78)</f>
        <v>0</v>
      </c>
      <c r="J78" s="176" t="str">
        <f>IF(B78="","",(F78+G78)-I78)</f>
        <v/>
      </c>
      <c r="K78" s="21" t="str">
        <f>IF(B78="","",SUMIFS('Input_APM (Zenith)'!N:N,'Input_APM (Zenith)'!L:L,Check!B78,'Input_APM (Zenith)'!M:M,Check!$F$1))</f>
        <v/>
      </c>
      <c r="L78" s="21" t="str">
        <f>IF(B78="","",SUMIFS('Input_APM (Zenith)'!N:N,'Input_APM (Zenith)'!L:L,Check!B78,'Input_APM (Zenith)'!M:M,Check!$G$1))</f>
        <v/>
      </c>
      <c r="M78" s="174" t="str">
        <f t="shared" si="9"/>
        <v/>
      </c>
      <c r="O78" t="s">
        <v>239</v>
      </c>
      <c r="P78" s="174" t="str">
        <f>IF(O78="","",IF(OR(LEFT(O78,4)="Cash",LEFT(O78,4)="Prov"),0,SUMIFS(Input_APM!N:N,Input_APM!L:L,Check!O78)))</f>
        <v/>
      </c>
      <c r="Q78" s="21" t="str">
        <f>IF(O78="","",IF(LEN(O78)&gt;9,SUMIFS(Options!$H$3:$H$25,Options!$B$3:$B$25,Check!O78),SUMIFS('Master P&amp;L'!$H$11:$H$92,'Master P&amp;L'!$B$11:$B$92,Check!O78)))</f>
        <v/>
      </c>
      <c r="R78" s="174" t="str">
        <f t="shared" si="10"/>
        <v/>
      </c>
      <c r="S78" s="289" t="str">
        <f t="shared" si="11"/>
        <v/>
      </c>
    </row>
    <row r="79" spans="2:19">
      <c r="B79"/>
      <c r="C79" s="188" t="str">
        <f>IF(B79="","",IF(LEN(B79)&gt;9,SUMIFS(Options!$H$3:$H$25,Options!$B$3:$B$25,Check!B79),SUMIFS('Master P&amp;L'!$H$11:$H$92,'Master P&amp;L'!$B$11:$B$92,Check!B79)))</f>
        <v/>
      </c>
      <c r="D79" s="188" t="str">
        <f>IF(B79="","",SUMIFS(Input_APM!N:N,Input_APM!L:L,Check!B79,Input_APM!M:M,Check!$F$1))</f>
        <v/>
      </c>
      <c r="E79" s="174" t="str">
        <f t="shared" si="12"/>
        <v/>
      </c>
      <c r="F79" s="188" t="str">
        <f>IF(B79="","",SUMIFS(Input_APM!N:N,Input_APM!M:M,Check!$F$1,Input_APM!L:L,Check!B79))</f>
        <v/>
      </c>
      <c r="G79" s="188" t="str">
        <f>IF(B79="","",SUMIFS(Input_APM!N:N,Input_APM!M:M,Check!$G$1,Input_APM!L:L,Check!B79))</f>
        <v/>
      </c>
      <c r="H79" s="174" t="str">
        <f>IF(B79="","",F79-G79)</f>
        <v/>
      </c>
      <c r="I79" s="174">
        <f>SUMIFS(Input_APM!N:N,Input_APM!L:L,Check!B79)</f>
        <v>0</v>
      </c>
      <c r="J79" s="176" t="str">
        <f>IF(B79="","",(F79+G79)-I79)</f>
        <v/>
      </c>
      <c r="K79" s="21" t="str">
        <f>IF(B79="","",SUMIFS('Input_APM (Zenith)'!N:N,'Input_APM (Zenith)'!L:L,Check!B79,'Input_APM (Zenith)'!M:M,Check!$F$1))</f>
        <v/>
      </c>
      <c r="L79" s="21" t="str">
        <f>IF(B79="","",SUMIFS('Input_APM (Zenith)'!N:N,'Input_APM (Zenith)'!L:L,Check!B79,'Input_APM (Zenith)'!M:M,Check!$G$1))</f>
        <v/>
      </c>
      <c r="M79" s="174" t="str">
        <f t="shared" si="9"/>
        <v/>
      </c>
      <c r="O79"/>
      <c r="P79" s="174" t="str">
        <f>IF(O79="","",IF(OR(LEFT(O79,4)="Cash",LEFT(O79,4)="Prov"),0,SUMIFS(Input_APM!N:N,Input_APM!L:L,Check!O79)))</f>
        <v/>
      </c>
      <c r="Q79" s="21" t="str">
        <f>IF(O79="","",IF(LEN(O79)&gt;9,SUMIFS(Options!$H$3:$H$25,Options!$B$3:$B$25,Check!O79),SUMIFS('Master P&amp;L'!$H$11:$H$92,'Master P&amp;L'!$B$11:$B$92,Check!O79)))</f>
        <v/>
      </c>
      <c r="R79" s="174" t="str">
        <f t="shared" si="10"/>
        <v/>
      </c>
      <c r="S79" s="289" t="str">
        <f t="shared" si="11"/>
        <v/>
      </c>
    </row>
    <row r="80" spans="2:19">
      <c r="B80"/>
      <c r="C80" s="188" t="str">
        <f>IF(B80="","",IF(LEN(B80)&gt;9,SUMIFS(Options!$H$3:$H$25,Options!$B$3:$B$25,Check!B80),SUMIFS('Master P&amp;L'!$H$11:$H$92,'Master P&amp;L'!$B$11:$B$92,Check!B80)))</f>
        <v/>
      </c>
      <c r="D80" s="188" t="str">
        <f>IF(B80="","",SUMIFS(Input_APM!N:N,Input_APM!L:L,Check!B80,Input_APM!M:M,Check!$F$1))</f>
        <v/>
      </c>
      <c r="E80" s="174" t="str">
        <f t="shared" ref="E80:E89" si="13">IF(B80="","",C80-M80)</f>
        <v/>
      </c>
      <c r="F80" s="188" t="str">
        <f>IF(B80="","",SUMIFS(Input_APM!N:N,Input_APM!M:M,Check!$F$1,Input_APM!L:L,Check!B80))</f>
        <v/>
      </c>
      <c r="G80" s="188" t="str">
        <f>IF(B80="","",SUMIFS(Input_APM!N:N,Input_APM!M:M,Check!$G$1,Input_APM!L:L,Check!B80))</f>
        <v/>
      </c>
      <c r="H80" s="174" t="str">
        <f t="shared" ref="H80:H89" si="14">IF(B80="","",F80-G80)</f>
        <v/>
      </c>
      <c r="I80" s="174">
        <f>SUMIFS(Input_APM!N:N,Input_APM!L:L,Check!B80)</f>
        <v>0</v>
      </c>
      <c r="J80" s="176" t="str">
        <f t="shared" ref="J80:J89" si="15">IF(B80="","",(F80+G80)-I80)</f>
        <v/>
      </c>
      <c r="K80" s="21" t="str">
        <f>IF(B80="","",SUMIFS('Input_APM (Zenith)'!N:N,'Input_APM (Zenith)'!L:L,Check!B80,'Input_APM (Zenith)'!M:M,Check!$F$1))</f>
        <v/>
      </c>
      <c r="L80" s="21" t="str">
        <f>IF(B80="","",SUMIFS('Input_APM (Zenith)'!N:N,'Input_APM (Zenith)'!L:L,Check!B80,'Input_APM (Zenith)'!M:M,Check!$G$1))</f>
        <v/>
      </c>
      <c r="M80" s="174" t="str">
        <f t="shared" ref="M80:M89" si="16">IF(B80="","",F80+G80+K80+L80)</f>
        <v/>
      </c>
      <c r="O80"/>
      <c r="P80" s="174" t="str">
        <f>IF(O80="","",IF(OR(LEFT(O80,4)="Cash",LEFT(O80,4)="Prov"),0,SUMIFS(Input_APM!N:N,Input_APM!L:L,Check!O80)))</f>
        <v/>
      </c>
      <c r="Q80" s="21" t="str">
        <f>IF(O80="","",IF(LEN(O80)&gt;9,SUMIFS(Options!$H$3:$H$25,Options!$B$3:$B$25,Check!O80),SUMIFS('Master P&amp;L'!$H$11:$H$92,'Master P&amp;L'!$B$11:$B$92,Check!O80)))</f>
        <v/>
      </c>
      <c r="R80" s="174" t="str">
        <f t="shared" si="10"/>
        <v/>
      </c>
      <c r="S80" s="289" t="str">
        <f t="shared" si="11"/>
        <v/>
      </c>
    </row>
    <row r="81" spans="2:19">
      <c r="B81"/>
      <c r="C81" s="188" t="str">
        <f>IF(B81="","",IF(LEN(B81)&gt;9,SUMIFS(Options!$H$3:$H$25,Options!$B$3:$B$25,Check!B81),SUMIFS('Master P&amp;L'!$H$11:$H$92,'Master P&amp;L'!$B$11:$B$92,Check!B81)))</f>
        <v/>
      </c>
      <c r="D81" s="188" t="str">
        <f>IF(B81="","",SUMIFS(Input_APM!N:N,Input_APM!L:L,Check!B81,Input_APM!M:M,Check!$F$1))</f>
        <v/>
      </c>
      <c r="E81" s="174" t="str">
        <f t="shared" si="13"/>
        <v/>
      </c>
      <c r="F81" s="188" t="str">
        <f>IF(B81="","",SUMIFS(Input_APM!N:N,Input_APM!M:M,Check!$F$1,Input_APM!L:L,Check!B81))</f>
        <v/>
      </c>
      <c r="G81" s="188" t="str">
        <f>IF(B81="","",SUMIFS(Input_APM!N:N,Input_APM!M:M,Check!$G$1,Input_APM!L:L,Check!B81))</f>
        <v/>
      </c>
      <c r="H81" s="174" t="str">
        <f t="shared" si="14"/>
        <v/>
      </c>
      <c r="I81" s="174">
        <f>SUMIFS(Input_APM!N:N,Input_APM!L:L,Check!B81)</f>
        <v>0</v>
      </c>
      <c r="J81" s="176" t="str">
        <f t="shared" si="15"/>
        <v/>
      </c>
      <c r="K81" s="21" t="str">
        <f>IF(B81="","",SUMIFS('Input_APM (Zenith)'!N:N,'Input_APM (Zenith)'!L:L,Check!B81,'Input_APM (Zenith)'!M:M,Check!$F$1))</f>
        <v/>
      </c>
      <c r="L81" s="21" t="str">
        <f>IF(B81="","",SUMIFS('Input_APM (Zenith)'!N:N,'Input_APM (Zenith)'!L:L,Check!B81,'Input_APM (Zenith)'!M:M,Check!$G$1))</f>
        <v/>
      </c>
      <c r="M81" s="174" t="str">
        <f t="shared" si="16"/>
        <v/>
      </c>
      <c r="O81"/>
      <c r="P81" s="174" t="str">
        <f>IF(O81="","",IF(OR(LEFT(O81,4)="Cash",LEFT(O81,4)="Prov"),0,SUMIFS(Input_APM!N:N,Input_APM!L:L,Check!O81)))</f>
        <v/>
      </c>
      <c r="Q81" s="21" t="str">
        <f>IF(O81="","",IF(LEN(O81)&gt;9,SUMIFS(Options!$H$3:$H$25,Options!$B$3:$B$25,Check!O81),SUMIFS('Master P&amp;L'!$H$11:$H$92,'Master P&amp;L'!$B$11:$B$92,Check!O81)))</f>
        <v/>
      </c>
      <c r="R81" s="174" t="str">
        <f t="shared" si="10"/>
        <v/>
      </c>
      <c r="S81" s="289" t="str">
        <f t="shared" si="11"/>
        <v/>
      </c>
    </row>
    <row r="82" spans="2:19">
      <c r="B82"/>
      <c r="C82" s="188" t="str">
        <f>IF(B82="","",IF(LEN(B82)&gt;9,SUMIFS(Options!$H$3:$H$25,Options!$B$3:$B$25,Check!B82),SUMIFS('Master P&amp;L'!$H$11:$H$92,'Master P&amp;L'!$B$11:$B$92,Check!B82)))</f>
        <v/>
      </c>
      <c r="D82" s="188" t="str">
        <f>IF(B82="","",SUMIFS(Input_APM!N:N,Input_APM!L:L,Check!B82,Input_APM!M:M,Check!$F$1))</f>
        <v/>
      </c>
      <c r="E82" s="174" t="str">
        <f t="shared" si="13"/>
        <v/>
      </c>
      <c r="F82" s="188" t="str">
        <f>IF(B82="","",SUMIFS(Input_APM!N:N,Input_APM!M:M,Check!$F$1,Input_APM!L:L,Check!B82))</f>
        <v/>
      </c>
      <c r="G82" s="188" t="str">
        <f>IF(B82="","",SUMIFS(Input_APM!N:N,Input_APM!M:M,Check!$G$1,Input_APM!L:L,Check!B82))</f>
        <v/>
      </c>
      <c r="H82" s="174" t="str">
        <f t="shared" si="14"/>
        <v/>
      </c>
      <c r="I82" s="174">
        <f>SUMIFS(Input_APM!N:N,Input_APM!L:L,Check!B82)</f>
        <v>0</v>
      </c>
      <c r="J82" s="176" t="str">
        <f t="shared" si="15"/>
        <v/>
      </c>
      <c r="K82" s="21" t="str">
        <f>IF(B82="","",SUMIFS('Input_APM (Zenith)'!N:N,'Input_APM (Zenith)'!L:L,Check!B82,'Input_APM (Zenith)'!M:M,Check!$F$1))</f>
        <v/>
      </c>
      <c r="L82" s="21" t="str">
        <f>IF(B82="","",SUMIFS('Input_APM (Zenith)'!N:N,'Input_APM (Zenith)'!L:L,Check!B82,'Input_APM (Zenith)'!M:M,Check!$G$1))</f>
        <v/>
      </c>
      <c r="M82" s="174" t="str">
        <f t="shared" si="16"/>
        <v/>
      </c>
      <c r="O82"/>
      <c r="P82" s="174" t="str">
        <f>IF(O82="","",IF(OR(LEFT(O82,4)="Cash",LEFT(O82,4)="Prov"),0,SUMIFS(Input_APM!N:N,Input_APM!L:L,Check!O82)))</f>
        <v/>
      </c>
      <c r="Q82" s="21" t="str">
        <f>IF(O82="","",IF(LEN(O82)&gt;9,SUMIFS(Options!$H$3:$H$25,Options!$B$3:$B$25,Check!O82),SUMIFS('Master P&amp;L'!$H$11:$H$92,'Master P&amp;L'!$B$11:$B$92,Check!O82)))</f>
        <v/>
      </c>
      <c r="R82" s="174" t="str">
        <f t="shared" si="10"/>
        <v/>
      </c>
      <c r="S82" s="289" t="str">
        <f t="shared" si="11"/>
        <v/>
      </c>
    </row>
    <row r="83" spans="2:19">
      <c r="B83"/>
      <c r="C83" s="188" t="str">
        <f>IF(B83="","",IF(LEN(B83)&gt;9,SUMIFS(Options!$H$3:$H$25,Options!$B$3:$B$25,Check!B83),SUMIFS('Master P&amp;L'!$H$11:$H$92,'Master P&amp;L'!$B$11:$B$92,Check!B83)))</f>
        <v/>
      </c>
      <c r="D83" s="188" t="str">
        <f>IF(B83="","",SUMIFS(Input_APM!N:N,Input_APM!L:L,Check!B83,Input_APM!M:M,Check!$F$1))</f>
        <v/>
      </c>
      <c r="E83" s="174" t="str">
        <f t="shared" si="13"/>
        <v/>
      </c>
      <c r="F83" s="188" t="str">
        <f>IF(B83="","",SUMIFS(Input_APM!N:N,Input_APM!M:M,Check!$F$1,Input_APM!L:L,Check!B83))</f>
        <v/>
      </c>
      <c r="G83" s="188" t="str">
        <f>IF(B83="","",SUMIFS(Input_APM!N:N,Input_APM!M:M,Check!$G$1,Input_APM!L:L,Check!B83))</f>
        <v/>
      </c>
      <c r="H83" s="174" t="str">
        <f t="shared" si="14"/>
        <v/>
      </c>
      <c r="I83" s="174">
        <f>SUMIFS(Input_APM!N:N,Input_APM!L:L,Check!B83)</f>
        <v>0</v>
      </c>
      <c r="J83" s="176" t="str">
        <f t="shared" si="15"/>
        <v/>
      </c>
      <c r="K83" s="21" t="str">
        <f>IF(B83="","",SUMIFS('Input_APM (Zenith)'!N:N,'Input_APM (Zenith)'!L:L,Check!B83,'Input_APM (Zenith)'!M:M,Check!$F$1))</f>
        <v/>
      </c>
      <c r="L83" s="21" t="str">
        <f>IF(B83="","",SUMIFS('Input_APM (Zenith)'!N:N,'Input_APM (Zenith)'!L:L,Check!B83,'Input_APM (Zenith)'!M:M,Check!$G$1))</f>
        <v/>
      </c>
      <c r="M83" s="174" t="str">
        <f t="shared" si="16"/>
        <v/>
      </c>
      <c r="O83"/>
      <c r="P83" s="174" t="str">
        <f>IF(O83="","",IF(OR(LEFT(O83,4)="Cash",LEFT(O83,4)="Prov"),0,SUMIFS(Input_APM!N:N,Input_APM!L:L,Check!O83)))</f>
        <v/>
      </c>
      <c r="Q83" s="21" t="str">
        <f>IF(O83="","",IF(LEN(O83)&gt;9,SUMIFS(Options!$H$3:$H$25,Options!$B$3:$B$25,Check!O83),SUMIFS('Master P&amp;L'!$H$11:$H$92,'Master P&amp;L'!$B$11:$B$92,Check!O83)))</f>
        <v/>
      </c>
      <c r="R83" s="174" t="str">
        <f t="shared" si="10"/>
        <v/>
      </c>
      <c r="S83" s="289" t="str">
        <f t="shared" si="11"/>
        <v/>
      </c>
    </row>
    <row r="84" spans="2:19">
      <c r="B84"/>
      <c r="C84" s="188" t="str">
        <f>IF(B84="","",IF(LEN(B84)&gt;9,SUMIFS(Options!$H$3:$H$25,Options!$B$3:$B$25,Check!B84),SUMIFS('Master P&amp;L'!$H$11:$H$92,'Master P&amp;L'!$B$11:$B$92,Check!B84)))</f>
        <v/>
      </c>
      <c r="D84" s="188" t="str">
        <f>IF(B84="","",SUMIFS(Input_APM!N:N,Input_APM!L:L,Check!B84,Input_APM!M:M,Check!$F$1))</f>
        <v/>
      </c>
      <c r="E84" s="174" t="str">
        <f t="shared" si="13"/>
        <v/>
      </c>
      <c r="F84" s="188" t="str">
        <f>IF(B84="","",SUMIFS(Input_APM!N:N,Input_APM!M:M,Check!$F$1,Input_APM!L:L,Check!B84))</f>
        <v/>
      </c>
      <c r="G84" s="188" t="str">
        <f>IF(B84="","",SUMIFS(Input_APM!N:N,Input_APM!M:M,Check!$G$1,Input_APM!L:L,Check!B84))</f>
        <v/>
      </c>
      <c r="H84" s="174" t="str">
        <f t="shared" si="14"/>
        <v/>
      </c>
      <c r="I84" s="174">
        <f>SUMIFS(Input_APM!N:N,Input_APM!L:L,Check!B84)</f>
        <v>0</v>
      </c>
      <c r="J84" s="176" t="str">
        <f t="shared" si="15"/>
        <v/>
      </c>
      <c r="K84" s="21" t="str">
        <f>IF(B84="","",SUMIFS('Input_APM (Zenith)'!N:N,'Input_APM (Zenith)'!L:L,Check!B84,'Input_APM (Zenith)'!M:M,Check!$F$1))</f>
        <v/>
      </c>
      <c r="L84" s="21" t="str">
        <f>IF(B84="","",SUMIFS('Input_APM (Zenith)'!N:N,'Input_APM (Zenith)'!L:L,Check!B84,'Input_APM (Zenith)'!M:M,Check!$G$1))</f>
        <v/>
      </c>
      <c r="M84" s="174" t="str">
        <f t="shared" si="16"/>
        <v/>
      </c>
      <c r="O84"/>
      <c r="P84" s="174" t="str">
        <f>IF(O84="","",IF(OR(LEFT(O84,4)="Cash",LEFT(O84,4)="Prov"),0,SUMIFS(Input_APM!N:N,Input_APM!L:L,Check!O84)))</f>
        <v/>
      </c>
      <c r="Q84" s="21" t="str">
        <f>IF(O84="","",IF(LEN(O84)&gt;9,SUMIFS(Options!$H$3:$H$25,Options!$B$3:$B$25,Check!O84),SUMIFS('Master P&amp;L'!$H$11:$H$92,'Master P&amp;L'!$B$11:$B$92,Check!O84)))</f>
        <v/>
      </c>
      <c r="R84" s="174" t="str">
        <f t="shared" si="10"/>
        <v/>
      </c>
      <c r="S84" s="289" t="str">
        <f t="shared" si="11"/>
        <v/>
      </c>
    </row>
    <row r="85" spans="2:19">
      <c r="B85"/>
      <c r="C85" s="188" t="str">
        <f>IF(B85="","",IF(LEN(B85)&gt;9,SUMIFS(Options!$H$3:$H$25,Options!$B$3:$B$25,Check!B85),SUMIFS('Master P&amp;L'!$H$11:$H$92,'Master P&amp;L'!$B$11:$B$92,Check!B85)))</f>
        <v/>
      </c>
      <c r="D85" s="188" t="str">
        <f>IF(B85="","",SUMIFS(Input_APM!N:N,Input_APM!L:L,Check!B85,Input_APM!M:M,Check!$F$1))</f>
        <v/>
      </c>
      <c r="E85" s="174" t="str">
        <f t="shared" si="13"/>
        <v/>
      </c>
      <c r="F85" s="188" t="str">
        <f>IF(B85="","",SUMIFS(Input_APM!N:N,Input_APM!M:M,Check!$F$1,Input_APM!L:L,Check!B85))</f>
        <v/>
      </c>
      <c r="G85" s="188" t="str">
        <f>IF(B85="","",SUMIFS(Input_APM!N:N,Input_APM!M:M,Check!$G$1,Input_APM!L:L,Check!B85))</f>
        <v/>
      </c>
      <c r="H85" s="174" t="str">
        <f t="shared" si="14"/>
        <v/>
      </c>
      <c r="I85" s="174">
        <f>SUMIFS(Input_APM!N:N,Input_APM!L:L,Check!B85)</f>
        <v>0</v>
      </c>
      <c r="J85" s="176" t="str">
        <f t="shared" si="15"/>
        <v/>
      </c>
      <c r="K85" s="21" t="str">
        <f>IF(B85="","",SUMIFS('Input_APM (Zenith)'!N:N,'Input_APM (Zenith)'!L:L,Check!B85,'Input_APM (Zenith)'!M:M,Check!$F$1))</f>
        <v/>
      </c>
      <c r="L85" s="21" t="str">
        <f>IF(B85="","",SUMIFS('Input_APM (Zenith)'!N:N,'Input_APM (Zenith)'!L:L,Check!B85,'Input_APM (Zenith)'!M:M,Check!$G$1))</f>
        <v/>
      </c>
      <c r="M85" s="174" t="str">
        <f t="shared" si="16"/>
        <v/>
      </c>
      <c r="O85"/>
      <c r="P85" s="174" t="str">
        <f>IF(O85="","",IF(OR(LEFT(O85,4)="Cash",LEFT(O85,4)="Prov"),0,SUMIFS(Input_APM!N:N,Input_APM!L:L,Check!O85)))</f>
        <v/>
      </c>
      <c r="Q85" s="21" t="str">
        <f>IF(O85="","",IF(LEN(O85)&gt;9,SUMIFS(Options!$H$3:$H$25,Options!$B$3:$B$25,Check!O85),SUMIFS('Master P&amp;L'!$H$11:$H$92,'Master P&amp;L'!$B$11:$B$92,Check!O85)))</f>
        <v/>
      </c>
      <c r="R85" s="174" t="str">
        <f t="shared" si="10"/>
        <v/>
      </c>
      <c r="S85" s="289" t="str">
        <f t="shared" si="11"/>
        <v/>
      </c>
    </row>
    <row r="86" spans="2:19">
      <c r="B86"/>
      <c r="C86" s="188" t="str">
        <f>IF(B86="","",IF(LEN(B86)&gt;9,SUMIFS(Options!$H$3:$H$25,Options!$B$3:$B$25,Check!B86),SUMIFS('Master P&amp;L'!$H$11:$H$92,'Master P&amp;L'!$B$11:$B$92,Check!B86)))</f>
        <v/>
      </c>
      <c r="D86" s="188" t="str">
        <f>IF(B86="","",SUMIFS(Input_APM!N:N,Input_APM!L:L,Check!B86,Input_APM!M:M,Check!$F$1))</f>
        <v/>
      </c>
      <c r="E86" s="174" t="str">
        <f t="shared" si="13"/>
        <v/>
      </c>
      <c r="F86" s="188" t="str">
        <f>IF(B86="","",SUMIFS(Input_APM!N:N,Input_APM!M:M,Check!$F$1,Input_APM!L:L,Check!B86))</f>
        <v/>
      </c>
      <c r="G86" s="188" t="str">
        <f>IF(B86="","",SUMIFS(Input_APM!N:N,Input_APM!M:M,Check!$G$1,Input_APM!L:L,Check!B86))</f>
        <v/>
      </c>
      <c r="H86" s="174" t="str">
        <f t="shared" si="14"/>
        <v/>
      </c>
      <c r="I86" s="174">
        <f>SUMIFS(Input_APM!N:N,Input_APM!L:L,Check!B86)</f>
        <v>0</v>
      </c>
      <c r="J86" s="176" t="str">
        <f t="shared" si="15"/>
        <v/>
      </c>
      <c r="K86" s="21" t="str">
        <f>IF(B86="","",SUMIFS('Input_APM (Zenith)'!N:N,'Input_APM (Zenith)'!L:L,Check!B86,'Input_APM (Zenith)'!M:M,Check!$F$1))</f>
        <v/>
      </c>
      <c r="L86" s="21" t="str">
        <f>IF(B86="","",SUMIFS('Input_APM (Zenith)'!N:N,'Input_APM (Zenith)'!L:L,Check!B86,'Input_APM (Zenith)'!M:M,Check!$G$1))</f>
        <v/>
      </c>
      <c r="M86" s="174" t="str">
        <f t="shared" si="16"/>
        <v/>
      </c>
      <c r="O86"/>
      <c r="P86" s="174" t="str">
        <f>IF(O86="","",IF(OR(LEFT(O86,4)="Cash",LEFT(O86,4)="Prov"),0,SUMIFS(Input_APM!N:N,Input_APM!L:L,Check!O86)))</f>
        <v/>
      </c>
      <c r="Q86" s="21" t="str">
        <f>IF(O86="","",IF(LEN(O86)&gt;9,SUMIFS(Options!$H$3:$H$25,Options!$B$3:$B$25,Check!O86),SUMIFS('Master P&amp;L'!$H$11:$H$92,'Master P&amp;L'!$B$11:$B$92,Check!O86)))</f>
        <v/>
      </c>
      <c r="R86" s="174" t="str">
        <f t="shared" si="10"/>
        <v/>
      </c>
      <c r="S86" s="289" t="str">
        <f t="shared" si="11"/>
        <v/>
      </c>
    </row>
    <row r="87" spans="2:19">
      <c r="B87"/>
      <c r="C87" s="188" t="str">
        <f>IF(B87="","",IF(LEN(B87)&gt;9,SUMIFS(Options!$H$3:$H$25,Options!$B$3:$B$25,Check!B87),SUMIFS('Master P&amp;L'!$H$11:$H$92,'Master P&amp;L'!$B$11:$B$92,Check!B87)))</f>
        <v/>
      </c>
      <c r="D87" s="188" t="str">
        <f>IF(B87="","",SUMIFS(Input_APM!N:N,Input_APM!L:L,Check!B87,Input_APM!M:M,Check!$F$1))</f>
        <v/>
      </c>
      <c r="E87" s="174" t="str">
        <f t="shared" si="13"/>
        <v/>
      </c>
      <c r="F87" s="188" t="str">
        <f>IF(B87="","",SUMIFS(Input_APM!N:N,Input_APM!M:M,Check!$F$1,Input_APM!L:L,Check!B87))</f>
        <v/>
      </c>
      <c r="G87" s="188" t="str">
        <f>IF(B87="","",SUMIFS(Input_APM!N:N,Input_APM!M:M,Check!$G$1,Input_APM!L:L,Check!B87))</f>
        <v/>
      </c>
      <c r="H87" s="174" t="str">
        <f t="shared" si="14"/>
        <v/>
      </c>
      <c r="I87" s="174">
        <f>SUMIFS(Input_APM!N:N,Input_APM!L:L,Check!B87)</f>
        <v>0</v>
      </c>
      <c r="J87" s="176" t="str">
        <f t="shared" si="15"/>
        <v/>
      </c>
      <c r="K87" s="21" t="str">
        <f>IF(B87="","",SUMIFS('Input_APM (Zenith)'!N:N,'Input_APM (Zenith)'!L:L,Check!B87,'Input_APM (Zenith)'!M:M,Check!$F$1))</f>
        <v/>
      </c>
      <c r="L87" s="21" t="str">
        <f>IF(B87="","",SUMIFS('Input_APM (Zenith)'!N:N,'Input_APM (Zenith)'!L:L,Check!B87,'Input_APM (Zenith)'!M:M,Check!$G$1))</f>
        <v/>
      </c>
      <c r="M87" s="174" t="str">
        <f t="shared" si="16"/>
        <v/>
      </c>
      <c r="O87"/>
      <c r="P87" s="174" t="str">
        <f>IF(O87="","",IF(OR(LEFT(O87,4)="Cash",LEFT(O87,4)="Prov"),0,SUMIFS(Input_APM!N:N,Input_APM!L:L,Check!O87)))</f>
        <v/>
      </c>
      <c r="Q87" s="21" t="str">
        <f>IF(O87="","",IF(LEN(O87)&gt;9,SUMIFS(Options!$H$3:$H$25,Options!$B$3:$B$25,Check!O87),SUMIFS('Master P&amp;L'!$H$11:$H$92,'Master P&amp;L'!$B$11:$B$92,Check!O87)))</f>
        <v/>
      </c>
      <c r="R87" s="174" t="str">
        <f t="shared" si="10"/>
        <v/>
      </c>
      <c r="S87" s="289" t="str">
        <f t="shared" si="11"/>
        <v/>
      </c>
    </row>
    <row r="88" spans="2:19">
      <c r="B88"/>
      <c r="C88" s="188" t="str">
        <f>IF(B88="","",IF(LEN(B88)&gt;9,SUMIFS(Options!$H$3:$H$25,Options!$B$3:$B$25,Check!B88),SUMIFS('Master P&amp;L'!$H$11:$H$92,'Master P&amp;L'!$B$11:$B$92,Check!B88)))</f>
        <v/>
      </c>
      <c r="D88" s="188" t="str">
        <f>IF(B88="","",SUMIFS(Input_APM!N:N,Input_APM!L:L,Check!B88,Input_APM!M:M,Check!$F$1))</f>
        <v/>
      </c>
      <c r="E88" s="174" t="str">
        <f t="shared" si="13"/>
        <v/>
      </c>
      <c r="F88" s="188" t="str">
        <f>IF(B88="","",SUMIFS(Input_APM!N:N,Input_APM!M:M,Check!$F$1,Input_APM!L:L,Check!B88))</f>
        <v/>
      </c>
      <c r="G88" s="188" t="str">
        <f>IF(B88="","",SUMIFS(Input_APM!N:N,Input_APM!M:M,Check!$G$1,Input_APM!L:L,Check!B88))</f>
        <v/>
      </c>
      <c r="H88" s="174" t="str">
        <f t="shared" si="14"/>
        <v/>
      </c>
      <c r="I88" s="174">
        <f>SUMIFS(Input_APM!N:N,Input_APM!L:L,Check!B88)</f>
        <v>0</v>
      </c>
      <c r="J88" s="176" t="str">
        <f t="shared" si="15"/>
        <v/>
      </c>
      <c r="K88" s="21" t="str">
        <f>IF(B88="","",SUMIFS('Input_APM (Zenith)'!N:N,'Input_APM (Zenith)'!L:L,Check!B88,'Input_APM (Zenith)'!M:M,Check!$F$1))</f>
        <v/>
      </c>
      <c r="L88" s="21" t="str">
        <f>IF(B88="","",SUMIFS('Input_APM (Zenith)'!N:N,'Input_APM (Zenith)'!L:L,Check!B88,'Input_APM (Zenith)'!M:M,Check!$G$1))</f>
        <v/>
      </c>
      <c r="M88" s="174" t="str">
        <f t="shared" si="16"/>
        <v/>
      </c>
      <c r="O88"/>
      <c r="P88" s="174" t="str">
        <f>IF(O88="","",IF(OR(LEFT(O88,4)="Cash",LEFT(O88,4)="Prov"),0,SUMIFS(Input_APM!N:N,Input_APM!L:L,Check!O88)))</f>
        <v/>
      </c>
      <c r="Q88" s="21" t="str">
        <f>IF(O88="","",IF(LEN(O88)&gt;9,SUMIFS(Options!$H$3:$H$25,Options!$B$3:$B$25,Check!O88),SUMIFS('Master P&amp;L'!$H$11:$H$92,'Master P&amp;L'!$B$11:$B$92,Check!O88)))</f>
        <v/>
      </c>
      <c r="R88" s="174" t="str">
        <f t="shared" si="10"/>
        <v/>
      </c>
      <c r="S88" s="289" t="str">
        <f t="shared" si="11"/>
        <v/>
      </c>
    </row>
    <row r="89" spans="2:19">
      <c r="B89"/>
      <c r="C89" s="188" t="str">
        <f>IF(B89="","",IF(LEN(B89)&gt;9,SUMIFS(Options!$H$3:$H$25,Options!$B$3:$B$25,Check!B89),SUMIFS('Master P&amp;L'!$H$11:$H$92,'Master P&amp;L'!$B$11:$B$92,Check!B89)))</f>
        <v/>
      </c>
      <c r="D89" s="188" t="str">
        <f>IF(B89="","",SUMIFS(Input_APM!N:N,Input_APM!L:L,Check!B89,Input_APM!M:M,Check!$F$1))</f>
        <v/>
      </c>
      <c r="E89" s="174" t="str">
        <f t="shared" si="13"/>
        <v/>
      </c>
      <c r="F89" s="188" t="str">
        <f>IF(B89="","",SUMIFS(Input_APM!N:N,Input_APM!M:M,Check!$F$1,Input_APM!L:L,Check!B89))</f>
        <v/>
      </c>
      <c r="G89" s="188" t="str">
        <f>IF(B89="","",SUMIFS(Input_APM!N:N,Input_APM!M:M,Check!$G$1,Input_APM!L:L,Check!B89))</f>
        <v/>
      </c>
      <c r="H89" s="174" t="str">
        <f t="shared" si="14"/>
        <v/>
      </c>
      <c r="I89" s="174">
        <f>SUMIFS(Input_APM!N:N,Input_APM!L:L,Check!B89)</f>
        <v>0</v>
      </c>
      <c r="J89" s="176" t="str">
        <f t="shared" si="15"/>
        <v/>
      </c>
      <c r="K89" s="21" t="str">
        <f>IF(B89="","",SUMIFS('Input_APM (Zenith)'!N:N,'Input_APM (Zenith)'!L:L,Check!B89,'Input_APM (Zenith)'!M:M,Check!$F$1))</f>
        <v/>
      </c>
      <c r="L89" s="21" t="str">
        <f>IF(B89="","",SUMIFS('Input_APM (Zenith)'!N:N,'Input_APM (Zenith)'!L:L,Check!B89,'Input_APM (Zenith)'!M:M,Check!$G$1))</f>
        <v/>
      </c>
      <c r="M89" s="174" t="str">
        <f t="shared" si="16"/>
        <v/>
      </c>
      <c r="O89"/>
      <c r="P89" s="174" t="str">
        <f>IF(O89="","",IF(OR(LEFT(O89,4)="Cash",LEFT(O89,4)="Prov"),0,SUMIFS(Input_APM!N:N,Input_APM!L:L,Check!O89)))</f>
        <v/>
      </c>
      <c r="Q89" s="21" t="str">
        <f>IF(O89="","",IF(LEN(O89)&gt;9,SUMIFS(Options!$H$3:$H$25,Options!$B$3:$B$25,Check!O89),SUMIFS('Master P&amp;L'!$H$11:$H$92,'Master P&amp;L'!$B$11:$B$92,Check!O89)))</f>
        <v/>
      </c>
      <c r="R89" s="174" t="str">
        <f t="shared" si="10"/>
        <v/>
      </c>
      <c r="S89" s="289" t="str">
        <f t="shared" si="11"/>
        <v/>
      </c>
    </row>
    <row r="90" spans="2:19">
      <c r="B90"/>
      <c r="C90" s="188" t="str">
        <f>IF(B90="","",IF(LEN(B90)&gt;9,SUMIFS(Options!$H$3:$H$25,Options!$B$3:$B$25,Check!B90),SUMIFS('Master P&amp;L'!$H$11:$H$92,'Master P&amp;L'!$B$11:$B$92,Check!B90)))</f>
        <v/>
      </c>
      <c r="D90" s="188" t="str">
        <f>IF(B90="","",SUMIFS(Input_APM!N:N,Input_APM!L:L,Check!B90,Input_APM!M:M,Check!$F$1))</f>
        <v/>
      </c>
      <c r="E90" s="174" t="str">
        <f t="shared" ref="E90:E95" si="17">IF(B90="","",C90-M90)</f>
        <v/>
      </c>
      <c r="F90" s="188" t="str">
        <f>IF(B90="","",SUMIFS(Input_APM!N:N,Input_APM!M:M,Check!$F$1,Input_APM!L:L,Check!B90))</f>
        <v/>
      </c>
      <c r="G90" s="188" t="str">
        <f>IF(B90="","",SUMIFS(Input_APM!N:N,Input_APM!M:M,Check!$G$1,Input_APM!L:L,Check!B90))</f>
        <v/>
      </c>
      <c r="H90" s="174" t="str">
        <f t="shared" ref="H90:H95" si="18">IF(B90="","",F90-G90)</f>
        <v/>
      </c>
      <c r="I90" s="174">
        <f>SUMIFS(Input_APM!N:N,Input_APM!L:L,Check!B90)</f>
        <v>0</v>
      </c>
      <c r="J90" s="176" t="str">
        <f t="shared" ref="J90:J95" si="19">IF(B90="","",(F90+G90)-I90)</f>
        <v/>
      </c>
      <c r="K90" s="21" t="str">
        <f>IF(B90="","",SUMIFS('Input_APM (Zenith)'!N:N,'Input_APM (Zenith)'!L:L,Check!B90,'Input_APM (Zenith)'!M:M,Check!$F$1))</f>
        <v/>
      </c>
      <c r="L90" s="21" t="str">
        <f>IF(B90="","",SUMIFS('Input_APM (Zenith)'!N:N,'Input_APM (Zenith)'!L:L,Check!B90,'Input_APM (Zenith)'!M:M,Check!$G$1))</f>
        <v/>
      </c>
      <c r="M90" s="174" t="str">
        <f t="shared" ref="M90:M95" si="20">IF(B90="","",F90+G90+K90+L90)</f>
        <v/>
      </c>
      <c r="O90"/>
      <c r="P90" s="174" t="str">
        <f>IF(O90="","",IF(OR(LEFT(O90,4)="Cash",LEFT(O90,4)="Prov"),0,SUMIFS(Input_APM!N:N,Input_APM!L:L,Check!O90)))</f>
        <v/>
      </c>
      <c r="Q90" s="21" t="str">
        <f>IF(O90="","",IF(LEN(O90)&gt;9,SUMIFS(Options!$H$3:$H$25,Options!$B$3:$B$25,Check!O90),SUMIFS('Master P&amp;L'!$H$11:$H$92,'Master P&amp;L'!$B$11:$B$92,Check!O90)))</f>
        <v/>
      </c>
      <c r="R90" s="174" t="str">
        <f t="shared" si="10"/>
        <v/>
      </c>
      <c r="S90" s="289" t="str">
        <f t="shared" si="11"/>
        <v/>
      </c>
    </row>
    <row r="91" spans="2:19">
      <c r="B91"/>
      <c r="C91" s="188" t="str">
        <f>IF(B91="","",IF(LEN(B91)&gt;9,SUMIFS(Options!$H$3:$H$25,Options!$B$3:$B$25,Check!B91),SUMIFS('Master P&amp;L'!$H$11:$H$92,'Master P&amp;L'!$B$11:$B$92,Check!B91)))</f>
        <v/>
      </c>
      <c r="D91" s="188" t="str">
        <f>IF(B91="","",SUMIFS(Input_APM!N:N,Input_APM!L:L,Check!B91,Input_APM!M:M,Check!$F$1))</f>
        <v/>
      </c>
      <c r="E91" s="174" t="str">
        <f t="shared" si="17"/>
        <v/>
      </c>
      <c r="F91" s="188" t="str">
        <f>IF(B91="","",SUMIFS(Input_APM!N:N,Input_APM!M:M,Check!$F$1,Input_APM!L:L,Check!B91))</f>
        <v/>
      </c>
      <c r="G91" s="188" t="str">
        <f>IF(B91="","",SUMIFS(Input_APM!N:N,Input_APM!M:M,Check!$G$1,Input_APM!L:L,Check!B91))</f>
        <v/>
      </c>
      <c r="H91" s="174" t="str">
        <f t="shared" si="18"/>
        <v/>
      </c>
      <c r="I91" s="174">
        <f>SUMIFS(Input_APM!N:N,Input_APM!L:L,Check!B91)</f>
        <v>0</v>
      </c>
      <c r="J91" s="176" t="str">
        <f t="shared" si="19"/>
        <v/>
      </c>
      <c r="K91" s="21" t="str">
        <f>IF(B91="","",SUMIFS('Input_APM (Zenith)'!N:N,'Input_APM (Zenith)'!L:L,Check!B91,'Input_APM (Zenith)'!M:M,Check!$F$1))</f>
        <v/>
      </c>
      <c r="L91" s="21" t="str">
        <f>IF(B91="","",SUMIFS('Input_APM (Zenith)'!N:N,'Input_APM (Zenith)'!L:L,Check!B91,'Input_APM (Zenith)'!M:M,Check!$G$1))</f>
        <v/>
      </c>
      <c r="M91" s="174" t="str">
        <f t="shared" si="20"/>
        <v/>
      </c>
      <c r="O91"/>
      <c r="P91" s="174" t="str">
        <f>IF(O91="","",IF(OR(LEFT(O91,4)="Cash",LEFT(O91,4)="Prov"),0,SUMIFS(Input_APM!N:N,Input_APM!L:L,Check!O91)))</f>
        <v/>
      </c>
      <c r="Q91" s="21" t="str">
        <f>IF(O91="","",IF(LEN(O91)&gt;9,SUMIFS(Options!$H$3:$H$25,Options!$B$3:$B$25,Check!O91),SUMIFS('Master P&amp;L'!$H$11:$H$92,'Master P&amp;L'!$B$11:$B$92,Check!O91)))</f>
        <v/>
      </c>
      <c r="R91" s="174" t="str">
        <f t="shared" si="10"/>
        <v/>
      </c>
      <c r="S91" s="289" t="str">
        <f t="shared" si="11"/>
        <v/>
      </c>
    </row>
    <row r="92" spans="2:19">
      <c r="B92"/>
      <c r="C92" s="188" t="str">
        <f>IF(B92="","",IF(LEN(B92)&gt;9,SUMIFS(Options!$H$3:$H$25,Options!$B$3:$B$25,Check!B92),SUMIFS('Master P&amp;L'!$H$11:$H$92,'Master P&amp;L'!$B$11:$B$92,Check!B92)))</f>
        <v/>
      </c>
      <c r="D92" s="188" t="str">
        <f>IF(B92="","",SUMIFS(Input_APM!N:N,Input_APM!L:L,Check!B92,Input_APM!M:M,Check!$F$1))</f>
        <v/>
      </c>
      <c r="E92" s="174" t="str">
        <f t="shared" si="17"/>
        <v/>
      </c>
      <c r="F92" s="188" t="str">
        <f>IF(B92="","",SUMIFS(Input_APM!N:N,Input_APM!M:M,Check!$F$1,Input_APM!L:L,Check!B92))</f>
        <v/>
      </c>
      <c r="G92" s="188" t="str">
        <f>IF(B92="","",SUMIFS(Input_APM!N:N,Input_APM!M:M,Check!$G$1,Input_APM!L:L,Check!B92))</f>
        <v/>
      </c>
      <c r="H92" s="174" t="str">
        <f t="shared" si="18"/>
        <v/>
      </c>
      <c r="I92" s="174">
        <f>SUMIFS(Input_APM!N:N,Input_APM!L:L,Check!B92)</f>
        <v>0</v>
      </c>
      <c r="J92" s="176" t="str">
        <f t="shared" si="19"/>
        <v/>
      </c>
      <c r="K92" s="21" t="str">
        <f>IF(B92="","",SUMIFS('Input_APM (Zenith)'!N:N,'Input_APM (Zenith)'!L:L,Check!B92,'Input_APM (Zenith)'!M:M,Check!$F$1))</f>
        <v/>
      </c>
      <c r="L92" s="21" t="str">
        <f>IF(B92="","",SUMIFS('Input_APM (Zenith)'!N:N,'Input_APM (Zenith)'!L:L,Check!B92,'Input_APM (Zenith)'!M:M,Check!$G$1))</f>
        <v/>
      </c>
      <c r="M92" s="174" t="str">
        <f t="shared" si="20"/>
        <v/>
      </c>
      <c r="O92"/>
      <c r="P92" s="174" t="str">
        <f>IF(O92="","",IF(OR(LEFT(O92,4)="Cash",LEFT(O92,4)="Prov"),0,SUMIFS(Input_APM!N:N,Input_APM!L:L,Check!O92)))</f>
        <v/>
      </c>
      <c r="Q92" s="21" t="str">
        <f>IF(O92="","",IF(LEN(O92)&gt;9,SUMIFS(Options!$H$3:$H$25,Options!$B$3:$B$25,Check!O92),SUMIFS('Master P&amp;L'!$H$11:$H$92,'Master P&amp;L'!$B$11:$B$92,Check!O92)))</f>
        <v/>
      </c>
      <c r="R92" s="174" t="str">
        <f t="shared" si="10"/>
        <v/>
      </c>
      <c r="S92" s="289" t="str">
        <f t="shared" si="11"/>
        <v/>
      </c>
    </row>
    <row r="93" spans="2:19">
      <c r="B93"/>
      <c r="C93" s="188" t="str">
        <f>IF(B93="","",IF(LEN(B93)&gt;9,SUMIFS(Options!$H$3:$H$25,Options!$B$3:$B$25,Check!B93),SUMIFS('Master P&amp;L'!$H$11:$H$92,'Master P&amp;L'!$B$11:$B$92,Check!B93)))</f>
        <v/>
      </c>
      <c r="D93" s="188" t="str">
        <f>IF(B93="","",SUMIFS(Input_APM!N:N,Input_APM!L:L,Check!B93,Input_APM!M:M,Check!$F$1))</f>
        <v/>
      </c>
      <c r="E93" s="174" t="str">
        <f t="shared" si="17"/>
        <v/>
      </c>
      <c r="F93" s="188" t="str">
        <f>IF(B93="","",SUMIFS(Input_APM!N:N,Input_APM!M:M,Check!$F$1,Input_APM!L:L,Check!B93))</f>
        <v/>
      </c>
      <c r="G93" s="188" t="str">
        <f>IF(B93="","",SUMIFS(Input_APM!N:N,Input_APM!M:M,Check!$G$1,Input_APM!L:L,Check!B93))</f>
        <v/>
      </c>
      <c r="H93" s="174" t="str">
        <f t="shared" si="18"/>
        <v/>
      </c>
      <c r="I93" s="174">
        <f>SUMIFS(Input_APM!N:N,Input_APM!L:L,Check!B93)</f>
        <v>0</v>
      </c>
      <c r="J93" s="176" t="str">
        <f t="shared" si="19"/>
        <v/>
      </c>
      <c r="K93" s="21" t="str">
        <f>IF(B93="","",SUMIFS('Input_APM (Zenith)'!N:N,'Input_APM (Zenith)'!L:L,Check!B93,'Input_APM (Zenith)'!M:M,Check!$F$1))</f>
        <v/>
      </c>
      <c r="L93" s="21" t="str">
        <f>IF(B93="","",SUMIFS('Input_APM (Zenith)'!N:N,'Input_APM (Zenith)'!L:L,Check!B93,'Input_APM (Zenith)'!M:M,Check!$G$1))</f>
        <v/>
      </c>
      <c r="M93" s="174" t="str">
        <f t="shared" si="20"/>
        <v/>
      </c>
      <c r="O93"/>
      <c r="P93" s="174" t="str">
        <f>IF(O93="","",IF(OR(LEFT(O93,4)="Cash",LEFT(O93,4)="Prov"),0,SUMIFS(Input_APM!N:N,Input_APM!L:L,Check!O93)))</f>
        <v/>
      </c>
      <c r="Q93" s="21" t="str">
        <f>IF(O93="","",IF(LEN(O93)&gt;9,SUMIFS(Options!$H$3:$H$25,Options!$B$3:$B$25,Check!O93),SUMIFS('Master P&amp;L'!$H$11:$H$92,'Master P&amp;L'!$B$11:$B$92,Check!O93)))</f>
        <v/>
      </c>
      <c r="R93" s="174" t="str">
        <f t="shared" si="10"/>
        <v/>
      </c>
      <c r="S93" s="289" t="str">
        <f t="shared" si="11"/>
        <v/>
      </c>
    </row>
    <row r="94" spans="2:19">
      <c r="B94"/>
      <c r="C94" s="188" t="str">
        <f>IF(B94="","",IF(LEN(B94)&gt;9,SUMIFS(Options!$H$3:$H$25,Options!$B$3:$B$25,Check!B94),SUMIFS('Master P&amp;L'!$H$11:$H$92,'Master P&amp;L'!$B$11:$B$92,Check!B94)))</f>
        <v/>
      </c>
      <c r="D94" s="188" t="str">
        <f>IF(B94="","",SUMIFS(Input_APM!N:N,Input_APM!L:L,Check!B94,Input_APM!M:M,Check!$F$1))</f>
        <v/>
      </c>
      <c r="E94" s="174" t="str">
        <f t="shared" si="17"/>
        <v/>
      </c>
      <c r="F94" s="188" t="str">
        <f>IF(B94="","",SUMIFS(Input_APM!N:N,Input_APM!M:M,Check!$F$1,Input_APM!L:L,Check!B94))</f>
        <v/>
      </c>
      <c r="G94" s="188" t="str">
        <f>IF(B94="","",SUMIFS(Input_APM!N:N,Input_APM!M:M,Check!$G$1,Input_APM!L:L,Check!B94))</f>
        <v/>
      </c>
      <c r="H94" s="174" t="str">
        <f t="shared" si="18"/>
        <v/>
      </c>
      <c r="I94" s="174">
        <f>SUMIFS(Input_APM!N:N,Input_APM!L:L,Check!B94)</f>
        <v>0</v>
      </c>
      <c r="J94" s="176" t="str">
        <f t="shared" si="19"/>
        <v/>
      </c>
      <c r="K94" s="21" t="str">
        <f>IF(B94="","",SUMIFS('Input_APM (Zenith)'!N:N,'Input_APM (Zenith)'!L:L,Check!B94,'Input_APM (Zenith)'!M:M,Check!$F$1))</f>
        <v/>
      </c>
      <c r="L94" s="21" t="str">
        <f>IF(B94="","",SUMIFS('Input_APM (Zenith)'!N:N,'Input_APM (Zenith)'!L:L,Check!B94,'Input_APM (Zenith)'!M:M,Check!$G$1))</f>
        <v/>
      </c>
      <c r="M94" s="174" t="str">
        <f t="shared" si="20"/>
        <v/>
      </c>
      <c r="O94"/>
      <c r="P94" s="174" t="str">
        <f>IF(O94="","",IF(OR(LEFT(O94,4)="Cash",LEFT(O94,4)="Prov"),0,SUMIFS(Input_APM!N:N,Input_APM!L:L,Check!O94)))</f>
        <v/>
      </c>
      <c r="Q94" s="21" t="str">
        <f>IF(O94="","",IF(LEN(O94)&gt;9,SUMIFS(Options!$H$3:$H$25,Options!$B$3:$B$25,Check!O94),SUMIFS('Master P&amp;L'!$H$11:$H$92,'Master P&amp;L'!$B$11:$B$92,Check!O94)))</f>
        <v/>
      </c>
      <c r="R94" s="174" t="str">
        <f t="shared" si="10"/>
        <v/>
      </c>
      <c r="S94" s="289" t="str">
        <f t="shared" si="11"/>
        <v/>
      </c>
    </row>
    <row r="95" spans="2:19">
      <c r="C95" s="188" t="str">
        <f>IF(B95="","",IF(LEN(B95)&gt;9,SUMIFS(Options!$H$3:$H$25,Options!$B$3:$B$25,Check!B95),SUMIFS('Master P&amp;L'!$H$11:$H$92,'Master P&amp;L'!$B$11:$B$92,Check!B95)))</f>
        <v/>
      </c>
      <c r="D95" s="188" t="str">
        <f>IF(B95="","",SUMIFS(Input_APM!N:N,Input_APM!L:L,Check!B95,Input_APM!M:M,Check!$F$1))</f>
        <v/>
      </c>
      <c r="E95" s="174" t="str">
        <f t="shared" si="17"/>
        <v/>
      </c>
      <c r="F95" s="188" t="str">
        <f>IF(B95="","",SUMIFS(Input_APM!N:N,Input_APM!M:M,Check!$F$1,Input_APM!L:L,Check!B95))</f>
        <v/>
      </c>
      <c r="G95" s="188" t="str">
        <f>IF(B95="","",SUMIFS(Input_APM!N:N,Input_APM!M:M,Check!$G$1,Input_APM!L:L,Check!B95))</f>
        <v/>
      </c>
      <c r="H95" s="174" t="str">
        <f t="shared" si="18"/>
        <v/>
      </c>
      <c r="I95" s="174">
        <f>SUMIFS(Input_APM!N:N,Input_APM!L:L,Check!B95)</f>
        <v>0</v>
      </c>
      <c r="J95" s="176" t="str">
        <f t="shared" si="19"/>
        <v/>
      </c>
      <c r="K95" s="21" t="str">
        <f>IF(B95="","",SUMIFS('Input_APM (Zenith)'!N:N,'Input_APM (Zenith)'!L:L,Check!B95,'Input_APM (Zenith)'!M:M,Check!$F$1))</f>
        <v/>
      </c>
      <c r="L95" s="21" t="str">
        <f>IF(B95="","",SUMIFS('Input_APM (Zenith)'!N:N,'Input_APM (Zenith)'!L:L,Check!B95,'Input_APM (Zenith)'!M:M,Check!$G$1))</f>
        <v/>
      </c>
      <c r="M95" s="174" t="str">
        <f t="shared" si="20"/>
        <v/>
      </c>
      <c r="O95"/>
      <c r="P95" s="174" t="str">
        <f>IF(O95="","",IF(OR(LEFT(O95,4)="Cash",LEFT(O95,4)="Prov"),0,SUMIFS(Input_APM!N:N,Input_APM!L:L,Check!O95)))</f>
        <v/>
      </c>
      <c r="Q95" s="21" t="str">
        <f>IF(O95="","",IF(LEN(O95)&gt;9,SUMIFS(Options!$H$3:$H$25,Options!$B$3:$B$25,Check!O95),SUMIFS('Master P&amp;L'!$H$11:$H$92,'Master P&amp;L'!$B$11:$B$92,Check!O95)))</f>
        <v/>
      </c>
      <c r="R95" s="174" t="str">
        <f t="shared" si="10"/>
        <v/>
      </c>
      <c r="S95" s="289" t="str">
        <f t="shared" si="11"/>
        <v/>
      </c>
    </row>
    <row r="96" spans="2:19">
      <c r="C96" s="188" t="str">
        <f>IF(B96="","",IF(LEN(B96)&gt;9,SUMIFS(Options!$H$3:$H$25,Options!$B$3:$B$25,Check!B96),SUMIFS('Master P&amp;L'!$H$11:$H$92,'Master P&amp;L'!$B$11:$B$92,Check!B96)))</f>
        <v/>
      </c>
      <c r="D96" s="188" t="str">
        <f>IF(B96="","",SUMIFS(Input_APM!N:N,Input_APM!L:L,Check!B96,Input_APM!M:M,Check!$F$1))</f>
        <v/>
      </c>
      <c r="E96" s="174" t="str">
        <f>IF(B96="","",C96-M96)</f>
        <v/>
      </c>
      <c r="F96" s="188" t="str">
        <f>IF(B96="","",SUMIFS(Input_APM!N:N,Input_APM!M:M,Check!$F$1,Input_APM!L:L,Check!B96))</f>
        <v/>
      </c>
      <c r="G96" s="188" t="str">
        <f>IF(B96="","",SUMIFS(Input_APM!N:N,Input_APM!M:M,Check!$G$1,Input_APM!L:L,Check!B96))</f>
        <v/>
      </c>
      <c r="H96" s="174" t="str">
        <f>IF(B96="","",F96-G96)</f>
        <v/>
      </c>
      <c r="I96" s="174">
        <f>SUMIFS(Input_APM!N:N,Input_APM!L:L,Check!B96)</f>
        <v>0</v>
      </c>
      <c r="J96" s="176" t="str">
        <f>IF(B96="","",(F96+G96)-I96)</f>
        <v/>
      </c>
      <c r="K96" s="21" t="str">
        <f>IF(B96="","",SUMIFS('Input_APM (Zenith)'!N:N,'Input_APM (Zenith)'!L:L,Check!B96,'Input_APM (Zenith)'!M:M,Check!$F$1))</f>
        <v/>
      </c>
      <c r="L96" s="21" t="str">
        <f>IF(B96="","",SUMIFS('Input_APM (Zenith)'!N:N,'Input_APM (Zenith)'!L:L,Check!B96,'Input_APM (Zenith)'!M:M,Check!$G$1))</f>
        <v/>
      </c>
      <c r="M96" s="174" t="str">
        <f>IF(B96="","",F96+G96+K96+L96)</f>
        <v/>
      </c>
      <c r="O96"/>
      <c r="P96" s="174" t="str">
        <f>IF(O96="","",IF(OR(LEFT(O96,4)="Cash",LEFT(O96,4)="Prov"),0,SUMIFS(Input_APM!N:N,Input_APM!L:L,Check!O96)))</f>
        <v/>
      </c>
      <c r="Q96" s="21" t="str">
        <f>IF(O96="","",IF(LEN(O96)&gt;9,SUMIFS(Options!$H$3:$H$25,Options!$B$3:$B$25,Check!O96),SUMIFS('Master P&amp;L'!$H$11:$H$92,'Master P&amp;L'!$B$11:$B$92,Check!O96)))</f>
        <v/>
      </c>
      <c r="R96" s="174" t="str">
        <f t="shared" si="10"/>
        <v/>
      </c>
      <c r="S96" s="289" t="str">
        <f t="shared" si="11"/>
        <v/>
      </c>
    </row>
    <row r="97" spans="1:19">
      <c r="C97" s="188" t="str">
        <f>IF(B97="","",IF(LEN(B97)&gt;9,SUMIFS(Options!$H$3:$H$25,Options!$B$3:$B$25,Check!B97),SUMIFS('Master P&amp;L'!$H$11:$H$92,'Master P&amp;L'!$B$11:$B$92,Check!B97)))</f>
        <v/>
      </c>
      <c r="D97" s="188" t="str">
        <f>IF(B97="","",SUMIFS(Input_APM!N:N,Input_APM!L:L,Check!B97,Input_APM!M:M,Check!$F$1))</f>
        <v/>
      </c>
      <c r="E97" s="174" t="str">
        <f>IF(B97="","",C97-M97)</f>
        <v/>
      </c>
      <c r="F97" s="188" t="str">
        <f>IF(B97="","",SUMIFS(Input_APM!N:N,Input_APM!M:M,Check!$F$1,Input_APM!L:L,Check!B97))</f>
        <v/>
      </c>
      <c r="G97" s="188" t="str">
        <f>IF(B97="","",SUMIFS(Input_APM!N:N,Input_APM!M:M,Check!$G$1,Input_APM!L:L,Check!B97))</f>
        <v/>
      </c>
      <c r="H97" s="174" t="str">
        <f>IF(B97="","",F97-G97)</f>
        <v/>
      </c>
      <c r="I97" s="174">
        <f>SUMIFS(Input_APM!N:N,Input_APM!L:L,Check!B97)</f>
        <v>0</v>
      </c>
      <c r="J97" s="176" t="str">
        <f>IF(B97="","",(F97+G97)-I97)</f>
        <v/>
      </c>
      <c r="K97" s="21" t="str">
        <f>IF(B97="","",SUMIFS('Input_APM (Zenith)'!N:N,'Input_APM (Zenith)'!L:L,Check!B97,'Input_APM (Zenith)'!M:M,Check!$F$1))</f>
        <v/>
      </c>
      <c r="L97" s="21" t="str">
        <f>IF(B97="","",SUMIFS('Input_APM (Zenith)'!N:N,'Input_APM (Zenith)'!L:L,Check!B97,'Input_APM (Zenith)'!M:M,Check!$G$1))</f>
        <v/>
      </c>
      <c r="M97" s="174" t="str">
        <f>IF(B97="","",F97+G97+K97+L97)</f>
        <v/>
      </c>
      <c r="O97"/>
      <c r="P97" s="174" t="str">
        <f>IF(O97="","",IF(OR(LEFT(O97,4)="Cash",LEFT(O97,4)="Prov"),0,SUMIFS(Input_APM!N:N,Input_APM!L:L,Check!O97)))</f>
        <v/>
      </c>
      <c r="Q97" s="21" t="str">
        <f>IF(O97="","",IF(LEN(O97)&gt;9,SUMIFS(Options!$H$3:$H$25,Options!$B$3:$B$25,Check!O97),SUMIFS('Master P&amp;L'!$H$11:$H$92,'Master P&amp;L'!$B$11:$B$92,Check!O97)))</f>
        <v/>
      </c>
      <c r="R97" s="174" t="str">
        <f t="shared" si="10"/>
        <v/>
      </c>
      <c r="S97" s="289" t="str">
        <f t="shared" si="11"/>
        <v/>
      </c>
    </row>
    <row r="98" spans="1:19">
      <c r="C98" s="188" t="str">
        <f>IF(B98="","",IF(LEN(B98)&gt;9,SUMIFS(Options!$H$3:$H$25,Options!$B$3:$B$25,Check!B98),SUMIFS('Master P&amp;L'!$H$11:$H$92,'Master P&amp;L'!$B$11:$B$92,Check!B98)))</f>
        <v/>
      </c>
      <c r="D98" s="188" t="str">
        <f>IF(B98="","",SUMIFS(Input_APM!N:N,Input_APM!L:L,Check!B98,Input_APM!M:M,Check!$F$1))</f>
        <v/>
      </c>
      <c r="E98" s="174" t="str">
        <f>IF(B98="","",C98-M98)</f>
        <v/>
      </c>
      <c r="F98" s="188" t="str">
        <f>IF(B98="","",SUMIFS(Input_APM!N:N,Input_APM!M:M,Check!$F$1,Input_APM!L:L,Check!B98))</f>
        <v/>
      </c>
      <c r="G98" s="188" t="str">
        <f>IF(B98="","",SUMIFS(Input_APM!N:N,Input_APM!M:M,Check!$G$1,Input_APM!L:L,Check!B98))</f>
        <v/>
      </c>
      <c r="H98" s="174" t="str">
        <f>IF(B98="","",F98-G98)</f>
        <v/>
      </c>
      <c r="I98" s="174">
        <f>SUMIFS(Input_APM!N:N,Input_APM!L:L,Check!B98)</f>
        <v>0</v>
      </c>
      <c r="J98" s="176" t="str">
        <f>IF(B98="","",(F98+G98)-I98)</f>
        <v/>
      </c>
      <c r="K98" s="21" t="str">
        <f>IF(B98="","",SUMIFS('Input_APM (Zenith)'!N:N,'Input_APM (Zenith)'!L:L,Check!B98,'Input_APM (Zenith)'!M:M,Check!$F$1))</f>
        <v/>
      </c>
      <c r="L98" s="21" t="str">
        <f>IF(B98="","",SUMIFS('Input_APM (Zenith)'!N:N,'Input_APM (Zenith)'!L:L,Check!B98,'Input_APM (Zenith)'!M:M,Check!$G$1))</f>
        <v/>
      </c>
      <c r="M98" s="174" t="str">
        <f>IF(B98="","",F98+G98+K98+L98)</f>
        <v/>
      </c>
      <c r="O98"/>
      <c r="P98" s="174" t="str">
        <f>IF(O98="","",IF(OR(LEFT(O98,4)="Cash",LEFT(O98,4)="Prov"),0,SUMIFS(Input_APM!N:N,Input_APM!L:L,Check!O98)))</f>
        <v/>
      </c>
      <c r="Q98" s="21" t="str">
        <f>IF(O98="","",IF(LEN(O98)&gt;9,SUMIFS(Options!$H$3:$H$25,Options!$B$3:$B$25,Check!O98),SUMIFS('Master P&amp;L'!$H$11:$H$92,'Master P&amp;L'!$B$11:$B$92,Check!O98)))</f>
        <v/>
      </c>
      <c r="R98" s="174" t="str">
        <f t="shared" si="10"/>
        <v/>
      </c>
      <c r="S98" s="289" t="str">
        <f t="shared" si="11"/>
        <v/>
      </c>
    </row>
    <row r="99" spans="1:19">
      <c r="C99" s="188" t="str">
        <f>IF(B99="","",IF(LEN(B99)&gt;9,SUMIFS(Options!$H$3:$H$25,Options!$B$3:$B$25,Check!B99),SUMIFS('Master P&amp;L'!$H$11:$H$92,'Master P&amp;L'!$B$11:$B$92,Check!B99)))</f>
        <v/>
      </c>
      <c r="D99" s="188" t="str">
        <f>IF(B99="","",SUMIFS(Input_APM!N:N,Input_APM!L:L,Check!B99,Input_APM!M:M,Check!$F$1))</f>
        <v/>
      </c>
      <c r="E99" s="174" t="str">
        <f t="shared" ref="E99:E113" si="21">IF(B99="","",C99-M99)</f>
        <v/>
      </c>
      <c r="F99" s="188" t="str">
        <f>IF(B99="","",SUMIFS(Input_APM!N:N,Input_APM!M:M,Check!$F$1,Input_APM!L:L,Check!B99))</f>
        <v/>
      </c>
      <c r="G99" s="188" t="str">
        <f>IF(B99="","",SUMIFS(Input_APM!N:N,Input_APM!M:M,Check!$G$1,Input_APM!L:L,Check!B99))</f>
        <v/>
      </c>
      <c r="H99" s="174" t="str">
        <f t="shared" ref="H99:H113" si="22">IF(B99="","",F99-G99)</f>
        <v/>
      </c>
      <c r="I99" s="174">
        <f>SUMIFS(Input_APM!N:N,Input_APM!L:L,Check!B99)</f>
        <v>0</v>
      </c>
      <c r="J99" s="176" t="str">
        <f t="shared" ref="J99:J113" si="23">IF(B99="","",(F99+G99)-I99)</f>
        <v/>
      </c>
      <c r="K99" s="21" t="str">
        <f>IF(B99="","",SUMIFS('Input_APM (Zenith)'!N:N,'Input_APM (Zenith)'!L:L,Check!B99,'Input_APM (Zenith)'!M:M,Check!$F$1))</f>
        <v/>
      </c>
      <c r="L99" s="21" t="str">
        <f>IF(B99="","",SUMIFS('Input_APM (Zenith)'!N:N,'Input_APM (Zenith)'!L:L,Check!B99,'Input_APM (Zenith)'!M:M,Check!$G$1))</f>
        <v/>
      </c>
      <c r="M99" s="174" t="str">
        <f t="shared" ref="M99:M113" si="24">IF(B99="","",F99+G99+K99+L99)</f>
        <v/>
      </c>
      <c r="O99"/>
      <c r="P99" s="174" t="str">
        <f>IF(O99="","",IF(OR(LEFT(O99,4)="Cash",LEFT(O99,4)="Prov"),0,SUMIFS(Input_APM!N:N,Input_APM!L:L,Check!O99)))</f>
        <v/>
      </c>
      <c r="Q99" s="21" t="str">
        <f>IF(O99="","",IF(LEN(O99)&gt;9,SUMIFS(Options!$H$3:$H$25,Options!$B$3:$B$25,Check!O99),SUMIFS('Master P&amp;L'!$H$11:$H$92,'Master P&amp;L'!$B$11:$B$92,Check!O99)))</f>
        <v/>
      </c>
      <c r="R99" s="174" t="str">
        <f t="shared" si="10"/>
        <v/>
      </c>
      <c r="S99" s="289" t="str">
        <f t="shared" si="11"/>
        <v/>
      </c>
    </row>
    <row r="100" spans="1:19">
      <c r="C100" s="188" t="str">
        <f>IF(B100="","",IF(LEN(B100)&gt;9,SUMIFS(Options!$H$3:$H$25,Options!$B$3:$B$25,Check!B100),SUMIFS('Master P&amp;L'!$H$11:$H$92,'Master P&amp;L'!$B$11:$B$92,Check!B100)))</f>
        <v/>
      </c>
      <c r="D100" s="188" t="str">
        <f>IF(B100="","",SUMIFS(Input_APM!N:N,Input_APM!L:L,Check!B100,Input_APM!M:M,Check!$F$1))</f>
        <v/>
      </c>
      <c r="E100" s="174" t="str">
        <f>IF(B100="","",C100-M100)</f>
        <v/>
      </c>
      <c r="F100" s="188" t="str">
        <f>IF(B100="","",SUMIFS(Input_APM!N:N,Input_APM!M:M,Check!$F$1,Input_APM!L:L,Check!B100))</f>
        <v/>
      </c>
      <c r="G100" s="188" t="str">
        <f>IF(B100="","",SUMIFS(Input_APM!N:N,Input_APM!M:M,Check!$G$1,Input_APM!L:L,Check!B100))</f>
        <v/>
      </c>
      <c r="H100" s="174" t="str">
        <f t="shared" si="22"/>
        <v/>
      </c>
      <c r="I100" s="174">
        <f>SUMIFS(Input_APM!N:N,Input_APM!L:L,Check!B100)</f>
        <v>0</v>
      </c>
      <c r="J100" s="176" t="str">
        <f t="shared" si="23"/>
        <v/>
      </c>
      <c r="K100" s="21" t="str">
        <f>IF(B100="","",SUMIFS('Input_APM (Zenith)'!N:N,'Input_APM (Zenith)'!L:L,Check!B100,'Input_APM (Zenith)'!M:M,Check!$F$1))</f>
        <v/>
      </c>
      <c r="L100" s="21" t="str">
        <f>IF(B100="","",SUMIFS('Input_APM (Zenith)'!N:N,'Input_APM (Zenith)'!L:L,Check!B100,'Input_APM (Zenith)'!M:M,Check!$G$1))</f>
        <v/>
      </c>
      <c r="M100" s="174" t="str">
        <f t="shared" si="24"/>
        <v/>
      </c>
      <c r="O100"/>
      <c r="P100" s="174" t="str">
        <f>IF(O100="","",IF(OR(LEFT(O100,4)="Cash",LEFT(O100,4)="Prov"),0,SUMIFS(Input_APM!N:N,Input_APM!L:L,Check!O100)))</f>
        <v/>
      </c>
      <c r="Q100" s="21" t="str">
        <f>IF(O100="","",IF(LEN(O100)&gt;9,SUMIFS(Options!$H$3:$H$25,Options!$B$3:$B$25,Check!O100),SUMIFS('Master P&amp;L'!$H$11:$H$92,'Master P&amp;L'!$B$11:$B$92,Check!O100)))</f>
        <v/>
      </c>
      <c r="R100" s="174" t="str">
        <f t="shared" ref="R100:R107" si="25">IF(O100="","",P100-Q100)</f>
        <v/>
      </c>
      <c r="S100" s="289" t="str">
        <f t="shared" si="11"/>
        <v/>
      </c>
    </row>
    <row r="101" spans="1:19">
      <c r="C101" s="188" t="str">
        <f>IF(B101="","",IF(LEN(B101)&gt;9,SUMIFS(Options!$H$3:$H$25,Options!$B$3:$B$25,Check!B101),SUMIFS('Master P&amp;L'!$H$11:$H$92,'Master P&amp;L'!$B$11:$B$92,Check!B101)))</f>
        <v/>
      </c>
      <c r="D101" s="188" t="str">
        <f>IF(B101="","",SUMIFS(Input_APM!N:N,Input_APM!L:L,Check!B101,Input_APM!M:M,Check!$F$1))</f>
        <v/>
      </c>
      <c r="E101" s="174" t="str">
        <f t="shared" si="21"/>
        <v/>
      </c>
      <c r="F101" s="188" t="str">
        <f>IF(B101="","",SUMIFS(Input_APM!N:N,Input_APM!M:M,Check!$F$1,Input_APM!L:L,Check!B101))</f>
        <v/>
      </c>
      <c r="G101" s="188" t="str">
        <f>IF(B101="","",SUMIFS(Input_APM!N:N,Input_APM!M:M,Check!$G$1,Input_APM!L:L,Check!B101))</f>
        <v/>
      </c>
      <c r="H101" s="174" t="str">
        <f t="shared" si="22"/>
        <v/>
      </c>
      <c r="I101" s="174">
        <f>SUMIFS(Input_APM!N:N,Input_APM!L:L,Check!B101)</f>
        <v>0</v>
      </c>
      <c r="J101" s="176" t="str">
        <f t="shared" si="23"/>
        <v/>
      </c>
      <c r="K101" s="21" t="str">
        <f>IF(B101="","",SUMIFS('Input_APM (Zenith)'!N:N,'Input_APM (Zenith)'!L:L,Check!B101,'Input_APM (Zenith)'!M:M,Check!$F$1))</f>
        <v/>
      </c>
      <c r="L101" s="21" t="str">
        <f>IF(B101="","",SUMIFS('Input_APM (Zenith)'!N:N,'Input_APM (Zenith)'!L:L,Check!B101,'Input_APM (Zenith)'!M:M,Check!$G$1))</f>
        <v/>
      </c>
      <c r="M101" s="174" t="str">
        <f t="shared" si="24"/>
        <v/>
      </c>
      <c r="O101"/>
      <c r="P101" s="174" t="str">
        <f>IF(O101="","",IF(OR(LEFT(O101,4)="Cash",LEFT(O101,4)="Prov"),0,SUMIFS(Input_APM!N:N,Input_APM!L:L,Check!O101)))</f>
        <v/>
      </c>
      <c r="Q101" s="21" t="str">
        <f>IF(O101="","",IF(LEN(O101)&gt;9,SUMIFS(Options!$H$3:$H$25,Options!$B$3:$B$25,Check!O101),SUMIFS('Master P&amp;L'!$H$11:$H$92,'Master P&amp;L'!$B$11:$B$92,Check!O101)))</f>
        <v/>
      </c>
      <c r="R101" s="174" t="str">
        <f t="shared" si="25"/>
        <v/>
      </c>
      <c r="S101" s="289" t="str">
        <f t="shared" si="11"/>
        <v/>
      </c>
    </row>
    <row r="102" spans="1:19">
      <c r="C102" s="188" t="str">
        <f>IF(B102="","",IF(LEN(B102)&gt;9,SUMIFS(Options!$H$3:$H$25,Options!$B$3:$B$25,Check!B102),SUMIFS('Master P&amp;L'!$H$11:$H$92,'Master P&amp;L'!$B$11:$B$92,Check!B102)))</f>
        <v/>
      </c>
      <c r="D102" s="188" t="str">
        <f>IF(B102="","",SUMIFS(Input_APM!N:N,Input_APM!L:L,Check!B102,Input_APM!M:M,Check!$F$1))</f>
        <v/>
      </c>
      <c r="E102" s="174" t="str">
        <f t="shared" si="21"/>
        <v/>
      </c>
      <c r="F102" s="188" t="str">
        <f>IF(B102="","",SUMIFS(Input_APM!N:N,Input_APM!M:M,Check!$F$1,Input_APM!L:L,Check!B102))</f>
        <v/>
      </c>
      <c r="G102" s="188" t="str">
        <f>IF(B102="","",SUMIFS(Input_APM!N:N,Input_APM!M:M,Check!$G$1,Input_APM!L:L,Check!B102))</f>
        <v/>
      </c>
      <c r="H102" s="174" t="str">
        <f t="shared" si="22"/>
        <v/>
      </c>
      <c r="I102" s="174">
        <f>SUMIFS(Input_APM!N:N,Input_APM!L:L,Check!B102)</f>
        <v>0</v>
      </c>
      <c r="J102" s="176" t="str">
        <f t="shared" si="23"/>
        <v/>
      </c>
      <c r="K102" s="21" t="str">
        <f>IF(B102="","",SUMIFS('Input_APM (Zenith)'!N:N,'Input_APM (Zenith)'!L:L,Check!B102,'Input_APM (Zenith)'!M:M,Check!$F$1))</f>
        <v/>
      </c>
      <c r="L102" s="21" t="str">
        <f>IF(B102="","",SUMIFS('Input_APM (Zenith)'!N:N,'Input_APM (Zenith)'!L:L,Check!B102,'Input_APM (Zenith)'!M:M,Check!$G$1))</f>
        <v/>
      </c>
      <c r="M102" s="174" t="str">
        <f t="shared" si="24"/>
        <v/>
      </c>
      <c r="O102"/>
      <c r="P102" s="174" t="str">
        <f>IF(O102="","",IF(OR(LEFT(O102,4)="Cash",LEFT(O102,4)="Prov"),0,SUMIFS(Input_APM!N:N,Input_APM!L:L,Check!O102)))</f>
        <v/>
      </c>
      <c r="Q102" s="21" t="str">
        <f>IF(O102="","",IF(LEN(O102)&gt;9,SUMIFS(Options!$H$3:$H$25,Options!$B$3:$B$25,Check!O102),SUMIFS('Master P&amp;L'!$H$11:$H$92,'Master P&amp;L'!$B$11:$B$92,Check!O102)))</f>
        <v/>
      </c>
      <c r="R102" s="174" t="str">
        <f t="shared" si="25"/>
        <v/>
      </c>
      <c r="S102" s="289" t="str">
        <f t="shared" si="11"/>
        <v/>
      </c>
    </row>
    <row r="103" spans="1:19">
      <c r="C103" s="188" t="str">
        <f>IF(B103="","",IF(LEN(B103)&gt;9,SUMIFS(Options!$H$3:$H$25,Options!$B$3:$B$25,Check!B103),SUMIFS('Master P&amp;L'!$H$11:$H$92,'Master P&amp;L'!$B$11:$B$92,Check!B103)))</f>
        <v/>
      </c>
      <c r="D103" s="188" t="str">
        <f>IF(B103="","",SUMIFS(Input_APM!N:N,Input_APM!L:L,Check!B103,Input_APM!M:M,Check!$F$1))</f>
        <v/>
      </c>
      <c r="E103" s="174" t="str">
        <f t="shared" si="21"/>
        <v/>
      </c>
      <c r="F103" s="188" t="str">
        <f>IF(B103="","",SUMIFS(Input_APM!N:N,Input_APM!M:M,Check!$F$1,Input_APM!L:L,Check!B103))</f>
        <v/>
      </c>
      <c r="G103" s="188" t="str">
        <f>IF(B103="","",SUMIFS(Input_APM!N:N,Input_APM!M:M,Check!$G$1,Input_APM!L:L,Check!B103))</f>
        <v/>
      </c>
      <c r="H103" s="174" t="str">
        <f t="shared" si="22"/>
        <v/>
      </c>
      <c r="I103" s="174">
        <f>SUMIFS(Input_APM!N:N,Input_APM!L:L,Check!B103)</f>
        <v>0</v>
      </c>
      <c r="J103" s="176" t="str">
        <f t="shared" si="23"/>
        <v/>
      </c>
      <c r="K103" s="21" t="str">
        <f>IF(B103="","",SUMIFS('Input_APM (Zenith)'!N:N,'Input_APM (Zenith)'!L:L,Check!B103,'Input_APM (Zenith)'!M:M,Check!$F$1))</f>
        <v/>
      </c>
      <c r="L103" s="21" t="str">
        <f>IF(B103="","",SUMIFS('Input_APM (Zenith)'!N:N,'Input_APM (Zenith)'!L:L,Check!B103,'Input_APM (Zenith)'!M:M,Check!$G$1))</f>
        <v/>
      </c>
      <c r="M103" s="174" t="str">
        <f t="shared" si="24"/>
        <v/>
      </c>
      <c r="O103"/>
      <c r="P103" s="174" t="str">
        <f>IF(O103="","",IF(OR(LEFT(O103,4)="Cash",LEFT(O103,4)="Prov"),0,SUMIFS(Input_APM!N:N,Input_APM!L:L,Check!O103)))</f>
        <v/>
      </c>
      <c r="Q103" s="21" t="str">
        <f>IF(O103="","",IF(LEN(O103)&gt;9,SUMIFS(Options!$H$3:$H$25,Options!$B$3:$B$25,Check!O103),SUMIFS('Master P&amp;L'!$H$11:$H$92,'Master P&amp;L'!$B$11:$B$92,Check!O103)))</f>
        <v/>
      </c>
      <c r="R103" s="174" t="str">
        <f t="shared" si="25"/>
        <v/>
      </c>
      <c r="S103" s="289" t="str">
        <f t="shared" si="11"/>
        <v/>
      </c>
    </row>
    <row r="104" spans="1:19">
      <c r="C104" s="188" t="str">
        <f>IF(B104="","",IF(LEN(B104)&gt;9,SUMIFS(Options!$H$3:$H$25,Options!$B$3:$B$25,Check!B104),SUMIFS('Master P&amp;L'!$H$11:$H$92,'Master P&amp;L'!$B$11:$B$92,Check!B104)))</f>
        <v/>
      </c>
      <c r="D104" s="188" t="str">
        <f>IF(B104="","",SUMIFS(Input_APM!N:N,Input_APM!L:L,Check!B104,Input_APM!M:M,Check!$F$1))</f>
        <v/>
      </c>
      <c r="E104" s="174" t="str">
        <f t="shared" si="21"/>
        <v/>
      </c>
      <c r="F104" s="188" t="str">
        <f>IF(B104="","",SUMIFS(Input_APM!N:N,Input_APM!M:M,Check!$F$1,Input_APM!L:L,Check!B104))</f>
        <v/>
      </c>
      <c r="G104" s="188" t="str">
        <f>IF(B104="","",SUMIFS(Input_APM!N:N,Input_APM!M:M,Check!$G$1,Input_APM!L:L,Check!B104))</f>
        <v/>
      </c>
      <c r="H104" s="174" t="str">
        <f t="shared" si="22"/>
        <v/>
      </c>
      <c r="I104" s="174">
        <f>SUMIFS(Input_APM!N:N,Input_APM!L:L,Check!B104)</f>
        <v>0</v>
      </c>
      <c r="J104" s="176" t="str">
        <f t="shared" si="23"/>
        <v/>
      </c>
      <c r="K104" s="21" t="str">
        <f>IF(B104="","",SUMIFS('Input_APM (Zenith)'!N:N,'Input_APM (Zenith)'!L:L,Check!B104,'Input_APM (Zenith)'!M:M,Check!$F$1))</f>
        <v/>
      </c>
      <c r="L104" s="21" t="str">
        <f>IF(B104="","",SUMIFS('Input_APM (Zenith)'!N:N,'Input_APM (Zenith)'!L:L,Check!B104,'Input_APM (Zenith)'!M:M,Check!$G$1))</f>
        <v/>
      </c>
      <c r="M104" s="174" t="str">
        <f t="shared" si="24"/>
        <v/>
      </c>
      <c r="O104"/>
      <c r="P104" s="174" t="str">
        <f>IF(O104="","",IF(OR(LEFT(O104,4)="Cash",LEFT(O104,4)="Prov"),0,SUMIFS(Input_APM!N:N,Input_APM!L:L,Check!O104)))</f>
        <v/>
      </c>
      <c r="Q104" s="21" t="str">
        <f>IF(O104="","",IF(LEN(O104)&gt;9,SUMIFS(Options!$H$3:$H$25,Options!$B$3:$B$25,Check!O104),SUMIFS('Master P&amp;L'!$H$11:$H$92,'Master P&amp;L'!$B$11:$B$92,Check!O104)))</f>
        <v/>
      </c>
      <c r="R104" s="174" t="str">
        <f t="shared" si="25"/>
        <v/>
      </c>
      <c r="S104" s="289" t="str">
        <f t="shared" si="11"/>
        <v/>
      </c>
    </row>
    <row r="105" spans="1:19">
      <c r="A105" t="s">
        <v>448</v>
      </c>
      <c r="C105" s="188" t="str">
        <f>IF(B105="","",IF(LEN(B105)&gt;9,SUMIFS(Options!$H$3:$H$25,Options!$B$3:$B$25,Check!B105),SUMIFS('Master P&amp;L'!$H$11:$H$92,'Master P&amp;L'!$B$11:$B$92,Check!B105)))</f>
        <v/>
      </c>
      <c r="D105" s="188" t="str">
        <f>IF(B105="","",SUMIFS(Input_APM!N:N,Input_APM!L:L,Check!B105,Input_APM!M:M,Check!$F$1))</f>
        <v/>
      </c>
      <c r="E105" s="174" t="str">
        <f t="shared" si="21"/>
        <v/>
      </c>
      <c r="F105" s="188" t="str">
        <f>IF(B105="","",SUMIFS(Input_APM!N:N,Input_APM!M:M,Check!$F$1,Input_APM!L:L,Check!B105))</f>
        <v/>
      </c>
      <c r="G105" s="188" t="str">
        <f>IF(B105="","",SUMIFS(Input_APM!N:N,Input_APM!M:M,Check!$G$1,Input_APM!L:L,Check!B105))</f>
        <v/>
      </c>
      <c r="H105" s="174" t="str">
        <f t="shared" si="22"/>
        <v/>
      </c>
      <c r="I105" s="174">
        <f>SUMIFS(Input_APM!N:N,Input_APM!L:L,Check!B105)</f>
        <v>0</v>
      </c>
      <c r="J105" s="176" t="str">
        <f t="shared" si="23"/>
        <v/>
      </c>
      <c r="K105" s="21" t="str">
        <f>IF(B105="","",SUMIFS('Input_APM (Zenith)'!N:N,'Input_APM (Zenith)'!L:L,Check!B105,'Input_APM (Zenith)'!M:M,Check!$F$1))</f>
        <v/>
      </c>
      <c r="L105" s="21" t="str">
        <f>IF(B105="","",SUMIFS('Input_APM (Zenith)'!N:N,'Input_APM (Zenith)'!L:L,Check!B105,'Input_APM (Zenith)'!M:M,Check!$G$1))</f>
        <v/>
      </c>
      <c r="M105" s="174" t="str">
        <f t="shared" si="24"/>
        <v/>
      </c>
      <c r="O105"/>
      <c r="P105" s="174" t="str">
        <f>IF(O105="","",IF(OR(LEFT(O105,4)="Cash",LEFT(O105,4)="Prov"),0,SUMIFS(Input_APM!N:N,Input_APM!L:L,Check!O105)))</f>
        <v/>
      </c>
      <c r="Q105" s="21" t="str">
        <f>IF(O105="","",IF(LEN(O105)&gt;9,SUMIFS(Options!$H$3:$H$25,Options!$B$3:$B$25,Check!O105),SUMIFS('Master P&amp;L'!$H$11:$H$92,'Master P&amp;L'!$B$11:$B$92,Check!O105)))</f>
        <v/>
      </c>
      <c r="R105" s="174" t="str">
        <f t="shared" si="25"/>
        <v/>
      </c>
      <c r="S105" s="289" t="str">
        <f t="shared" si="11"/>
        <v/>
      </c>
    </row>
    <row r="106" spans="1:19">
      <c r="C106" s="188" t="str">
        <f>IF(B106="","",IF(LEN(B106)&gt;9,SUMIFS(Options!$H$3:$H$25,Options!$B$3:$B$25,Check!B106),SUMIFS('Master P&amp;L'!$H$11:$H$92,'Master P&amp;L'!$B$11:$B$92,Check!B106)))</f>
        <v/>
      </c>
      <c r="D106" s="188" t="str">
        <f>IF(B106="","",SUMIFS(Input_APM!N:N,Input_APM!L:L,Check!B106,Input_APM!M:M,Check!$F$1))</f>
        <v/>
      </c>
      <c r="E106" s="174" t="str">
        <f t="shared" si="21"/>
        <v/>
      </c>
      <c r="F106" s="188" t="str">
        <f>IF(B106="","",SUMIFS(Input_APM!N:N,Input_APM!M:M,Check!$F$1,Input_APM!L:L,Check!B106))</f>
        <v/>
      </c>
      <c r="G106" s="188" t="str">
        <f>IF(B106="","",SUMIFS(Input_APM!N:N,Input_APM!M:M,Check!$G$1,Input_APM!L:L,Check!B106))</f>
        <v/>
      </c>
      <c r="H106" s="174" t="str">
        <f t="shared" si="22"/>
        <v/>
      </c>
      <c r="I106" s="174">
        <f>SUMIFS(Input_APM!N:N,Input_APM!L:L,Check!B106)</f>
        <v>0</v>
      </c>
      <c r="J106" s="176" t="str">
        <f t="shared" si="23"/>
        <v/>
      </c>
      <c r="K106" s="21" t="str">
        <f>IF(B106="","",SUMIFS('Input_APM (Zenith)'!N:N,'Input_APM (Zenith)'!L:L,Check!B106,'Input_APM (Zenith)'!M:M,Check!$F$1))</f>
        <v/>
      </c>
      <c r="L106" s="21" t="str">
        <f>IF(B106="","",SUMIFS('Input_APM (Zenith)'!N:N,'Input_APM (Zenith)'!L:L,Check!B106,'Input_APM (Zenith)'!M:M,Check!$G$1))</f>
        <v/>
      </c>
      <c r="M106" s="174" t="str">
        <f t="shared" si="24"/>
        <v/>
      </c>
      <c r="O106"/>
      <c r="P106" s="174" t="str">
        <f>IF(O106="","",IF(OR(LEFT(O106,4)="Cash",LEFT(O106,4)="Prov"),0,SUMIFS(Input_APM!N:N,Input_APM!L:L,Check!O106)))</f>
        <v/>
      </c>
      <c r="Q106" s="21" t="str">
        <f>IF(O106="","",IF(LEN(O106)&gt;9,SUMIFS(Options!$H$3:$H$25,Options!$B$3:$B$25,Check!O106),SUMIFS('Master P&amp;L'!$H$11:$H$92,'Master P&amp;L'!$B$11:$B$92,Check!O106)))</f>
        <v/>
      </c>
      <c r="R106" s="174" t="str">
        <f t="shared" si="25"/>
        <v/>
      </c>
      <c r="S106" s="289" t="str">
        <f t="shared" si="11"/>
        <v/>
      </c>
    </row>
    <row r="107" spans="1:19">
      <c r="C107" s="188" t="str">
        <f>IF(B107="","",IF(LEN(B107)&gt;9,SUMIFS(Options!$H$3:$H$25,Options!$B$3:$B$25,Check!B107),SUMIFS('Master P&amp;L'!$H$11:$H$92,'Master P&amp;L'!$B$11:$B$92,Check!B107)))</f>
        <v/>
      </c>
      <c r="D107" s="188" t="str">
        <f>IF(B107="","",SUMIFS(Input_APM!N:N,Input_APM!L:L,Check!B107,Input_APM!M:M,Check!$F$1))</f>
        <v/>
      </c>
      <c r="E107" s="174" t="str">
        <f t="shared" si="21"/>
        <v/>
      </c>
      <c r="F107" s="188" t="str">
        <f>IF(B107="","",SUMIFS(Input_APM!N:N,Input_APM!M:M,Check!$F$1,Input_APM!L:L,Check!B107))</f>
        <v/>
      </c>
      <c r="G107" s="188" t="str">
        <f>IF(B107="","",SUMIFS(Input_APM!N:N,Input_APM!M:M,Check!$G$1,Input_APM!L:L,Check!B107))</f>
        <v/>
      </c>
      <c r="H107" s="174" t="str">
        <f t="shared" si="22"/>
        <v/>
      </c>
      <c r="I107" s="174">
        <f>SUMIFS(Input_APM!N:N,Input_APM!L:L,Check!B107)</f>
        <v>0</v>
      </c>
      <c r="J107" s="176" t="str">
        <f t="shared" si="23"/>
        <v/>
      </c>
      <c r="K107" s="21" t="str">
        <f>IF(B107="","",SUMIFS('Input_APM (Zenith)'!N:N,'Input_APM (Zenith)'!L:L,Check!B107,'Input_APM (Zenith)'!M:M,Check!$F$1))</f>
        <v/>
      </c>
      <c r="L107" s="21" t="str">
        <f>IF(B107="","",SUMIFS('Input_APM (Zenith)'!N:N,'Input_APM (Zenith)'!L:L,Check!B107,'Input_APM (Zenith)'!M:M,Check!$G$1))</f>
        <v/>
      </c>
      <c r="M107" s="174" t="str">
        <f t="shared" si="24"/>
        <v/>
      </c>
      <c r="O107"/>
      <c r="P107" s="174" t="str">
        <f>IF(O107="","",IF(OR(LEFT(O107,4)="Cash",LEFT(O107,4)="Prov"),0,SUMIFS(Input_APM!N:N,Input_APM!L:L,Check!O107)))</f>
        <v/>
      </c>
      <c r="Q107" s="21" t="str">
        <f>IF(O107="","",IF(LEN(O107)&gt;9,SUMIFS(Options!$H$3:$H$25,Options!$B$3:$B$25,Check!O107),SUMIFS('Master P&amp;L'!$H$11:$H$92,'Master P&amp;L'!$B$11:$B$92,Check!O107)))</f>
        <v/>
      </c>
      <c r="R107" s="174" t="str">
        <f t="shared" si="25"/>
        <v/>
      </c>
      <c r="S107" s="289" t="str">
        <f t="shared" si="11"/>
        <v/>
      </c>
    </row>
    <row r="108" spans="1:19">
      <c r="C108" s="188" t="str">
        <f>IF(B108="","",IF(LEN(B108)&gt;9,SUMIFS(Options!$H$3:$H$25,Options!$B$3:$B$25,Check!B108),SUMIFS('Master P&amp;L'!$H$11:$H$92,'Master P&amp;L'!$B$11:$B$92,Check!B108)))</f>
        <v/>
      </c>
      <c r="D108" s="188" t="str">
        <f>IF(B108="","",SUMIFS(Input_APM!N:N,Input_APM!L:L,Check!B108,Input_APM!M:M,Check!$F$1))</f>
        <v/>
      </c>
      <c r="E108" s="174" t="str">
        <f>IF(B108="","",C108-M108)</f>
        <v/>
      </c>
      <c r="F108" s="188" t="str">
        <f>IF(B108="","",SUMIFS(Input_APM!N:N,Input_APM!M:M,Check!$F$1,Input_APM!L:L,Check!B108))</f>
        <v/>
      </c>
      <c r="G108" s="188" t="str">
        <f>IF(B108="","",SUMIFS(Input_APM!N:N,Input_APM!M:M,Check!$G$1,Input_APM!L:L,Check!B108))</f>
        <v/>
      </c>
      <c r="H108" s="174" t="str">
        <f t="shared" si="22"/>
        <v/>
      </c>
      <c r="I108" s="174">
        <f>SUMIFS(Input_APM!N:N,Input_APM!L:L,Check!B108)</f>
        <v>0</v>
      </c>
      <c r="J108" s="176" t="str">
        <f t="shared" si="23"/>
        <v/>
      </c>
      <c r="K108" s="21" t="str">
        <f>IF(B108="","",SUMIFS('Input_APM (Zenith)'!N:N,'Input_APM (Zenith)'!L:L,Check!B108,'Input_APM (Zenith)'!M:M,Check!$F$1))</f>
        <v/>
      </c>
      <c r="L108" s="21" t="str">
        <f>IF(B108="","",SUMIFS('Input_APM (Zenith)'!N:N,'Input_APM (Zenith)'!L:L,Check!B108,'Input_APM (Zenith)'!M:M,Check!$G$1))</f>
        <v/>
      </c>
      <c r="M108" s="174" t="str">
        <f t="shared" si="24"/>
        <v/>
      </c>
      <c r="O108"/>
      <c r="P108" s="174" t="str">
        <f>IF(O108="","",IF(OR(LEFT(O108,4)="Cash",LEFT(O108,4)="Prov"),0,SUMIFS(Input_APM!N:N,Input_APM!L:L,Check!O108)))</f>
        <v/>
      </c>
      <c r="Q108" s="21" t="str">
        <f>IF(O108="","",IF(LEN(O108)&gt;9,SUMIFS(Options!$H$3:$H$25,Options!$B$3:$B$25,Check!O108),SUMIFS('Master P&amp;L'!$H$11:$H$92,'Master P&amp;L'!$B$11:$B$92,Check!O108)))</f>
        <v/>
      </c>
      <c r="R108" s="174" t="str">
        <f t="shared" ref="R108:R113" si="26">IF(O108="","",P108-Q108)</f>
        <v/>
      </c>
      <c r="S108" s="289" t="str">
        <f t="shared" si="11"/>
        <v/>
      </c>
    </row>
    <row r="109" spans="1:19">
      <c r="C109" s="188" t="str">
        <f>IF(B109="","",IF(LEN(B109)&gt;9,SUMIFS(Options!$H$3:$H$25,Options!$B$3:$B$25,Check!B109),SUMIFS('Master P&amp;L'!$H$11:$H$92,'Master P&amp;L'!$B$11:$B$92,Check!B109)))</f>
        <v/>
      </c>
      <c r="D109" s="188" t="str">
        <f>IF(B109="","",SUMIFS(Input_APM!N:N,Input_APM!L:L,Check!B109,Input_APM!M:M,Check!$F$1))</f>
        <v/>
      </c>
      <c r="E109" s="174" t="str">
        <f>IF(B109="","",C109-M109)</f>
        <v/>
      </c>
      <c r="F109" s="188" t="str">
        <f>IF(B109="","",SUMIFS(Input_APM!N:N,Input_APM!M:M,Check!$F$1,Input_APM!L:L,Check!B109))</f>
        <v/>
      </c>
      <c r="G109" s="188" t="str">
        <f>IF(B109="","",SUMIFS(Input_APM!N:N,Input_APM!M:M,Check!$G$1,Input_APM!L:L,Check!B109))</f>
        <v/>
      </c>
      <c r="H109" s="174" t="str">
        <f t="shared" si="22"/>
        <v/>
      </c>
      <c r="I109" s="174">
        <f>SUMIFS(Input_APM!N:N,Input_APM!L:L,Check!B109)</f>
        <v>0</v>
      </c>
      <c r="J109" s="176" t="str">
        <f t="shared" si="23"/>
        <v/>
      </c>
      <c r="K109" s="21" t="str">
        <f>IF(B109="","",SUMIFS('Input_APM (Zenith)'!N:N,'Input_APM (Zenith)'!L:L,Check!B109,'Input_APM (Zenith)'!M:M,Check!$F$1))</f>
        <v/>
      </c>
      <c r="L109" s="21" t="str">
        <f>IF(B109="","",SUMIFS('Input_APM (Zenith)'!N:N,'Input_APM (Zenith)'!L:L,Check!B109,'Input_APM (Zenith)'!M:M,Check!$G$1))</f>
        <v/>
      </c>
      <c r="M109" s="174" t="str">
        <f t="shared" si="24"/>
        <v/>
      </c>
      <c r="O109"/>
      <c r="P109" s="174" t="str">
        <f>IF(O109="","",IF(OR(LEFT(O109,4)="Cash",LEFT(O109,4)="Prov"),0,SUMIFS(Input_APM!N:N,Input_APM!L:L,Check!O109)))</f>
        <v/>
      </c>
      <c r="Q109" s="21" t="str">
        <f>IF(O109="","",IF(LEN(O109)&gt;9,SUMIFS(Options!$H$3:$H$25,Options!$B$3:$B$25,Check!O109),SUMIFS('Master P&amp;L'!$H$11:$H$92,'Master P&amp;L'!$B$11:$B$92,Check!O109)))</f>
        <v/>
      </c>
      <c r="R109" s="174" t="str">
        <f t="shared" si="26"/>
        <v/>
      </c>
      <c r="S109" s="289" t="str">
        <f t="shared" si="11"/>
        <v/>
      </c>
    </row>
    <row r="110" spans="1:19">
      <c r="A110" t="s">
        <v>448</v>
      </c>
      <c r="C110" s="188" t="str">
        <f>IF(B110="","",IF(LEN(B110)&gt;9,SUMIFS(Options!$H$3:$H$25,Options!$B$3:$B$25,Check!B110),SUMIFS('Master P&amp;L'!$H$11:$H$92,'Master P&amp;L'!$B$11:$B$92,Check!B110)))</f>
        <v/>
      </c>
      <c r="D110" s="188" t="str">
        <f>IF(B110="","",SUMIFS(Input_APM!N:N,Input_APM!L:L,Check!B110,Input_APM!M:M,Check!$F$1))</f>
        <v/>
      </c>
      <c r="E110" s="174" t="str">
        <f t="shared" si="21"/>
        <v/>
      </c>
      <c r="F110" s="188" t="str">
        <f>IF(B110="","",SUMIFS(Input_APM!N:N,Input_APM!M:M,Check!$F$1,Input_APM!L:L,Check!B110))</f>
        <v/>
      </c>
      <c r="G110" s="188" t="str">
        <f>IF(B110="","",SUMIFS(Input_APM!N:N,Input_APM!M:M,Check!$G$1,Input_APM!L:L,Check!B110))</f>
        <v/>
      </c>
      <c r="H110" s="174" t="str">
        <f t="shared" si="22"/>
        <v/>
      </c>
      <c r="I110" s="174">
        <f>SUMIFS(Input_APM!N:N,Input_APM!L:L,Check!B110)</f>
        <v>0</v>
      </c>
      <c r="J110" s="176" t="str">
        <f t="shared" si="23"/>
        <v/>
      </c>
      <c r="K110" s="21" t="str">
        <f>IF(B110="","",SUMIFS('Input_APM (Zenith)'!N:N,'Input_APM (Zenith)'!L:L,Check!B110,'Input_APM (Zenith)'!M:M,Check!$F$1))</f>
        <v/>
      </c>
      <c r="L110" s="21" t="str">
        <f>IF(B110="","",SUMIFS('Input_APM (Zenith)'!N:N,'Input_APM (Zenith)'!L:L,Check!B110,'Input_APM (Zenith)'!M:M,Check!$G$1))</f>
        <v/>
      </c>
      <c r="M110" s="174" t="str">
        <f t="shared" si="24"/>
        <v/>
      </c>
      <c r="O110"/>
      <c r="P110" s="174" t="str">
        <f>IF(O110="","",IF(OR(LEFT(O110,4)="Cash",LEFT(O110,4)="Prov"),0,SUMIFS(Input_APM!N:N,Input_APM!L:L,Check!O110)))</f>
        <v/>
      </c>
      <c r="Q110" s="21" t="str">
        <f>IF(O110="","",IF(LEN(O110)&gt;9,SUMIFS(Options!$H$3:$H$25,Options!$B$3:$B$25,Check!O110),SUMIFS('Master P&amp;L'!$H$11:$H$92,'Master P&amp;L'!$B$11:$B$92,Check!O110)))</f>
        <v/>
      </c>
      <c r="R110" s="174" t="str">
        <f t="shared" si="26"/>
        <v/>
      </c>
      <c r="S110" s="289" t="str">
        <f t="shared" si="11"/>
        <v/>
      </c>
    </row>
    <row r="111" spans="1:19">
      <c r="C111" s="188" t="str">
        <f>IF(B111="","",IF(LEN(B111)&gt;9,SUMIFS(Options!$H$3:$H$25,Options!$B$3:$B$25,Check!B111),SUMIFS('Master P&amp;L'!$H$11:$H$92,'Master P&amp;L'!$B$11:$B$92,Check!B111)))</f>
        <v/>
      </c>
      <c r="D111" s="188" t="str">
        <f>IF(B111="","",SUMIFS(Input_APM!N:N,Input_APM!L:L,Check!B111,Input_APM!M:M,Check!$F$1))</f>
        <v/>
      </c>
      <c r="E111" s="174" t="str">
        <f t="shared" si="21"/>
        <v/>
      </c>
      <c r="F111" s="188" t="str">
        <f>IF(B111="","",SUMIFS(Input_APM!N:N,Input_APM!M:M,Check!$F$1,Input_APM!L:L,Check!B111))</f>
        <v/>
      </c>
      <c r="G111" s="188" t="str">
        <f>IF(B111="","",SUMIFS(Input_APM!N:N,Input_APM!M:M,Check!$G$1,Input_APM!L:L,Check!B111))</f>
        <v/>
      </c>
      <c r="H111" s="174" t="str">
        <f t="shared" si="22"/>
        <v/>
      </c>
      <c r="I111" s="174">
        <f>SUMIFS(Input_APM!N:N,Input_APM!L:L,Check!B111)</f>
        <v>0</v>
      </c>
      <c r="J111" s="176" t="str">
        <f t="shared" si="23"/>
        <v/>
      </c>
      <c r="K111" s="21" t="str">
        <f>IF(B111="","",SUMIFS('Input_APM (Zenith)'!N:N,'Input_APM (Zenith)'!L:L,Check!B111,'Input_APM (Zenith)'!M:M,Check!$F$1))</f>
        <v/>
      </c>
      <c r="L111" s="21" t="str">
        <f>IF(B111="","",SUMIFS('Input_APM (Zenith)'!N:N,'Input_APM (Zenith)'!L:L,Check!B111,'Input_APM (Zenith)'!M:M,Check!$G$1))</f>
        <v/>
      </c>
      <c r="M111" s="174" t="str">
        <f t="shared" si="24"/>
        <v/>
      </c>
      <c r="O111"/>
      <c r="P111" s="174" t="str">
        <f>IF(O111="","",IF(OR(LEFT(O111,4)="Cash",LEFT(O111,4)="Prov"),0,SUMIFS(Input_APM!N:N,Input_APM!L:L,Check!O111)))</f>
        <v/>
      </c>
      <c r="Q111" s="21" t="str">
        <f>IF(O111="","",IF(LEN(O111)&gt;9,SUMIFS(Options!$H$3:$H$25,Options!$B$3:$B$25,Check!O111),SUMIFS('Master P&amp;L'!$H$11:$H$92,'Master P&amp;L'!$B$11:$B$92,Check!O111)))</f>
        <v/>
      </c>
      <c r="R111" s="174" t="str">
        <f t="shared" si="26"/>
        <v/>
      </c>
      <c r="S111" s="289" t="str">
        <f t="shared" si="11"/>
        <v/>
      </c>
    </row>
    <row r="112" spans="1:19">
      <c r="C112" s="188" t="str">
        <f>IF(B112="","",IF(LEN(B112)&gt;9,SUMIFS(Options!$H$3:$H$25,Options!$B$3:$B$25,Check!B112),SUMIFS('Master P&amp;L'!$H$11:$H$92,'Master P&amp;L'!$B$11:$B$92,Check!B112)))</f>
        <v/>
      </c>
      <c r="D112" s="188" t="str">
        <f>IF(B112="","",SUMIFS(Input_APM!N:N,Input_APM!L:L,Check!B112,Input_APM!M:M,Check!$F$1))</f>
        <v/>
      </c>
      <c r="E112" s="174" t="str">
        <f t="shared" si="21"/>
        <v/>
      </c>
      <c r="F112" s="188" t="str">
        <f>IF(B112="","",SUMIFS(Input_APM!N:N,Input_APM!M:M,Check!$F$1,Input_APM!L:L,Check!B112))</f>
        <v/>
      </c>
      <c r="G112" s="188" t="str">
        <f>IF(B112="","",SUMIFS(Input_APM!N:N,Input_APM!M:M,Check!$G$1,Input_APM!L:L,Check!B112))</f>
        <v/>
      </c>
      <c r="H112" s="174" t="str">
        <f t="shared" si="22"/>
        <v/>
      </c>
      <c r="I112" s="174">
        <f>SUMIFS(Input_APM!N:N,Input_APM!L:L,Check!B112)</f>
        <v>0</v>
      </c>
      <c r="J112" s="176" t="str">
        <f t="shared" si="23"/>
        <v/>
      </c>
      <c r="K112" s="21" t="str">
        <f>IF(B112="","",SUMIFS('Input_APM (Zenith)'!N:N,'Input_APM (Zenith)'!L:L,Check!B112,'Input_APM (Zenith)'!M:M,Check!$F$1))</f>
        <v/>
      </c>
      <c r="L112" s="21" t="str">
        <f>IF(B112="","",SUMIFS('Input_APM (Zenith)'!N:N,'Input_APM (Zenith)'!L:L,Check!B112,'Input_APM (Zenith)'!M:M,Check!$G$1))</f>
        <v/>
      </c>
      <c r="M112" s="174" t="str">
        <f t="shared" si="24"/>
        <v/>
      </c>
      <c r="O112"/>
      <c r="P112" s="174" t="str">
        <f>IF(O112="","",IF(OR(LEFT(O112,4)="Cash",LEFT(O112,4)="Prov"),0,SUMIFS(Input_APM!N:N,Input_APM!L:L,Check!O112)))</f>
        <v/>
      </c>
      <c r="Q112" s="21" t="str">
        <f>IF(O112="","",IF(LEN(O112)&gt;9,SUMIFS(Options!$H$3:$H$25,Options!$B$3:$B$25,Check!O112),SUMIFS('Master P&amp;L'!$H$11:$H$92,'Master P&amp;L'!$B$11:$B$92,Check!O112)))</f>
        <v/>
      </c>
      <c r="R112" s="174" t="str">
        <f t="shared" si="26"/>
        <v/>
      </c>
      <c r="S112" s="289" t="str">
        <f t="shared" si="11"/>
        <v/>
      </c>
    </row>
    <row r="113" spans="3:20">
      <c r="C113" s="188" t="str">
        <f>IF(B113="","",IF(LEN(B113)&gt;9,SUMIFS(Options!$H$3:$H$25,Options!$B$3:$B$25,Check!B113),SUMIFS('Master P&amp;L'!$H$11:$H$92,'Master P&amp;L'!$B$11:$B$92,Check!B113)))</f>
        <v/>
      </c>
      <c r="D113" s="188" t="str">
        <f>IF(B113="","",SUMIFS(Input_APM!N:N,Input_APM!L:L,Check!B113,Input_APM!M:M,Check!$F$1))</f>
        <v/>
      </c>
      <c r="E113" s="174" t="str">
        <f t="shared" si="21"/>
        <v/>
      </c>
      <c r="F113" s="188" t="str">
        <f>IF(B113="","",SUMIFS(Input_APM!N:N,Input_APM!M:M,Check!$F$1,Input_APM!L:L,Check!B113))</f>
        <v/>
      </c>
      <c r="G113" s="188" t="str">
        <f>IF(B113="","",SUMIFS(Input_APM!N:N,Input_APM!M:M,Check!$G$1,Input_APM!L:L,Check!B113))</f>
        <v/>
      </c>
      <c r="H113" s="174" t="str">
        <f t="shared" si="22"/>
        <v/>
      </c>
      <c r="I113" s="174">
        <f>SUMIFS(Input_APM!N:N,Input_APM!L:L,Check!B113)</f>
        <v>0</v>
      </c>
      <c r="J113" s="176" t="str">
        <f t="shared" si="23"/>
        <v/>
      </c>
      <c r="K113" s="21" t="str">
        <f>IF(B113="","",SUMIFS('Input_APM (Zenith)'!N:N,'Input_APM (Zenith)'!L:L,Check!B113,'Input_APM (Zenith)'!M:M,Check!$F$1))</f>
        <v/>
      </c>
      <c r="L113" s="21" t="str">
        <f>IF(B113="","",SUMIFS('Input_APM (Zenith)'!N:N,'Input_APM (Zenith)'!L:L,Check!B113,'Input_APM (Zenith)'!M:M,Check!$G$1))</f>
        <v/>
      </c>
      <c r="M113" s="174" t="str">
        <f t="shared" si="24"/>
        <v/>
      </c>
      <c r="O113"/>
      <c r="P113" s="174" t="str">
        <f>IF(O113="","",IF(OR(LEFT(O113,4)="Cash",LEFT(O113,4)="Prov"),0,SUMIFS(Input_APM!N:N,Input_APM!L:L,Check!O113)))</f>
        <v/>
      </c>
      <c r="Q113" s="21" t="str">
        <f>IF(O113="","",IF(LEN(O113)&gt;9,SUMIFS(Options!$H$3:$H$25,Options!$B$3:$B$25,Check!O113),SUMIFS('Master P&amp;L'!$H$11:$H$92,'Master P&amp;L'!$B$11:$B$92,Check!O113)))</f>
        <v/>
      </c>
      <c r="R113" s="174" t="str">
        <f t="shared" si="26"/>
        <v/>
      </c>
      <c r="S113" s="289" t="str">
        <f t="shared" si="11"/>
        <v/>
      </c>
    </row>
    <row r="114" spans="3:20">
      <c r="C114" s="188" t="str">
        <f>IF(B114="","",IF(LEN(B114)&gt;9,SUMIFS(Options!$H$3:$H$25,Options!$B$3:$B$25,Check!B114),SUMIFS('Master P&amp;L'!$H$11:$H$92,'Master P&amp;L'!$B$11:$B$92,Check!B114)))</f>
        <v/>
      </c>
      <c r="D114" s="188" t="str">
        <f>IF(B114="","",SUMIFS(Input_APM!N:N,Input_APM!L:L,Check!B114,Input_APM!M:M,Check!$F$1))</f>
        <v/>
      </c>
      <c r="E114" s="174" t="str">
        <f>IF(B114="","",C114-M114)</f>
        <v/>
      </c>
      <c r="F114" s="188" t="str">
        <f>IF(B114="","",SUMIFS(Input_APM!N:N,Input_APM!M:M,Check!$F$1,Input_APM!L:L,Check!B114))</f>
        <v/>
      </c>
      <c r="G114" s="188" t="str">
        <f>IF(B114="","",SUMIFS(Input_APM!N:N,Input_APM!M:M,Check!$G$1,Input_APM!L:L,Check!B114))</f>
        <v/>
      </c>
      <c r="H114" s="174" t="str">
        <f>IF(B114="","",F114-G114)</f>
        <v/>
      </c>
      <c r="I114" s="174">
        <f>SUMIFS(Input_APM!N:N,Input_APM!L:L,Check!B114)</f>
        <v>0</v>
      </c>
      <c r="J114" s="176" t="str">
        <f>IF(B114="","",(F114+G114)-I114)</f>
        <v/>
      </c>
      <c r="K114" s="21" t="str">
        <f>IF(B114="","",SUMIFS('Input_APM (Zenith)'!N:N,'Input_APM (Zenith)'!L:L,Check!B114,'Input_APM (Zenith)'!M:M,Check!$F$1))</f>
        <v/>
      </c>
      <c r="L114" s="21" t="str">
        <f>IF(B114="","",SUMIFS('Input_APM (Zenith)'!N:N,'Input_APM (Zenith)'!L:L,Check!B114,'Input_APM (Zenith)'!M:M,Check!$G$1))</f>
        <v/>
      </c>
      <c r="M114" s="174" t="str">
        <f>IF(B114="","",F114+G114+K114+L114)</f>
        <v/>
      </c>
      <c r="O114"/>
      <c r="P114" s="174" t="str">
        <f>IF(O114="","",IF(OR(LEFT(O114,4)="Cash",LEFT(O114,4)="Prov"),0,SUMIFS(Input_APM!N:N,Input_APM!L:L,Check!O114)))</f>
        <v/>
      </c>
      <c r="Q114" s="21" t="str">
        <f>IF(O114="","",IF(LEN(O114)&gt;9,SUMIFS(Options!$H$3:$H$25,Options!$B$3:$B$25,Check!O114),SUMIFS('Master P&amp;L'!$H$11:$H$92,'Master P&amp;L'!$B$11:$B$92,Check!O114)))</f>
        <v/>
      </c>
      <c r="R114" s="174" t="str">
        <f>IF(O114="","",P114-Q114)</f>
        <v/>
      </c>
      <c r="S114" s="289" t="str">
        <f t="shared" si="11"/>
        <v/>
      </c>
    </row>
    <row r="115" spans="3:20">
      <c r="C115" s="188" t="str">
        <f>IF(B115="","",IF(LEN(B115)&gt;9,SUMIFS(Options!$H$3:$H$25,Options!$B$3:$B$25,Check!B115),SUMIFS('Master P&amp;L'!$H$11:$H$92,'Master P&amp;L'!$B$11:$B$92,Check!B115)))</f>
        <v/>
      </c>
      <c r="D115" s="188" t="str">
        <f>IF(B115="","",SUMIFS(Input_APM!N:N,Input_APM!L:L,Check!B115,Input_APM!M:M,Check!$F$1))</f>
        <v/>
      </c>
      <c r="E115" s="174" t="str">
        <f>IF(B115="","",C115-M115)</f>
        <v/>
      </c>
      <c r="F115" s="188" t="str">
        <f>IF(B115="","",SUMIFS(Input_APM!N:N,Input_APM!M:M,Check!$F$1,Input_APM!L:L,Check!B115))</f>
        <v/>
      </c>
      <c r="G115" s="188" t="str">
        <f>IF(B115="","",SUMIFS(Input_APM!N:N,Input_APM!M:M,Check!$G$1,Input_APM!L:L,Check!B115))</f>
        <v/>
      </c>
      <c r="H115" s="174" t="str">
        <f>IF(B115="","",F115-G115)</f>
        <v/>
      </c>
      <c r="I115" s="174">
        <f>SUMIFS(Input_APM!N:N,Input_APM!L:L,Check!B115)</f>
        <v>0</v>
      </c>
      <c r="J115" s="176" t="str">
        <f>IF(B115="","",(F115+G115)-I115)</f>
        <v/>
      </c>
      <c r="K115" s="21" t="str">
        <f>IF(B115="","",SUMIFS('Input_APM (Zenith)'!N:N,'Input_APM (Zenith)'!L:L,Check!B115,'Input_APM (Zenith)'!M:M,Check!$F$1))</f>
        <v/>
      </c>
      <c r="L115" s="21" t="str">
        <f>IF(B115="","",SUMIFS('Input_APM (Zenith)'!N:N,'Input_APM (Zenith)'!L:L,Check!B115,'Input_APM (Zenith)'!M:M,Check!$G$1))</f>
        <v/>
      </c>
      <c r="M115" s="174" t="str">
        <f>IF(B115="","",F115+G115+K115+L115)</f>
        <v/>
      </c>
      <c r="O115"/>
      <c r="P115" s="174" t="str">
        <f>IF(O115="","",IF(OR(LEFT(O115,4)="Cash",LEFT(O115,4)="Prov"),0,SUMIFS(Input_APM!N:N,Input_APM!L:L,Check!O115)))</f>
        <v/>
      </c>
      <c r="Q115" s="21" t="str">
        <f>IF(O115="","",IF(LEN(O115)&gt;9,SUMIFS(Options!$H$3:$H$25,Options!$B$3:$B$25,Check!O115),SUMIFS('Master P&amp;L'!$H$11:$H$92,'Master P&amp;L'!$B$11:$B$92,Check!O115)))</f>
        <v/>
      </c>
      <c r="R115" s="174" t="str">
        <f>IF(O115="","",P115-Q115)</f>
        <v/>
      </c>
      <c r="S115" s="289" t="str">
        <f t="shared" si="11"/>
        <v/>
      </c>
    </row>
    <row r="116" spans="3:20">
      <c r="C116" s="188" t="str">
        <f>IF(B116="","",IF(LEN(B116)&gt;9,SUMIFS(Options!$H$3:$H$25,Options!$B$3:$B$25,Check!B116),SUMIFS('Master P&amp;L'!$H$11:$H$92,'Master P&amp;L'!$B$11:$B$92,Check!B116)))</f>
        <v/>
      </c>
      <c r="D116" s="188" t="str">
        <f>IF(B116="","",SUMIFS(Input_APM!N:N,Input_APM!L:L,Check!B116,Input_APM!M:M,Check!$F$1))</f>
        <v/>
      </c>
      <c r="E116" s="174" t="str">
        <f>IF(B116="","",C116-M116)</f>
        <v/>
      </c>
      <c r="F116" s="188" t="str">
        <f>IF(B116="","",SUMIFS(Input_APM!N:N,Input_APM!M:M,Check!$F$1,Input_APM!L:L,Check!B116))</f>
        <v/>
      </c>
      <c r="G116" s="188" t="str">
        <f>IF(B116="","",SUMIFS(Input_APM!N:N,Input_APM!M:M,Check!$G$1,Input_APM!L:L,Check!B116))</f>
        <v/>
      </c>
      <c r="H116" s="174" t="str">
        <f>IF(B116="","",F116-G116)</f>
        <v/>
      </c>
      <c r="I116" s="174">
        <f>SUMIFS(Input_APM!N:N,Input_APM!L:L,Check!B116)</f>
        <v>0</v>
      </c>
      <c r="J116" s="176" t="str">
        <f>IF(B116="","",(F116+G116)-I116)</f>
        <v/>
      </c>
      <c r="K116" s="21" t="str">
        <f>IF(B116="","",SUMIFS('Input_APM (Zenith)'!N:N,'Input_APM (Zenith)'!L:L,Check!B116,'Input_APM (Zenith)'!M:M,Check!$F$1))</f>
        <v/>
      </c>
      <c r="L116" s="21" t="str">
        <f>IF(B116="","",SUMIFS('Input_APM (Zenith)'!N:N,'Input_APM (Zenith)'!L:L,Check!B116,'Input_APM (Zenith)'!M:M,Check!$G$1))</f>
        <v/>
      </c>
      <c r="M116" s="174" t="str">
        <f>IF(B116="","",F116+G116+K116+L116)</f>
        <v/>
      </c>
      <c r="O116"/>
      <c r="P116" s="174" t="str">
        <f>IF(O116="","",IF(OR(LEFT(O116,4)="Cash",LEFT(O116,4)="Prov"),0,SUMIFS(Input_APM!N:N,Input_APM!L:L,Check!O116)))</f>
        <v/>
      </c>
      <c r="Q116" s="21" t="str">
        <f>IF(O116="","",IF(LEN(O116)&gt;9,SUMIFS(Options!$H$3:$H$25,Options!$B$3:$B$25,Check!O116),SUMIFS('Master P&amp;L'!$H$11:$H$92,'Master P&amp;L'!$B$11:$B$92,Check!O116)))</f>
        <v/>
      </c>
      <c r="R116" s="174" t="str">
        <f>IF(O116="","",P116-Q116)</f>
        <v/>
      </c>
      <c r="S116" s="289" t="str">
        <f t="shared" si="11"/>
        <v/>
      </c>
    </row>
    <row r="117" spans="3:20">
      <c r="C117" s="188" t="str">
        <f>IF(B117="","",IF(LEN(B117)&gt;9,SUMIFS(Options!$H$3:$H$25,Options!$B$3:$B$25,Check!B117),SUMIFS('Master P&amp;L'!$H$11:$H$92,'Master P&amp;L'!$B$11:$B$92,Check!B117)))</f>
        <v/>
      </c>
      <c r="D117" s="188" t="str">
        <f>IF(B117="","",SUMIFS(Input_APM!N:N,Input_APM!L:L,Check!B117,Input_APM!M:M,Check!$F$1))</f>
        <v/>
      </c>
      <c r="E117" s="174" t="str">
        <f>IF(B117="","",C117-M117)</f>
        <v/>
      </c>
      <c r="F117" s="188" t="str">
        <f>IF(B117="","",SUMIFS(Input_APM!N:N,Input_APM!M:M,Check!$F$1,Input_APM!L:L,Check!B117))</f>
        <v/>
      </c>
      <c r="G117" s="188" t="str">
        <f>IF(B117="","",SUMIFS(Input_APM!N:N,Input_APM!M:M,Check!$G$1,Input_APM!L:L,Check!B117))</f>
        <v/>
      </c>
      <c r="H117" s="174" t="str">
        <f>IF(B117="","",F117-G117)</f>
        <v/>
      </c>
      <c r="I117" s="174">
        <f>SUMIFS(Input_APM!N:N,Input_APM!L:L,Check!B117)</f>
        <v>0</v>
      </c>
      <c r="J117" s="176" t="str">
        <f>IF(B117="","",(F117+G117)-I117)</f>
        <v/>
      </c>
      <c r="K117" s="21" t="str">
        <f>IF(B117="","",SUMIFS('Input_APM (Zenith)'!N:N,'Input_APM (Zenith)'!L:L,Check!B117,'Input_APM (Zenith)'!M:M,Check!$F$1))</f>
        <v/>
      </c>
      <c r="L117" s="21" t="str">
        <f>IF(B117="","",SUMIFS('Input_APM (Zenith)'!N:N,'Input_APM (Zenith)'!L:L,Check!B117,'Input_APM (Zenith)'!M:M,Check!$G$1))</f>
        <v/>
      </c>
      <c r="M117" s="174" t="str">
        <f>IF(B117="","",F117+G117+K117+L117)</f>
        <v/>
      </c>
      <c r="O117"/>
      <c r="P117" s="174" t="str">
        <f>IF(O117="","",IF(OR(LEFT(O117,4)="Cash",LEFT(O117,4)="Prov"),0,SUMIFS(Input_APM!N:N,Input_APM!L:L,Check!O117)))</f>
        <v/>
      </c>
      <c r="Q117" s="21" t="str">
        <f>IF(O117="","",IF(LEN(O117)&gt;9,SUMIFS(Options!$H$3:$H$25,Options!$B$3:$B$25,Check!O117),SUMIFS('Master P&amp;L'!$H$11:$H$92,'Master P&amp;L'!$B$11:$B$92,Check!O117)))</f>
        <v/>
      </c>
      <c r="R117" s="174" t="str">
        <f>IF(O117="","",P117-Q117)</f>
        <v/>
      </c>
      <c r="S117" s="289" t="str">
        <f t="shared" si="11"/>
        <v/>
      </c>
    </row>
    <row r="118" spans="3:20">
      <c r="C118" s="188" t="str">
        <f>IF(B118="","",IF(LEN(B118)&gt;9,SUMIFS(Options!$H$3:$H$25,Options!$B$3:$B$25,Check!B118),SUMIFS('Master P&amp;L'!$H$11:$H$92,'Master P&amp;L'!$B$11:$B$92,Check!B118)))</f>
        <v/>
      </c>
      <c r="D118" s="188" t="str">
        <f>IF(B118="","",SUMIFS(Input_APM!N:N,Input_APM!L:L,Check!B118,Input_APM!M:M,Check!$F$1))</f>
        <v/>
      </c>
      <c r="E118" s="174" t="str">
        <f>IF(B118="","",C118-M118)</f>
        <v/>
      </c>
      <c r="F118" s="188" t="str">
        <f>IF(B118="","",SUMIFS(Input_APM!N:N,Input_APM!M:M,Check!$F$1,Input_APM!L:L,Check!B118))</f>
        <v/>
      </c>
      <c r="G118" s="188" t="str">
        <f>IF(B118="","",SUMIFS(Input_APM!N:N,Input_APM!M:M,Check!$G$1,Input_APM!L:L,Check!B118))</f>
        <v/>
      </c>
      <c r="H118" s="174" t="str">
        <f>IF(B118="","",F118-G118)</f>
        <v/>
      </c>
      <c r="I118" s="174">
        <f>SUMIFS(Input_APM!N:N,Input_APM!L:L,Check!B118)</f>
        <v>0</v>
      </c>
      <c r="J118" s="176" t="str">
        <f>IF(B118="","",(F118+G118)-I118)</f>
        <v/>
      </c>
      <c r="K118" s="21" t="str">
        <f>IF(B118="","",SUMIFS('Input_APM (Zenith)'!N:N,'Input_APM (Zenith)'!L:L,Check!B118,'Input_APM (Zenith)'!M:M,Check!$F$1))</f>
        <v/>
      </c>
      <c r="L118" s="21" t="str">
        <f>IF(B118="","",SUMIFS('Input_APM (Zenith)'!N:N,'Input_APM (Zenith)'!L:L,Check!B118,'Input_APM (Zenith)'!M:M,Check!$G$1))</f>
        <v/>
      </c>
      <c r="M118" s="174" t="str">
        <f>IF(B118="","",F118+G118+K118+L118)</f>
        <v/>
      </c>
      <c r="O118"/>
      <c r="P118" s="174" t="str">
        <f>IF(O118="","",IF(OR(LEFT(O118,4)="Cash",LEFT(O118,4)="Prov"),0,SUMIFS(Input_APM!N:N,Input_APM!L:L,Check!O118)))</f>
        <v/>
      </c>
      <c r="Q118" s="21" t="str">
        <f>IF(O118="","",IF(LEN(O118)&gt;9,SUMIFS(Options!$H$3:$H$25,Options!$B$3:$B$25,Check!O118),SUMIFS('Master P&amp;L'!$H$11:$H$92,'Master P&amp;L'!$B$11:$B$92,Check!O118)))</f>
        <v/>
      </c>
      <c r="R118" s="174" t="str">
        <f t="shared" ref="R118:R124" si="27">IF(O118="","",P118-Q118)</f>
        <v/>
      </c>
      <c r="S118" s="289" t="str">
        <f t="shared" si="11"/>
        <v/>
      </c>
    </row>
    <row r="119" spans="3:20">
      <c r="C119" s="188" t="str">
        <f>IF(B119="","",IF(LEN(B119)&gt;9,SUMIFS(Options!$H$3:$H$25,Options!$B$3:$B$25,Check!B119),SUMIFS('Master P&amp;L'!$H$11:$H$92,'Master P&amp;L'!$B$11:$B$92,Check!B119)))</f>
        <v/>
      </c>
      <c r="D119" s="188" t="str">
        <f>IF(B119="","",SUMIFS(Input_APM!N:N,Input_APM!L:L,Check!B119,Input_APM!M:M,Check!$F$1))</f>
        <v/>
      </c>
      <c r="E119" s="174" t="str">
        <f t="shared" ref="E119:E128" si="28">IF(B119="","",C119-M119)</f>
        <v/>
      </c>
      <c r="F119" s="188" t="str">
        <f>IF(B119="","",SUMIFS(Input_APM!N:N,Input_APM!M:M,Check!$F$1,Input_APM!L:L,Check!B119))</f>
        <v/>
      </c>
      <c r="G119" s="188" t="str">
        <f>IF(B119="","",SUMIFS(Input_APM!N:N,Input_APM!M:M,Check!$G$1,Input_APM!L:L,Check!B119))</f>
        <v/>
      </c>
      <c r="H119" s="174" t="str">
        <f t="shared" ref="H119:H128" si="29">IF(B119="","",F119-G119)</f>
        <v/>
      </c>
      <c r="I119" s="174">
        <f>SUMIFS(Input_APM!N:N,Input_APM!L:L,Check!B119)</f>
        <v>0</v>
      </c>
      <c r="J119" s="176" t="str">
        <f t="shared" ref="J119:J128" si="30">IF(B119="","",(F119+G119)-I119)</f>
        <v/>
      </c>
      <c r="K119" s="21" t="str">
        <f>IF(B119="","",SUMIFS('Input_APM (Zenith)'!N:N,'Input_APM (Zenith)'!L:L,Check!B119,'Input_APM (Zenith)'!M:M,Check!$F$1))</f>
        <v/>
      </c>
      <c r="L119" s="21" t="str">
        <f>IF(B119="","",SUMIFS('Input_APM (Zenith)'!N:N,'Input_APM (Zenith)'!L:L,Check!B119,'Input_APM (Zenith)'!M:M,Check!$G$1))</f>
        <v/>
      </c>
      <c r="M119" s="174" t="str">
        <f t="shared" ref="M119:M128" si="31">IF(B119="","",F119+G119+K119+L119)</f>
        <v/>
      </c>
      <c r="O119"/>
      <c r="P119" s="174" t="str">
        <f>IF(O119="","",IF(OR(LEFT(O119,4)="Cash",LEFT(O119,4)="Prov"),0,SUMIFS(Input_APM!N:N,Input_APM!L:L,Check!O119)))</f>
        <v/>
      </c>
      <c r="Q119" s="21" t="str">
        <f>IF(O119="","",IF(LEN(O119)&gt;9,SUMIFS(Options!$H$3:$H$25,Options!$B$3:$B$25,Check!O119),SUMIFS('Master P&amp;L'!$H$11:$H$92,'Master P&amp;L'!$B$11:$B$92,Check!O119)))</f>
        <v/>
      </c>
      <c r="R119" s="174" t="str">
        <f t="shared" si="27"/>
        <v/>
      </c>
      <c r="S119" s="289" t="str">
        <f t="shared" si="11"/>
        <v/>
      </c>
    </row>
    <row r="120" spans="3:20">
      <c r="C120" s="188" t="str">
        <f>IF(B120="","",IF(LEN(B120)&gt;9,SUMIFS(Options!$H$3:$H$25,Options!$B$3:$B$25,Check!B120),SUMIFS('Master P&amp;L'!$H$11:$H$92,'Master P&amp;L'!$B$11:$B$92,Check!B120)))</f>
        <v/>
      </c>
      <c r="D120" s="188" t="str">
        <f>IF(B120="","",SUMIFS(Input_APM!N:N,Input_APM!L:L,Check!B120,Input_APM!M:M,Check!$F$1))</f>
        <v/>
      </c>
      <c r="E120" s="174" t="str">
        <f t="shared" si="28"/>
        <v/>
      </c>
      <c r="F120" s="188" t="str">
        <f>IF(B120="","",SUMIFS(Input_APM!N:N,Input_APM!M:M,Check!$F$1,Input_APM!L:L,Check!B120))</f>
        <v/>
      </c>
      <c r="G120" s="188" t="str">
        <f>IF(B120="","",SUMIFS(Input_APM!N:N,Input_APM!M:M,Check!$G$1,Input_APM!L:L,Check!B120))</f>
        <v/>
      </c>
      <c r="H120" s="174" t="str">
        <f t="shared" si="29"/>
        <v/>
      </c>
      <c r="I120" s="174">
        <f>SUMIFS(Input_APM!N:N,Input_APM!L:L,Check!B120)</f>
        <v>0</v>
      </c>
      <c r="J120" s="176" t="str">
        <f t="shared" si="30"/>
        <v/>
      </c>
      <c r="K120" s="21" t="str">
        <f>IF(B120="","",SUMIFS('Input_APM (Zenith)'!N:N,'Input_APM (Zenith)'!L:L,Check!B120,'Input_APM (Zenith)'!M:M,Check!$F$1))</f>
        <v/>
      </c>
      <c r="L120" s="21" t="str">
        <f>IF(B120="","",SUMIFS('Input_APM (Zenith)'!N:N,'Input_APM (Zenith)'!L:L,Check!B120,'Input_APM (Zenith)'!M:M,Check!$G$1))</f>
        <v/>
      </c>
      <c r="M120" s="174" t="str">
        <f t="shared" si="31"/>
        <v/>
      </c>
      <c r="O120"/>
      <c r="P120" s="174" t="str">
        <f>IF(O120="","",IF(OR(LEFT(O120,4)="Cash",LEFT(O120,4)="Prov"),0,SUMIFS(Input_APM!N:N,Input_APM!L:L,Check!O120)))</f>
        <v/>
      </c>
      <c r="Q120" s="21" t="str">
        <f>IF(O120="","",IF(LEN(O120)&gt;9,SUMIFS(Options!$H$3:$H$25,Options!$B$3:$B$25,Check!O120),SUMIFS('Master P&amp;L'!$H$11:$H$92,'Master P&amp;L'!$B$11:$B$92,Check!O120)))</f>
        <v/>
      </c>
      <c r="R120" s="174" t="str">
        <f t="shared" si="27"/>
        <v/>
      </c>
      <c r="S120" s="289" t="str">
        <f t="shared" si="11"/>
        <v/>
      </c>
    </row>
    <row r="121" spans="3:20">
      <c r="C121" s="188" t="str">
        <f>IF(B121="","",IF(LEN(B121)&gt;9,SUMIFS(Options!$H$3:$H$25,Options!$B$3:$B$25,Check!B121),SUMIFS('Master P&amp;L'!$H$11:$H$92,'Master P&amp;L'!$B$11:$B$92,Check!B121)))</f>
        <v/>
      </c>
      <c r="D121" s="188" t="str">
        <f>IF(B121="","",SUMIFS(Input_APM!N:N,Input_APM!L:L,Check!B121,Input_APM!M:M,Check!$F$1))</f>
        <v/>
      </c>
      <c r="E121" s="174" t="str">
        <f t="shared" si="28"/>
        <v/>
      </c>
      <c r="F121" s="188" t="str">
        <f>IF(B121="","",SUMIFS(Input_APM!N:N,Input_APM!M:M,Check!$F$1,Input_APM!L:L,Check!B121))</f>
        <v/>
      </c>
      <c r="G121" s="188" t="str">
        <f>IF(B121="","",SUMIFS(Input_APM!N:N,Input_APM!M:M,Check!$G$1,Input_APM!L:L,Check!B121))</f>
        <v/>
      </c>
      <c r="H121" s="174" t="str">
        <f t="shared" si="29"/>
        <v/>
      </c>
      <c r="I121" s="174">
        <f>SUMIFS(Input_APM!N:N,Input_APM!L:L,Check!B121)</f>
        <v>0</v>
      </c>
      <c r="J121" s="176" t="str">
        <f t="shared" si="30"/>
        <v/>
      </c>
      <c r="K121" s="21" t="str">
        <f>IF(B121="","",SUMIFS('Input_APM (Zenith)'!N:N,'Input_APM (Zenith)'!L:L,Check!B121,'Input_APM (Zenith)'!M:M,Check!$F$1))</f>
        <v/>
      </c>
      <c r="L121" s="21" t="str">
        <f>IF(B121="","",SUMIFS('Input_APM (Zenith)'!N:N,'Input_APM (Zenith)'!L:L,Check!B121,'Input_APM (Zenith)'!M:M,Check!$G$1))</f>
        <v/>
      </c>
      <c r="M121" s="174" t="str">
        <f t="shared" si="31"/>
        <v/>
      </c>
      <c r="O121"/>
      <c r="P121" s="174" t="str">
        <f>IF(O121="","",IF(OR(LEFT(O121,4)="Cash",LEFT(O121,4)="Prov"),0,SUMIFS(Input_APM!N:N,Input_APM!L:L,Check!O121)))</f>
        <v/>
      </c>
      <c r="Q121" s="21" t="str">
        <f>IF(O121="","",IF(LEN(O121)&gt;9,SUMIFS(Options!$H$3:$H$25,Options!$B$3:$B$25,Check!O121),SUMIFS('Master P&amp;L'!$H$11:$H$92,'Master P&amp;L'!$B$11:$B$92,Check!O121)))</f>
        <v/>
      </c>
      <c r="R121" s="174" t="str">
        <f t="shared" si="27"/>
        <v/>
      </c>
      <c r="S121" s="289" t="str">
        <f t="shared" si="11"/>
        <v/>
      </c>
    </row>
    <row r="122" spans="3:20">
      <c r="C122" s="188" t="str">
        <f>IF(B122="","",IF(LEN(B122)&gt;9,SUMIFS(Options!$H$3:$H$25,Options!$B$3:$B$25,Check!B122),SUMIFS('Master P&amp;L'!$H$11:$H$92,'Master P&amp;L'!$B$11:$B$92,Check!B122)))</f>
        <v/>
      </c>
      <c r="D122" s="188" t="str">
        <f>IF(B122="","",SUMIFS(Input_APM!N:N,Input_APM!L:L,Check!B122,Input_APM!M:M,Check!$F$1))</f>
        <v/>
      </c>
      <c r="E122" s="174" t="str">
        <f t="shared" si="28"/>
        <v/>
      </c>
      <c r="F122" s="188" t="str">
        <f>IF(B122="","",SUMIFS(Input_APM!N:N,Input_APM!M:M,Check!$F$1,Input_APM!L:L,Check!B122))</f>
        <v/>
      </c>
      <c r="G122" s="188" t="str">
        <f>IF(B122="","",SUMIFS(Input_APM!N:N,Input_APM!M:M,Check!$G$1,Input_APM!L:L,Check!B122))</f>
        <v/>
      </c>
      <c r="H122" s="174" t="str">
        <f t="shared" si="29"/>
        <v/>
      </c>
      <c r="I122" s="174">
        <f>SUMIFS(Input_APM!N:N,Input_APM!L:L,Check!B122)</f>
        <v>0</v>
      </c>
      <c r="J122" s="176" t="str">
        <f t="shared" si="30"/>
        <v/>
      </c>
      <c r="K122" s="21" t="str">
        <f>IF(B122="","",SUMIFS('Input_APM (Zenith)'!N:N,'Input_APM (Zenith)'!L:L,Check!B122,'Input_APM (Zenith)'!M:M,Check!$F$1))</f>
        <v/>
      </c>
      <c r="L122" s="21" t="str">
        <f>IF(B122="","",SUMIFS('Input_APM (Zenith)'!N:N,'Input_APM (Zenith)'!L:L,Check!B122,'Input_APM (Zenith)'!M:M,Check!$G$1))</f>
        <v/>
      </c>
      <c r="M122" s="174" t="str">
        <f t="shared" si="31"/>
        <v/>
      </c>
      <c r="O122"/>
      <c r="P122" s="256" t="str">
        <f>IF(O122="","",IF(OR(LEFT(O122,4)="Cash",LEFT(O122,4)="Prov"),0,SUMIFS(Input_APM!N:N,Input_APM!L:L,Check!O122)))</f>
        <v/>
      </c>
      <c r="Q122" s="134" t="str">
        <f>IF(O122="","",IF(LEN(O122)&gt;9,SUMIFS(Options!$H$3:$H$25,Options!$B$3:$B$25,Check!O122),SUMIFS('Master P&amp;L'!$H$11:$H$92,'Master P&amp;L'!$B$11:$B$92,Check!O122)))</f>
        <v/>
      </c>
      <c r="R122" s="256" t="str">
        <f t="shared" si="27"/>
        <v/>
      </c>
      <c r="S122" s="289" t="str">
        <f t="shared" si="11"/>
        <v/>
      </c>
      <c r="T122" s="58"/>
    </row>
    <row r="123" spans="3:20">
      <c r="C123" s="188" t="str">
        <f>IF(B123="","",IF(LEN(B123)&gt;9,SUMIFS(Options!$H$3:$H$25,Options!$B$3:$B$25,Check!B123),SUMIFS('Master P&amp;L'!$H$11:$H$92,'Master P&amp;L'!$B$11:$B$92,Check!B123)))</f>
        <v/>
      </c>
      <c r="D123" s="188" t="str">
        <f>IF(B123="","",SUMIFS(Input_APM!N:N,Input_APM!L:L,Check!B123,Input_APM!M:M,Check!$F$1))</f>
        <v/>
      </c>
      <c r="E123" s="174" t="str">
        <f t="shared" si="28"/>
        <v/>
      </c>
      <c r="F123" s="188" t="str">
        <f>IF(B123="","",SUMIFS(Input_APM!N:N,Input_APM!M:M,Check!$F$1,Input_APM!L:L,Check!B123))</f>
        <v/>
      </c>
      <c r="G123" s="188" t="str">
        <f>IF(B123="","",SUMIFS(Input_APM!N:N,Input_APM!M:M,Check!$G$1,Input_APM!L:L,Check!B123))</f>
        <v/>
      </c>
      <c r="H123" s="174" t="str">
        <f t="shared" si="29"/>
        <v/>
      </c>
      <c r="I123" s="174">
        <f>SUMIFS(Input_APM!N:N,Input_APM!L:L,Check!B123)</f>
        <v>0</v>
      </c>
      <c r="J123" s="176" t="str">
        <f t="shared" si="30"/>
        <v/>
      </c>
      <c r="K123" s="21" t="str">
        <f>IF(B123="","",SUMIFS('Input_APM (Zenith)'!N:N,'Input_APM (Zenith)'!L:L,Check!B123,'Input_APM (Zenith)'!M:M,Check!$F$1))</f>
        <v/>
      </c>
      <c r="L123" s="21" t="str">
        <f>IF(B123="","",SUMIFS('Input_APM (Zenith)'!N:N,'Input_APM (Zenith)'!L:L,Check!B123,'Input_APM (Zenith)'!M:M,Check!$G$1))</f>
        <v/>
      </c>
      <c r="M123" s="174" t="str">
        <f t="shared" si="31"/>
        <v/>
      </c>
      <c r="O123"/>
      <c r="P123" s="174" t="str">
        <f>IF(O123="","",IF(OR(LEFT(O123,4)="Cash",LEFT(O123,4)="Prov"),0,SUMIFS(Input_APM!N:N,Input_APM!L:L,Check!O123)))</f>
        <v/>
      </c>
      <c r="Q123" s="21" t="str">
        <f>IF(O123="","",IF(LEN(O123)&gt;9,SUMIFS(Options!$H$3:$H$25,Options!$B$3:$B$25,Check!O123),SUMIFS('Master P&amp;L'!$H$11:$H$92,'Master P&amp;L'!$B$11:$B$92,Check!O123)))</f>
        <v/>
      </c>
      <c r="R123" s="174" t="str">
        <f t="shared" si="27"/>
        <v/>
      </c>
      <c r="S123" s="289" t="str">
        <f t="shared" si="11"/>
        <v/>
      </c>
    </row>
    <row r="124" spans="3:20">
      <c r="C124" s="188" t="str">
        <f>IF(B124="","",IF(LEN(B124)&gt;9,SUMIFS(Options!$H$3:$H$25,Options!$B$3:$B$25,Check!B124),SUMIFS('Master P&amp;L'!$H$11:$H$92,'Master P&amp;L'!$B$11:$B$92,Check!B124)))</f>
        <v/>
      </c>
      <c r="D124" s="188" t="str">
        <f>IF(B124="","",SUMIFS(Input_APM!N:N,Input_APM!L:L,Check!B124,Input_APM!M:M,Check!$F$1))</f>
        <v/>
      </c>
      <c r="E124" s="174" t="str">
        <f t="shared" si="28"/>
        <v/>
      </c>
      <c r="F124" s="188" t="str">
        <f>IF(B124="","",SUMIFS(Input_APM!N:N,Input_APM!M:M,Check!$F$1,Input_APM!L:L,Check!B124))</f>
        <v/>
      </c>
      <c r="G124" s="188" t="str">
        <f>IF(B124="","",SUMIFS(Input_APM!N:N,Input_APM!M:M,Check!$G$1,Input_APM!L:L,Check!B124))</f>
        <v/>
      </c>
      <c r="H124" s="174" t="str">
        <f t="shared" si="29"/>
        <v/>
      </c>
      <c r="I124" s="174">
        <f>SUMIFS(Input_APM!N:N,Input_APM!L:L,Check!B124)</f>
        <v>0</v>
      </c>
      <c r="J124" s="176" t="str">
        <f t="shared" si="30"/>
        <v/>
      </c>
      <c r="K124" s="21" t="str">
        <f>IF(B124="","",SUMIFS('Input_APM (Zenith)'!N:N,'Input_APM (Zenith)'!L:L,Check!B124,'Input_APM (Zenith)'!M:M,Check!$F$1))</f>
        <v/>
      </c>
      <c r="L124" s="21" t="str">
        <f>IF(B124="","",SUMIFS('Input_APM (Zenith)'!N:N,'Input_APM (Zenith)'!L:L,Check!B124,'Input_APM (Zenith)'!M:M,Check!$G$1))</f>
        <v/>
      </c>
      <c r="M124" s="174" t="str">
        <f t="shared" si="31"/>
        <v/>
      </c>
      <c r="O124"/>
      <c r="P124" s="174" t="str">
        <f>IF(O124="","",IF(OR(LEFT(O124,4)="Cash",LEFT(O124,4)="Prov"),0,SUMIFS(Input_APM!N:N,Input_APM!L:L,Check!O124)))</f>
        <v/>
      </c>
      <c r="Q124" s="21" t="str">
        <f>IF(O124="","",IF(LEN(O124)&gt;9,SUMIFS(Options!$H$3:$H$25,Options!$B$3:$B$25,Check!O124),SUMIFS('Master P&amp;L'!$H$11:$H$92,'Master P&amp;L'!$B$11:$B$92,Check!O124)))</f>
        <v/>
      </c>
      <c r="R124" s="174" t="str">
        <f t="shared" si="27"/>
        <v/>
      </c>
      <c r="S124" s="289" t="str">
        <f t="shared" si="11"/>
        <v/>
      </c>
    </row>
    <row r="125" spans="3:20">
      <c r="C125" s="188" t="str">
        <f>IF(B125="","",IF(LEN(B125)&gt;9,SUMIFS(Options!$H$3:$H$25,Options!$B$3:$B$25,Check!B125),SUMIFS('Master P&amp;L'!$H$11:$H$92,'Master P&amp;L'!$B$11:$B$92,Check!B125)))</f>
        <v/>
      </c>
      <c r="D125" s="188" t="str">
        <f>IF(B125="","",SUMIFS(Input_APM!N:N,Input_APM!L:L,Check!B125,Input_APM!M:M,Check!$F$1))</f>
        <v/>
      </c>
      <c r="E125" s="174" t="str">
        <f t="shared" si="28"/>
        <v/>
      </c>
      <c r="F125" s="188" t="str">
        <f>IF(B125="","",SUMIFS(Input_APM!N:N,Input_APM!M:M,Check!$F$1,Input_APM!L:L,Check!B125))</f>
        <v/>
      </c>
      <c r="G125" s="188" t="str">
        <f>IF(B125="","",SUMIFS(Input_APM!N:N,Input_APM!M:M,Check!$G$1,Input_APM!L:L,Check!B125))</f>
        <v/>
      </c>
      <c r="H125" s="174" t="str">
        <f t="shared" si="29"/>
        <v/>
      </c>
      <c r="I125" s="174">
        <f>SUMIFS(Input_APM!N:N,Input_APM!L:L,Check!B125)</f>
        <v>0</v>
      </c>
      <c r="J125" s="176" t="str">
        <f t="shared" si="30"/>
        <v/>
      </c>
      <c r="K125" s="21" t="str">
        <f>IF(B125="","",SUMIFS('Input_APM (Zenith)'!N:N,'Input_APM (Zenith)'!L:L,Check!B125,'Input_APM (Zenith)'!M:M,Check!$F$1))</f>
        <v/>
      </c>
      <c r="L125" s="21" t="str">
        <f>IF(B125="","",SUMIFS('Input_APM (Zenith)'!N:N,'Input_APM (Zenith)'!L:L,Check!B125,'Input_APM (Zenith)'!M:M,Check!$G$1))</f>
        <v/>
      </c>
      <c r="M125" s="174" t="str">
        <f t="shared" si="31"/>
        <v/>
      </c>
      <c r="O125"/>
      <c r="P125" s="174" t="str">
        <f>IF(O125="","",IF(OR(LEFT(O125,4)="Cash",LEFT(O125,4)="Prov"),0,SUMIFS(Input_APM!N:N,Input_APM!L:L,Check!O125)))</f>
        <v/>
      </c>
      <c r="Q125" s="21" t="str">
        <f>IF(O125="","",IF(LEN(O125)&gt;9,SUMIFS(Options!$H$3:$H$25,Options!$B$3:$B$25,Check!O125),SUMIFS('Master P&amp;L'!$H$11:$H$92,'Master P&amp;L'!$B$11:$B$92,Check!O125)))</f>
        <v/>
      </c>
      <c r="R125" s="174" t="str">
        <f>IF(O125="","",P125-Q125)</f>
        <v/>
      </c>
      <c r="S125" s="289" t="str">
        <f t="shared" si="11"/>
        <v/>
      </c>
    </row>
    <row r="126" spans="3:20">
      <c r="C126" s="188" t="str">
        <f>IF(B126="","",IF(LEN(B126)&gt;9,SUMIFS(Options!$H$3:$H$25,Options!$B$3:$B$25,Check!B126),SUMIFS('Master P&amp;L'!$H$11:$H$92,'Master P&amp;L'!$B$11:$B$92,Check!B126)))</f>
        <v/>
      </c>
      <c r="D126" s="188" t="str">
        <f>IF(B126="","",SUMIFS(Input_APM!N:N,Input_APM!L:L,Check!B126,Input_APM!M:M,Check!$F$1))</f>
        <v/>
      </c>
      <c r="E126" s="174" t="str">
        <f t="shared" si="28"/>
        <v/>
      </c>
      <c r="F126" s="188" t="str">
        <f>IF(B126="","",SUMIFS(Input_APM!N:N,Input_APM!M:M,Check!$F$1,Input_APM!L:L,Check!B126))</f>
        <v/>
      </c>
      <c r="G126" s="188" t="str">
        <f>IF(B126="","",SUMIFS(Input_APM!N:N,Input_APM!M:M,Check!$G$1,Input_APM!L:L,Check!B126))</f>
        <v/>
      </c>
      <c r="H126" s="174" t="str">
        <f t="shared" si="29"/>
        <v/>
      </c>
      <c r="I126" s="174">
        <f>SUMIFS(Input_APM!N:N,Input_APM!L:L,Check!B126)</f>
        <v>0</v>
      </c>
      <c r="J126" s="176" t="str">
        <f t="shared" si="30"/>
        <v/>
      </c>
      <c r="K126" s="21" t="str">
        <f>IF(B126="","",SUMIFS('Input_APM (Zenith)'!N:N,'Input_APM (Zenith)'!L:L,Check!B126,'Input_APM (Zenith)'!M:M,Check!$F$1))</f>
        <v/>
      </c>
      <c r="L126" s="21" t="str">
        <f>IF(B126="","",SUMIFS('Input_APM (Zenith)'!N:N,'Input_APM (Zenith)'!L:L,Check!B126,'Input_APM (Zenith)'!M:M,Check!$G$1))</f>
        <v/>
      </c>
      <c r="M126" s="174" t="str">
        <f t="shared" si="31"/>
        <v/>
      </c>
      <c r="O126"/>
      <c r="P126" s="174" t="str">
        <f>IF(O126="","",IF(OR(LEFT(O126,4)="Cash",LEFT(O126,4)="Prov"),0,SUMIFS(Input_APM!N:N,Input_APM!L:L,Check!O126)))</f>
        <v/>
      </c>
      <c r="Q126" s="21" t="str">
        <f>IF(O126="","",IF(LEN(O126)&gt;9,SUMIFS(Options!$H$3:$H$25,Options!$B$3:$B$25,Check!O126),SUMIFS('Master P&amp;L'!$H$11:$H$92,'Master P&amp;L'!$B$11:$B$92,Check!O126)))</f>
        <v/>
      </c>
      <c r="R126" s="174" t="str">
        <f>IF(O126="","",P126-Q126)</f>
        <v/>
      </c>
      <c r="S126" s="289" t="str">
        <f t="shared" si="11"/>
        <v/>
      </c>
    </row>
    <row r="127" spans="3:20">
      <c r="C127" s="188" t="str">
        <f>IF(B127="","",IF(LEN(B127)&gt;9,SUMIFS(Options!$H$3:$H$25,Options!$B$3:$B$25,Check!B127),SUMIFS('Master P&amp;L'!$H$11:$H$92,'Master P&amp;L'!$B$11:$B$92,Check!B127)))</f>
        <v/>
      </c>
      <c r="D127" s="188" t="str">
        <f>IF(B127="","",SUMIFS(Input_APM!N:N,Input_APM!L:L,Check!B127,Input_APM!M:M,Check!$F$1))</f>
        <v/>
      </c>
      <c r="E127" s="174" t="str">
        <f t="shared" si="28"/>
        <v/>
      </c>
      <c r="F127" s="188" t="str">
        <f>IF(B127="","",SUMIFS(Input_APM!N:N,Input_APM!M:M,Check!$F$1,Input_APM!L:L,Check!B127))</f>
        <v/>
      </c>
      <c r="G127" s="188" t="str">
        <f>IF(B127="","",SUMIFS(Input_APM!N:N,Input_APM!M:M,Check!$G$1,Input_APM!L:L,Check!B127))</f>
        <v/>
      </c>
      <c r="H127" s="174" t="str">
        <f t="shared" si="29"/>
        <v/>
      </c>
      <c r="I127" s="174">
        <f>SUMIFS(Input_APM!N:N,Input_APM!L:L,Check!B127)</f>
        <v>0</v>
      </c>
      <c r="J127" s="176" t="str">
        <f t="shared" si="30"/>
        <v/>
      </c>
      <c r="K127" s="21" t="str">
        <f>IF(B127="","",SUMIFS('Input_APM (Zenith)'!N:N,'Input_APM (Zenith)'!L:L,Check!B127,'Input_APM (Zenith)'!M:M,Check!$F$1))</f>
        <v/>
      </c>
      <c r="L127" s="21" t="str">
        <f>IF(B127="","",SUMIFS('Input_APM (Zenith)'!N:N,'Input_APM (Zenith)'!L:L,Check!B127,'Input_APM (Zenith)'!M:M,Check!$G$1))</f>
        <v/>
      </c>
      <c r="M127" s="174" t="str">
        <f t="shared" si="31"/>
        <v/>
      </c>
      <c r="O127"/>
      <c r="P127" s="174" t="str">
        <f>IF(O127="","",IF(OR(LEFT(O127,4)="Cash",LEFT(O127,4)="Prov"),0,SUMIFS(Input_APM!N:N,Input_APM!L:L,Check!O127)))</f>
        <v/>
      </c>
      <c r="Q127" s="21" t="str">
        <f>IF(O127="","",IF(LEN(O127)&gt;9,SUMIFS(Options!$H$3:$H$25,Options!$B$3:$B$25,Check!O127),SUMIFS('Master P&amp;L'!$H$11:$H$92,'Master P&amp;L'!$B$11:$B$92,Check!O127)))</f>
        <v/>
      </c>
      <c r="R127" s="174" t="str">
        <f t="shared" ref="R127:R133" si="32">IF(O127="","",P127-Q127)</f>
        <v/>
      </c>
      <c r="S127" s="289" t="str">
        <f t="shared" si="11"/>
        <v/>
      </c>
    </row>
    <row r="128" spans="3:20">
      <c r="C128" s="188" t="str">
        <f>IF(B128="","",IF(LEN(B128)&gt;9,SUMIFS(Options!$H$3:$H$25,Options!$B$3:$B$25,Check!B128),SUMIFS('Master P&amp;L'!$H$11:$H$92,'Master P&amp;L'!$B$11:$B$92,Check!B128)))</f>
        <v/>
      </c>
      <c r="D128" s="188" t="str">
        <f>IF(B128="","",SUMIFS(Input_APM!N:N,Input_APM!L:L,Check!B128,Input_APM!M:M,Check!$F$1))</f>
        <v/>
      </c>
      <c r="E128" s="174" t="str">
        <f t="shared" si="28"/>
        <v/>
      </c>
      <c r="F128" s="188" t="str">
        <f>IF(B128="","",SUMIFS(Input_APM!N:N,Input_APM!M:M,Check!$F$1,Input_APM!L:L,Check!B128))</f>
        <v/>
      </c>
      <c r="G128" s="188" t="str">
        <f>IF(B128="","",SUMIFS(Input_APM!N:N,Input_APM!M:M,Check!$G$1,Input_APM!L:L,Check!B128))</f>
        <v/>
      </c>
      <c r="H128" s="174" t="str">
        <f t="shared" si="29"/>
        <v/>
      </c>
      <c r="I128" s="174">
        <f>SUMIFS(Input_APM!N:N,Input_APM!L:L,Check!B128)</f>
        <v>0</v>
      </c>
      <c r="J128" s="176" t="str">
        <f t="shared" si="30"/>
        <v/>
      </c>
      <c r="K128" s="21" t="str">
        <f>IF(B128="","",SUMIFS('Input_APM (Zenith)'!N:N,'Input_APM (Zenith)'!L:L,Check!B128,'Input_APM (Zenith)'!M:M,Check!$F$1))</f>
        <v/>
      </c>
      <c r="L128" s="21" t="str">
        <f>IF(B128="","",SUMIFS('Input_APM (Zenith)'!N:N,'Input_APM (Zenith)'!L:L,Check!B128,'Input_APM (Zenith)'!M:M,Check!$G$1))</f>
        <v/>
      </c>
      <c r="M128" s="174" t="str">
        <f t="shared" si="31"/>
        <v/>
      </c>
      <c r="O128"/>
      <c r="P128" s="174" t="str">
        <f>IF(O128="","",IF(OR(LEFT(O128,4)="Cash",LEFT(O128,4)="Prov"),0,SUMIFS(Input_APM!N:N,Input_APM!L:L,Check!O128)))</f>
        <v/>
      </c>
      <c r="Q128" s="21" t="str">
        <f>IF(O128="","",IF(LEN(O128)&gt;9,SUMIFS(Options!$H$3:$H$25,Options!$B$3:$B$25,Check!O128),SUMIFS('Master P&amp;L'!$H$11:$H$92,'Master P&amp;L'!$B$11:$B$92,Check!O128)))</f>
        <v/>
      </c>
      <c r="R128" s="174" t="str">
        <f t="shared" si="32"/>
        <v/>
      </c>
      <c r="S128" s="289" t="str">
        <f t="shared" si="11"/>
        <v/>
      </c>
    </row>
    <row r="129" spans="3:20">
      <c r="C129" s="188" t="str">
        <f>IF(B129="","",IF(LEN(B129)&gt;9,SUMIFS(Options!$H$3:$H$25,Options!$B$3:$B$25,Check!B129),SUMIFS('Master P&amp;L'!$H$11:$H$92,'Master P&amp;L'!$B$11:$B$92,Check!B129)))</f>
        <v/>
      </c>
      <c r="D129" s="188" t="str">
        <f>IF(B129="","",SUMIFS(Input_APM!N:N,Input_APM!L:L,Check!B129,Input_APM!M:M,Check!$F$1))</f>
        <v/>
      </c>
      <c r="E129" s="174" t="str">
        <f t="shared" ref="E129:E135" si="33">IF(B129="","",C129-M129)</f>
        <v/>
      </c>
      <c r="F129" s="188" t="str">
        <f>IF(B129="","",SUMIFS(Input_APM!N:N,Input_APM!M:M,Check!$F$1,Input_APM!L:L,Check!B129))</f>
        <v/>
      </c>
      <c r="G129" s="188" t="str">
        <f>IF(B129="","",SUMIFS(Input_APM!N:N,Input_APM!M:M,Check!$G$1,Input_APM!L:L,Check!B129))</f>
        <v/>
      </c>
      <c r="H129" s="174" t="str">
        <f t="shared" ref="H129:H135" si="34">IF(B129="","",F129-G129)</f>
        <v/>
      </c>
      <c r="I129" s="174">
        <f>SUMIFS(Input_APM!N:N,Input_APM!L:L,Check!B129)</f>
        <v>0</v>
      </c>
      <c r="J129" s="176" t="str">
        <f t="shared" ref="J129:J135" si="35">IF(B129="","",(F129+G129)-I129)</f>
        <v/>
      </c>
      <c r="K129" s="21" t="str">
        <f>IF(B129="","",SUMIFS('Input_APM (Zenith)'!N:N,'Input_APM (Zenith)'!L:L,Check!B129,'Input_APM (Zenith)'!M:M,Check!$F$1))</f>
        <v/>
      </c>
      <c r="L129" s="21" t="str">
        <f>IF(B129="","",SUMIFS('Input_APM (Zenith)'!N:N,'Input_APM (Zenith)'!L:L,Check!B129,'Input_APM (Zenith)'!M:M,Check!$G$1))</f>
        <v/>
      </c>
      <c r="M129" s="174" t="str">
        <f t="shared" ref="M129:M135" si="36">IF(B129="","",F129+G129+K129+L129)</f>
        <v/>
      </c>
      <c r="O129"/>
      <c r="P129" s="174" t="str">
        <f>IF(O129="","",IF(OR(LEFT(O129,4)="Cash",LEFT(O129,4)="Prov"),0,SUMIFS(Input_APM!N:N,Input_APM!L:L,Check!O129)))</f>
        <v/>
      </c>
      <c r="Q129" s="21" t="str">
        <f>IF(O129="","",IF(LEN(O129)&gt;9,SUMIFS(Options!$H$3:$H$25,Options!$B$3:$B$25,Check!O129),SUMIFS('Master P&amp;L'!$H$11:$H$92,'Master P&amp;L'!$B$11:$B$92,Check!O129)))</f>
        <v/>
      </c>
      <c r="R129" s="174" t="str">
        <f t="shared" si="32"/>
        <v/>
      </c>
      <c r="S129" s="289" t="str">
        <f t="shared" si="11"/>
        <v/>
      </c>
    </row>
    <row r="130" spans="3:20">
      <c r="C130" s="188" t="str">
        <f>IF(B130="","",IF(LEN(B130)&gt;9,SUMIFS(Options!$H$3:$H$25,Options!$B$3:$B$25,Check!B130),SUMIFS('Master P&amp;L'!$H$11:$H$92,'Master P&amp;L'!$B$11:$B$92,Check!B130)))</f>
        <v/>
      </c>
      <c r="D130" s="188" t="str">
        <f>IF(B130="","",SUMIFS(Input_APM!N:N,Input_APM!L:L,Check!B130,Input_APM!M:M,Check!$F$1))</f>
        <v/>
      </c>
      <c r="E130" s="174" t="str">
        <f t="shared" si="33"/>
        <v/>
      </c>
      <c r="F130" s="188" t="str">
        <f>IF(B130="","",SUMIFS(Input_APM!N:N,Input_APM!M:M,Check!$F$1,Input_APM!L:L,Check!B130))</f>
        <v/>
      </c>
      <c r="G130" s="188" t="str">
        <f>IF(B130="","",SUMIFS(Input_APM!N:N,Input_APM!M:M,Check!$G$1,Input_APM!L:L,Check!B130))</f>
        <v/>
      </c>
      <c r="H130" s="174" t="str">
        <f t="shared" si="34"/>
        <v/>
      </c>
      <c r="I130" s="174">
        <f>SUMIFS(Input_APM!N:N,Input_APM!L:L,Check!B130)</f>
        <v>0</v>
      </c>
      <c r="J130" s="176" t="str">
        <f t="shared" si="35"/>
        <v/>
      </c>
      <c r="K130" s="21" t="str">
        <f>IF(B130="","",SUMIFS('Input_APM (Zenith)'!N:N,'Input_APM (Zenith)'!L:L,Check!B130,'Input_APM (Zenith)'!M:M,Check!$F$1))</f>
        <v/>
      </c>
      <c r="L130" s="21" t="str">
        <f>IF(B130="","",SUMIFS('Input_APM (Zenith)'!N:N,'Input_APM (Zenith)'!L:L,Check!B130,'Input_APM (Zenith)'!M:M,Check!$G$1))</f>
        <v/>
      </c>
      <c r="M130" s="174" t="str">
        <f t="shared" si="36"/>
        <v/>
      </c>
      <c r="O130"/>
      <c r="P130" s="174" t="str">
        <f>IF(O130="","",IF(OR(LEFT(O130,4)="Cash",LEFT(O130,4)="Prov"),0,SUMIFS(Input_APM!N:N,Input_APM!L:L,Check!O130)))</f>
        <v/>
      </c>
      <c r="Q130" s="21" t="str">
        <f>IF(O130="","",IF(LEN(O130)&gt;9,SUMIFS(Options!$H$3:$H$25,Options!$B$3:$B$25,Check!O130),SUMIFS('Master P&amp;L'!$H$11:$H$92,'Master P&amp;L'!$B$11:$B$92,Check!O130)))</f>
        <v/>
      </c>
      <c r="R130" s="174" t="str">
        <f t="shared" si="32"/>
        <v/>
      </c>
      <c r="S130" s="289" t="str">
        <f t="shared" si="11"/>
        <v/>
      </c>
    </row>
    <row r="131" spans="3:20">
      <c r="C131" s="188" t="str">
        <f>IF(B131="","",IF(LEN(B131)&gt;9,SUMIFS(Options!$H$3:$H$25,Options!$B$3:$B$25,Check!B131),SUMIFS('Master P&amp;L'!$H$11:$H$92,'Master P&amp;L'!$B$11:$B$92,Check!B131)))</f>
        <v/>
      </c>
      <c r="D131" s="188" t="str">
        <f>IF(B131="","",SUMIFS(Input_APM!N:N,Input_APM!L:L,Check!B131,Input_APM!M:M,Check!$F$1))</f>
        <v/>
      </c>
      <c r="E131" s="174" t="str">
        <f t="shared" si="33"/>
        <v/>
      </c>
      <c r="F131" s="188" t="str">
        <f>IF(B131="","",SUMIFS(Input_APM!N:N,Input_APM!M:M,Check!$F$1,Input_APM!L:L,Check!B131))</f>
        <v/>
      </c>
      <c r="G131" s="188" t="str">
        <f>IF(B131="","",SUMIFS(Input_APM!N:N,Input_APM!M:M,Check!$G$1,Input_APM!L:L,Check!B131))</f>
        <v/>
      </c>
      <c r="H131" s="174" t="str">
        <f t="shared" si="34"/>
        <v/>
      </c>
      <c r="I131" s="174">
        <f>SUMIFS(Input_APM!N:N,Input_APM!L:L,Check!B131)</f>
        <v>0</v>
      </c>
      <c r="J131" s="176" t="str">
        <f t="shared" si="35"/>
        <v/>
      </c>
      <c r="K131" s="21" t="str">
        <f>IF(B131="","",SUMIFS('Input_APM (Zenith)'!N:N,'Input_APM (Zenith)'!L:L,Check!B131,'Input_APM (Zenith)'!M:M,Check!$F$1))</f>
        <v/>
      </c>
      <c r="L131" s="21" t="str">
        <f>IF(B131="","",SUMIFS('Input_APM (Zenith)'!N:N,'Input_APM (Zenith)'!L:L,Check!B131,'Input_APM (Zenith)'!M:M,Check!$G$1))</f>
        <v/>
      </c>
      <c r="M131" s="174" t="str">
        <f t="shared" si="36"/>
        <v/>
      </c>
      <c r="O131"/>
      <c r="P131" s="174" t="str">
        <f>IF(O131="","",IF(OR(LEFT(O131,4)="Cash",LEFT(O131,4)="Prov"),0,SUMIFS(Input_APM!N:N,Input_APM!L:L,Check!O131)))</f>
        <v/>
      </c>
      <c r="Q131" s="21" t="str">
        <f>IF(O131="","",IF(LEN(O131)&gt;9,SUMIFS(Options!$H$3:$H$25,Options!$B$3:$B$25,Check!O131),SUMIFS('Master P&amp;L'!$H$11:$H$92,'Master P&amp;L'!$B$11:$B$92,Check!O131)))</f>
        <v/>
      </c>
      <c r="R131" s="174" t="str">
        <f t="shared" si="32"/>
        <v/>
      </c>
      <c r="S131" s="289" t="str">
        <f t="shared" si="11"/>
        <v/>
      </c>
    </row>
    <row r="132" spans="3:20">
      <c r="C132" s="188" t="str">
        <f>IF(B132="","",IF(LEN(B132)&gt;9,SUMIFS(Options!$H$3:$H$25,Options!$B$3:$B$25,Check!B132),SUMIFS('Master P&amp;L'!$H$11:$H$92,'Master P&amp;L'!$B$11:$B$92,Check!B132)))</f>
        <v/>
      </c>
      <c r="D132" s="188" t="str">
        <f>IF(B132="","",SUMIFS(Input_APM!N:N,Input_APM!L:L,Check!B132,Input_APM!M:M,Check!$F$1))</f>
        <v/>
      </c>
      <c r="E132" s="174" t="str">
        <f t="shared" si="33"/>
        <v/>
      </c>
      <c r="F132" s="188" t="str">
        <f>IF(B132="","",SUMIFS(Input_APM!N:N,Input_APM!M:M,Check!$F$1,Input_APM!L:L,Check!B132))</f>
        <v/>
      </c>
      <c r="G132" s="188" t="str">
        <f>IF(B132="","",SUMIFS(Input_APM!N:N,Input_APM!M:M,Check!$G$1,Input_APM!L:L,Check!B132))</f>
        <v/>
      </c>
      <c r="H132" s="174" t="str">
        <f t="shared" si="34"/>
        <v/>
      </c>
      <c r="I132" s="174">
        <f>SUMIFS(Input_APM!N:N,Input_APM!L:L,Check!B132)</f>
        <v>0</v>
      </c>
      <c r="J132" s="176" t="str">
        <f t="shared" si="35"/>
        <v/>
      </c>
      <c r="K132" s="21" t="str">
        <f>IF(B132="","",SUMIFS('Input_APM (Zenith)'!N:N,'Input_APM (Zenith)'!L:L,Check!B132,'Input_APM (Zenith)'!M:M,Check!$F$1))</f>
        <v/>
      </c>
      <c r="L132" s="21" t="str">
        <f>IF(B132="","",SUMIFS('Input_APM (Zenith)'!N:N,'Input_APM (Zenith)'!L:L,Check!B132,'Input_APM (Zenith)'!M:M,Check!$G$1))</f>
        <v/>
      </c>
      <c r="M132" s="174" t="str">
        <f t="shared" si="36"/>
        <v/>
      </c>
      <c r="O132"/>
      <c r="P132" s="174" t="str">
        <f>IF(O132="","",IF(OR(LEFT(O132,4)="Cash",LEFT(O132,4)="Prov"),0,SUMIFS(Input_APM!N:N,Input_APM!L:L,Check!O132)))</f>
        <v/>
      </c>
      <c r="Q132" s="21" t="str">
        <f>IF(O132="","",IF(LEN(O132)&gt;9,SUMIFS(Options!$H$3:$H$25,Options!$B$3:$B$25,Check!O132),SUMIFS('Master P&amp;L'!$H$11:$H$92,'Master P&amp;L'!$B$11:$B$92,Check!O132)))</f>
        <v/>
      </c>
      <c r="R132" s="174" t="str">
        <f t="shared" si="32"/>
        <v/>
      </c>
      <c r="S132" s="289" t="str">
        <f t="shared" si="11"/>
        <v/>
      </c>
    </row>
    <row r="133" spans="3:20">
      <c r="C133" s="188" t="str">
        <f>IF(B133="","",IF(LEN(B133)&gt;9,SUMIFS(Options!$H$3:$H$25,Options!$B$3:$B$25,Check!B133),SUMIFS('Master P&amp;L'!$H$11:$H$92,'Master P&amp;L'!$B$11:$B$92,Check!B133)))</f>
        <v/>
      </c>
      <c r="D133" s="188" t="str">
        <f>IF(B133="","",SUMIFS(Input_APM!N:N,Input_APM!L:L,Check!B133,Input_APM!M:M,Check!$F$1))</f>
        <v/>
      </c>
      <c r="E133" s="174" t="str">
        <f t="shared" si="33"/>
        <v/>
      </c>
      <c r="F133" s="188" t="str">
        <f>IF(B133="","",SUMIFS(Input_APM!N:N,Input_APM!M:M,Check!$F$1,Input_APM!L:L,Check!B133))</f>
        <v/>
      </c>
      <c r="G133" s="188" t="str">
        <f>IF(B133="","",SUMIFS(Input_APM!N:N,Input_APM!M:M,Check!$G$1,Input_APM!L:L,Check!B133))</f>
        <v/>
      </c>
      <c r="H133" s="174" t="str">
        <f t="shared" si="34"/>
        <v/>
      </c>
      <c r="I133" s="174">
        <f>SUMIFS(Input_APM!N:N,Input_APM!L:L,Check!B133)</f>
        <v>0</v>
      </c>
      <c r="J133" s="176" t="str">
        <f t="shared" si="35"/>
        <v/>
      </c>
      <c r="K133" s="21" t="str">
        <f>IF(B133="","",SUMIFS('Input_APM (Zenith)'!N:N,'Input_APM (Zenith)'!L:L,Check!B133,'Input_APM (Zenith)'!M:M,Check!$F$1))</f>
        <v/>
      </c>
      <c r="L133" s="21" t="str">
        <f>IF(B133="","",SUMIFS('Input_APM (Zenith)'!N:N,'Input_APM (Zenith)'!L:L,Check!B133,'Input_APM (Zenith)'!M:M,Check!$G$1))</f>
        <v/>
      </c>
      <c r="M133" s="174" t="str">
        <f t="shared" si="36"/>
        <v/>
      </c>
      <c r="O133"/>
      <c r="P133" s="174" t="str">
        <f>IF(O133="","",IF(OR(LEFT(O133,4)="Cash",LEFT(O133,4)="Prov"),0,SUMIFS(Input_APM!N:N,Input_APM!L:L,Check!O133)))</f>
        <v/>
      </c>
      <c r="Q133" s="21" t="str">
        <f>IF(O133="","",IF(LEN(O133)&gt;9,SUMIFS(Options!$H$3:$H$25,Options!$B$3:$B$25,Check!O133),SUMIFS('Master P&amp;L'!$H$11:$H$92,'Master P&amp;L'!$B$11:$B$92,Check!O133)))</f>
        <v/>
      </c>
      <c r="R133" s="174" t="str">
        <f t="shared" si="32"/>
        <v/>
      </c>
      <c r="S133" s="289" t="str">
        <f t="shared" si="11"/>
        <v/>
      </c>
    </row>
    <row r="134" spans="3:20">
      <c r="C134" s="188" t="str">
        <f>IF(B134="","",IF(LEN(B134)&gt;9,SUMIFS(Options!$H$3:$H$25,Options!$B$3:$B$25,Check!B134),SUMIFS('Master P&amp;L'!$H$11:$H$92,'Master P&amp;L'!$B$11:$B$92,Check!B134)))</f>
        <v/>
      </c>
      <c r="D134" s="188" t="str">
        <f>IF(B134="","",SUMIFS(Input_APM!N:N,Input_APM!L:L,Check!B134,Input_APM!M:M,Check!$F$1))</f>
        <v/>
      </c>
      <c r="E134" s="174" t="str">
        <f t="shared" si="33"/>
        <v/>
      </c>
      <c r="F134" s="188" t="str">
        <f>IF(B134="","",SUMIFS(Input_APM!N:N,Input_APM!M:M,Check!$F$1,Input_APM!L:L,Check!B134))</f>
        <v/>
      </c>
      <c r="G134" s="188" t="str">
        <f>IF(B134="","",SUMIFS(Input_APM!N:N,Input_APM!M:M,Check!$G$1,Input_APM!L:L,Check!B134))</f>
        <v/>
      </c>
      <c r="H134" s="174" t="str">
        <f t="shared" si="34"/>
        <v/>
      </c>
      <c r="I134" s="174">
        <f>SUMIFS(Input_APM!N:N,Input_APM!L:L,Check!B134)</f>
        <v>0</v>
      </c>
      <c r="J134" s="176" t="str">
        <f t="shared" si="35"/>
        <v/>
      </c>
      <c r="K134" s="21" t="str">
        <f>IF(B134="","",SUMIFS('Input_APM (Zenith)'!N:N,'Input_APM (Zenith)'!L:L,Check!B134,'Input_APM (Zenith)'!M:M,Check!$F$1))</f>
        <v/>
      </c>
      <c r="L134" s="21" t="str">
        <f>IF(B134="","",SUMIFS('Input_APM (Zenith)'!N:N,'Input_APM (Zenith)'!L:L,Check!B134,'Input_APM (Zenith)'!M:M,Check!$G$1))</f>
        <v/>
      </c>
      <c r="M134" s="174" t="str">
        <f t="shared" si="36"/>
        <v/>
      </c>
      <c r="O134"/>
      <c r="P134" s="174" t="str">
        <f>IF(O134="","",IF(OR(LEFT(O134,4)="Cash",LEFT(O134,4)="Prov"),0,SUMIFS(Input_APM!N:N,Input_APM!L:L,Check!O134)))</f>
        <v/>
      </c>
      <c r="Q134" s="21" t="str">
        <f>IF(O134="","",IF(LEN(O134)&gt;9,SUMIFS(Options!$H$3:$H$25,Options!$B$3:$B$25,Check!O134),SUMIFS('Master P&amp;L'!$H$11:$H$92,'Master P&amp;L'!$B$11:$B$92,Check!O134)))</f>
        <v/>
      </c>
      <c r="R134" s="174" t="str">
        <f>IF(O134="","",P134-Q134)</f>
        <v/>
      </c>
      <c r="S134" s="289" t="str">
        <f t="shared" ref="S134:S197" si="37">IF(O134="","",IF((P134+Q134)=0,"Ok",IF(OR(P134=0,Q134=0),"Erro",P134/Q134)))</f>
        <v/>
      </c>
    </row>
    <row r="135" spans="3:20">
      <c r="C135" s="188" t="str">
        <f>IF(B135="","",IF(LEN(B135)&gt;9,SUMIFS(Options!$H$3:$H$25,Options!$B$3:$B$25,Check!B135),SUMIFS('Master P&amp;L'!$H$11:$H$92,'Master P&amp;L'!$B$11:$B$92,Check!B135)))</f>
        <v/>
      </c>
      <c r="D135" s="188" t="str">
        <f>IF(B135="","",SUMIFS(Input_APM!N:N,Input_APM!L:L,Check!B135,Input_APM!M:M,Check!$F$1))</f>
        <v/>
      </c>
      <c r="E135" s="174" t="str">
        <f t="shared" si="33"/>
        <v/>
      </c>
      <c r="F135" s="188" t="str">
        <f>IF(B135="","",SUMIFS(Input_APM!N:N,Input_APM!M:M,Check!$F$1,Input_APM!L:L,Check!B135))</f>
        <v/>
      </c>
      <c r="G135" s="188" t="str">
        <f>IF(B135="","",SUMIFS(Input_APM!N:N,Input_APM!M:M,Check!$G$1,Input_APM!L:L,Check!B135))</f>
        <v/>
      </c>
      <c r="H135" s="174" t="str">
        <f t="shared" si="34"/>
        <v/>
      </c>
      <c r="I135" s="174">
        <f>SUMIFS(Input_APM!N:N,Input_APM!L:L,Check!B135)</f>
        <v>0</v>
      </c>
      <c r="J135" s="176" t="str">
        <f t="shared" si="35"/>
        <v/>
      </c>
      <c r="K135" s="21" t="str">
        <f>IF(B135="","",SUMIFS('Input_APM (Zenith)'!N:N,'Input_APM (Zenith)'!L:L,Check!B135,'Input_APM (Zenith)'!M:M,Check!$F$1))</f>
        <v/>
      </c>
      <c r="L135" s="21" t="str">
        <f>IF(B135="","",SUMIFS('Input_APM (Zenith)'!N:N,'Input_APM (Zenith)'!L:L,Check!B135,'Input_APM (Zenith)'!M:M,Check!$G$1))</f>
        <v/>
      </c>
      <c r="M135" s="174" t="str">
        <f t="shared" si="36"/>
        <v/>
      </c>
      <c r="O135"/>
      <c r="P135" s="174" t="str">
        <f>IF(O135="","",IF(OR(LEFT(O135,4)="Cash",LEFT(O135,4)="Prov"),0,SUMIFS(Input_APM!N:N,Input_APM!L:L,Check!O135)))</f>
        <v/>
      </c>
      <c r="Q135" s="21" t="str">
        <f>IF(O135="","",IF(LEN(O135)&gt;9,SUMIFS(Options!$H$3:$H$25,Options!$B$3:$B$25,Check!O135),SUMIFS('Master P&amp;L'!$H$11:$H$92,'Master P&amp;L'!$B$11:$B$92,Check!O135)))</f>
        <v/>
      </c>
      <c r="R135" s="174" t="str">
        <f>IF(O135="","",P135-Q135)</f>
        <v/>
      </c>
      <c r="S135" s="289" t="str">
        <f t="shared" si="37"/>
        <v/>
      </c>
    </row>
    <row r="136" spans="3:20">
      <c r="C136" s="188" t="str">
        <f>IF(B136="","",IF(LEN(B136)&gt;9,SUMIFS(Options!$H$3:$H$25,Options!$B$3:$B$25,Check!B136),SUMIFS('Master P&amp;L'!$H$11:$H$92,'Master P&amp;L'!$B$11:$B$92,Check!B136)))</f>
        <v/>
      </c>
      <c r="D136" s="188" t="str">
        <f>IF(B136="","",SUMIFS(Input_APM!N:N,Input_APM!L:L,Check!B136,Input_APM!M:M,Check!$F$1))</f>
        <v/>
      </c>
      <c r="E136" s="174" t="str">
        <f t="shared" ref="E136:E150" si="38">IF(B136="","",C136-M136)</f>
        <v/>
      </c>
      <c r="F136" s="188" t="str">
        <f>IF(B136="","",SUMIFS(Input_APM!N:N,Input_APM!M:M,Check!$F$1,Input_APM!L:L,Check!B136))</f>
        <v/>
      </c>
      <c r="G136" s="188" t="str">
        <f>IF(B136="","",SUMIFS(Input_APM!N:N,Input_APM!M:M,Check!$G$1,Input_APM!L:L,Check!B136))</f>
        <v/>
      </c>
      <c r="H136" s="174" t="str">
        <f t="shared" ref="H136:H150" si="39">IF(B136="","",F136-G136)</f>
        <v/>
      </c>
      <c r="I136" s="174">
        <f>SUMIFS(Input_APM!N:N,Input_APM!L:L,Check!B136)</f>
        <v>0</v>
      </c>
      <c r="J136" s="176" t="str">
        <f t="shared" ref="J136:J150" si="40">IF(B136="","",(F136+G136)-I136)</f>
        <v/>
      </c>
      <c r="K136" s="21" t="str">
        <f>IF(B136="","",SUMIFS('Input_APM (Zenith)'!N:N,'Input_APM (Zenith)'!L:L,Check!B136,'Input_APM (Zenith)'!M:M,Check!$F$1))</f>
        <v/>
      </c>
      <c r="L136" s="21" t="str">
        <f>IF(B136="","",SUMIFS('Input_APM (Zenith)'!N:N,'Input_APM (Zenith)'!L:L,Check!B136,'Input_APM (Zenith)'!M:M,Check!$G$1))</f>
        <v/>
      </c>
      <c r="M136" s="174" t="str">
        <f t="shared" ref="M136:M150" si="41">IF(B136="","",F136+G136+K136+L136)</f>
        <v/>
      </c>
      <c r="O136"/>
      <c r="P136" s="174" t="str">
        <f>IF(O136="","",IF(OR(LEFT(O136,4)="Cash",LEFT(O136,4)="Prov"),0,SUMIFS(Input_APM!N:N,Input_APM!L:L,Check!O136)))</f>
        <v/>
      </c>
      <c r="Q136" s="21" t="str">
        <f>IF(O136="","",IF(LEN(O136)&gt;9,SUMIFS(Options!$H$3:$H$25,Options!$B$3:$B$25,Check!O136),SUMIFS('Master P&amp;L'!$H$11:$H$92,'Master P&amp;L'!$B$11:$B$92,Check!O136)))</f>
        <v/>
      </c>
      <c r="R136" s="174" t="str">
        <f t="shared" ref="R136:R142" si="42">IF(O136="","",P136-Q136)</f>
        <v/>
      </c>
      <c r="S136" s="289" t="str">
        <f t="shared" si="37"/>
        <v/>
      </c>
    </row>
    <row r="137" spans="3:20">
      <c r="C137" s="188" t="str">
        <f>IF(B137="","",IF(LEN(B137)&gt;9,SUMIFS(Options!$H$3:$H$25,Options!$B$3:$B$25,Check!B137),SUMIFS('Master P&amp;L'!$H$11:$H$92,'Master P&amp;L'!$B$11:$B$92,Check!B137)))</f>
        <v/>
      </c>
      <c r="D137" s="188" t="str">
        <f>IF(B137="","",SUMIFS(Input_APM!N:N,Input_APM!L:L,Check!B137,Input_APM!M:M,Check!$F$1))</f>
        <v/>
      </c>
      <c r="E137" s="174" t="str">
        <f t="shared" si="38"/>
        <v/>
      </c>
      <c r="F137" s="188" t="str">
        <f>IF(B137="","",SUMIFS(Input_APM!N:N,Input_APM!M:M,Check!$F$1,Input_APM!L:L,Check!B137))</f>
        <v/>
      </c>
      <c r="G137" s="188" t="str">
        <f>IF(B137="","",SUMIFS(Input_APM!N:N,Input_APM!M:M,Check!$G$1,Input_APM!L:L,Check!B137))</f>
        <v/>
      </c>
      <c r="H137" s="174" t="str">
        <f t="shared" si="39"/>
        <v/>
      </c>
      <c r="I137" s="174">
        <f>SUMIFS(Input_APM!N:N,Input_APM!L:L,Check!B137)</f>
        <v>0</v>
      </c>
      <c r="J137" s="176" t="str">
        <f t="shared" si="40"/>
        <v/>
      </c>
      <c r="K137" s="21" t="str">
        <f>IF(B137="","",SUMIFS('Input_APM (Zenith)'!N:N,'Input_APM (Zenith)'!L:L,Check!B137,'Input_APM (Zenith)'!M:M,Check!$F$1))</f>
        <v/>
      </c>
      <c r="L137" s="21" t="str">
        <f>IF(B137="","",SUMIFS('Input_APM (Zenith)'!N:N,'Input_APM (Zenith)'!L:L,Check!B137,'Input_APM (Zenith)'!M:M,Check!$G$1))</f>
        <v/>
      </c>
      <c r="M137" s="174" t="str">
        <f t="shared" si="41"/>
        <v/>
      </c>
      <c r="O137"/>
      <c r="P137" s="174" t="str">
        <f>IF(O137="","",IF(OR(LEFT(O137,4)="Cash",LEFT(O137,4)="Prov"),0,SUMIFS(Input_APM!N:N,Input_APM!L:L,Check!O137)))</f>
        <v/>
      </c>
      <c r="Q137" s="21" t="str">
        <f>IF(O137="","",IF(LEN(O137)&gt;9,SUMIFS(Options!$H$3:$H$25,Options!$B$3:$B$25,Check!O137),SUMIFS('Master P&amp;L'!$H$11:$H$92,'Master P&amp;L'!$B$11:$B$92,Check!O137)))</f>
        <v/>
      </c>
      <c r="R137" s="174" t="str">
        <f t="shared" si="42"/>
        <v/>
      </c>
      <c r="S137" s="289" t="str">
        <f t="shared" si="37"/>
        <v/>
      </c>
    </row>
    <row r="138" spans="3:20">
      <c r="C138" s="188" t="str">
        <f>IF(B138="","",IF(LEN(B138)&gt;9,SUMIFS(Options!$H$3:$H$25,Options!$B$3:$B$25,Check!B138),SUMIFS('Master P&amp;L'!$H$11:$H$92,'Master P&amp;L'!$B$11:$B$92,Check!B138)))</f>
        <v/>
      </c>
      <c r="D138" s="188" t="str">
        <f>IF(B138="","",SUMIFS(Input_APM!N:N,Input_APM!L:L,Check!B138,Input_APM!M:M,Check!$F$1))</f>
        <v/>
      </c>
      <c r="E138" s="174" t="str">
        <f t="shared" si="38"/>
        <v/>
      </c>
      <c r="F138" s="188" t="str">
        <f>IF(B138="","",SUMIFS(Input_APM!N:N,Input_APM!M:M,Check!$F$1,Input_APM!L:L,Check!B138))</f>
        <v/>
      </c>
      <c r="G138" s="188" t="str">
        <f>IF(B138="","",SUMIFS(Input_APM!N:N,Input_APM!M:M,Check!$G$1,Input_APM!L:L,Check!B138))</f>
        <v/>
      </c>
      <c r="H138" s="174" t="str">
        <f t="shared" si="39"/>
        <v/>
      </c>
      <c r="I138" s="174">
        <f>SUMIFS(Input_APM!N:N,Input_APM!L:L,Check!B138)</f>
        <v>0</v>
      </c>
      <c r="J138" s="176" t="str">
        <f t="shared" si="40"/>
        <v/>
      </c>
      <c r="K138" s="21" t="str">
        <f>IF(B138="","",SUMIFS('Input_APM (Zenith)'!N:N,'Input_APM (Zenith)'!L:L,Check!B138,'Input_APM (Zenith)'!M:M,Check!$F$1))</f>
        <v/>
      </c>
      <c r="L138" s="21" t="str">
        <f>IF(B138="","",SUMIFS('Input_APM (Zenith)'!N:N,'Input_APM (Zenith)'!L:L,Check!B138,'Input_APM (Zenith)'!M:M,Check!$G$1))</f>
        <v/>
      </c>
      <c r="M138" s="174" t="str">
        <f t="shared" si="41"/>
        <v/>
      </c>
      <c r="O138"/>
      <c r="P138" s="174" t="str">
        <f>IF(O138="","",IF(OR(LEFT(O138,4)="Cash",LEFT(O138,4)="Prov"),0,SUMIFS(Input_APM!N:N,Input_APM!L:L,Check!O138)))</f>
        <v/>
      </c>
      <c r="Q138" s="21" t="str">
        <f>IF(O138="","",IF(LEN(O138)&gt;9,SUMIFS(Options!$H$3:$H$25,Options!$B$3:$B$25,Check!O138),SUMIFS('Master P&amp;L'!$H$11:$H$92,'Master P&amp;L'!$B$11:$B$92,Check!O138)))</f>
        <v/>
      </c>
      <c r="R138" s="174" t="str">
        <f t="shared" si="42"/>
        <v/>
      </c>
      <c r="S138" s="289" t="str">
        <f t="shared" si="37"/>
        <v/>
      </c>
    </row>
    <row r="139" spans="3:20">
      <c r="C139" s="188" t="str">
        <f>IF(B139="","",IF(LEN(B139)&gt;9,SUMIFS(Options!$H$3:$H$25,Options!$B$3:$B$25,Check!B139),SUMIFS('Master P&amp;L'!$H$11:$H$92,'Master P&amp;L'!$B$11:$B$92,Check!B139)))</f>
        <v/>
      </c>
      <c r="D139" s="188" t="str">
        <f>IF(B139="","",SUMIFS(Input_APM!N:N,Input_APM!L:L,Check!B139,Input_APM!M:M,Check!$F$1))</f>
        <v/>
      </c>
      <c r="E139" s="174" t="str">
        <f t="shared" si="38"/>
        <v/>
      </c>
      <c r="F139" s="188" t="str">
        <f>IF(B139="","",SUMIFS(Input_APM!N:N,Input_APM!M:M,Check!$F$1,Input_APM!L:L,Check!B139))</f>
        <v/>
      </c>
      <c r="G139" s="188" t="str">
        <f>IF(B139="","",SUMIFS(Input_APM!N:N,Input_APM!M:M,Check!$G$1,Input_APM!L:L,Check!B139))</f>
        <v/>
      </c>
      <c r="H139" s="174" t="str">
        <f t="shared" si="39"/>
        <v/>
      </c>
      <c r="I139" s="174">
        <f>SUMIFS(Input_APM!N:N,Input_APM!L:L,Check!B139)</f>
        <v>0</v>
      </c>
      <c r="J139" s="176" t="str">
        <f t="shared" si="40"/>
        <v/>
      </c>
      <c r="K139" s="21" t="str">
        <f>IF(B139="","",SUMIFS('Input_APM (Zenith)'!N:N,'Input_APM (Zenith)'!L:L,Check!B139,'Input_APM (Zenith)'!M:M,Check!$F$1))</f>
        <v/>
      </c>
      <c r="L139" s="21" t="str">
        <f>IF(B139="","",SUMIFS('Input_APM (Zenith)'!N:N,'Input_APM (Zenith)'!L:L,Check!B139,'Input_APM (Zenith)'!M:M,Check!$G$1))</f>
        <v/>
      </c>
      <c r="M139" s="174" t="str">
        <f t="shared" si="41"/>
        <v/>
      </c>
      <c r="O139"/>
      <c r="P139" s="174" t="str">
        <f>IF(O139="","",IF(OR(LEFT(O139,4)="Cash",LEFT(O139,4)="Prov"),0,SUMIFS(Input_APM!N:N,Input_APM!L:L,Check!O139)))</f>
        <v/>
      </c>
      <c r="Q139" s="21" t="str">
        <f>IF(O139="","",IF(LEN(O139)&gt;9,SUMIFS(Options!$H$3:$H$25,Options!$B$3:$B$25,Check!O139),SUMIFS('Master P&amp;L'!$H$11:$H$92,'Master P&amp;L'!$B$11:$B$92,Check!O139)))</f>
        <v/>
      </c>
      <c r="R139" s="174" t="str">
        <f t="shared" si="42"/>
        <v/>
      </c>
      <c r="S139" s="289" t="str">
        <f t="shared" si="37"/>
        <v/>
      </c>
    </row>
    <row r="140" spans="3:20">
      <c r="C140" s="188" t="str">
        <f>IF(B140="","",IF(LEN(B140)&gt;9,SUMIFS(Options!$H$3:$H$25,Options!$B$3:$B$25,Check!B140),SUMIFS('Master P&amp;L'!$H$11:$H$92,'Master P&amp;L'!$B$11:$B$92,Check!B140)))</f>
        <v/>
      </c>
      <c r="D140" s="188" t="str">
        <f>IF(B140="","",SUMIFS(Input_APM!N:N,Input_APM!L:L,Check!B140,Input_APM!M:M,Check!$F$1))</f>
        <v/>
      </c>
      <c r="E140" s="174" t="str">
        <f t="shared" si="38"/>
        <v/>
      </c>
      <c r="F140" s="188" t="str">
        <f>IF(B140="","",SUMIFS(Input_APM!N:N,Input_APM!M:M,Check!$F$1,Input_APM!L:L,Check!B140))</f>
        <v/>
      </c>
      <c r="G140" s="188" t="str">
        <f>IF(B140="","",SUMIFS(Input_APM!N:N,Input_APM!M:M,Check!$G$1,Input_APM!L:L,Check!B140))</f>
        <v/>
      </c>
      <c r="H140" s="174" t="str">
        <f t="shared" si="39"/>
        <v/>
      </c>
      <c r="I140" s="174">
        <f>SUMIFS(Input_APM!N:N,Input_APM!L:L,Check!B140)</f>
        <v>0</v>
      </c>
      <c r="J140" s="176" t="str">
        <f t="shared" si="40"/>
        <v/>
      </c>
      <c r="K140" s="21" t="str">
        <f>IF(B140="","",SUMIFS('Input_APM (Zenith)'!N:N,'Input_APM (Zenith)'!L:L,Check!B140,'Input_APM (Zenith)'!M:M,Check!$F$1))</f>
        <v/>
      </c>
      <c r="L140" s="21" t="str">
        <f>IF(B140="","",SUMIFS('Input_APM (Zenith)'!N:N,'Input_APM (Zenith)'!L:L,Check!B140,'Input_APM (Zenith)'!M:M,Check!$G$1))</f>
        <v/>
      </c>
      <c r="M140" s="174" t="str">
        <f t="shared" si="41"/>
        <v/>
      </c>
      <c r="O140"/>
      <c r="P140" s="174" t="str">
        <f>IF(O140="","",IF(OR(LEFT(O140,4)="Cash",LEFT(O140,4)="Prov"),0,SUMIFS(Input_APM!N:N,Input_APM!L:L,Check!O140)))</f>
        <v/>
      </c>
      <c r="Q140" s="21" t="str">
        <f>IF(O140="","",IF(LEN(O140)&gt;9,SUMIFS(Options!$H$3:$H$25,Options!$B$3:$B$25,Check!O140),SUMIFS('Master P&amp;L'!$H$11:$H$92,'Master P&amp;L'!$B$11:$B$92,Check!O140)))</f>
        <v/>
      </c>
      <c r="R140" s="174" t="str">
        <f t="shared" si="42"/>
        <v/>
      </c>
      <c r="S140" s="289" t="str">
        <f t="shared" si="37"/>
        <v/>
      </c>
    </row>
    <row r="141" spans="3:20">
      <c r="C141" s="188" t="str">
        <f>IF(B141="","",IF(LEN(B141)&gt;9,SUMIFS(Options!$H$3:$H$25,Options!$B$3:$B$25,Check!B141),SUMIFS('Master P&amp;L'!$H$11:$H$92,'Master P&amp;L'!$B$11:$B$92,Check!B141)))</f>
        <v/>
      </c>
      <c r="D141" s="188" t="str">
        <f>IF(B141="","",SUMIFS(Input_APM!N:N,Input_APM!L:L,Check!B141,Input_APM!M:M,Check!$F$1))</f>
        <v/>
      </c>
      <c r="E141" s="174" t="str">
        <f t="shared" si="38"/>
        <v/>
      </c>
      <c r="F141" s="188" t="str">
        <f>IF(B141="","",SUMIFS(Input_APM!N:N,Input_APM!M:M,Check!$F$1,Input_APM!L:L,Check!B141))</f>
        <v/>
      </c>
      <c r="G141" s="188" t="str">
        <f>IF(B141="","",SUMIFS(Input_APM!N:N,Input_APM!M:M,Check!$G$1,Input_APM!L:L,Check!B141))</f>
        <v/>
      </c>
      <c r="H141" s="174" t="str">
        <f t="shared" si="39"/>
        <v/>
      </c>
      <c r="I141" s="174">
        <f>SUMIFS(Input_APM!N:N,Input_APM!L:L,Check!B141)</f>
        <v>0</v>
      </c>
      <c r="J141" s="176" t="str">
        <f t="shared" si="40"/>
        <v/>
      </c>
      <c r="K141" s="21" t="str">
        <f>IF(B141="","",SUMIFS('Input_APM (Zenith)'!N:N,'Input_APM (Zenith)'!L:L,Check!B141,'Input_APM (Zenith)'!M:M,Check!$F$1))</f>
        <v/>
      </c>
      <c r="L141" s="21" t="str">
        <f>IF(B141="","",SUMIFS('Input_APM (Zenith)'!N:N,'Input_APM (Zenith)'!L:L,Check!B141,'Input_APM (Zenith)'!M:M,Check!$G$1))</f>
        <v/>
      </c>
      <c r="M141" s="174" t="str">
        <f t="shared" si="41"/>
        <v/>
      </c>
      <c r="O141"/>
      <c r="P141" s="174" t="str">
        <f>IF(O141="","",IF(OR(LEFT(O141,4)="Cash",LEFT(O141,4)="Prov"),0,SUMIFS(Input_APM!N:N,Input_APM!L:L,Check!O141)))</f>
        <v/>
      </c>
      <c r="Q141" s="21" t="str">
        <f>IF(O141="","",IF(LEN(O141)&gt;9,SUMIFS(Options!$H$3:$H$25,Options!$B$3:$B$25,Check!O141),SUMIFS('Master P&amp;L'!$H$11:$H$92,'Master P&amp;L'!$B$11:$B$92,Check!O141)))</f>
        <v/>
      </c>
      <c r="R141" s="174" t="str">
        <f t="shared" si="42"/>
        <v/>
      </c>
      <c r="S141" s="289" t="str">
        <f t="shared" si="37"/>
        <v/>
      </c>
      <c r="T141" t="s">
        <v>448</v>
      </c>
    </row>
    <row r="142" spans="3:20">
      <c r="C142" s="188" t="str">
        <f>IF(B142="","",IF(LEN(B142)&gt;9,SUMIFS(Options!$H$3:$H$25,Options!$B$3:$B$25,Check!B142),SUMIFS('Master P&amp;L'!$H$11:$H$92,'Master P&amp;L'!$B$11:$B$92,Check!B142)))</f>
        <v/>
      </c>
      <c r="D142" s="188" t="str">
        <f>IF(B142="","",SUMIFS(Input_APM!N:N,Input_APM!L:L,Check!B142,Input_APM!M:M,Check!$F$1))</f>
        <v/>
      </c>
      <c r="E142" s="174" t="str">
        <f>IF(B142="","",C142-M142)</f>
        <v/>
      </c>
      <c r="F142" s="188" t="str">
        <f>IF(B142="","",SUMIFS(Input_APM!N:N,Input_APM!M:M,Check!$F$1,Input_APM!L:L,Check!B142))</f>
        <v/>
      </c>
      <c r="G142" s="188" t="str">
        <f>IF(B142="","",SUMIFS(Input_APM!N:N,Input_APM!M:M,Check!$G$1,Input_APM!L:L,Check!B142))</f>
        <v/>
      </c>
      <c r="H142" s="174" t="str">
        <f t="shared" si="39"/>
        <v/>
      </c>
      <c r="I142" s="174">
        <f>SUMIFS(Input_APM!N:N,Input_APM!L:L,Check!B142)</f>
        <v>0</v>
      </c>
      <c r="J142" s="176" t="str">
        <f t="shared" si="40"/>
        <v/>
      </c>
      <c r="K142" s="21" t="str">
        <f>IF(B142="","",SUMIFS('Input_APM (Zenith)'!N:N,'Input_APM (Zenith)'!L:L,Check!B142,'Input_APM (Zenith)'!M:M,Check!$F$1))</f>
        <v/>
      </c>
      <c r="L142" s="21" t="str">
        <f>IF(B142="","",SUMIFS('Input_APM (Zenith)'!N:N,'Input_APM (Zenith)'!L:L,Check!B142,'Input_APM (Zenith)'!M:M,Check!$G$1))</f>
        <v/>
      </c>
      <c r="M142" s="174" t="str">
        <f t="shared" si="41"/>
        <v/>
      </c>
      <c r="O142"/>
      <c r="P142" s="256" t="str">
        <f>IF(O142="","",IF(OR(LEFT(O142,4)="Cash",LEFT(O142,4)="Prov"),0,SUMIFS(Input_APM!N:N,Input_APM!L:L,Check!O142)))</f>
        <v/>
      </c>
      <c r="Q142" s="134" t="str">
        <f>IF(O142="","",IF(LEN(O142)&gt;9,SUMIFS(Options!$H$3:$H$25,Options!$B$3:$B$25,Check!O142),SUMIFS('Master P&amp;L'!$H$11:$H$92,'Master P&amp;L'!$B$11:$B$92,Check!O142)))</f>
        <v/>
      </c>
      <c r="R142" s="256" t="str">
        <f t="shared" si="42"/>
        <v/>
      </c>
      <c r="S142" s="289" t="str">
        <f t="shared" si="37"/>
        <v/>
      </c>
      <c r="T142" s="58" t="s">
        <v>448</v>
      </c>
    </row>
    <row r="143" spans="3:20">
      <c r="C143" s="188" t="str">
        <f>IF(B143="","",IF(LEN(B143)&gt;9,SUMIFS(Options!$H$3:$H$25,Options!$B$3:$B$25,Check!B143),SUMIFS('Master P&amp;L'!$H$11:$H$92,'Master P&amp;L'!$B$11:$B$92,Check!B143)))</f>
        <v/>
      </c>
      <c r="D143" s="188" t="str">
        <f>IF(B143="","",SUMIFS(Input_APM!N:N,Input_APM!L:L,Check!B143,Input_APM!M:M,Check!$F$1))</f>
        <v/>
      </c>
      <c r="E143" s="174" t="str">
        <f t="shared" si="38"/>
        <v/>
      </c>
      <c r="F143" s="188" t="str">
        <f>IF(B143="","",SUMIFS(Input_APM!N:N,Input_APM!M:M,Check!$F$1,Input_APM!L:L,Check!B143))</f>
        <v/>
      </c>
      <c r="G143" s="188" t="str">
        <f>IF(B143="","",SUMIFS(Input_APM!N:N,Input_APM!M:M,Check!$G$1,Input_APM!L:L,Check!B143))</f>
        <v/>
      </c>
      <c r="H143" s="174" t="str">
        <f t="shared" si="39"/>
        <v/>
      </c>
      <c r="I143" s="174">
        <f>SUMIFS(Input_APM!N:N,Input_APM!L:L,Check!B143)</f>
        <v>0</v>
      </c>
      <c r="J143" s="176" t="str">
        <f t="shared" si="40"/>
        <v/>
      </c>
      <c r="K143" s="21" t="str">
        <f>IF(B143="","",SUMIFS('Input_APM (Zenith)'!N:N,'Input_APM (Zenith)'!L:L,Check!B143,'Input_APM (Zenith)'!M:M,Check!$F$1))</f>
        <v/>
      </c>
      <c r="L143" s="21" t="str">
        <f>IF(B143="","",SUMIFS('Input_APM (Zenith)'!N:N,'Input_APM (Zenith)'!L:L,Check!B143,'Input_APM (Zenith)'!M:M,Check!$G$1))</f>
        <v/>
      </c>
      <c r="M143" s="174" t="str">
        <f t="shared" si="41"/>
        <v/>
      </c>
      <c r="O143"/>
      <c r="P143" s="174" t="str">
        <f>IF(O143="","",IF(OR(LEFT(O143,4)="Cash",LEFT(O143,4)="Prov"),0,SUMIFS(Input_APM!N:N,Input_APM!L:L,Check!O143)))</f>
        <v/>
      </c>
      <c r="Q143" s="21" t="str">
        <f>IF(O143="","",IF(LEN(O143)&gt;9,SUMIFS(Options!$H$3:$H$25,Options!$B$3:$B$25,Check!O143),SUMIFS('Master P&amp;L'!$H$11:$H$92,'Master P&amp;L'!$B$11:$B$92,Check!O143)))</f>
        <v/>
      </c>
      <c r="R143" s="174" t="str">
        <f t="shared" ref="R143:R150" si="43">IF(O143="","",P143-Q143)</f>
        <v/>
      </c>
      <c r="S143" s="289" t="str">
        <f t="shared" si="37"/>
        <v/>
      </c>
    </row>
    <row r="144" spans="3:20">
      <c r="C144" s="188" t="str">
        <f>IF(B144="","",IF(LEN(B144)&gt;9,SUMIFS(Options!$H$3:$H$25,Options!$B$3:$B$25,Check!B144),SUMIFS('Master P&amp;L'!$H$11:$H$92,'Master P&amp;L'!$B$11:$B$92,Check!B144)))</f>
        <v/>
      </c>
      <c r="D144" s="188" t="str">
        <f>IF(B144="","",SUMIFS(Input_APM!N:N,Input_APM!L:L,Check!B144,Input_APM!M:M,Check!$F$1))</f>
        <v/>
      </c>
      <c r="E144" s="174" t="str">
        <f t="shared" si="38"/>
        <v/>
      </c>
      <c r="F144" s="188" t="str">
        <f>IF(B144="","",SUMIFS(Input_APM!N:N,Input_APM!M:M,Check!$F$1,Input_APM!L:L,Check!B144))</f>
        <v/>
      </c>
      <c r="G144" s="188" t="str">
        <f>IF(B144="","",SUMIFS(Input_APM!N:N,Input_APM!M:M,Check!$G$1,Input_APM!L:L,Check!B144))</f>
        <v/>
      </c>
      <c r="H144" s="174" t="str">
        <f t="shared" si="39"/>
        <v/>
      </c>
      <c r="I144" s="174">
        <f>SUMIFS(Input_APM!N:N,Input_APM!L:L,Check!B144)</f>
        <v>0</v>
      </c>
      <c r="J144" s="176" t="str">
        <f t="shared" si="40"/>
        <v/>
      </c>
      <c r="K144" s="21" t="str">
        <f>IF(B144="","",SUMIFS('Input_APM (Zenith)'!N:N,'Input_APM (Zenith)'!L:L,Check!B144,'Input_APM (Zenith)'!M:M,Check!$F$1))</f>
        <v/>
      </c>
      <c r="L144" s="21" t="str">
        <f>IF(B144="","",SUMIFS('Input_APM (Zenith)'!N:N,'Input_APM (Zenith)'!L:L,Check!B144,'Input_APM (Zenith)'!M:M,Check!$G$1))</f>
        <v/>
      </c>
      <c r="M144" s="174" t="str">
        <f t="shared" si="41"/>
        <v/>
      </c>
      <c r="O144"/>
      <c r="P144" s="174" t="str">
        <f>IF(O144="","",IF(OR(LEFT(O144,4)="Cash",LEFT(O144,4)="Prov"),0,SUMIFS(Input_APM!N:N,Input_APM!L:L,Check!O144)))</f>
        <v/>
      </c>
      <c r="Q144" s="21" t="str">
        <f>IF(O144="","",IF(LEN(O144)&gt;9,SUMIFS(Options!$H$3:$H$25,Options!$B$3:$B$25,Check!O144),SUMIFS('Master P&amp;L'!$H$11:$H$92,'Master P&amp;L'!$B$11:$B$92,Check!O144)))</f>
        <v/>
      </c>
      <c r="R144" s="174" t="str">
        <f t="shared" si="43"/>
        <v/>
      </c>
      <c r="S144" s="289" t="str">
        <f t="shared" si="37"/>
        <v/>
      </c>
    </row>
    <row r="145" spans="3:20">
      <c r="C145" s="188" t="str">
        <f>IF(B145="","",IF(LEN(B145)&gt;9,SUMIFS(Options!$H$3:$H$25,Options!$B$3:$B$25,Check!B145),SUMIFS('Master P&amp;L'!$H$11:$H$92,'Master P&amp;L'!$B$11:$B$92,Check!B145)))</f>
        <v/>
      </c>
      <c r="D145" s="188" t="str">
        <f>IF(B145="","",SUMIFS(Input_APM!N:N,Input_APM!L:L,Check!B145,Input_APM!M:M,Check!$F$1))</f>
        <v/>
      </c>
      <c r="E145" s="174" t="str">
        <f t="shared" si="38"/>
        <v/>
      </c>
      <c r="F145" s="188" t="str">
        <f>IF(B145="","",SUMIFS(Input_APM!N:N,Input_APM!M:M,Check!$F$1,Input_APM!L:L,Check!B145))</f>
        <v/>
      </c>
      <c r="G145" s="188" t="str">
        <f>IF(B145="","",SUMIFS(Input_APM!N:N,Input_APM!M:M,Check!$G$1,Input_APM!L:L,Check!B145))</f>
        <v/>
      </c>
      <c r="H145" s="174" t="str">
        <f t="shared" si="39"/>
        <v/>
      </c>
      <c r="I145" s="174">
        <f>SUMIFS(Input_APM!N:N,Input_APM!L:L,Check!B145)</f>
        <v>0</v>
      </c>
      <c r="J145" s="176" t="str">
        <f t="shared" si="40"/>
        <v/>
      </c>
      <c r="K145" s="21" t="str">
        <f>IF(B145="","",SUMIFS('Input_APM (Zenith)'!N:N,'Input_APM (Zenith)'!L:L,Check!B145,'Input_APM (Zenith)'!M:M,Check!$F$1))</f>
        <v/>
      </c>
      <c r="L145" s="21" t="str">
        <f>IF(B145="","",SUMIFS('Input_APM (Zenith)'!N:N,'Input_APM (Zenith)'!L:L,Check!B145,'Input_APM (Zenith)'!M:M,Check!$G$1))</f>
        <v/>
      </c>
      <c r="M145" s="174" t="str">
        <f t="shared" si="41"/>
        <v/>
      </c>
      <c r="O145"/>
      <c r="P145" s="256" t="str">
        <f>IF(O145="","",IF(OR(LEFT(O145,4)="Cash",LEFT(O145,4)="Prov"),0,SUMIFS(Input_APM!N:N,Input_APM!L:L,Check!O145)))</f>
        <v/>
      </c>
      <c r="Q145" s="134" t="str">
        <f>IF(O145="","",IF(LEN(O145)&gt;9,SUMIFS(Options!$H$3:$H$25,Options!$B$3:$B$25,Check!O145),SUMIFS('Master P&amp;L'!$H$11:$H$92,'Master P&amp;L'!$B$11:$B$92,Check!O145)))</f>
        <v/>
      </c>
      <c r="R145" s="256" t="str">
        <f t="shared" si="43"/>
        <v/>
      </c>
      <c r="S145" s="289" t="str">
        <f t="shared" si="37"/>
        <v/>
      </c>
      <c r="T145" s="58" t="s">
        <v>448</v>
      </c>
    </row>
    <row r="146" spans="3:20">
      <c r="C146" s="188" t="str">
        <f>IF(B146="","",IF(LEN(B146)&gt;9,SUMIFS(Options!$H$3:$H$25,Options!$B$3:$B$25,Check!B146),SUMIFS('Master P&amp;L'!$H$11:$H$92,'Master P&amp;L'!$B$11:$B$92,Check!B146)))</f>
        <v/>
      </c>
      <c r="D146" s="188" t="str">
        <f>IF(B146="","",SUMIFS(Input_APM!N:N,Input_APM!L:L,Check!B146,Input_APM!M:M,Check!$F$1))</f>
        <v/>
      </c>
      <c r="E146" s="174" t="str">
        <f t="shared" si="38"/>
        <v/>
      </c>
      <c r="F146" s="188" t="str">
        <f>IF(B146="","",SUMIFS(Input_APM!N:N,Input_APM!M:M,Check!$F$1,Input_APM!L:L,Check!B146))</f>
        <v/>
      </c>
      <c r="G146" s="188" t="str">
        <f>IF(B146="","",SUMIFS(Input_APM!N:N,Input_APM!M:M,Check!$G$1,Input_APM!L:L,Check!B146))</f>
        <v/>
      </c>
      <c r="H146" s="174" t="str">
        <f t="shared" si="39"/>
        <v/>
      </c>
      <c r="I146" s="174">
        <f>SUMIFS(Input_APM!N:N,Input_APM!L:L,Check!B146)</f>
        <v>0</v>
      </c>
      <c r="J146" s="176" t="str">
        <f t="shared" si="40"/>
        <v/>
      </c>
      <c r="K146" s="21" t="str">
        <f>IF(B146="","",SUMIFS('Input_APM (Zenith)'!N:N,'Input_APM (Zenith)'!L:L,Check!B146,'Input_APM (Zenith)'!M:M,Check!$F$1))</f>
        <v/>
      </c>
      <c r="L146" s="21" t="str">
        <f>IF(B146="","",SUMIFS('Input_APM (Zenith)'!N:N,'Input_APM (Zenith)'!L:L,Check!B146,'Input_APM (Zenith)'!M:M,Check!$G$1))</f>
        <v/>
      </c>
      <c r="M146" s="174" t="str">
        <f t="shared" si="41"/>
        <v/>
      </c>
      <c r="O146"/>
      <c r="P146" s="256" t="str">
        <f>IF(O146="","",IF(OR(LEFT(O146,4)="Cash",LEFT(O146,4)="Prov"),0,SUMIFS(Input_APM!N:N,Input_APM!L:L,Check!O146)))</f>
        <v/>
      </c>
      <c r="Q146" s="134" t="str">
        <f>IF(O146="","",IF(LEN(O146)&gt;9,SUMIFS(Options!$H$3:$H$25,Options!$B$3:$B$25,Check!O146),SUMIFS('Master P&amp;L'!$H$11:$H$92,'Master P&amp;L'!$B$11:$B$92,Check!O146)))</f>
        <v/>
      </c>
      <c r="R146" s="256" t="str">
        <f t="shared" si="43"/>
        <v/>
      </c>
      <c r="S146" s="289" t="str">
        <f t="shared" si="37"/>
        <v/>
      </c>
      <c r="T146" s="58" t="s">
        <v>448</v>
      </c>
    </row>
    <row r="147" spans="3:20">
      <c r="C147" s="188" t="str">
        <f>IF(B147="","",IF(LEN(B147)&gt;9,SUMIFS(Options!$H$3:$H$25,Options!$B$3:$B$25,Check!B147),SUMIFS('Master P&amp;L'!$H$11:$H$92,'Master P&amp;L'!$B$11:$B$92,Check!B147)))</f>
        <v/>
      </c>
      <c r="D147" s="188" t="str">
        <f>IF(B147="","",SUMIFS(Input_APM!N:N,Input_APM!L:L,Check!B147,Input_APM!M:M,Check!$F$1))</f>
        <v/>
      </c>
      <c r="E147" s="174" t="str">
        <f t="shared" si="38"/>
        <v/>
      </c>
      <c r="F147" s="188" t="str">
        <f>IF(B147="","",SUMIFS(Input_APM!N:N,Input_APM!M:M,Check!$F$1,Input_APM!L:L,Check!B147))</f>
        <v/>
      </c>
      <c r="G147" s="188" t="str">
        <f>IF(B147="","",SUMIFS(Input_APM!N:N,Input_APM!M:M,Check!$G$1,Input_APM!L:L,Check!B147))</f>
        <v/>
      </c>
      <c r="H147" s="174" t="str">
        <f t="shared" si="39"/>
        <v/>
      </c>
      <c r="I147" s="174">
        <f>SUMIFS(Input_APM!N:N,Input_APM!L:L,Check!B147)</f>
        <v>0</v>
      </c>
      <c r="J147" s="176" t="str">
        <f t="shared" si="40"/>
        <v/>
      </c>
      <c r="K147" s="21" t="str">
        <f>IF(B147="","",SUMIFS('Input_APM (Zenith)'!N:N,'Input_APM (Zenith)'!L:L,Check!B147,'Input_APM (Zenith)'!M:M,Check!$F$1))</f>
        <v/>
      </c>
      <c r="L147" s="21" t="str">
        <f>IF(B147="","",SUMIFS('Input_APM (Zenith)'!N:N,'Input_APM (Zenith)'!L:L,Check!B147,'Input_APM (Zenith)'!M:M,Check!$G$1))</f>
        <v/>
      </c>
      <c r="M147" s="174" t="str">
        <f t="shared" si="41"/>
        <v/>
      </c>
      <c r="O147"/>
      <c r="P147" s="174" t="str">
        <f>IF(O147="","",IF(OR(LEFT(O147,4)="Cash",LEFT(O147,4)="Prov"),0,SUMIFS(Input_APM!N:N,Input_APM!L:L,Check!O147)))</f>
        <v/>
      </c>
      <c r="Q147" s="21" t="str">
        <f>IF(O147="","",IF(LEN(O147)&gt;9,SUMIFS(Options!$H$3:$H$25,Options!$B$3:$B$25,Check!O147),SUMIFS('Master P&amp;L'!$H$11:$H$92,'Master P&amp;L'!$B$11:$B$92,Check!O147)))</f>
        <v/>
      </c>
      <c r="R147" s="174" t="str">
        <f t="shared" si="43"/>
        <v/>
      </c>
      <c r="S147" s="289" t="str">
        <f t="shared" si="37"/>
        <v/>
      </c>
    </row>
    <row r="148" spans="3:20">
      <c r="C148" s="188" t="str">
        <f>IF(B148="","",IF(LEN(B148)&gt;9,SUMIFS(Options!$H$3:$H$25,Options!$B$3:$B$25,Check!B148),SUMIFS('Master P&amp;L'!$H$11:$H$92,'Master P&amp;L'!$B$11:$B$92,Check!B148)))</f>
        <v/>
      </c>
      <c r="D148" s="188" t="str">
        <f>IF(B148="","",SUMIFS(Input_APM!N:N,Input_APM!L:L,Check!B148,Input_APM!M:M,Check!$F$1))</f>
        <v/>
      </c>
      <c r="E148" s="174" t="str">
        <f t="shared" si="38"/>
        <v/>
      </c>
      <c r="F148" s="188" t="str">
        <f>IF(B148="","",SUMIFS(Input_APM!N:N,Input_APM!M:M,Check!$F$1,Input_APM!L:L,Check!B148))</f>
        <v/>
      </c>
      <c r="G148" s="188" t="str">
        <f>IF(B148="","",SUMIFS(Input_APM!N:N,Input_APM!M:M,Check!$G$1,Input_APM!L:L,Check!B148))</f>
        <v/>
      </c>
      <c r="H148" s="174" t="str">
        <f t="shared" si="39"/>
        <v/>
      </c>
      <c r="I148" s="174">
        <f>SUMIFS(Input_APM!N:N,Input_APM!L:L,Check!B148)</f>
        <v>0</v>
      </c>
      <c r="J148" s="176" t="str">
        <f t="shared" si="40"/>
        <v/>
      </c>
      <c r="K148" s="21" t="str">
        <f>IF(B148="","",SUMIFS('Input_APM (Zenith)'!N:N,'Input_APM (Zenith)'!L:L,Check!B148,'Input_APM (Zenith)'!M:M,Check!$F$1))</f>
        <v/>
      </c>
      <c r="L148" s="21" t="str">
        <f>IF(B148="","",SUMIFS('Input_APM (Zenith)'!N:N,'Input_APM (Zenith)'!L:L,Check!B148,'Input_APM (Zenith)'!M:M,Check!$G$1))</f>
        <v/>
      </c>
      <c r="M148" s="174" t="str">
        <f t="shared" si="41"/>
        <v/>
      </c>
      <c r="O148"/>
      <c r="P148" s="174" t="str">
        <f>IF(O148="","",IF(OR(LEFT(O148,4)="Cash",LEFT(O148,4)="Prov"),0,SUMIFS(Input_APM!N:N,Input_APM!L:L,Check!O148)))</f>
        <v/>
      </c>
      <c r="Q148" s="21" t="str">
        <f>IF(O148="","",IF(LEN(O148)&gt;9,SUMIFS(Options!$H$3:$H$25,Options!$B$3:$B$25,Check!O148),SUMIFS('Master P&amp;L'!$H$11:$H$92,'Master P&amp;L'!$B$11:$B$92,Check!O148)))</f>
        <v/>
      </c>
      <c r="R148" s="174" t="str">
        <f t="shared" si="43"/>
        <v/>
      </c>
      <c r="S148" s="289" t="str">
        <f t="shared" si="37"/>
        <v/>
      </c>
    </row>
    <row r="149" spans="3:20">
      <c r="C149" s="188" t="str">
        <f>IF(B149="","",IF(LEN(B149)&gt;9,SUMIFS(Options!$H$3:$H$25,Options!$B$3:$B$25,Check!B149),SUMIFS('Master P&amp;L'!$H$11:$H$92,'Master P&amp;L'!$B$11:$B$92,Check!B149)))</f>
        <v/>
      </c>
      <c r="D149" s="188" t="str">
        <f>IF(B149="","",SUMIFS(Input_APM!N:N,Input_APM!L:L,Check!B149,Input_APM!M:M,Check!$F$1))</f>
        <v/>
      </c>
      <c r="E149" s="174" t="str">
        <f t="shared" si="38"/>
        <v/>
      </c>
      <c r="F149" s="188" t="str">
        <f>IF(B149="","",SUMIFS(Input_APM!N:N,Input_APM!M:M,Check!$F$1,Input_APM!L:L,Check!B149))</f>
        <v/>
      </c>
      <c r="G149" s="188" t="str">
        <f>IF(B149="","",SUMIFS(Input_APM!N:N,Input_APM!M:M,Check!$G$1,Input_APM!L:L,Check!B149))</f>
        <v/>
      </c>
      <c r="H149" s="174" t="str">
        <f t="shared" si="39"/>
        <v/>
      </c>
      <c r="I149" s="174">
        <f>SUMIFS(Input_APM!N:N,Input_APM!L:L,Check!B149)</f>
        <v>0</v>
      </c>
      <c r="J149" s="176" t="str">
        <f t="shared" si="40"/>
        <v/>
      </c>
      <c r="K149" s="21" t="str">
        <f>IF(B149="","",SUMIFS('Input_APM (Zenith)'!N:N,'Input_APM (Zenith)'!L:L,Check!B149,'Input_APM (Zenith)'!M:M,Check!$F$1))</f>
        <v/>
      </c>
      <c r="L149" s="21" t="str">
        <f>IF(B149="","",SUMIFS('Input_APM (Zenith)'!N:N,'Input_APM (Zenith)'!L:L,Check!B149,'Input_APM (Zenith)'!M:M,Check!$G$1))</f>
        <v/>
      </c>
      <c r="M149" s="174" t="str">
        <f t="shared" si="41"/>
        <v/>
      </c>
      <c r="O149"/>
      <c r="P149" s="174" t="str">
        <f>IF(O149="","",IF(OR(LEFT(O149,4)="Cash",LEFT(O149,4)="Prov"),0,SUMIFS(Input_APM!N:N,Input_APM!L:L,Check!O149)))</f>
        <v/>
      </c>
      <c r="Q149" s="21" t="str">
        <f>IF(O149="","",IF(LEN(O149)&gt;9,SUMIFS(Options!$H$3:$H$25,Options!$B$3:$B$25,Check!O149),SUMIFS('Master P&amp;L'!$H$11:$H$92,'Master P&amp;L'!$B$11:$B$92,Check!O149)))</f>
        <v/>
      </c>
      <c r="R149" s="174" t="str">
        <f t="shared" si="43"/>
        <v/>
      </c>
      <c r="S149" s="289" t="str">
        <f t="shared" si="37"/>
        <v/>
      </c>
    </row>
    <row r="150" spans="3:20">
      <c r="C150" s="188" t="str">
        <f>IF(B150="","",IF(LEN(B150)&gt;9,SUMIFS(Options!$H$3:$H$25,Options!$B$3:$B$25,Check!B150),SUMIFS('Master P&amp;L'!$H$11:$H$92,'Master P&amp;L'!$B$11:$B$92,Check!B150)))</f>
        <v/>
      </c>
      <c r="D150" s="188" t="str">
        <f>IF(B150="","",SUMIFS(Input_APM!N:N,Input_APM!L:L,Check!B150,Input_APM!M:M,Check!$F$1))</f>
        <v/>
      </c>
      <c r="E150" s="174" t="str">
        <f t="shared" si="38"/>
        <v/>
      </c>
      <c r="F150" s="188" t="str">
        <f>IF(B150="","",SUMIFS(Input_APM!N:N,Input_APM!M:M,Check!$F$1,Input_APM!L:L,Check!B150))</f>
        <v/>
      </c>
      <c r="G150" s="188" t="str">
        <f>IF(B150="","",SUMIFS(Input_APM!N:N,Input_APM!M:M,Check!$G$1,Input_APM!L:L,Check!B150))</f>
        <v/>
      </c>
      <c r="H150" s="174" t="str">
        <f t="shared" si="39"/>
        <v/>
      </c>
      <c r="I150" s="174">
        <f>SUMIFS(Input_APM!N:N,Input_APM!L:L,Check!B150)</f>
        <v>0</v>
      </c>
      <c r="J150" s="176" t="str">
        <f t="shared" si="40"/>
        <v/>
      </c>
      <c r="K150" s="21" t="str">
        <f>IF(B150="","",SUMIFS('Input_APM (Zenith)'!N:N,'Input_APM (Zenith)'!L:L,Check!B150,'Input_APM (Zenith)'!M:M,Check!$F$1))</f>
        <v/>
      </c>
      <c r="L150" s="21" t="str">
        <f>IF(B150="","",SUMIFS('Input_APM (Zenith)'!N:N,'Input_APM (Zenith)'!L:L,Check!B150,'Input_APM (Zenith)'!M:M,Check!$G$1))</f>
        <v/>
      </c>
      <c r="M150" s="174" t="str">
        <f t="shared" si="41"/>
        <v/>
      </c>
      <c r="O150"/>
      <c r="P150" s="174" t="str">
        <f>IF(O150="","",IF(OR(LEFT(O150,4)="Cash",LEFT(O150,4)="Prov"),0,SUMIFS(Input_APM!N:N,Input_APM!L:L,Check!O150)))</f>
        <v/>
      </c>
      <c r="Q150" s="21" t="str">
        <f>IF(O150="","",IF(LEN(O150)&gt;9,SUMIFS(Options!$H$3:$H$25,Options!$B$3:$B$25,Check!O150),SUMIFS('Master P&amp;L'!$H$11:$H$92,'Master P&amp;L'!$B$11:$B$92,Check!O150)))</f>
        <v/>
      </c>
      <c r="R150" s="174" t="str">
        <f t="shared" si="43"/>
        <v/>
      </c>
      <c r="S150" s="289" t="str">
        <f t="shared" si="37"/>
        <v/>
      </c>
    </row>
    <row r="151" spans="3:20">
      <c r="C151" s="188" t="str">
        <f>IF(B151="","",IF(LEN(B151)&gt;9,SUMIFS(Options!$H$3:$H$25,Options!$B$3:$B$25,Check!B151),SUMIFS('Master P&amp;L'!$H$11:$H$92,'Master P&amp;L'!$B$11:$B$92,Check!B151)))</f>
        <v/>
      </c>
      <c r="D151" s="188" t="str">
        <f>IF(B151="","",SUMIFS(Input_APM!N:N,Input_APM!L:L,Check!B151,Input_APM!M:M,Check!$F$1))</f>
        <v/>
      </c>
      <c r="E151" s="174" t="str">
        <f t="shared" ref="E151:E157" si="44">IF(B151="","",C151-M151)</f>
        <v/>
      </c>
      <c r="F151" s="188" t="str">
        <f>IF(B151="","",SUMIFS(Input_APM!N:N,Input_APM!M:M,Check!$F$1,Input_APM!L:L,Check!B151))</f>
        <v/>
      </c>
      <c r="G151" s="188" t="str">
        <f>IF(B151="","",SUMIFS(Input_APM!N:N,Input_APM!M:M,Check!$G$1,Input_APM!L:L,Check!B151))</f>
        <v/>
      </c>
      <c r="H151" s="174" t="str">
        <f t="shared" ref="H151:H158" si="45">IF(B151="","",F151-G151)</f>
        <v/>
      </c>
      <c r="I151" s="174">
        <f>SUMIFS(Input_APM!N:N,Input_APM!L:L,Check!B151)</f>
        <v>0</v>
      </c>
      <c r="J151" s="176" t="str">
        <f t="shared" ref="J151:J158" si="46">IF(B151="","",(F151+G151)-I151)</f>
        <v/>
      </c>
      <c r="K151" s="21" t="str">
        <f>IF(B151="","",SUMIFS('Input_APM (Zenith)'!N:N,'Input_APM (Zenith)'!L:L,Check!B151,'Input_APM (Zenith)'!M:M,Check!$F$1))</f>
        <v/>
      </c>
      <c r="L151" s="21" t="str">
        <f>IF(B151="","",SUMIFS('Input_APM (Zenith)'!N:N,'Input_APM (Zenith)'!L:L,Check!B151,'Input_APM (Zenith)'!M:M,Check!$G$1))</f>
        <v/>
      </c>
      <c r="M151" s="174" t="str">
        <f t="shared" ref="M151:M158" si="47">IF(B151="","",F151+G151+K151+L151)</f>
        <v/>
      </c>
      <c r="O151"/>
      <c r="P151" s="174" t="str">
        <f>IF(O151="","",IF(OR(LEFT(O151,4)="Cash",LEFT(O151,4)="Prov"),0,SUMIFS(Input_APM!N:N,Input_APM!L:L,Check!O151)))</f>
        <v/>
      </c>
      <c r="Q151" s="21" t="str">
        <f>IF(O151="","",IF(LEN(O151)&gt;9,SUMIFS(Options!$H$3:$H$25,Options!$B$3:$B$25,Check!O151),SUMIFS('Master P&amp;L'!$H$11:$H$92,'Master P&amp;L'!$B$11:$B$92,Check!O151)))</f>
        <v/>
      </c>
      <c r="R151" s="174" t="str">
        <f>IF(O151="","",P151-Q151)</f>
        <v/>
      </c>
      <c r="S151" s="289" t="str">
        <f t="shared" si="37"/>
        <v/>
      </c>
    </row>
    <row r="152" spans="3:20">
      <c r="C152" s="188" t="str">
        <f>IF(B152="","",IF(LEN(B152)&gt;9,SUMIFS(Options!$H$3:$H$25,Options!$B$3:$B$25,Check!B152),SUMIFS('Master P&amp;L'!$H$11:$H$92,'Master P&amp;L'!$B$11:$B$92,Check!B152)))</f>
        <v/>
      </c>
      <c r="D152" s="188" t="str">
        <f>IF(B152="","",SUMIFS(Input_APM!N:N,Input_APM!L:L,Check!B152,Input_APM!M:M,Check!$F$1))</f>
        <v/>
      </c>
      <c r="E152" s="174" t="str">
        <f t="shared" si="44"/>
        <v/>
      </c>
      <c r="F152" s="188" t="str">
        <f>IF(B152="","",SUMIFS(Input_APM!N:N,Input_APM!M:M,Check!$F$1,Input_APM!L:L,Check!B152))</f>
        <v/>
      </c>
      <c r="G152" s="188" t="str">
        <f>IF(B152="","",SUMIFS(Input_APM!N:N,Input_APM!M:M,Check!$G$1,Input_APM!L:L,Check!B152))</f>
        <v/>
      </c>
      <c r="H152" s="174" t="str">
        <f t="shared" si="45"/>
        <v/>
      </c>
      <c r="I152" s="174">
        <f>SUMIFS(Input_APM!N:N,Input_APM!L:L,Check!B152)</f>
        <v>0</v>
      </c>
      <c r="J152" s="176" t="str">
        <f t="shared" si="46"/>
        <v/>
      </c>
      <c r="K152" s="21" t="str">
        <f>IF(B152="","",SUMIFS('Input_APM (Zenith)'!N:N,'Input_APM (Zenith)'!L:L,Check!B152,'Input_APM (Zenith)'!M:M,Check!$F$1))</f>
        <v/>
      </c>
      <c r="L152" s="21" t="str">
        <f>IF(B152="","",SUMIFS('Input_APM (Zenith)'!N:N,'Input_APM (Zenith)'!L:L,Check!B152,'Input_APM (Zenith)'!M:M,Check!$G$1))</f>
        <v/>
      </c>
      <c r="M152" s="174" t="str">
        <f t="shared" si="47"/>
        <v/>
      </c>
      <c r="O152"/>
      <c r="P152" s="174" t="str">
        <f>IF(O152="","",IF(OR(LEFT(O152,4)="Cash",LEFT(O152,4)="Prov"),0,SUMIFS(Input_APM!N:N,Input_APM!L:L,Check!O152)))</f>
        <v/>
      </c>
      <c r="Q152" s="21" t="str">
        <f>IF(O152="","",IF(LEN(O152)&gt;9,SUMIFS(Options!$H$3:$H$25,Options!$B$3:$B$25,Check!O152),SUMIFS('Master P&amp;L'!$H$11:$H$92,'Master P&amp;L'!$B$11:$B$92,Check!O152)))</f>
        <v/>
      </c>
      <c r="R152" s="174" t="str">
        <f>IF(O152="","",P152-Q152)</f>
        <v/>
      </c>
      <c r="S152" s="289" t="str">
        <f t="shared" si="37"/>
        <v/>
      </c>
    </row>
    <row r="153" spans="3:20">
      <c r="C153" s="188" t="str">
        <f>IF(B153="","",IF(LEN(B153)&gt;9,SUMIFS(Options!$H$3:$H$25,Options!$B$3:$B$25,Check!B153),SUMIFS('Master P&amp;L'!$H$11:$H$92,'Master P&amp;L'!$B$11:$B$92,Check!B153)))</f>
        <v/>
      </c>
      <c r="D153" s="188" t="str">
        <f>IF(B153="","",SUMIFS(Input_APM!N:N,Input_APM!L:L,Check!B153,Input_APM!M:M,Check!$F$1))</f>
        <v/>
      </c>
      <c r="E153" s="174" t="str">
        <f t="shared" si="44"/>
        <v/>
      </c>
      <c r="F153" s="188" t="str">
        <f>IF(B153="","",SUMIFS(Input_APM!N:N,Input_APM!M:M,Check!$F$1,Input_APM!L:L,Check!B153))</f>
        <v/>
      </c>
      <c r="G153" s="188" t="str">
        <f>IF(B153="","",SUMIFS(Input_APM!N:N,Input_APM!M:M,Check!$G$1,Input_APM!L:L,Check!B153))</f>
        <v/>
      </c>
      <c r="H153" s="174" t="str">
        <f t="shared" si="45"/>
        <v/>
      </c>
      <c r="I153" s="174">
        <f>SUMIFS(Input_APM!N:N,Input_APM!L:L,Check!B153)</f>
        <v>0</v>
      </c>
      <c r="J153" s="176" t="str">
        <f t="shared" si="46"/>
        <v/>
      </c>
      <c r="K153" s="21" t="str">
        <f>IF(B153="","",SUMIFS('Input_APM (Zenith)'!N:N,'Input_APM (Zenith)'!L:L,Check!B153,'Input_APM (Zenith)'!M:M,Check!$F$1))</f>
        <v/>
      </c>
      <c r="L153" s="21" t="str">
        <f>IF(B153="","",SUMIFS('Input_APM (Zenith)'!N:N,'Input_APM (Zenith)'!L:L,Check!B153,'Input_APM (Zenith)'!M:M,Check!$G$1))</f>
        <v/>
      </c>
      <c r="M153" s="174" t="str">
        <f t="shared" si="47"/>
        <v/>
      </c>
      <c r="O153"/>
      <c r="P153" s="174" t="str">
        <f>IF(O153="","",IF(OR(LEFT(O153,4)="Cash",LEFT(O153,4)="Prov"),0,SUMIFS(Input_APM!N:N,Input_APM!L:L,Check!O153)))</f>
        <v/>
      </c>
      <c r="Q153" s="21" t="str">
        <f>IF(O153="","",IF(LEN(O153)&gt;9,SUMIFS(Options!$H$3:$H$25,Options!$B$3:$B$25,Check!O153),SUMIFS('Master P&amp;L'!$H$11:$H$92,'Master P&amp;L'!$B$11:$B$92,Check!O153)))</f>
        <v/>
      </c>
      <c r="R153" s="174" t="str">
        <f>IF(O153="","",P153-Q153)</f>
        <v/>
      </c>
      <c r="S153" s="289" t="str">
        <f t="shared" si="37"/>
        <v/>
      </c>
    </row>
    <row r="154" spans="3:20">
      <c r="C154" s="188" t="str">
        <f>IF(B154="","",IF(LEN(B154)&gt;9,SUMIFS(Options!$H$3:$H$25,Options!$B$3:$B$25,Check!B154),SUMIFS('Master P&amp;L'!$H$11:$H$92,'Master P&amp;L'!$B$11:$B$92,Check!B154)))</f>
        <v/>
      </c>
      <c r="D154" s="188" t="str">
        <f>IF(B154="","",SUMIFS(Input_APM!N:N,Input_APM!L:L,Check!B154,Input_APM!M:M,Check!$F$1))</f>
        <v/>
      </c>
      <c r="E154" s="174" t="str">
        <f t="shared" si="44"/>
        <v/>
      </c>
      <c r="F154" s="188" t="str">
        <f>IF(B154="","",SUMIFS(Input_APM!N:N,Input_APM!M:M,Check!$F$1,Input_APM!L:L,Check!B154))</f>
        <v/>
      </c>
      <c r="G154" s="188" t="str">
        <f>IF(B154="","",SUMIFS(Input_APM!N:N,Input_APM!M:M,Check!$G$1,Input_APM!L:L,Check!B154))</f>
        <v/>
      </c>
      <c r="H154" s="174" t="str">
        <f t="shared" si="45"/>
        <v/>
      </c>
      <c r="I154" s="174">
        <f>SUMIFS(Input_APM!N:N,Input_APM!L:L,Check!B154)</f>
        <v>0</v>
      </c>
      <c r="J154" s="176" t="str">
        <f t="shared" si="46"/>
        <v/>
      </c>
      <c r="K154" s="21" t="str">
        <f>IF(B154="","",SUMIFS('Input_APM (Zenith)'!N:N,'Input_APM (Zenith)'!L:L,Check!B154,'Input_APM (Zenith)'!M:M,Check!$F$1))</f>
        <v/>
      </c>
      <c r="L154" s="21" t="str">
        <f>IF(B154="","",SUMIFS('Input_APM (Zenith)'!N:N,'Input_APM (Zenith)'!L:L,Check!B154,'Input_APM (Zenith)'!M:M,Check!$G$1))</f>
        <v/>
      </c>
      <c r="M154" s="174" t="str">
        <f t="shared" si="47"/>
        <v/>
      </c>
      <c r="O154"/>
      <c r="P154" s="174" t="str">
        <f>IF(O154="","",IF(OR(LEFT(O154,4)="Cash",LEFT(O154,4)="Prov"),0,SUMIFS(Input_APM!N:N,Input_APM!L:L,Check!O154)))</f>
        <v/>
      </c>
      <c r="Q154" s="21" t="str">
        <f>IF(O154="","",IF(LEN(O154)&gt;9,SUMIFS(Options!$H$3:$H$25,Options!$B$3:$B$25,Check!O154),SUMIFS('Master P&amp;L'!$H$11:$H$92,'Master P&amp;L'!$B$11:$B$92,Check!O154)))</f>
        <v/>
      </c>
      <c r="R154" s="174" t="str">
        <f>IF(O154="","",P154-Q154)</f>
        <v/>
      </c>
      <c r="S154" s="289" t="str">
        <f t="shared" si="37"/>
        <v/>
      </c>
    </row>
    <row r="155" spans="3:20">
      <c r="C155" s="188" t="str">
        <f>IF(B155="","",IF(LEN(B155)&gt;9,SUMIFS(Options!$H$3:$H$25,Options!$B$3:$B$25,Check!B155),SUMIFS('Master P&amp;L'!$H$11:$H$92,'Master P&amp;L'!$B$11:$B$92,Check!B155)))</f>
        <v/>
      </c>
      <c r="D155" s="188" t="str">
        <f>IF(B155="","",SUMIFS(Input_APM!N:N,Input_APM!L:L,Check!B155,Input_APM!M:M,Check!$F$1))</f>
        <v/>
      </c>
      <c r="E155" s="174" t="str">
        <f t="shared" si="44"/>
        <v/>
      </c>
      <c r="F155" s="188" t="str">
        <f>IF(B155="","",SUMIFS(Input_APM!N:N,Input_APM!M:M,Check!$F$1,Input_APM!L:L,Check!B155))</f>
        <v/>
      </c>
      <c r="G155" s="188" t="str">
        <f>IF(B155="","",SUMIFS(Input_APM!N:N,Input_APM!M:M,Check!$G$1,Input_APM!L:L,Check!B155))</f>
        <v/>
      </c>
      <c r="H155" s="174" t="str">
        <f t="shared" si="45"/>
        <v/>
      </c>
      <c r="I155" s="174">
        <f>SUMIFS(Input_APM!N:N,Input_APM!L:L,Check!B155)</f>
        <v>0</v>
      </c>
      <c r="J155" s="176" t="str">
        <f t="shared" si="46"/>
        <v/>
      </c>
      <c r="K155" s="21" t="str">
        <f>IF(B155="","",SUMIFS('Input_APM (Zenith)'!N:N,'Input_APM (Zenith)'!L:L,Check!B155,'Input_APM (Zenith)'!M:M,Check!$F$1))</f>
        <v/>
      </c>
      <c r="L155" s="21" t="str">
        <f>IF(B155="","",SUMIFS('Input_APM (Zenith)'!N:N,'Input_APM (Zenith)'!L:L,Check!B155,'Input_APM (Zenith)'!M:M,Check!$G$1))</f>
        <v/>
      </c>
      <c r="M155" s="174" t="str">
        <f t="shared" si="47"/>
        <v/>
      </c>
      <c r="O155"/>
      <c r="P155" s="174" t="str">
        <f>IF(O155="","",IF(OR(LEFT(O155,4)="Cash",LEFT(O155,4)="Prov"),0,SUMIFS(Input_APM!N:N,Input_APM!L:L,Check!O155)))</f>
        <v/>
      </c>
      <c r="Q155" s="21" t="str">
        <f>IF(O155="","",IF(LEN(O155)&gt;9,SUMIFS(Options!$H$3:$H$25,Options!$B$3:$B$25,Check!O155),SUMIFS('Master P&amp;L'!$H$11:$H$92,'Master P&amp;L'!$B$11:$B$92,Check!O155)))</f>
        <v/>
      </c>
      <c r="R155" s="174" t="str">
        <f t="shared" ref="R155:R166" si="48">IF(O155="","",P155-Q155)</f>
        <v/>
      </c>
      <c r="S155" s="289" t="str">
        <f t="shared" si="37"/>
        <v/>
      </c>
    </row>
    <row r="156" spans="3:20">
      <c r="C156" s="188" t="str">
        <f>IF(B156="","",IF(LEN(B156)&gt;9,SUMIFS(Options!$H$3:$H$25,Options!$B$3:$B$25,Check!B156),SUMIFS('Master P&amp;L'!$H$11:$H$92,'Master P&amp;L'!$B$11:$B$92,Check!B156)))</f>
        <v/>
      </c>
      <c r="D156" s="188" t="str">
        <f>IF(B156="","",SUMIFS(Input_APM!N:N,Input_APM!L:L,Check!B156,Input_APM!M:M,Check!$F$1))</f>
        <v/>
      </c>
      <c r="E156" s="174" t="str">
        <f t="shared" si="44"/>
        <v/>
      </c>
      <c r="F156" s="188" t="str">
        <f>IF(B156="","",SUMIFS(Input_APM!N:N,Input_APM!M:M,Check!$F$1,Input_APM!L:L,Check!B156))</f>
        <v/>
      </c>
      <c r="G156" s="188" t="str">
        <f>IF(B156="","",SUMIFS(Input_APM!N:N,Input_APM!M:M,Check!$G$1,Input_APM!L:L,Check!B156))</f>
        <v/>
      </c>
      <c r="H156" s="174" t="str">
        <f t="shared" si="45"/>
        <v/>
      </c>
      <c r="I156" s="174">
        <f>SUMIFS(Input_APM!N:N,Input_APM!L:L,Check!B156)</f>
        <v>0</v>
      </c>
      <c r="J156" s="176" t="str">
        <f t="shared" si="46"/>
        <v/>
      </c>
      <c r="K156" s="21" t="str">
        <f>IF(B156="","",SUMIFS('Input_APM (Zenith)'!N:N,'Input_APM (Zenith)'!L:L,Check!B156,'Input_APM (Zenith)'!M:M,Check!$F$1))</f>
        <v/>
      </c>
      <c r="L156" s="21" t="str">
        <f>IF(B156="","",SUMIFS('Input_APM (Zenith)'!N:N,'Input_APM (Zenith)'!L:L,Check!B156,'Input_APM (Zenith)'!M:M,Check!$G$1))</f>
        <v/>
      </c>
      <c r="M156" s="174" t="str">
        <f t="shared" si="47"/>
        <v/>
      </c>
      <c r="O156"/>
      <c r="P156" s="174" t="str">
        <f>IF(O156="","",IF(OR(LEFT(O156,4)="Cash",LEFT(O156,4)="Prov"),0,SUMIFS(Input_APM!N:N,Input_APM!L:L,Check!O156)))</f>
        <v/>
      </c>
      <c r="Q156" s="21" t="str">
        <f>IF(O156="","",IF(LEN(O156)&gt;9,SUMIFS(Options!$H$3:$H$25,Options!$B$3:$B$25,Check!O156),SUMIFS('Master P&amp;L'!$H$11:$H$92,'Master P&amp;L'!$B$11:$B$92,Check!O156)))</f>
        <v/>
      </c>
      <c r="R156" s="174" t="str">
        <f t="shared" si="48"/>
        <v/>
      </c>
      <c r="S156" s="289" t="str">
        <f t="shared" si="37"/>
        <v/>
      </c>
    </row>
    <row r="157" spans="3:20">
      <c r="C157" s="188" t="str">
        <f>IF(B157="","",IF(LEN(B157)&gt;9,SUMIFS(Options!$H$3:$H$25,Options!$B$3:$B$25,Check!B157),SUMIFS('Master P&amp;L'!$H$11:$H$92,'Master P&amp;L'!$B$11:$B$92,Check!B157)))</f>
        <v/>
      </c>
      <c r="D157" s="188" t="str">
        <f>IF(B157="","",SUMIFS(Input_APM!N:N,Input_APM!L:L,Check!B157,Input_APM!M:M,Check!$F$1))</f>
        <v/>
      </c>
      <c r="E157" s="174" t="str">
        <f t="shared" si="44"/>
        <v/>
      </c>
      <c r="F157" s="188" t="str">
        <f>IF(B157="","",SUMIFS(Input_APM!N:N,Input_APM!M:M,Check!$F$1,Input_APM!L:L,Check!B157))</f>
        <v/>
      </c>
      <c r="G157" s="188" t="str">
        <f>IF(B157="","",SUMIFS(Input_APM!N:N,Input_APM!M:M,Check!$G$1,Input_APM!L:L,Check!B157))</f>
        <v/>
      </c>
      <c r="H157" s="174" t="str">
        <f t="shared" si="45"/>
        <v/>
      </c>
      <c r="I157" s="174">
        <f>SUMIFS(Input_APM!N:N,Input_APM!L:L,Check!B157)</f>
        <v>0</v>
      </c>
      <c r="J157" s="176" t="str">
        <f t="shared" si="46"/>
        <v/>
      </c>
      <c r="K157" s="21" t="str">
        <f>IF(B157="","",SUMIFS('Input_APM (Zenith)'!N:N,'Input_APM (Zenith)'!L:L,Check!B157,'Input_APM (Zenith)'!M:M,Check!$F$1))</f>
        <v/>
      </c>
      <c r="L157" s="21" t="str">
        <f>IF(B157="","",SUMIFS('Input_APM (Zenith)'!N:N,'Input_APM (Zenith)'!L:L,Check!B157,'Input_APM (Zenith)'!M:M,Check!$G$1))</f>
        <v/>
      </c>
      <c r="M157" s="174" t="str">
        <f t="shared" si="47"/>
        <v/>
      </c>
      <c r="O157"/>
      <c r="P157" s="174" t="str">
        <f>IF(O157="","",IF(OR(LEFT(O157,4)="Cash",LEFT(O157,4)="Prov"),0,SUMIFS(Input_APM!N:N,Input_APM!L:L,Check!O157)))</f>
        <v/>
      </c>
      <c r="Q157" s="21" t="str">
        <f>IF(O157="","",IF(LEN(O157)&gt;9,SUMIFS(Options!$H$3:$H$25,Options!$B$3:$B$25,Check!O157),SUMIFS('Master P&amp;L'!$H$11:$H$92,'Master P&amp;L'!$B$11:$B$92,Check!O157)))</f>
        <v/>
      </c>
      <c r="R157" s="174" t="str">
        <f t="shared" si="48"/>
        <v/>
      </c>
      <c r="S157" s="289" t="str">
        <f t="shared" si="37"/>
        <v/>
      </c>
    </row>
    <row r="158" spans="3:20">
      <c r="C158" s="188" t="str">
        <f>IF(B158="","",IF(LEN(B158)&gt;9,SUMIFS(Options!$H$3:$H$25,Options!$B$3:$B$25,Check!B158),SUMIFS('Master P&amp;L'!$H$11:$H$92,'Master P&amp;L'!$B$11:$B$92,Check!B158)))</f>
        <v/>
      </c>
      <c r="D158" s="188" t="str">
        <f>IF(B158="","",SUMIFS(Input_APM!N:N,Input_APM!L:L,Check!B158,Input_APM!M:M,Check!$F$1))</f>
        <v/>
      </c>
      <c r="E158" s="174" t="str">
        <f>IF(B158="","",C158-M158)</f>
        <v/>
      </c>
      <c r="F158" s="188" t="str">
        <f>IF(B158="","",SUMIFS(Input_APM!N:N,Input_APM!M:M,Check!$F$1,Input_APM!L:L,Check!B158))</f>
        <v/>
      </c>
      <c r="G158" s="188" t="str">
        <f>IF(B158="","",SUMIFS(Input_APM!N:N,Input_APM!M:M,Check!$G$1,Input_APM!L:L,Check!B158))</f>
        <v/>
      </c>
      <c r="H158" s="174" t="str">
        <f t="shared" si="45"/>
        <v/>
      </c>
      <c r="I158" s="174">
        <f>SUMIFS(Input_APM!N:N,Input_APM!L:L,Check!B158)</f>
        <v>0</v>
      </c>
      <c r="J158" s="176" t="str">
        <f t="shared" si="46"/>
        <v/>
      </c>
      <c r="K158" s="21" t="str">
        <f>IF(B158="","",SUMIFS('Input_APM (Zenith)'!N:N,'Input_APM (Zenith)'!L:L,Check!B158,'Input_APM (Zenith)'!M:M,Check!$F$1))</f>
        <v/>
      </c>
      <c r="L158" s="21" t="str">
        <f>IF(B158="","",SUMIFS('Input_APM (Zenith)'!N:N,'Input_APM (Zenith)'!L:L,Check!B158,'Input_APM (Zenith)'!M:M,Check!$G$1))</f>
        <v/>
      </c>
      <c r="M158" s="174" t="str">
        <f t="shared" si="47"/>
        <v/>
      </c>
      <c r="O158"/>
      <c r="P158" s="174" t="str">
        <f>IF(O158="","",IF(OR(LEFT(O158,4)="Cash",LEFT(O158,4)="Prov"),0,SUMIFS(Input_APM!N:N,Input_APM!L:L,Check!O158)))</f>
        <v/>
      </c>
      <c r="Q158" s="21" t="str">
        <f>IF(O158="","",IF(LEN(O158)&gt;9,SUMIFS(Options!$H$3:$H$25,Options!$B$3:$B$25,Check!O158),SUMIFS('Master P&amp;L'!$H$11:$H$92,'Master P&amp;L'!$B$11:$B$92,Check!O158)))</f>
        <v/>
      </c>
      <c r="R158" s="174" t="str">
        <f t="shared" si="48"/>
        <v/>
      </c>
      <c r="S158" s="289" t="str">
        <f t="shared" si="37"/>
        <v/>
      </c>
    </row>
    <row r="159" spans="3:20">
      <c r="C159" s="188" t="str">
        <f>IF(B159="","",IF(LEN(B159)&gt;9,SUMIFS(Options!$H$3:$H$25,Options!$B$3:$B$25,Check!B159),SUMIFS('Master P&amp;L'!$H$11:$H$92,'Master P&amp;L'!$B$11:$B$92,Check!B159)))</f>
        <v/>
      </c>
      <c r="D159" s="188" t="str">
        <f>IF(B159="","",SUMIFS(Input_APM!N:N,Input_APM!L:L,Check!B159,Input_APM!M:M,Check!$F$1))</f>
        <v/>
      </c>
      <c r="E159" s="174" t="str">
        <f t="shared" ref="E159:E165" si="49">IF(B159="","",C159-M159)</f>
        <v/>
      </c>
      <c r="F159" s="188" t="str">
        <f>IF(B159="","",SUMIFS(Input_APM!N:N,Input_APM!M:M,Check!$F$1,Input_APM!L:L,Check!B159))</f>
        <v/>
      </c>
      <c r="G159" s="188" t="str">
        <f>IF(B159="","",SUMIFS(Input_APM!N:N,Input_APM!M:M,Check!$G$1,Input_APM!L:L,Check!B159))</f>
        <v/>
      </c>
      <c r="H159" s="174" t="str">
        <f t="shared" ref="H159:H165" si="50">IF(B159="","",F159-G159)</f>
        <v/>
      </c>
      <c r="I159" s="174">
        <f>SUMIFS(Input_APM!N:N,Input_APM!L:L,Check!B159)</f>
        <v>0</v>
      </c>
      <c r="J159" s="176" t="str">
        <f t="shared" ref="J159:J165" si="51">IF(B159="","",(F159+G159)-I159)</f>
        <v/>
      </c>
      <c r="K159" s="21" t="str">
        <f>IF(B159="","",SUMIFS('Input_APM (Zenith)'!N:N,'Input_APM (Zenith)'!L:L,Check!B159,'Input_APM (Zenith)'!M:M,Check!$F$1))</f>
        <v/>
      </c>
      <c r="L159" s="21" t="str">
        <f>IF(B159="","",SUMIFS('Input_APM (Zenith)'!N:N,'Input_APM (Zenith)'!L:L,Check!B159,'Input_APM (Zenith)'!M:M,Check!$G$1))</f>
        <v/>
      </c>
      <c r="M159" s="174" t="str">
        <f t="shared" ref="M159:M165" si="52">IF(B159="","",F159+G159+K159+L159)</f>
        <v/>
      </c>
      <c r="O159"/>
      <c r="P159" s="174" t="str">
        <f>IF(O159="","",IF(OR(LEFT(O159,4)="Cash",LEFT(O159,4)="Prov"),0,SUMIFS(Input_APM!N:N,Input_APM!L:L,Check!O159)))</f>
        <v/>
      </c>
      <c r="Q159" s="21" t="str">
        <f>IF(O159="","",IF(LEN(O159)&gt;9,SUMIFS(Options!$H$3:$H$25,Options!$B$3:$B$25,Check!O159),SUMIFS('Master P&amp;L'!$H$11:$H$92,'Master P&amp;L'!$B$11:$B$92,Check!O159)))</f>
        <v/>
      </c>
      <c r="R159" s="174" t="str">
        <f t="shared" si="48"/>
        <v/>
      </c>
      <c r="S159" s="289" t="str">
        <f t="shared" si="37"/>
        <v/>
      </c>
    </row>
    <row r="160" spans="3:20">
      <c r="C160" s="188" t="str">
        <f>IF(B160="","",IF(LEN(B160)&gt;9,SUMIFS(Options!$H$3:$H$25,Options!$B$3:$B$25,Check!B160),SUMIFS('Master P&amp;L'!$H$11:$H$92,'Master P&amp;L'!$B$11:$B$92,Check!B160)))</f>
        <v/>
      </c>
      <c r="D160" s="188" t="str">
        <f>IF(B160="","",SUMIFS(Input_APM!N:N,Input_APM!L:L,Check!B160,Input_APM!M:M,Check!$F$1))</f>
        <v/>
      </c>
      <c r="E160" s="174" t="str">
        <f t="shared" si="49"/>
        <v/>
      </c>
      <c r="F160" s="188" t="str">
        <f>IF(B160="","",SUMIFS(Input_APM!N:N,Input_APM!M:M,Check!$F$1,Input_APM!L:L,Check!B160))</f>
        <v/>
      </c>
      <c r="G160" s="188" t="str">
        <f>IF(B160="","",SUMIFS(Input_APM!N:N,Input_APM!M:M,Check!$G$1,Input_APM!L:L,Check!B160))</f>
        <v/>
      </c>
      <c r="H160" s="174" t="str">
        <f t="shared" si="50"/>
        <v/>
      </c>
      <c r="I160" s="174">
        <f>SUMIFS(Input_APM!N:N,Input_APM!L:L,Check!B160)</f>
        <v>0</v>
      </c>
      <c r="J160" s="176" t="str">
        <f t="shared" si="51"/>
        <v/>
      </c>
      <c r="K160" s="21" t="str">
        <f>IF(B160="","",SUMIFS('Input_APM (Zenith)'!N:N,'Input_APM (Zenith)'!L:L,Check!B160,'Input_APM (Zenith)'!M:M,Check!$F$1))</f>
        <v/>
      </c>
      <c r="L160" s="21" t="str">
        <f>IF(B160="","",SUMIFS('Input_APM (Zenith)'!N:N,'Input_APM (Zenith)'!L:L,Check!B160,'Input_APM (Zenith)'!M:M,Check!$G$1))</f>
        <v/>
      </c>
      <c r="M160" s="174" t="str">
        <f t="shared" si="52"/>
        <v/>
      </c>
      <c r="O160"/>
      <c r="P160" s="174" t="str">
        <f>IF(O160="","",IF(OR(LEFT(O160,4)="Cash",LEFT(O160,4)="Prov"),0,SUMIFS(Input_APM!N:N,Input_APM!L:L,Check!O160)))</f>
        <v/>
      </c>
      <c r="Q160" s="21" t="str">
        <f>IF(O160="","",IF(LEN(O160)&gt;9,SUMIFS(Options!$H$3:$H$25,Options!$B$3:$B$25,Check!O160),SUMIFS('Master P&amp;L'!$H$11:$H$92,'Master P&amp;L'!$B$11:$B$92,Check!O160)))</f>
        <v/>
      </c>
      <c r="R160" s="174" t="str">
        <f t="shared" si="48"/>
        <v/>
      </c>
      <c r="S160" s="289" t="str">
        <f t="shared" si="37"/>
        <v/>
      </c>
    </row>
    <row r="161" spans="3:19">
      <c r="C161" s="188" t="str">
        <f>IF(B161="","",IF(LEN(B161)&gt;9,SUMIFS(Options!$H$3:$H$25,Options!$B$3:$B$25,Check!B161),SUMIFS('Master P&amp;L'!$H$11:$H$92,'Master P&amp;L'!$B$11:$B$92,Check!B161)))</f>
        <v/>
      </c>
      <c r="D161" s="188" t="str">
        <f>IF(B161="","",SUMIFS(Input_APM!N:N,Input_APM!L:L,Check!B161,Input_APM!M:M,Check!$F$1))</f>
        <v/>
      </c>
      <c r="E161" s="174" t="str">
        <f t="shared" si="49"/>
        <v/>
      </c>
      <c r="F161" s="188" t="str">
        <f>IF(B161="","",SUMIFS(Input_APM!N:N,Input_APM!M:M,Check!$F$1,Input_APM!L:L,Check!B161))</f>
        <v/>
      </c>
      <c r="G161" s="188" t="str">
        <f>IF(B161="","",SUMIFS(Input_APM!N:N,Input_APM!M:M,Check!$G$1,Input_APM!L:L,Check!B161))</f>
        <v/>
      </c>
      <c r="H161" s="174" t="str">
        <f t="shared" si="50"/>
        <v/>
      </c>
      <c r="I161" s="174">
        <f>SUMIFS(Input_APM!N:N,Input_APM!L:L,Check!B161)</f>
        <v>0</v>
      </c>
      <c r="J161" s="176" t="str">
        <f t="shared" si="51"/>
        <v/>
      </c>
      <c r="K161" s="21" t="str">
        <f>IF(B161="","",SUMIFS('Input_APM (Zenith)'!N:N,'Input_APM (Zenith)'!L:L,Check!B161,'Input_APM (Zenith)'!M:M,Check!$F$1))</f>
        <v/>
      </c>
      <c r="L161" s="21" t="str">
        <f>IF(B161="","",SUMIFS('Input_APM (Zenith)'!N:N,'Input_APM (Zenith)'!L:L,Check!B161,'Input_APM (Zenith)'!M:M,Check!$G$1))</f>
        <v/>
      </c>
      <c r="M161" s="174" t="str">
        <f t="shared" si="52"/>
        <v/>
      </c>
      <c r="O161"/>
      <c r="P161" s="174" t="str">
        <f>IF(O161="","",IF(OR(LEFT(O161,4)="Cash",LEFT(O161,4)="Prov"),0,SUMIFS(Input_APM!N:N,Input_APM!L:L,Check!O161)))</f>
        <v/>
      </c>
      <c r="Q161" s="21" t="str">
        <f>IF(O161="","",IF(LEN(O161)&gt;9,SUMIFS(Options!$H$3:$H$25,Options!$B$3:$B$25,Check!O161),SUMIFS('Master P&amp;L'!$H$11:$H$92,'Master P&amp;L'!$B$11:$B$92,Check!O161)))</f>
        <v/>
      </c>
      <c r="R161" s="174" t="str">
        <f t="shared" si="48"/>
        <v/>
      </c>
      <c r="S161" s="289" t="str">
        <f t="shared" si="37"/>
        <v/>
      </c>
    </row>
    <row r="162" spans="3:19">
      <c r="C162" s="188" t="str">
        <f>IF(B162="","",IF(LEN(B162)&gt;9,SUMIFS(Options!$H$3:$H$25,Options!$B$3:$B$25,Check!B162),SUMIFS('Master P&amp;L'!$H$11:$H$92,'Master P&amp;L'!$B$11:$B$92,Check!B162)))</f>
        <v/>
      </c>
      <c r="D162" s="188" t="str">
        <f>IF(B162="","",SUMIFS(Input_APM!N:N,Input_APM!L:L,Check!B162,Input_APM!M:M,Check!$F$1))</f>
        <v/>
      </c>
      <c r="E162" s="174" t="str">
        <f t="shared" si="49"/>
        <v/>
      </c>
      <c r="F162" s="188" t="str">
        <f>IF(B162="","",SUMIFS(Input_APM!N:N,Input_APM!M:M,Check!$F$1,Input_APM!L:L,Check!B162))</f>
        <v/>
      </c>
      <c r="G162" s="188" t="str">
        <f>IF(B162="","",SUMIFS(Input_APM!N:N,Input_APM!M:M,Check!$G$1,Input_APM!L:L,Check!B162))</f>
        <v/>
      </c>
      <c r="H162" s="174" t="str">
        <f t="shared" si="50"/>
        <v/>
      </c>
      <c r="I162" s="174">
        <f>SUMIFS(Input_APM!N:N,Input_APM!L:L,Check!B162)</f>
        <v>0</v>
      </c>
      <c r="J162" s="176" t="str">
        <f t="shared" si="51"/>
        <v/>
      </c>
      <c r="K162" s="21" t="str">
        <f>IF(B162="","",SUMIFS('Input_APM (Zenith)'!N:N,'Input_APM (Zenith)'!L:L,Check!B162,'Input_APM (Zenith)'!M:M,Check!$F$1))</f>
        <v/>
      </c>
      <c r="L162" s="21" t="str">
        <f>IF(B162="","",SUMIFS('Input_APM (Zenith)'!N:N,'Input_APM (Zenith)'!L:L,Check!B162,'Input_APM (Zenith)'!M:M,Check!$G$1))</f>
        <v/>
      </c>
      <c r="M162" s="174" t="str">
        <f t="shared" si="52"/>
        <v/>
      </c>
      <c r="O162"/>
      <c r="P162" s="174" t="str">
        <f>IF(O162="","",IF(OR(LEFT(O162,4)="Cash",LEFT(O162,4)="Prov"),0,SUMIFS(Input_APM!N:N,Input_APM!L:L,Check!O162)))</f>
        <v/>
      </c>
      <c r="Q162" s="21" t="str">
        <f>IF(O162="","",IF(LEN(O162)&gt;9,SUMIFS(Options!$H$3:$H$25,Options!$B$3:$B$25,Check!O162),SUMIFS('Master P&amp;L'!$H$11:$H$92,'Master P&amp;L'!$B$11:$B$92,Check!O162)))</f>
        <v/>
      </c>
      <c r="R162" s="174" t="str">
        <f t="shared" si="48"/>
        <v/>
      </c>
      <c r="S162" s="289" t="str">
        <f t="shared" si="37"/>
        <v/>
      </c>
    </row>
    <row r="163" spans="3:19">
      <c r="C163" s="188" t="str">
        <f>IF(B163="","",IF(LEN(B163)&gt;9,SUMIFS(Options!$H$3:$H$25,Options!$B$3:$B$25,Check!B163),SUMIFS('Master P&amp;L'!$H$11:$H$92,'Master P&amp;L'!$B$11:$B$92,Check!B163)))</f>
        <v/>
      </c>
      <c r="D163" s="188" t="str">
        <f>IF(B163="","",SUMIFS(Input_APM!N:N,Input_APM!L:L,Check!B163,Input_APM!M:M,Check!$F$1))</f>
        <v/>
      </c>
      <c r="E163" s="174" t="str">
        <f t="shared" si="49"/>
        <v/>
      </c>
      <c r="F163" s="188" t="str">
        <f>IF(B163="","",SUMIFS(Input_APM!N:N,Input_APM!M:M,Check!$F$1,Input_APM!L:L,Check!B163))</f>
        <v/>
      </c>
      <c r="G163" s="188" t="str">
        <f>IF(B163="","",SUMIFS(Input_APM!N:N,Input_APM!M:M,Check!$G$1,Input_APM!L:L,Check!B163))</f>
        <v/>
      </c>
      <c r="H163" s="174" t="str">
        <f t="shared" si="50"/>
        <v/>
      </c>
      <c r="I163" s="174">
        <f>SUMIFS(Input_APM!N:N,Input_APM!L:L,Check!B163)</f>
        <v>0</v>
      </c>
      <c r="J163" s="176" t="str">
        <f t="shared" si="51"/>
        <v/>
      </c>
      <c r="K163" s="21" t="str">
        <f>IF(B163="","",SUMIFS('Input_APM (Zenith)'!N:N,'Input_APM (Zenith)'!L:L,Check!B163,'Input_APM (Zenith)'!M:M,Check!$F$1))</f>
        <v/>
      </c>
      <c r="L163" s="21" t="str">
        <f>IF(B163="","",SUMIFS('Input_APM (Zenith)'!N:N,'Input_APM (Zenith)'!L:L,Check!B163,'Input_APM (Zenith)'!M:M,Check!$G$1))</f>
        <v/>
      </c>
      <c r="M163" s="174" t="str">
        <f t="shared" si="52"/>
        <v/>
      </c>
      <c r="O163"/>
      <c r="P163" s="174" t="str">
        <f>IF(O163="","",IF(OR(LEFT(O163,4)="Cash",LEFT(O163,4)="Prov"),0,SUMIFS(Input_APM!N:N,Input_APM!L:L,Check!O163)))</f>
        <v/>
      </c>
      <c r="Q163" s="21" t="str">
        <f>IF(O163="","",IF(LEN(O163)&gt;9,SUMIFS(Options!$H$3:$H$25,Options!$B$3:$B$25,Check!O163),SUMIFS('Master P&amp;L'!$H$11:$H$92,'Master P&amp;L'!$B$11:$B$92,Check!O163)))</f>
        <v/>
      </c>
      <c r="R163" s="174" t="str">
        <f t="shared" si="48"/>
        <v/>
      </c>
      <c r="S163" s="289" t="str">
        <f t="shared" si="37"/>
        <v/>
      </c>
    </row>
    <row r="164" spans="3:19">
      <c r="C164" s="188" t="str">
        <f>IF(B164="","",IF(LEN(B164)&gt;9,SUMIFS(Options!$H$3:$H$25,Options!$B$3:$B$25,Check!B164),SUMIFS('Master P&amp;L'!$H$11:$H$92,'Master P&amp;L'!$B$11:$B$92,Check!B164)))</f>
        <v/>
      </c>
      <c r="D164" s="188" t="str">
        <f>IF(B164="","",SUMIFS(Input_APM!N:N,Input_APM!L:L,Check!B164,Input_APM!M:M,Check!$F$1))</f>
        <v/>
      </c>
      <c r="E164" s="174" t="str">
        <f t="shared" si="49"/>
        <v/>
      </c>
      <c r="F164" s="188" t="str">
        <f>IF(B164="","",SUMIFS(Input_APM!N:N,Input_APM!M:M,Check!$F$1,Input_APM!L:L,Check!B164))</f>
        <v/>
      </c>
      <c r="G164" s="188" t="str">
        <f>IF(B164="","",SUMIFS(Input_APM!N:N,Input_APM!M:M,Check!$G$1,Input_APM!L:L,Check!B164))</f>
        <v/>
      </c>
      <c r="H164" s="174" t="str">
        <f t="shared" si="50"/>
        <v/>
      </c>
      <c r="I164" s="174">
        <f>SUMIFS(Input_APM!N:N,Input_APM!L:L,Check!B164)</f>
        <v>0</v>
      </c>
      <c r="J164" s="176" t="str">
        <f t="shared" si="51"/>
        <v/>
      </c>
      <c r="K164" s="21" t="str">
        <f>IF(B164="","",SUMIFS('Input_APM (Zenith)'!N:N,'Input_APM (Zenith)'!L:L,Check!B164,'Input_APM (Zenith)'!M:M,Check!$F$1))</f>
        <v/>
      </c>
      <c r="L164" s="21" t="str">
        <f>IF(B164="","",SUMIFS('Input_APM (Zenith)'!N:N,'Input_APM (Zenith)'!L:L,Check!B164,'Input_APM (Zenith)'!M:M,Check!$G$1))</f>
        <v/>
      </c>
      <c r="M164" s="174" t="str">
        <f t="shared" si="52"/>
        <v/>
      </c>
      <c r="O164"/>
      <c r="P164" s="174" t="str">
        <f>IF(O164="","",IF(OR(LEFT(O164,4)="Cash",LEFT(O164,4)="Prov"),0,SUMIFS(Input_APM!N:N,Input_APM!L:L,Check!O164)))</f>
        <v/>
      </c>
      <c r="Q164" s="21" t="str">
        <f>IF(O164="","",IF(LEN(O164)&gt;9,SUMIFS(Options!$H$3:$H$25,Options!$B$3:$B$25,Check!O164),SUMIFS('Master P&amp;L'!$H$11:$H$92,'Master P&amp;L'!$B$11:$B$92,Check!O164)))</f>
        <v/>
      </c>
      <c r="R164" s="174" t="str">
        <f t="shared" si="48"/>
        <v/>
      </c>
      <c r="S164" s="289" t="str">
        <f t="shared" si="37"/>
        <v/>
      </c>
    </row>
    <row r="165" spans="3:19">
      <c r="C165" s="188" t="str">
        <f>IF(B165="","",IF(LEN(B165)&gt;9,SUMIFS(Options!$H$3:$H$25,Options!$B$3:$B$25,Check!B165),SUMIFS('Master P&amp;L'!$H$11:$H$92,'Master P&amp;L'!$B$11:$B$92,Check!B165)))</f>
        <v/>
      </c>
      <c r="D165" s="188" t="str">
        <f>IF(B165="","",SUMIFS(Input_APM!N:N,Input_APM!L:L,Check!B165,Input_APM!M:M,Check!$F$1))</f>
        <v/>
      </c>
      <c r="E165" s="174" t="str">
        <f t="shared" si="49"/>
        <v/>
      </c>
      <c r="F165" s="188" t="str">
        <f>IF(B165="","",SUMIFS(Input_APM!N:N,Input_APM!M:M,Check!$F$1,Input_APM!L:L,Check!B165))</f>
        <v/>
      </c>
      <c r="G165" s="188" t="str">
        <f>IF(B165="","",SUMIFS(Input_APM!N:N,Input_APM!M:M,Check!$G$1,Input_APM!L:L,Check!B165))</f>
        <v/>
      </c>
      <c r="H165" s="174" t="str">
        <f t="shared" si="50"/>
        <v/>
      </c>
      <c r="I165" s="174">
        <f>SUMIFS(Input_APM!N:N,Input_APM!L:L,Check!B165)</f>
        <v>0</v>
      </c>
      <c r="J165" s="176" t="str">
        <f t="shared" si="51"/>
        <v/>
      </c>
      <c r="K165" s="21" t="str">
        <f>IF(B165="","",SUMIFS('Input_APM (Zenith)'!N:N,'Input_APM (Zenith)'!L:L,Check!B165,'Input_APM (Zenith)'!M:M,Check!$F$1))</f>
        <v/>
      </c>
      <c r="L165" s="21" t="str">
        <f>IF(B165="","",SUMIFS('Input_APM (Zenith)'!N:N,'Input_APM (Zenith)'!L:L,Check!B165,'Input_APM (Zenith)'!M:M,Check!$G$1))</f>
        <v/>
      </c>
      <c r="M165" s="174" t="str">
        <f t="shared" si="52"/>
        <v/>
      </c>
      <c r="O165"/>
      <c r="P165" s="174" t="str">
        <f>IF(O165="","",IF(OR(LEFT(O165,4)="Cash",LEFT(O165,4)="Prov"),0,SUMIFS(Input_APM!N:N,Input_APM!L:L,Check!O165)))</f>
        <v/>
      </c>
      <c r="Q165" s="21" t="str">
        <f>IF(O165="","",IF(LEN(O165)&gt;9,SUMIFS(Options!$H$3:$H$25,Options!$B$3:$B$25,Check!O165),SUMIFS('Master P&amp;L'!$H$11:$H$92,'Master P&amp;L'!$B$11:$B$92,Check!O165)))</f>
        <v/>
      </c>
      <c r="R165" s="174" t="str">
        <f t="shared" si="48"/>
        <v/>
      </c>
      <c r="S165" s="289" t="str">
        <f t="shared" si="37"/>
        <v/>
      </c>
    </row>
    <row r="166" spans="3:19">
      <c r="C166" s="188" t="str">
        <f>IF(B166="","",IF(LEN(B166)&gt;9,SUMIFS(Options!$H$3:$H$25,Options!$B$3:$B$25,Check!B166),SUMIFS('Master P&amp;L'!$H$11:$H$92,'Master P&amp;L'!$B$11:$B$92,Check!B166)))</f>
        <v/>
      </c>
      <c r="D166" s="188" t="str">
        <f>IF(B166="","",SUMIFS(Input_APM!N:N,Input_APM!L:L,Check!B166,Input_APM!M:M,Check!$F$1))</f>
        <v/>
      </c>
      <c r="E166" s="174" t="str">
        <f>IF(B166="","",C166-M166)</f>
        <v/>
      </c>
      <c r="F166" s="188" t="str">
        <f>IF(B166="","",SUMIFS(Input_APM!N:N,Input_APM!M:M,Check!$F$1,Input_APM!L:L,Check!B166))</f>
        <v/>
      </c>
      <c r="G166" s="188" t="str">
        <f>IF(B166="","",SUMIFS(Input_APM!N:N,Input_APM!M:M,Check!$G$1,Input_APM!L:L,Check!B166))</f>
        <v/>
      </c>
      <c r="H166" s="174" t="str">
        <f>IF(B166="","",F166-G166)</f>
        <v/>
      </c>
      <c r="I166" s="174">
        <f>SUMIFS(Input_APM!N:N,Input_APM!L:L,Check!B166)</f>
        <v>0</v>
      </c>
      <c r="J166" s="176" t="str">
        <f>IF(B166="","",(F166+G166)-I166)</f>
        <v/>
      </c>
      <c r="K166" s="21" t="str">
        <f>IF(B166="","",SUMIFS('Input_APM (Zenith)'!N:N,'Input_APM (Zenith)'!L:L,Check!B166,'Input_APM (Zenith)'!M:M,Check!$F$1))</f>
        <v/>
      </c>
      <c r="L166" s="21" t="str">
        <f>IF(B166="","",SUMIFS('Input_APM (Zenith)'!N:N,'Input_APM (Zenith)'!L:L,Check!B166,'Input_APM (Zenith)'!M:M,Check!$G$1))</f>
        <v/>
      </c>
      <c r="M166" s="174" t="str">
        <f>IF(B166="","",F166+G166+K166+L166)</f>
        <v/>
      </c>
      <c r="O166"/>
      <c r="P166" s="174" t="str">
        <f>IF(O166="","",IF(OR(LEFT(O166,4)="Cash",LEFT(O166,4)="Prov"),0,SUMIFS(Input_APM!N:N,Input_APM!L:L,Check!O166)))</f>
        <v/>
      </c>
      <c r="Q166" s="21" t="str">
        <f>IF(O166="","",IF(LEN(O166)&gt;9,SUMIFS(Options!$H$3:$H$25,Options!$B$3:$B$25,Check!O166),SUMIFS('Master P&amp;L'!$H$11:$H$92,'Master P&amp;L'!$B$11:$B$92,Check!O166)))</f>
        <v/>
      </c>
      <c r="R166" s="174" t="str">
        <f t="shared" si="48"/>
        <v/>
      </c>
      <c r="S166" s="289" t="str">
        <f t="shared" si="37"/>
        <v/>
      </c>
    </row>
    <row r="167" spans="3:19">
      <c r="C167" s="188" t="str">
        <f>IF(B167="","",IF(LEN(B167)&gt;9,SUMIFS(Options!$H$3:$H$25,Options!$B$3:$B$25,Check!B167),SUMIFS('Master P&amp;L'!$H$11:$H$92,'Master P&amp;L'!$B$11:$B$92,Check!B167)))</f>
        <v/>
      </c>
      <c r="D167" s="188" t="str">
        <f>IF(B167="","",SUMIFS(Input_APM!N:N,Input_APM!L:L,Check!B167,Input_APM!M:M,Check!$F$1))</f>
        <v/>
      </c>
      <c r="E167" s="174" t="str">
        <f>IF(B167="","",C167-M167)</f>
        <v/>
      </c>
      <c r="F167" s="188" t="str">
        <f>IF(B167="","",SUMIFS(Input_APM!N:N,Input_APM!M:M,Check!$F$1,Input_APM!L:L,Check!B167))</f>
        <v/>
      </c>
      <c r="G167" s="188" t="str">
        <f>IF(B167="","",SUMIFS(Input_APM!N:N,Input_APM!M:M,Check!$G$1,Input_APM!L:L,Check!B167))</f>
        <v/>
      </c>
      <c r="H167" s="174" t="str">
        <f>IF(B167="","",F167-G167)</f>
        <v/>
      </c>
      <c r="I167" s="174">
        <f>SUMIFS(Input_APM!N:N,Input_APM!L:L,Check!B167)</f>
        <v>0</v>
      </c>
      <c r="J167" s="176" t="str">
        <f>IF(B167="","",(F167+G167)-I167)</f>
        <v/>
      </c>
      <c r="K167" s="21" t="str">
        <f>IF(B167="","",SUMIFS('Input_APM (Zenith)'!N:N,'Input_APM (Zenith)'!L:L,Check!B167,'Input_APM (Zenith)'!M:M,Check!$F$1))</f>
        <v/>
      </c>
      <c r="L167" s="21" t="str">
        <f>IF(B167="","",SUMIFS('Input_APM (Zenith)'!N:N,'Input_APM (Zenith)'!L:L,Check!B167,'Input_APM (Zenith)'!M:M,Check!$G$1))</f>
        <v/>
      </c>
      <c r="M167" s="174" t="str">
        <f>IF(B167="","",F167+G167+K167+L167)</f>
        <v/>
      </c>
      <c r="O167"/>
      <c r="P167" s="174" t="str">
        <f>IF(O167="","",IF(OR(LEFT(O167,4)="Cash",LEFT(O167,4)="Prov"),0,SUMIFS(Input_APM!N:N,Input_APM!L:L,Check!O167)))</f>
        <v/>
      </c>
      <c r="Q167" s="21" t="str">
        <f>IF(O167="","",IF(LEN(O167)&gt;9,SUMIFS(Options!$H$3:$H$25,Options!$B$3:$B$25,Check!O167),SUMIFS('Master P&amp;L'!$H$11:$H$92,'Master P&amp;L'!$B$11:$B$92,Check!O167)))</f>
        <v/>
      </c>
      <c r="R167" s="174" t="str">
        <f t="shared" ref="R167:R177" si="53">IF(O167="","",P167-Q167)</f>
        <v/>
      </c>
      <c r="S167" s="289" t="str">
        <f t="shared" si="37"/>
        <v/>
      </c>
    </row>
    <row r="168" spans="3:19">
      <c r="C168" s="188" t="str">
        <f>IF(B168="","",IF(LEN(B168)&gt;9,SUMIFS(Options!$H$3:$H$25,Options!$B$3:$B$25,Check!B168),SUMIFS('Master P&amp;L'!$H$11:$H$92,'Master P&amp;L'!$B$11:$B$92,Check!B168)))</f>
        <v/>
      </c>
      <c r="D168" s="188" t="str">
        <f>IF(B168="","",SUMIFS(Input_APM!N:N,Input_APM!L:L,Check!B168,Input_APM!M:M,Check!$F$1))</f>
        <v/>
      </c>
      <c r="E168" s="174" t="str">
        <f t="shared" ref="E168:E175" si="54">IF(B168="","",C168-M168)</f>
        <v/>
      </c>
      <c r="F168" s="188" t="str">
        <f>IF(B168="","",SUMIFS(Input_APM!N:N,Input_APM!M:M,Check!$F$1,Input_APM!L:L,Check!B168))</f>
        <v/>
      </c>
      <c r="G168" s="188" t="str">
        <f>IF(B168="","",SUMIFS(Input_APM!N:N,Input_APM!M:M,Check!$G$1,Input_APM!L:L,Check!B168))</f>
        <v/>
      </c>
      <c r="H168" s="174" t="str">
        <f t="shared" ref="H168:H175" si="55">IF(B168="","",F168-G168)</f>
        <v/>
      </c>
      <c r="I168" s="174">
        <f>SUMIFS(Input_APM!N:N,Input_APM!L:L,Check!B168)</f>
        <v>0</v>
      </c>
      <c r="J168" s="176" t="str">
        <f t="shared" ref="J168:J175" si="56">IF(B168="","",(F168+G168)-I168)</f>
        <v/>
      </c>
      <c r="K168" s="21" t="str">
        <f>IF(B168="","",SUMIFS('Input_APM (Zenith)'!N:N,'Input_APM (Zenith)'!L:L,Check!B168,'Input_APM (Zenith)'!M:M,Check!$F$1))</f>
        <v/>
      </c>
      <c r="L168" s="21" t="str">
        <f>IF(B168="","",SUMIFS('Input_APM (Zenith)'!N:N,'Input_APM (Zenith)'!L:L,Check!B168,'Input_APM (Zenith)'!M:M,Check!$G$1))</f>
        <v/>
      </c>
      <c r="M168" s="174" t="str">
        <f t="shared" ref="M168:M175" si="57">IF(B168="","",F168+G168+K168+L168)</f>
        <v/>
      </c>
      <c r="O168"/>
      <c r="P168" s="174" t="str">
        <f>IF(O168="","",IF(OR(LEFT(O168,4)="Cash",LEFT(O168,4)="Prov"),0,SUMIFS(Input_APM!N:N,Input_APM!L:L,Check!O168)))</f>
        <v/>
      </c>
      <c r="Q168" s="21" t="str">
        <f>IF(O168="","",IF(LEN(O168)&gt;9,SUMIFS(Options!$H$3:$H$25,Options!$B$3:$B$25,Check!O168),SUMIFS('Master P&amp;L'!$H$11:$H$92,'Master P&amp;L'!$B$11:$B$92,Check!O168)))</f>
        <v/>
      </c>
      <c r="R168" s="174" t="str">
        <f t="shared" si="53"/>
        <v/>
      </c>
      <c r="S168" s="289" t="str">
        <f t="shared" si="37"/>
        <v/>
      </c>
    </row>
    <row r="169" spans="3:19">
      <c r="C169" s="188" t="str">
        <f>IF(B169="","",IF(LEN(B169)&gt;9,SUMIFS(Options!$H$3:$H$25,Options!$B$3:$B$25,Check!B169),SUMIFS('Master P&amp;L'!$H$11:$H$92,'Master P&amp;L'!$B$11:$B$92,Check!B169)))</f>
        <v/>
      </c>
      <c r="D169" s="188" t="str">
        <f>IF(B169="","",SUMIFS(Input_APM!N:N,Input_APM!L:L,Check!B169,Input_APM!M:M,Check!$F$1))</f>
        <v/>
      </c>
      <c r="E169" s="174" t="str">
        <f t="shared" si="54"/>
        <v/>
      </c>
      <c r="F169" s="188" t="str">
        <f>IF(B169="","",SUMIFS(Input_APM!N:N,Input_APM!M:M,Check!$F$1,Input_APM!L:L,Check!B169))</f>
        <v/>
      </c>
      <c r="G169" s="188" t="str">
        <f>IF(B169="","",SUMIFS(Input_APM!N:N,Input_APM!M:M,Check!$G$1,Input_APM!L:L,Check!B169))</f>
        <v/>
      </c>
      <c r="H169" s="174" t="str">
        <f t="shared" si="55"/>
        <v/>
      </c>
      <c r="I169" s="174">
        <f>SUMIFS(Input_APM!N:N,Input_APM!L:L,Check!B169)</f>
        <v>0</v>
      </c>
      <c r="J169" s="176" t="str">
        <f t="shared" si="56"/>
        <v/>
      </c>
      <c r="K169" s="21" t="str">
        <f>IF(B169="","",SUMIFS('Input_APM (Zenith)'!N:N,'Input_APM (Zenith)'!L:L,Check!B169,'Input_APM (Zenith)'!M:M,Check!$F$1))</f>
        <v/>
      </c>
      <c r="L169" s="21" t="str">
        <f>IF(B169="","",SUMIFS('Input_APM (Zenith)'!N:N,'Input_APM (Zenith)'!L:L,Check!B169,'Input_APM (Zenith)'!M:M,Check!$G$1))</f>
        <v/>
      </c>
      <c r="M169" s="174" t="str">
        <f t="shared" si="57"/>
        <v/>
      </c>
      <c r="O169"/>
      <c r="P169" s="174" t="str">
        <f>IF(O169="","",IF(OR(LEFT(O169,4)="Cash",LEFT(O169,4)="Prov"),0,SUMIFS(Input_APM!N:N,Input_APM!L:L,Check!O169)))</f>
        <v/>
      </c>
      <c r="Q169" s="21" t="str">
        <f>IF(O169="","",IF(LEN(O169)&gt;9,SUMIFS(Options!$H$3:$H$25,Options!$B$3:$B$25,Check!O169),SUMIFS('Master P&amp;L'!$H$11:$H$92,'Master P&amp;L'!$B$11:$B$92,Check!O169)))</f>
        <v/>
      </c>
      <c r="R169" s="174" t="str">
        <f t="shared" si="53"/>
        <v/>
      </c>
      <c r="S169" s="289" t="str">
        <f t="shared" si="37"/>
        <v/>
      </c>
    </row>
    <row r="170" spans="3:19">
      <c r="C170" s="188" t="str">
        <f>IF(B170="","",IF(LEN(B170)&gt;9,SUMIFS(Options!$H$3:$H$25,Options!$B$3:$B$25,Check!B170),SUMIFS('Master P&amp;L'!$H$11:$H$92,'Master P&amp;L'!$B$11:$B$92,Check!B170)))</f>
        <v/>
      </c>
      <c r="D170" s="188" t="str">
        <f>IF(B170="","",SUMIFS(Input_APM!N:N,Input_APM!L:L,Check!B170,Input_APM!M:M,Check!$F$1))</f>
        <v/>
      </c>
      <c r="E170" s="174" t="str">
        <f t="shared" si="54"/>
        <v/>
      </c>
      <c r="F170" s="188" t="str">
        <f>IF(B170="","",SUMIFS(Input_APM!N:N,Input_APM!M:M,Check!$F$1,Input_APM!L:L,Check!B170))</f>
        <v/>
      </c>
      <c r="G170" s="188" t="str">
        <f>IF(B170="","",SUMIFS(Input_APM!N:N,Input_APM!M:M,Check!$G$1,Input_APM!L:L,Check!B170))</f>
        <v/>
      </c>
      <c r="H170" s="174" t="str">
        <f t="shared" si="55"/>
        <v/>
      </c>
      <c r="I170" s="174">
        <f>SUMIFS(Input_APM!N:N,Input_APM!L:L,Check!B170)</f>
        <v>0</v>
      </c>
      <c r="J170" s="176" t="str">
        <f t="shared" si="56"/>
        <v/>
      </c>
      <c r="K170" s="21" t="str">
        <f>IF(B170="","",SUMIFS('Input_APM (Zenith)'!N:N,'Input_APM (Zenith)'!L:L,Check!B170,'Input_APM (Zenith)'!M:M,Check!$F$1))</f>
        <v/>
      </c>
      <c r="L170" s="21" t="str">
        <f>IF(B170="","",SUMIFS('Input_APM (Zenith)'!N:N,'Input_APM (Zenith)'!L:L,Check!B170,'Input_APM (Zenith)'!M:M,Check!$G$1))</f>
        <v/>
      </c>
      <c r="M170" s="174" t="str">
        <f t="shared" si="57"/>
        <v/>
      </c>
      <c r="O170"/>
      <c r="P170" s="174" t="str">
        <f>IF(O170="","",IF(OR(LEFT(O170,4)="Cash",LEFT(O170,4)="Prov"),0,SUMIFS(Input_APM!N:N,Input_APM!L:L,Check!O170)))</f>
        <v/>
      </c>
      <c r="Q170" s="21" t="str">
        <f>IF(O170="","",IF(LEN(O170)&gt;9,SUMIFS(Options!$H$3:$H$25,Options!$B$3:$B$25,Check!O170),SUMIFS('Master P&amp;L'!$H$11:$H$92,'Master P&amp;L'!$B$11:$B$92,Check!O170)))</f>
        <v/>
      </c>
      <c r="R170" s="174" t="str">
        <f t="shared" si="53"/>
        <v/>
      </c>
      <c r="S170" s="289" t="str">
        <f t="shared" si="37"/>
        <v/>
      </c>
    </row>
    <row r="171" spans="3:19">
      <c r="C171" s="188" t="str">
        <f>IF(B171="","",IF(LEN(B171)&gt;9,SUMIFS(Options!$H$3:$H$25,Options!$B$3:$B$25,Check!B171),SUMIFS('Master P&amp;L'!$H$11:$H$92,'Master P&amp;L'!$B$11:$B$92,Check!B171)))</f>
        <v/>
      </c>
      <c r="D171" s="188" t="str">
        <f>IF(B171="","",SUMIFS(Input_APM!N:N,Input_APM!L:L,Check!B171,Input_APM!M:M,Check!$F$1))</f>
        <v/>
      </c>
      <c r="E171" s="174" t="str">
        <f t="shared" si="54"/>
        <v/>
      </c>
      <c r="F171" s="188" t="str">
        <f>IF(B171="","",SUMIFS(Input_APM!N:N,Input_APM!M:M,Check!$F$1,Input_APM!L:L,Check!B171))</f>
        <v/>
      </c>
      <c r="G171" s="188" t="str">
        <f>IF(B171="","",SUMIFS(Input_APM!N:N,Input_APM!M:M,Check!$G$1,Input_APM!L:L,Check!B171))</f>
        <v/>
      </c>
      <c r="H171" s="174" t="str">
        <f t="shared" si="55"/>
        <v/>
      </c>
      <c r="I171" s="174">
        <f>SUMIFS(Input_APM!N:N,Input_APM!L:L,Check!B171)</f>
        <v>0</v>
      </c>
      <c r="J171" s="176" t="str">
        <f t="shared" si="56"/>
        <v/>
      </c>
      <c r="K171" s="21" t="str">
        <f>IF(B171="","",SUMIFS('Input_APM (Zenith)'!N:N,'Input_APM (Zenith)'!L:L,Check!B171,'Input_APM (Zenith)'!M:M,Check!$F$1))</f>
        <v/>
      </c>
      <c r="L171" s="21" t="str">
        <f>IF(B171="","",SUMIFS('Input_APM (Zenith)'!N:N,'Input_APM (Zenith)'!L:L,Check!B171,'Input_APM (Zenith)'!M:M,Check!$G$1))</f>
        <v/>
      </c>
      <c r="M171" s="174" t="str">
        <f t="shared" si="57"/>
        <v/>
      </c>
      <c r="O171"/>
      <c r="P171" s="174" t="str">
        <f>IF(O171="","",IF(OR(LEFT(O171,4)="Cash",LEFT(O171,4)="Prov"),0,SUMIFS(Input_APM!N:N,Input_APM!L:L,Check!O171)))</f>
        <v/>
      </c>
      <c r="Q171" s="21" t="str">
        <f>IF(O171="","",IF(LEN(O171)&gt;9,SUMIFS(Options!$H$3:$H$25,Options!$B$3:$B$25,Check!O171),SUMIFS('Master P&amp;L'!$H$11:$H$92,'Master P&amp;L'!$B$11:$B$92,Check!O171)))</f>
        <v/>
      </c>
      <c r="R171" s="174" t="str">
        <f t="shared" si="53"/>
        <v/>
      </c>
      <c r="S171" s="289" t="str">
        <f t="shared" si="37"/>
        <v/>
      </c>
    </row>
    <row r="172" spans="3:19">
      <c r="C172" s="188" t="str">
        <f>IF(B172="","",IF(LEN(B172)&gt;9,SUMIFS(Options!$H$3:$H$25,Options!$B$3:$B$25,Check!B172),SUMIFS('Master P&amp;L'!$H$11:$H$92,'Master P&amp;L'!$B$11:$B$92,Check!B172)))</f>
        <v/>
      </c>
      <c r="D172" s="188" t="str">
        <f>IF(B172="","",SUMIFS(Input_APM!N:N,Input_APM!L:L,Check!B172,Input_APM!M:M,Check!$F$1))</f>
        <v/>
      </c>
      <c r="E172" s="174" t="str">
        <f t="shared" si="54"/>
        <v/>
      </c>
      <c r="F172" s="188" t="str">
        <f>IF(B172="","",SUMIFS(Input_APM!N:N,Input_APM!M:M,Check!$F$1,Input_APM!L:L,Check!B172))</f>
        <v/>
      </c>
      <c r="G172" s="188" t="str">
        <f>IF(B172="","",SUMIFS(Input_APM!N:N,Input_APM!M:M,Check!$G$1,Input_APM!L:L,Check!B172))</f>
        <v/>
      </c>
      <c r="H172" s="174" t="str">
        <f t="shared" si="55"/>
        <v/>
      </c>
      <c r="I172" s="174">
        <f>SUMIFS(Input_APM!N:N,Input_APM!L:L,Check!B172)</f>
        <v>0</v>
      </c>
      <c r="J172" s="176" t="str">
        <f t="shared" si="56"/>
        <v/>
      </c>
      <c r="K172" s="21" t="str">
        <f>IF(B172="","",SUMIFS('Input_APM (Zenith)'!N:N,'Input_APM (Zenith)'!L:L,Check!B172,'Input_APM (Zenith)'!M:M,Check!$F$1))</f>
        <v/>
      </c>
      <c r="L172" s="21" t="str">
        <f>IF(B172="","",SUMIFS('Input_APM (Zenith)'!N:N,'Input_APM (Zenith)'!L:L,Check!B172,'Input_APM (Zenith)'!M:M,Check!$G$1))</f>
        <v/>
      </c>
      <c r="M172" s="174" t="str">
        <f t="shared" si="57"/>
        <v/>
      </c>
      <c r="O172"/>
      <c r="P172" s="174" t="str">
        <f>IF(O172="","",IF(OR(LEFT(O172,4)="Cash",LEFT(O172,4)="Prov"),0,SUMIFS(Input_APM!N:N,Input_APM!L:L,Check!O172)))</f>
        <v/>
      </c>
      <c r="Q172" s="21" t="str">
        <f>IF(O172="","",IF(LEN(O172)&gt;9,SUMIFS(Options!$H$3:$H$25,Options!$B$3:$B$25,Check!O172),SUMIFS('Master P&amp;L'!$H$11:$H$92,'Master P&amp;L'!$B$11:$B$92,Check!O172)))</f>
        <v/>
      </c>
      <c r="R172" s="174" t="str">
        <f t="shared" si="53"/>
        <v/>
      </c>
      <c r="S172" s="289" t="str">
        <f t="shared" si="37"/>
        <v/>
      </c>
    </row>
    <row r="173" spans="3:19">
      <c r="C173" s="188" t="str">
        <f>IF(B173="","",IF(LEN(B173)&gt;9,SUMIFS(Options!$H$3:$H$25,Options!$B$3:$B$25,Check!B173),SUMIFS('Master P&amp;L'!$H$11:$H$92,'Master P&amp;L'!$B$11:$B$92,Check!B173)))</f>
        <v/>
      </c>
      <c r="D173" s="188" t="str">
        <f>IF(B173="","",SUMIFS(Input_APM!N:N,Input_APM!L:L,Check!B173,Input_APM!M:M,Check!$F$1))</f>
        <v/>
      </c>
      <c r="E173" s="174" t="str">
        <f t="shared" si="54"/>
        <v/>
      </c>
      <c r="F173" s="188" t="str">
        <f>IF(B173="","",SUMIFS(Input_APM!N:N,Input_APM!M:M,Check!$F$1,Input_APM!L:L,Check!B173))</f>
        <v/>
      </c>
      <c r="G173" s="188" t="str">
        <f>IF(B173="","",SUMIFS(Input_APM!N:N,Input_APM!M:M,Check!$G$1,Input_APM!L:L,Check!B173))</f>
        <v/>
      </c>
      <c r="H173" s="174" t="str">
        <f t="shared" si="55"/>
        <v/>
      </c>
      <c r="I173" s="174">
        <f>SUMIFS(Input_APM!N:N,Input_APM!L:L,Check!B173)</f>
        <v>0</v>
      </c>
      <c r="J173" s="176" t="str">
        <f t="shared" si="56"/>
        <v/>
      </c>
      <c r="K173" s="21" t="str">
        <f>IF(B173="","",SUMIFS('Input_APM (Zenith)'!N:N,'Input_APM (Zenith)'!L:L,Check!B173,'Input_APM (Zenith)'!M:M,Check!$F$1))</f>
        <v/>
      </c>
      <c r="L173" s="21" t="str">
        <f>IF(B173="","",SUMIFS('Input_APM (Zenith)'!N:N,'Input_APM (Zenith)'!L:L,Check!B173,'Input_APM (Zenith)'!M:M,Check!$G$1))</f>
        <v/>
      </c>
      <c r="M173" s="174" t="str">
        <f t="shared" si="57"/>
        <v/>
      </c>
      <c r="O173"/>
      <c r="P173" s="174" t="str">
        <f>IF(O173="","",IF(OR(LEFT(O173,4)="Cash",LEFT(O173,4)="Prov"),0,SUMIFS(Input_APM!N:N,Input_APM!L:L,Check!O173)))</f>
        <v/>
      </c>
      <c r="Q173" s="21" t="str">
        <f>IF(O173="","",IF(LEN(O173)&gt;9,SUMIFS(Options!$H$3:$H$25,Options!$B$3:$B$25,Check!O173),SUMIFS('Master P&amp;L'!$H$11:$H$92,'Master P&amp;L'!$B$11:$B$92,Check!O173)))</f>
        <v/>
      </c>
      <c r="R173" s="174" t="str">
        <f t="shared" si="53"/>
        <v/>
      </c>
      <c r="S173" s="289" t="str">
        <f t="shared" si="37"/>
        <v/>
      </c>
    </row>
    <row r="174" spans="3:19">
      <c r="C174" s="188" t="str">
        <f>IF(B174="","",IF(LEN(B174)&gt;9,SUMIFS(Options!$H$3:$H$25,Options!$B$3:$B$25,Check!B174),SUMIFS('Master P&amp;L'!$H$11:$H$92,'Master P&amp;L'!$B$11:$B$92,Check!B174)))</f>
        <v/>
      </c>
      <c r="D174" s="188" t="str">
        <f>IF(B174="","",SUMIFS(Input_APM!N:N,Input_APM!L:L,Check!B174,Input_APM!M:M,Check!$F$1))</f>
        <v/>
      </c>
      <c r="E174" s="174" t="str">
        <f t="shared" si="54"/>
        <v/>
      </c>
      <c r="F174" s="188" t="str">
        <f>IF(B174="","",SUMIFS(Input_APM!N:N,Input_APM!M:M,Check!$F$1,Input_APM!L:L,Check!B174))</f>
        <v/>
      </c>
      <c r="G174" s="188" t="str">
        <f>IF(B174="","",SUMIFS(Input_APM!N:N,Input_APM!M:M,Check!$G$1,Input_APM!L:L,Check!B174))</f>
        <v/>
      </c>
      <c r="H174" s="174" t="str">
        <f t="shared" si="55"/>
        <v/>
      </c>
      <c r="I174" s="174">
        <f>SUMIFS(Input_APM!N:N,Input_APM!L:L,Check!B174)</f>
        <v>0</v>
      </c>
      <c r="J174" s="176" t="str">
        <f t="shared" si="56"/>
        <v/>
      </c>
      <c r="K174" s="21" t="str">
        <f>IF(B174="","",SUMIFS('Input_APM (Zenith)'!N:N,'Input_APM (Zenith)'!L:L,Check!B174,'Input_APM (Zenith)'!M:M,Check!$F$1))</f>
        <v/>
      </c>
      <c r="L174" s="21" t="str">
        <f>IF(B174="","",SUMIFS('Input_APM (Zenith)'!N:N,'Input_APM (Zenith)'!L:L,Check!B174,'Input_APM (Zenith)'!M:M,Check!$G$1))</f>
        <v/>
      </c>
      <c r="M174" s="174" t="str">
        <f t="shared" si="57"/>
        <v/>
      </c>
      <c r="O174"/>
      <c r="P174" s="174" t="str">
        <f>IF(O174="","",IF(OR(LEFT(O174,4)="Cash",LEFT(O174,4)="Prov"),0,SUMIFS(Input_APM!N:N,Input_APM!L:L,Check!O174)))</f>
        <v/>
      </c>
      <c r="Q174" s="21" t="str">
        <f>IF(O174="","",IF(LEN(O174)&gt;9,SUMIFS(Options!$H$3:$H$25,Options!$B$3:$B$25,Check!O174),SUMIFS('Master P&amp;L'!$H$11:$H$92,'Master P&amp;L'!$B$11:$B$92,Check!O174)))</f>
        <v/>
      </c>
      <c r="R174" s="174" t="str">
        <f t="shared" si="53"/>
        <v/>
      </c>
      <c r="S174" s="289" t="str">
        <f t="shared" si="37"/>
        <v/>
      </c>
    </row>
    <row r="175" spans="3:19">
      <c r="C175" s="188" t="str">
        <f>IF(B175="","",IF(LEN(B175)&gt;9,SUMIFS(Options!$H$3:$H$25,Options!$B$3:$B$25,Check!B175),SUMIFS('Master P&amp;L'!$H$11:$H$92,'Master P&amp;L'!$B$11:$B$92,Check!B175)))</f>
        <v/>
      </c>
      <c r="D175" s="188" t="str">
        <f>IF(B175="","",SUMIFS(Input_APM!N:N,Input_APM!L:L,Check!B175,Input_APM!M:M,Check!$F$1))</f>
        <v/>
      </c>
      <c r="E175" s="174" t="str">
        <f t="shared" si="54"/>
        <v/>
      </c>
      <c r="F175" s="188" t="str">
        <f>IF(B175="","",SUMIFS(Input_APM!N:N,Input_APM!M:M,Check!$F$1,Input_APM!L:L,Check!B175))</f>
        <v/>
      </c>
      <c r="G175" s="188" t="str">
        <f>IF(B175="","",SUMIFS(Input_APM!N:N,Input_APM!M:M,Check!$G$1,Input_APM!L:L,Check!B175))</f>
        <v/>
      </c>
      <c r="H175" s="174" t="str">
        <f t="shared" si="55"/>
        <v/>
      </c>
      <c r="I175" s="174">
        <f>SUMIFS(Input_APM!N:N,Input_APM!L:L,Check!B175)</f>
        <v>0</v>
      </c>
      <c r="J175" s="176" t="str">
        <f t="shared" si="56"/>
        <v/>
      </c>
      <c r="K175" s="21" t="str">
        <f>IF(B175="","",SUMIFS('Input_APM (Zenith)'!N:N,'Input_APM (Zenith)'!L:L,Check!B175,'Input_APM (Zenith)'!M:M,Check!$F$1))</f>
        <v/>
      </c>
      <c r="L175" s="21" t="str">
        <f>IF(B175="","",SUMIFS('Input_APM (Zenith)'!N:N,'Input_APM (Zenith)'!L:L,Check!B175,'Input_APM (Zenith)'!M:M,Check!$G$1))</f>
        <v/>
      </c>
      <c r="M175" s="174" t="str">
        <f t="shared" si="57"/>
        <v/>
      </c>
      <c r="O175"/>
      <c r="P175" s="174" t="str">
        <f>IF(O175="","",IF(OR(LEFT(O175,4)="Cash",LEFT(O175,4)="Prov"),0,SUMIFS(Input_APM!N:N,Input_APM!L:L,Check!O175)))</f>
        <v/>
      </c>
      <c r="Q175" s="21" t="str">
        <f>IF(O175="","",IF(LEN(O175)&gt;9,SUMIFS(Options!$H$3:$H$25,Options!$B$3:$B$25,Check!O175),SUMIFS('Master P&amp;L'!$H$11:$H$92,'Master P&amp;L'!$B$11:$B$92,Check!O175)))</f>
        <v/>
      </c>
      <c r="R175" s="174" t="str">
        <f t="shared" si="53"/>
        <v/>
      </c>
      <c r="S175" s="289" t="str">
        <f t="shared" si="37"/>
        <v/>
      </c>
    </row>
    <row r="176" spans="3:19">
      <c r="C176" s="188" t="str">
        <f>IF(B176="","",IF(LEN(B176)&gt;9,SUMIFS(Options!$H$3:$H$25,Options!$B$3:$B$25,Check!B176),SUMIFS('Master P&amp;L'!$H$11:$H$92,'Master P&amp;L'!$B$11:$B$92,Check!B176)))</f>
        <v/>
      </c>
      <c r="D176" s="188" t="str">
        <f>IF(B176="","",SUMIFS(Input_APM!N:N,Input_APM!L:L,Check!B176,Input_APM!M:M,Check!$F$1))</f>
        <v/>
      </c>
      <c r="E176" s="174" t="str">
        <f t="shared" ref="E176:E183" si="58">IF(B176="","",C176-M176)</f>
        <v/>
      </c>
      <c r="F176" s="188" t="str">
        <f>IF(B176="","",SUMIFS(Input_APM!N:N,Input_APM!M:M,Check!$F$1,Input_APM!L:L,Check!B176))</f>
        <v/>
      </c>
      <c r="G176" s="188" t="str">
        <f>IF(B176="","",SUMIFS(Input_APM!N:N,Input_APM!M:M,Check!$G$1,Input_APM!L:L,Check!B176))</f>
        <v/>
      </c>
      <c r="H176" s="174" t="str">
        <f t="shared" ref="H176:H183" si="59">IF(B176="","",F176-G176)</f>
        <v/>
      </c>
      <c r="I176" s="174">
        <f>SUMIFS(Input_APM!N:N,Input_APM!L:L,Check!B176)</f>
        <v>0</v>
      </c>
      <c r="J176" s="176" t="str">
        <f t="shared" ref="J176:J183" si="60">IF(B176="","",(F176+G176)-I176)</f>
        <v/>
      </c>
      <c r="K176" s="21" t="str">
        <f>IF(B176="","",SUMIFS('Input_APM (Zenith)'!N:N,'Input_APM (Zenith)'!L:L,Check!B176,'Input_APM (Zenith)'!M:M,Check!$F$1))</f>
        <v/>
      </c>
      <c r="L176" s="21" t="str">
        <f>IF(B176="","",SUMIFS('Input_APM (Zenith)'!N:N,'Input_APM (Zenith)'!L:L,Check!B176,'Input_APM (Zenith)'!M:M,Check!$G$1))</f>
        <v/>
      </c>
      <c r="M176" s="174" t="str">
        <f t="shared" ref="M176:M183" si="61">IF(B176="","",F176+G176+K176+L176)</f>
        <v/>
      </c>
      <c r="O176"/>
      <c r="P176" s="174" t="str">
        <f>IF(O176="","",IF(OR(LEFT(O176,4)="Cash",LEFT(O176,4)="Prov"),0,SUMIFS(Input_APM!N:N,Input_APM!L:L,Check!O176)))</f>
        <v/>
      </c>
      <c r="Q176" s="21" t="str">
        <f>IF(O176="","",IF(LEN(O176)&gt;9,SUMIFS(Options!$H$3:$H$25,Options!$B$3:$B$25,Check!O176),SUMIFS('Master P&amp;L'!$H$11:$H$92,'Master P&amp;L'!$B$11:$B$92,Check!O176)))</f>
        <v/>
      </c>
      <c r="R176" s="174" t="str">
        <f t="shared" si="53"/>
        <v/>
      </c>
      <c r="S176" s="289" t="str">
        <f t="shared" si="37"/>
        <v/>
      </c>
    </row>
    <row r="177" spans="3:19">
      <c r="C177" s="188" t="str">
        <f>IF(B177="","",IF(LEN(B177)&gt;9,SUMIFS(Options!$H$3:$H$25,Options!$B$3:$B$25,Check!B177),SUMIFS('Master P&amp;L'!$H$11:$H$92,'Master P&amp;L'!$B$11:$B$92,Check!B177)))</f>
        <v/>
      </c>
      <c r="D177" s="188" t="str">
        <f>IF(B177="","",SUMIFS(Input_APM!N:N,Input_APM!L:L,Check!B177,Input_APM!M:M,Check!$F$1))</f>
        <v/>
      </c>
      <c r="E177" s="174" t="str">
        <f t="shared" si="58"/>
        <v/>
      </c>
      <c r="F177" s="188" t="str">
        <f>IF(B177="","",SUMIFS(Input_APM!N:N,Input_APM!M:M,Check!$F$1,Input_APM!L:L,Check!B177))</f>
        <v/>
      </c>
      <c r="G177" s="188" t="str">
        <f>IF(B177="","",SUMIFS(Input_APM!N:N,Input_APM!M:M,Check!$G$1,Input_APM!L:L,Check!B177))</f>
        <v/>
      </c>
      <c r="H177" s="174" t="str">
        <f t="shared" si="59"/>
        <v/>
      </c>
      <c r="I177" s="174">
        <f>SUMIFS(Input_APM!N:N,Input_APM!L:L,Check!B177)</f>
        <v>0</v>
      </c>
      <c r="J177" s="176" t="str">
        <f t="shared" si="60"/>
        <v/>
      </c>
      <c r="K177" s="21" t="str">
        <f>IF(B177="","",SUMIFS('Input_APM (Zenith)'!N:N,'Input_APM (Zenith)'!L:L,Check!B177,'Input_APM (Zenith)'!M:M,Check!$F$1))</f>
        <v/>
      </c>
      <c r="L177" s="21" t="str">
        <f>IF(B177="","",SUMIFS('Input_APM (Zenith)'!N:N,'Input_APM (Zenith)'!L:L,Check!B177,'Input_APM (Zenith)'!M:M,Check!$G$1))</f>
        <v/>
      </c>
      <c r="M177" s="174" t="str">
        <f t="shared" si="61"/>
        <v/>
      </c>
      <c r="O177"/>
      <c r="P177" s="174" t="str">
        <f>IF(O177="","",IF(OR(LEFT(O177,4)="Cash",LEFT(O177,4)="Prov"),0,SUMIFS(Input_APM!N:N,Input_APM!L:L,Check!O177)))</f>
        <v/>
      </c>
      <c r="Q177" s="21" t="str">
        <f>IF(O177="","",IF(LEN(O177)&gt;9,SUMIFS(Options!$H$3:$H$25,Options!$B$3:$B$25,Check!O177),SUMIFS('Master P&amp;L'!$H$11:$H$92,'Master P&amp;L'!$B$11:$B$92,Check!O177)))</f>
        <v/>
      </c>
      <c r="R177" s="174" t="str">
        <f t="shared" si="53"/>
        <v/>
      </c>
      <c r="S177" s="289" t="str">
        <f t="shared" si="37"/>
        <v/>
      </c>
    </row>
    <row r="178" spans="3:19">
      <c r="C178" s="188" t="str">
        <f>IF(B178="","",IF(LEN(B178)&gt;9,SUMIFS(Options!$H$3:$H$25,Options!$B$3:$B$25,Check!B178),SUMIFS('Master P&amp;L'!$H$11:$H$92,'Master P&amp;L'!$B$11:$B$92,Check!B178)))</f>
        <v/>
      </c>
      <c r="D178" s="188" t="str">
        <f>IF(B178="","",SUMIFS(Input_APM!N:N,Input_APM!L:L,Check!B178,Input_APM!M:M,Check!$F$1))</f>
        <v/>
      </c>
      <c r="E178" s="174" t="str">
        <f t="shared" si="58"/>
        <v/>
      </c>
      <c r="F178" s="188" t="str">
        <f>IF(B178="","",SUMIFS(Input_APM!N:N,Input_APM!M:M,Check!$F$1,Input_APM!L:L,Check!B178))</f>
        <v/>
      </c>
      <c r="G178" s="188" t="str">
        <f>IF(B178="","",SUMIFS(Input_APM!N:N,Input_APM!M:M,Check!$G$1,Input_APM!L:L,Check!B178))</f>
        <v/>
      </c>
      <c r="H178" s="174" t="str">
        <f t="shared" si="59"/>
        <v/>
      </c>
      <c r="I178" s="174">
        <f>SUMIFS(Input_APM!N:N,Input_APM!L:L,Check!B178)</f>
        <v>0</v>
      </c>
      <c r="J178" s="176" t="str">
        <f t="shared" si="60"/>
        <v/>
      </c>
      <c r="K178" s="21" t="str">
        <f>IF(B178="","",SUMIFS('Input_APM (Zenith)'!N:N,'Input_APM (Zenith)'!L:L,Check!B178,'Input_APM (Zenith)'!M:M,Check!$F$1))</f>
        <v/>
      </c>
      <c r="L178" s="21" t="str">
        <f>IF(B178="","",SUMIFS('Input_APM (Zenith)'!N:N,'Input_APM (Zenith)'!L:L,Check!B178,'Input_APM (Zenith)'!M:M,Check!$G$1))</f>
        <v/>
      </c>
      <c r="M178" s="174" t="str">
        <f t="shared" si="61"/>
        <v/>
      </c>
      <c r="O178"/>
      <c r="P178" s="174" t="str">
        <f>IF(O178="","",IF(OR(LEFT(O178,4)="Cash",LEFT(O178,4)="Prov"),0,SUMIFS(Input_APM!N:N,Input_APM!L:L,Check!O178)))</f>
        <v/>
      </c>
      <c r="Q178" s="21" t="str">
        <f>IF(O178="","",IF(LEN(O178)&gt;9,SUMIFS(Options!$H$3:$H$25,Options!$B$3:$B$25,Check!O178),SUMIFS('Master P&amp;L'!$H$11:$H$92,'Master P&amp;L'!$B$11:$B$92,Check!O178)))</f>
        <v/>
      </c>
      <c r="R178" s="174" t="str">
        <f t="shared" ref="R178:R183" si="62">IF(O178="","",P178-Q178)</f>
        <v/>
      </c>
      <c r="S178" s="289" t="str">
        <f t="shared" si="37"/>
        <v/>
      </c>
    </row>
    <row r="179" spans="3:19">
      <c r="C179" s="188" t="str">
        <f>IF(B179="","",IF(LEN(B179)&gt;9,SUMIFS(Options!$H$3:$H$25,Options!$B$3:$B$25,Check!B179),SUMIFS('Master P&amp;L'!$H$11:$H$92,'Master P&amp;L'!$B$11:$B$92,Check!B179)))</f>
        <v/>
      </c>
      <c r="D179" s="188" t="str">
        <f>IF(B179="","",SUMIFS(Input_APM!N:N,Input_APM!L:L,Check!B179,Input_APM!M:M,Check!$F$1))</f>
        <v/>
      </c>
      <c r="E179" s="174" t="str">
        <f t="shared" si="58"/>
        <v/>
      </c>
      <c r="F179" s="188" t="str">
        <f>IF(B179="","",SUMIFS(Input_APM!N:N,Input_APM!M:M,Check!$F$1,Input_APM!L:L,Check!B179))</f>
        <v/>
      </c>
      <c r="G179" s="188" t="str">
        <f>IF(B179="","",SUMIFS(Input_APM!N:N,Input_APM!M:M,Check!$G$1,Input_APM!L:L,Check!B179))</f>
        <v/>
      </c>
      <c r="H179" s="174" t="str">
        <f t="shared" si="59"/>
        <v/>
      </c>
      <c r="I179" s="174">
        <f>SUMIFS(Input_APM!N:N,Input_APM!L:L,Check!B179)</f>
        <v>0</v>
      </c>
      <c r="J179" s="176" t="str">
        <f t="shared" si="60"/>
        <v/>
      </c>
      <c r="K179" s="21" t="str">
        <f>IF(B179="","",SUMIFS('Input_APM (Zenith)'!N:N,'Input_APM (Zenith)'!L:L,Check!B179,'Input_APM (Zenith)'!M:M,Check!$F$1))</f>
        <v/>
      </c>
      <c r="L179" s="21" t="str">
        <f>IF(B179="","",SUMIFS('Input_APM (Zenith)'!N:N,'Input_APM (Zenith)'!L:L,Check!B179,'Input_APM (Zenith)'!M:M,Check!$G$1))</f>
        <v/>
      </c>
      <c r="M179" s="174" t="str">
        <f t="shared" si="61"/>
        <v/>
      </c>
      <c r="O179"/>
      <c r="P179" s="174" t="str">
        <f>IF(O179="","",IF(OR(LEFT(O179,4)="Cash",LEFT(O179,4)="Prov"),0,SUMIFS(Input_APM!N:N,Input_APM!L:L,Check!O179)))</f>
        <v/>
      </c>
      <c r="Q179" s="21" t="str">
        <f>IF(O179="","",IF(LEN(O179)&gt;9,SUMIFS(Options!$H$3:$H$25,Options!$B$3:$B$25,Check!O179),SUMIFS('Master P&amp;L'!$H$11:$H$92,'Master P&amp;L'!$B$11:$B$92,Check!O179)))</f>
        <v/>
      </c>
      <c r="R179" s="174" t="str">
        <f t="shared" si="62"/>
        <v/>
      </c>
      <c r="S179" s="289" t="str">
        <f t="shared" si="37"/>
        <v/>
      </c>
    </row>
    <row r="180" spans="3:19">
      <c r="C180" s="188" t="str">
        <f>IF(B180="","",IF(LEN(B180)&gt;9,SUMIFS(Options!$H$3:$H$25,Options!$B$3:$B$25,Check!B180),SUMIFS('Master P&amp;L'!$H$11:$H$92,'Master P&amp;L'!$B$11:$B$92,Check!B180)))</f>
        <v/>
      </c>
      <c r="D180" s="188" t="str">
        <f>IF(B180="","",SUMIFS(Input_APM!N:N,Input_APM!L:L,Check!B180,Input_APM!M:M,Check!$F$1))</f>
        <v/>
      </c>
      <c r="E180" s="174" t="str">
        <f t="shared" si="58"/>
        <v/>
      </c>
      <c r="F180" s="188" t="str">
        <f>IF(B180="","",SUMIFS(Input_APM!N:N,Input_APM!M:M,Check!$F$1,Input_APM!L:L,Check!B180))</f>
        <v/>
      </c>
      <c r="G180" s="188" t="str">
        <f>IF(B180="","",SUMIFS(Input_APM!N:N,Input_APM!M:M,Check!$G$1,Input_APM!L:L,Check!B180))</f>
        <v/>
      </c>
      <c r="H180" s="174" t="str">
        <f t="shared" si="59"/>
        <v/>
      </c>
      <c r="I180" s="174">
        <f>SUMIFS(Input_APM!N:N,Input_APM!L:L,Check!B180)</f>
        <v>0</v>
      </c>
      <c r="J180" s="176" t="str">
        <f t="shared" si="60"/>
        <v/>
      </c>
      <c r="K180" s="21" t="str">
        <f>IF(B180="","",SUMIFS('Input_APM (Zenith)'!N:N,'Input_APM (Zenith)'!L:L,Check!B180,'Input_APM (Zenith)'!M:M,Check!$F$1))</f>
        <v/>
      </c>
      <c r="L180" s="21" t="str">
        <f>IF(B180="","",SUMIFS('Input_APM (Zenith)'!N:N,'Input_APM (Zenith)'!L:L,Check!B180,'Input_APM (Zenith)'!M:M,Check!$G$1))</f>
        <v/>
      </c>
      <c r="M180" s="174" t="str">
        <f t="shared" si="61"/>
        <v/>
      </c>
      <c r="O180"/>
      <c r="P180" s="174" t="str">
        <f>IF(O180="","",IF(OR(LEFT(O180,4)="Cash",LEFT(O180,4)="Prov"),0,SUMIFS(Input_APM!N:N,Input_APM!L:L,Check!O180)))</f>
        <v/>
      </c>
      <c r="Q180" s="21" t="str">
        <f>IF(O180="","",IF(LEN(O180)&gt;9,SUMIFS(Options!$H$3:$H$25,Options!$B$3:$B$25,Check!O180),SUMIFS('Master P&amp;L'!$H$11:$H$92,'Master P&amp;L'!$B$11:$B$92,Check!O180)))</f>
        <v/>
      </c>
      <c r="R180" s="174" t="str">
        <f t="shared" si="62"/>
        <v/>
      </c>
      <c r="S180" s="289" t="str">
        <f t="shared" si="37"/>
        <v/>
      </c>
    </row>
    <row r="181" spans="3:19">
      <c r="C181" s="188" t="str">
        <f>IF(B181="","",IF(LEN(B181)&gt;9,SUMIFS(Options!$H$3:$H$25,Options!$B$3:$B$25,Check!B181),SUMIFS('Master P&amp;L'!$H$11:$H$92,'Master P&amp;L'!$B$11:$B$92,Check!B181)))</f>
        <v/>
      </c>
      <c r="D181" s="188" t="str">
        <f>IF(B181="","",SUMIFS(Input_APM!N:N,Input_APM!L:L,Check!B181,Input_APM!M:M,Check!$F$1))</f>
        <v/>
      </c>
      <c r="E181" s="174" t="str">
        <f t="shared" si="58"/>
        <v/>
      </c>
      <c r="F181" s="188" t="str">
        <f>IF(B181="","",SUMIFS(Input_APM!N:N,Input_APM!M:M,Check!$F$1,Input_APM!L:L,Check!B181))</f>
        <v/>
      </c>
      <c r="G181" s="188" t="str">
        <f>IF(B181="","",SUMIFS(Input_APM!N:N,Input_APM!M:M,Check!$G$1,Input_APM!L:L,Check!B181))</f>
        <v/>
      </c>
      <c r="H181" s="174" t="str">
        <f t="shared" si="59"/>
        <v/>
      </c>
      <c r="I181" s="174">
        <f>SUMIFS(Input_APM!N:N,Input_APM!L:L,Check!B181)</f>
        <v>0</v>
      </c>
      <c r="J181" s="176" t="str">
        <f t="shared" si="60"/>
        <v/>
      </c>
      <c r="K181" s="21" t="str">
        <f>IF(B181="","",SUMIFS('Input_APM (Zenith)'!N:N,'Input_APM (Zenith)'!L:L,Check!B181,'Input_APM (Zenith)'!M:M,Check!$F$1))</f>
        <v/>
      </c>
      <c r="L181" s="21" t="str">
        <f>IF(B181="","",SUMIFS('Input_APM (Zenith)'!N:N,'Input_APM (Zenith)'!L:L,Check!B181,'Input_APM (Zenith)'!M:M,Check!$G$1))</f>
        <v/>
      </c>
      <c r="M181" s="174" t="str">
        <f t="shared" si="61"/>
        <v/>
      </c>
      <c r="O181"/>
      <c r="P181" s="174" t="str">
        <f>IF(O181="","",IF(OR(LEFT(O181,4)="Cash",LEFT(O181,4)="Prov"),0,SUMIFS(Input_APM!N:N,Input_APM!L:L,Check!O181)))</f>
        <v/>
      </c>
      <c r="Q181" s="21" t="str">
        <f>IF(O181="","",IF(LEN(O181)&gt;9,SUMIFS(Options!$H$3:$H$25,Options!$B$3:$B$25,Check!O181),SUMIFS('Master P&amp;L'!$H$11:$H$92,'Master P&amp;L'!$B$11:$B$92,Check!O181)))</f>
        <v/>
      </c>
      <c r="R181" s="174" t="str">
        <f t="shared" si="62"/>
        <v/>
      </c>
      <c r="S181" s="289" t="str">
        <f t="shared" si="37"/>
        <v/>
      </c>
    </row>
    <row r="182" spans="3:19">
      <c r="C182" s="188" t="str">
        <f>IF(B182="","",IF(LEN(B182)&gt;9,SUMIFS(Options!$H$3:$H$25,Options!$B$3:$B$25,Check!B182),SUMIFS('Master P&amp;L'!$H$11:$H$92,'Master P&amp;L'!$B$11:$B$92,Check!B182)))</f>
        <v/>
      </c>
      <c r="D182" s="188" t="str">
        <f>IF(B182="","",SUMIFS(Input_APM!N:N,Input_APM!L:L,Check!B182,Input_APM!M:M,Check!$F$1))</f>
        <v/>
      </c>
      <c r="E182" s="174" t="str">
        <f t="shared" si="58"/>
        <v/>
      </c>
      <c r="F182" s="188" t="str">
        <f>IF(B182="","",SUMIFS(Input_APM!N:N,Input_APM!M:M,Check!$F$1,Input_APM!L:L,Check!B182))</f>
        <v/>
      </c>
      <c r="G182" s="188" t="str">
        <f>IF(B182="","",SUMIFS(Input_APM!N:N,Input_APM!M:M,Check!$G$1,Input_APM!L:L,Check!B182))</f>
        <v/>
      </c>
      <c r="H182" s="174" t="str">
        <f t="shared" si="59"/>
        <v/>
      </c>
      <c r="I182" s="174">
        <f>SUMIFS(Input_APM!N:N,Input_APM!L:L,Check!B182)</f>
        <v>0</v>
      </c>
      <c r="J182" s="176" t="str">
        <f t="shared" si="60"/>
        <v/>
      </c>
      <c r="K182" s="21" t="str">
        <f>IF(B182="","",SUMIFS('Input_APM (Zenith)'!N:N,'Input_APM (Zenith)'!L:L,Check!B182,'Input_APM (Zenith)'!M:M,Check!$F$1))</f>
        <v/>
      </c>
      <c r="L182" s="21" t="str">
        <f>IF(B182="","",SUMIFS('Input_APM (Zenith)'!N:N,'Input_APM (Zenith)'!L:L,Check!B182,'Input_APM (Zenith)'!M:M,Check!$G$1))</f>
        <v/>
      </c>
      <c r="M182" s="174" t="str">
        <f t="shared" si="61"/>
        <v/>
      </c>
      <c r="O182"/>
      <c r="P182" s="174" t="str">
        <f>IF(O182="","",IF(OR(LEFT(O182,4)="Cash",LEFT(O182,4)="Prov"),0,SUMIFS(Input_APM!N:N,Input_APM!L:L,Check!O182)))</f>
        <v/>
      </c>
      <c r="Q182" s="21" t="str">
        <f>IF(O182="","",IF(LEN(O182)&gt;9,SUMIFS(Options!$H$3:$H$25,Options!$B$3:$B$25,Check!O182),SUMIFS('Master P&amp;L'!$H$11:$H$92,'Master P&amp;L'!$B$11:$B$92,Check!O182)))</f>
        <v/>
      </c>
      <c r="R182" s="174" t="str">
        <f t="shared" si="62"/>
        <v/>
      </c>
      <c r="S182" s="289" t="str">
        <f t="shared" si="37"/>
        <v/>
      </c>
    </row>
    <row r="183" spans="3:19">
      <c r="C183" s="188" t="str">
        <f>IF(B183="","",IF(LEN(B183)&gt;9,SUMIFS(Options!$H$3:$H$25,Options!$B$3:$B$25,Check!B183),SUMIFS('Master P&amp;L'!$H$11:$H$92,'Master P&amp;L'!$B$11:$B$92,Check!B183)))</f>
        <v/>
      </c>
      <c r="D183" s="188" t="str">
        <f>IF(B183="","",SUMIFS(Input_APM!N:N,Input_APM!L:L,Check!B183,Input_APM!M:M,Check!$F$1))</f>
        <v/>
      </c>
      <c r="E183" s="174" t="str">
        <f t="shared" si="58"/>
        <v/>
      </c>
      <c r="F183" s="188" t="str">
        <f>IF(B183="","",SUMIFS(Input_APM!N:N,Input_APM!M:M,Check!$F$1,Input_APM!L:L,Check!B183))</f>
        <v/>
      </c>
      <c r="G183" s="188" t="str">
        <f>IF(B183="","",SUMIFS(Input_APM!N:N,Input_APM!M:M,Check!$G$1,Input_APM!L:L,Check!B183))</f>
        <v/>
      </c>
      <c r="H183" s="174" t="str">
        <f t="shared" si="59"/>
        <v/>
      </c>
      <c r="I183" s="174">
        <f>SUMIFS(Input_APM!N:N,Input_APM!L:L,Check!B183)</f>
        <v>0</v>
      </c>
      <c r="J183" s="176" t="str">
        <f t="shared" si="60"/>
        <v/>
      </c>
      <c r="K183" s="21" t="str">
        <f>IF(B183="","",SUMIFS('Input_APM (Zenith)'!N:N,'Input_APM (Zenith)'!L:L,Check!B183,'Input_APM (Zenith)'!M:M,Check!$F$1))</f>
        <v/>
      </c>
      <c r="L183" s="21" t="str">
        <f>IF(B183="","",SUMIFS('Input_APM (Zenith)'!N:N,'Input_APM (Zenith)'!L:L,Check!B183,'Input_APM (Zenith)'!M:M,Check!$G$1))</f>
        <v/>
      </c>
      <c r="M183" s="174" t="str">
        <f t="shared" si="61"/>
        <v/>
      </c>
      <c r="O183"/>
      <c r="P183" s="174" t="str">
        <f>IF(O183="","",IF(OR(LEFT(O183,4)="Cash",LEFT(O183,4)="Prov"),0,SUMIFS(Input_APM!N:N,Input_APM!L:L,Check!O183)))</f>
        <v/>
      </c>
      <c r="Q183" s="21" t="str">
        <f>IF(O183="","",IF(LEN(O183)&gt;9,SUMIFS(Options!$H$3:$H$25,Options!$B$3:$B$25,Check!O183),SUMIFS('Master P&amp;L'!$H$11:$H$92,'Master P&amp;L'!$B$11:$B$92,Check!O183)))</f>
        <v/>
      </c>
      <c r="R183" s="174" t="str">
        <f t="shared" si="62"/>
        <v/>
      </c>
      <c r="S183" s="289" t="str">
        <f t="shared" si="37"/>
        <v/>
      </c>
    </row>
    <row r="184" spans="3:19">
      <c r="C184" s="188" t="str">
        <f>IF(B184="","",IF(LEN(B184)&gt;9,SUMIFS(Options!$H$3:$H$25,Options!$B$3:$B$25,Check!B184),SUMIFS('Master P&amp;L'!$H$11:$H$92,'Master P&amp;L'!$B$11:$B$92,Check!B184)))</f>
        <v/>
      </c>
      <c r="D184" s="188" t="str">
        <f>IF(B184="","",SUMIFS(Input_APM!N:N,Input_APM!L:L,Check!B184,Input_APM!M:M,Check!$F$1))</f>
        <v/>
      </c>
      <c r="E184" s="174" t="str">
        <f t="shared" ref="E184:E191" si="63">IF(B184="","",C184-M184)</f>
        <v/>
      </c>
      <c r="F184" s="188" t="str">
        <f>IF(B184="","",SUMIFS(Input_APM!N:N,Input_APM!M:M,Check!$F$1,Input_APM!L:L,Check!B184))</f>
        <v/>
      </c>
      <c r="G184" s="188" t="str">
        <f>IF(B184="","",SUMIFS(Input_APM!N:N,Input_APM!M:M,Check!$G$1,Input_APM!L:L,Check!B184))</f>
        <v/>
      </c>
      <c r="H184" s="174" t="str">
        <f t="shared" ref="H184:H191" si="64">IF(B184="","",F184-G184)</f>
        <v/>
      </c>
      <c r="I184" s="174">
        <f>SUMIFS(Input_APM!N:N,Input_APM!L:L,Check!B184)</f>
        <v>0</v>
      </c>
      <c r="J184" s="176" t="str">
        <f t="shared" ref="J184:J191" si="65">IF(B184="","",(F184+G184)-I184)</f>
        <v/>
      </c>
      <c r="K184" s="21" t="str">
        <f>IF(B184="","",SUMIFS('Input_APM (Zenith)'!N:N,'Input_APM (Zenith)'!L:L,Check!B184,'Input_APM (Zenith)'!M:M,Check!$F$1))</f>
        <v/>
      </c>
      <c r="L184" s="21" t="str">
        <f>IF(B184="","",SUMIFS('Input_APM (Zenith)'!N:N,'Input_APM (Zenith)'!L:L,Check!B184,'Input_APM (Zenith)'!M:M,Check!$G$1))</f>
        <v/>
      </c>
      <c r="M184" s="174" t="str">
        <f t="shared" ref="M184:M191" si="66">IF(B184="","",F184+G184+K184+L184)</f>
        <v/>
      </c>
      <c r="O184"/>
      <c r="P184" s="174" t="str">
        <f>IF(O184="","",IF(OR(LEFT(O184,4)="Cash",LEFT(O184,4)="Prov"),0,SUMIFS(Input_APM!N:N,Input_APM!L:L,Check!O184)))</f>
        <v/>
      </c>
      <c r="Q184" s="21" t="str">
        <f>IF(O184="","",IF(LEN(O184)&gt;9,SUMIFS(Options!$H$3:$H$25,Options!$B$3:$B$25,Check!O184),SUMIFS('Master P&amp;L'!$H$11:$H$92,'Master P&amp;L'!$B$11:$B$92,Check!O184)))</f>
        <v/>
      </c>
      <c r="R184" s="174" t="str">
        <f>IF(O184="","",P184-Q184)</f>
        <v/>
      </c>
      <c r="S184" s="289" t="str">
        <f t="shared" si="37"/>
        <v/>
      </c>
    </row>
    <row r="185" spans="3:19">
      <c r="C185" s="188" t="str">
        <f>IF(B185="","",IF(LEN(B185)&gt;9,SUMIFS(Options!$H$3:$H$25,Options!$B$3:$B$25,Check!B185),SUMIFS('Master P&amp;L'!$H$11:$H$92,'Master P&amp;L'!$B$11:$B$92,Check!B185)))</f>
        <v/>
      </c>
      <c r="D185" s="188" t="str">
        <f>IF(B185="","",SUMIFS(Input_APM!N:N,Input_APM!L:L,Check!B185,Input_APM!M:M,Check!$F$1))</f>
        <v/>
      </c>
      <c r="E185" s="174" t="str">
        <f t="shared" si="63"/>
        <v/>
      </c>
      <c r="F185" s="188" t="str">
        <f>IF(B185="","",SUMIFS(Input_APM!N:N,Input_APM!M:M,Check!$F$1,Input_APM!L:L,Check!B185))</f>
        <v/>
      </c>
      <c r="G185" s="188" t="str">
        <f>IF(B185="","",SUMIFS(Input_APM!N:N,Input_APM!M:M,Check!$G$1,Input_APM!L:L,Check!B185))</f>
        <v/>
      </c>
      <c r="H185" s="174" t="str">
        <f t="shared" si="64"/>
        <v/>
      </c>
      <c r="I185" s="174">
        <f>SUMIFS(Input_APM!N:N,Input_APM!L:L,Check!B185)</f>
        <v>0</v>
      </c>
      <c r="J185" s="176" t="str">
        <f t="shared" si="65"/>
        <v/>
      </c>
      <c r="K185" s="21" t="str">
        <f>IF(B185="","",SUMIFS('Input_APM (Zenith)'!N:N,'Input_APM (Zenith)'!L:L,Check!B185,'Input_APM (Zenith)'!M:M,Check!$F$1))</f>
        <v/>
      </c>
      <c r="L185" s="21" t="str">
        <f>IF(B185="","",SUMIFS('Input_APM (Zenith)'!N:N,'Input_APM (Zenith)'!L:L,Check!B185,'Input_APM (Zenith)'!M:M,Check!$G$1))</f>
        <v/>
      </c>
      <c r="M185" s="174" t="str">
        <f t="shared" si="66"/>
        <v/>
      </c>
      <c r="O185"/>
      <c r="P185" s="174" t="str">
        <f>IF(O185="","",IF(OR(LEFT(O185,4)="Cash",LEFT(O185,4)="Prov"),0,SUMIFS(Input_APM!N:N,Input_APM!L:L,Check!O185)))</f>
        <v/>
      </c>
      <c r="Q185" s="21" t="str">
        <f>IF(O185="","",IF(LEN(O185)&gt;9,SUMIFS(Options!$H$3:$H$25,Options!$B$3:$B$25,Check!O185),SUMIFS('Master P&amp;L'!$H$11:$H$92,'Master P&amp;L'!$B$11:$B$92,Check!O185)))</f>
        <v/>
      </c>
      <c r="R185" s="174" t="str">
        <f>IF(O185="","",P185-Q185)</f>
        <v/>
      </c>
      <c r="S185" s="289" t="str">
        <f t="shared" si="37"/>
        <v/>
      </c>
    </row>
    <row r="186" spans="3:19">
      <c r="C186" s="188" t="str">
        <f>IF(B186="","",IF(LEN(B186)&gt;9,SUMIFS(Options!$H$3:$H$25,Options!$B$3:$B$25,Check!B186),SUMIFS('Master P&amp;L'!$H$11:$H$92,'Master P&amp;L'!$B$11:$B$92,Check!B186)))</f>
        <v/>
      </c>
      <c r="D186" s="188" t="str">
        <f>IF(B186="","",SUMIFS(Input_APM!N:N,Input_APM!L:L,Check!B186,Input_APM!M:M,Check!$F$1))</f>
        <v/>
      </c>
      <c r="E186" s="174" t="str">
        <f t="shared" si="63"/>
        <v/>
      </c>
      <c r="F186" s="188" t="str">
        <f>IF(B186="","",SUMIFS(Input_APM!N:N,Input_APM!M:M,Check!$F$1,Input_APM!L:L,Check!B186))</f>
        <v/>
      </c>
      <c r="G186" s="188" t="str">
        <f>IF(B186="","",SUMIFS(Input_APM!N:N,Input_APM!M:M,Check!$G$1,Input_APM!L:L,Check!B186))</f>
        <v/>
      </c>
      <c r="H186" s="174" t="str">
        <f t="shared" si="64"/>
        <v/>
      </c>
      <c r="I186" s="174">
        <f>SUMIFS(Input_APM!N:N,Input_APM!L:L,Check!B186)</f>
        <v>0</v>
      </c>
      <c r="J186" s="176" t="str">
        <f t="shared" si="65"/>
        <v/>
      </c>
      <c r="K186" s="21" t="str">
        <f>IF(B186="","",SUMIFS('Input_APM (Zenith)'!N:N,'Input_APM (Zenith)'!L:L,Check!B186,'Input_APM (Zenith)'!M:M,Check!$F$1))</f>
        <v/>
      </c>
      <c r="L186" s="21" t="str">
        <f>IF(B186="","",SUMIFS('Input_APM (Zenith)'!N:N,'Input_APM (Zenith)'!L:L,Check!B186,'Input_APM (Zenith)'!M:M,Check!$G$1))</f>
        <v/>
      </c>
      <c r="M186" s="174" t="str">
        <f t="shared" si="66"/>
        <v/>
      </c>
      <c r="O186"/>
      <c r="P186" s="174" t="str">
        <f>IF(O186="","",IF(OR(LEFT(O186,4)="Cash",LEFT(O186,4)="Prov"),0,SUMIFS(Input_APM!N:N,Input_APM!L:L,Check!O186)))</f>
        <v/>
      </c>
      <c r="Q186" s="21" t="str">
        <f>IF(O186="","",IF(LEN(O186)&gt;9,SUMIFS(Options!$H$3:$H$25,Options!$B$3:$B$25,Check!O186),SUMIFS('Master P&amp;L'!$H$11:$H$92,'Master P&amp;L'!$B$11:$B$92,Check!O186)))</f>
        <v/>
      </c>
      <c r="R186" s="174" t="str">
        <f>IF(O186="","",P186-Q186)</f>
        <v/>
      </c>
      <c r="S186" s="289" t="str">
        <f t="shared" si="37"/>
        <v/>
      </c>
    </row>
    <row r="187" spans="3:19">
      <c r="C187" s="188" t="str">
        <f>IF(B187="","",IF(LEN(B187)&gt;9,SUMIFS(Options!$H$3:$H$25,Options!$B$3:$B$25,Check!B187),SUMIFS('Master P&amp;L'!$H$11:$H$92,'Master P&amp;L'!$B$11:$B$92,Check!B187)))</f>
        <v/>
      </c>
      <c r="D187" s="188" t="str">
        <f>IF(B187="","",SUMIFS(Input_APM!N:N,Input_APM!L:L,Check!B187,Input_APM!M:M,Check!$F$1))</f>
        <v/>
      </c>
      <c r="E187" s="174" t="str">
        <f t="shared" si="63"/>
        <v/>
      </c>
      <c r="F187" s="188" t="str">
        <f>IF(B187="","",SUMIFS(Input_APM!N:N,Input_APM!M:M,Check!$F$1,Input_APM!L:L,Check!B187))</f>
        <v/>
      </c>
      <c r="G187" s="188" t="str">
        <f>IF(B187="","",SUMIFS(Input_APM!N:N,Input_APM!M:M,Check!$G$1,Input_APM!L:L,Check!B187))</f>
        <v/>
      </c>
      <c r="H187" s="174" t="str">
        <f t="shared" si="64"/>
        <v/>
      </c>
      <c r="I187" s="174">
        <f>SUMIFS(Input_APM!N:N,Input_APM!L:L,Check!B187)</f>
        <v>0</v>
      </c>
      <c r="J187" s="176" t="str">
        <f t="shared" si="65"/>
        <v/>
      </c>
      <c r="K187" s="21" t="str">
        <f>IF(B187="","",SUMIFS('Input_APM (Zenith)'!N:N,'Input_APM (Zenith)'!L:L,Check!B187,'Input_APM (Zenith)'!M:M,Check!$F$1))</f>
        <v/>
      </c>
      <c r="L187" s="21" t="str">
        <f>IF(B187="","",SUMIFS('Input_APM (Zenith)'!N:N,'Input_APM (Zenith)'!L:L,Check!B187,'Input_APM (Zenith)'!M:M,Check!$G$1))</f>
        <v/>
      </c>
      <c r="M187" s="174" t="str">
        <f t="shared" si="66"/>
        <v/>
      </c>
      <c r="O187"/>
      <c r="P187" s="174" t="str">
        <f>IF(O187="","",IF(OR(LEFT(O187,4)="Cash",LEFT(O187,4)="Prov"),0,SUMIFS(Input_APM!N:N,Input_APM!L:L,Check!O187)))</f>
        <v/>
      </c>
      <c r="Q187" s="21" t="str">
        <f>IF(O187="","",IF(LEN(O187)&gt;9,SUMIFS(Options!$H$3:$H$25,Options!$B$3:$B$25,Check!O187),SUMIFS('Master P&amp;L'!$H$11:$H$92,'Master P&amp;L'!$B$11:$B$92,Check!O187)))</f>
        <v/>
      </c>
      <c r="R187" s="174" t="str">
        <f>IF(O187="","",P187-Q187)</f>
        <v/>
      </c>
      <c r="S187" s="289" t="str">
        <f t="shared" si="37"/>
        <v/>
      </c>
    </row>
    <row r="188" spans="3:19">
      <c r="C188" s="188" t="str">
        <f>IF(B188="","",IF(LEN(B188)&gt;9,SUMIFS(Options!$H$3:$H$25,Options!$B$3:$B$25,Check!B188),SUMIFS('Master P&amp;L'!$H$11:$H$92,'Master P&amp;L'!$B$11:$B$92,Check!B188)))</f>
        <v/>
      </c>
      <c r="D188" s="188" t="str">
        <f>IF(B188="","",SUMIFS(Input_APM!N:N,Input_APM!L:L,Check!B188,Input_APM!M:M,Check!$F$1))</f>
        <v/>
      </c>
      <c r="E188" s="174" t="str">
        <f t="shared" si="63"/>
        <v/>
      </c>
      <c r="F188" s="188" t="str">
        <f>IF(B188="","",SUMIFS(Input_APM!N:N,Input_APM!M:M,Check!$F$1,Input_APM!L:L,Check!B188))</f>
        <v/>
      </c>
      <c r="G188" s="188" t="str">
        <f>IF(B188="","",SUMIFS(Input_APM!N:N,Input_APM!M:M,Check!$G$1,Input_APM!L:L,Check!B188))</f>
        <v/>
      </c>
      <c r="H188" s="174" t="str">
        <f t="shared" si="64"/>
        <v/>
      </c>
      <c r="I188" s="174">
        <f>SUMIFS(Input_APM!N:N,Input_APM!L:L,Check!B188)</f>
        <v>0</v>
      </c>
      <c r="J188" s="176" t="str">
        <f t="shared" si="65"/>
        <v/>
      </c>
      <c r="K188" s="21" t="str">
        <f>IF(B188="","",SUMIFS('Input_APM (Zenith)'!N:N,'Input_APM (Zenith)'!L:L,Check!B188,'Input_APM (Zenith)'!M:M,Check!$F$1))</f>
        <v/>
      </c>
      <c r="L188" s="21" t="str">
        <f>IF(B188="","",SUMIFS('Input_APM (Zenith)'!N:N,'Input_APM (Zenith)'!L:L,Check!B188,'Input_APM (Zenith)'!M:M,Check!$G$1))</f>
        <v/>
      </c>
      <c r="M188" s="174" t="str">
        <f t="shared" si="66"/>
        <v/>
      </c>
      <c r="O188"/>
      <c r="P188" s="174" t="str">
        <f>IF(O188="","",IF(OR(LEFT(O188,4)="Cash",LEFT(O188,4)="Prov"),0,SUMIFS(Input_APM!N:N,Input_APM!L:L,Check!O188)))</f>
        <v/>
      </c>
      <c r="Q188" s="21" t="str">
        <f>IF(O188="","",IF(LEN(O188)&gt;9,SUMIFS(Options!$H$3:$H$25,Options!$B$3:$B$25,Check!O188),SUMIFS('Master P&amp;L'!$H$11:$H$92,'Master P&amp;L'!$B$11:$B$92,Check!O188)))</f>
        <v/>
      </c>
      <c r="R188" s="174" t="str">
        <f t="shared" ref="R188:R205" si="67">IF(O188="","",P188-Q188)</f>
        <v/>
      </c>
      <c r="S188" s="289" t="str">
        <f t="shared" si="37"/>
        <v/>
      </c>
    </row>
    <row r="189" spans="3:19">
      <c r="C189" s="188" t="str">
        <f>IF(B189="","",IF(LEN(B189)&gt;9,SUMIFS(Options!$H$3:$H$25,Options!$B$3:$B$25,Check!B189),SUMIFS('Master P&amp;L'!$H$11:$H$92,'Master P&amp;L'!$B$11:$B$92,Check!B189)))</f>
        <v/>
      </c>
      <c r="D189" s="188" t="str">
        <f>IF(B189="","",SUMIFS(Input_APM!N:N,Input_APM!L:L,Check!B189,Input_APM!M:M,Check!$F$1))</f>
        <v/>
      </c>
      <c r="E189" s="174" t="str">
        <f t="shared" si="63"/>
        <v/>
      </c>
      <c r="F189" s="188" t="str">
        <f>IF(B189="","",SUMIFS(Input_APM!N:N,Input_APM!M:M,Check!$F$1,Input_APM!L:L,Check!B189))</f>
        <v/>
      </c>
      <c r="G189" s="188" t="str">
        <f>IF(B189="","",SUMIFS(Input_APM!N:N,Input_APM!M:M,Check!$G$1,Input_APM!L:L,Check!B189))</f>
        <v/>
      </c>
      <c r="H189" s="174" t="str">
        <f t="shared" si="64"/>
        <v/>
      </c>
      <c r="I189" s="174">
        <f>SUMIFS(Input_APM!N:N,Input_APM!L:L,Check!B189)</f>
        <v>0</v>
      </c>
      <c r="J189" s="176" t="str">
        <f t="shared" si="65"/>
        <v/>
      </c>
      <c r="K189" s="21" t="str">
        <f>IF(B189="","",SUMIFS('Input_APM (Zenith)'!N:N,'Input_APM (Zenith)'!L:L,Check!B189,'Input_APM (Zenith)'!M:M,Check!$F$1))</f>
        <v/>
      </c>
      <c r="L189" s="21" t="str">
        <f>IF(B189="","",SUMIFS('Input_APM (Zenith)'!N:N,'Input_APM (Zenith)'!L:L,Check!B189,'Input_APM (Zenith)'!M:M,Check!$G$1))</f>
        <v/>
      </c>
      <c r="M189" s="174" t="str">
        <f t="shared" si="66"/>
        <v/>
      </c>
      <c r="O189"/>
      <c r="P189" s="174" t="str">
        <f>IF(O189="","",IF(OR(LEFT(O189,4)="Cash",LEFT(O189,4)="Prov"),0,SUMIFS(Input_APM!N:N,Input_APM!L:L,Check!O189)))</f>
        <v/>
      </c>
      <c r="Q189" s="21" t="str">
        <f>IF(O189="","",IF(LEN(O189)&gt;9,SUMIFS(Options!$H$3:$H$25,Options!$B$3:$B$25,Check!O189),SUMIFS('Master P&amp;L'!$H$11:$H$92,'Master P&amp;L'!$B$11:$B$92,Check!O189)))</f>
        <v/>
      </c>
      <c r="R189" s="174" t="str">
        <f t="shared" si="67"/>
        <v/>
      </c>
      <c r="S189" s="289" t="str">
        <f t="shared" si="37"/>
        <v/>
      </c>
    </row>
    <row r="190" spans="3:19">
      <c r="C190" s="188" t="str">
        <f>IF(B190="","",IF(LEN(B190)&gt;9,SUMIFS(Options!$H$3:$H$25,Options!$B$3:$B$25,Check!B190),SUMIFS('Master P&amp;L'!$H$11:$H$92,'Master P&amp;L'!$B$11:$B$92,Check!B190)))</f>
        <v/>
      </c>
      <c r="D190" s="188" t="str">
        <f>IF(B190="","",SUMIFS(Input_APM!N:N,Input_APM!L:L,Check!B190,Input_APM!M:M,Check!$F$1))</f>
        <v/>
      </c>
      <c r="E190" s="174" t="str">
        <f t="shared" si="63"/>
        <v/>
      </c>
      <c r="F190" s="188" t="str">
        <f>IF(B190="","",SUMIFS(Input_APM!N:N,Input_APM!M:M,Check!$F$1,Input_APM!L:L,Check!B190))</f>
        <v/>
      </c>
      <c r="G190" s="188" t="str">
        <f>IF(B190="","",SUMIFS(Input_APM!N:N,Input_APM!M:M,Check!$G$1,Input_APM!L:L,Check!B190))</f>
        <v/>
      </c>
      <c r="H190" s="174" t="str">
        <f t="shared" si="64"/>
        <v/>
      </c>
      <c r="I190" s="174">
        <f>SUMIFS(Input_APM!N:N,Input_APM!L:L,Check!B190)</f>
        <v>0</v>
      </c>
      <c r="J190" s="176" t="str">
        <f t="shared" si="65"/>
        <v/>
      </c>
      <c r="K190" s="21" t="str">
        <f>IF(B190="","",SUMIFS('Input_APM (Zenith)'!N:N,'Input_APM (Zenith)'!L:L,Check!B190,'Input_APM (Zenith)'!M:M,Check!$F$1))</f>
        <v/>
      </c>
      <c r="L190" s="21" t="str">
        <f>IF(B190="","",SUMIFS('Input_APM (Zenith)'!N:N,'Input_APM (Zenith)'!L:L,Check!B190,'Input_APM (Zenith)'!M:M,Check!$G$1))</f>
        <v/>
      </c>
      <c r="M190" s="174" t="str">
        <f t="shared" si="66"/>
        <v/>
      </c>
      <c r="O190"/>
      <c r="P190" s="174" t="str">
        <f>IF(O190="","",IF(OR(LEFT(O190,4)="Cash",LEFT(O190,4)="Prov"),0,SUMIFS(Input_APM!N:N,Input_APM!L:L,Check!O190)))</f>
        <v/>
      </c>
      <c r="Q190" s="21" t="str">
        <f>IF(O190="","",IF(LEN(O190)&gt;9,SUMIFS(Options!$H$3:$H$25,Options!$B$3:$B$25,Check!O190),SUMIFS('Master P&amp;L'!$H$11:$H$92,'Master P&amp;L'!$B$11:$B$92,Check!O190)))</f>
        <v/>
      </c>
      <c r="R190" s="174" t="str">
        <f t="shared" si="67"/>
        <v/>
      </c>
      <c r="S190" s="289" t="str">
        <f t="shared" si="37"/>
        <v/>
      </c>
    </row>
    <row r="191" spans="3:19">
      <c r="C191" s="188" t="str">
        <f>IF(B191="","",IF(LEN(B191)&gt;9,SUMIFS(Options!$H$3:$H$25,Options!$B$3:$B$25,Check!B191),SUMIFS('Master P&amp;L'!$H$11:$H$92,'Master P&amp;L'!$B$11:$B$92,Check!B191)))</f>
        <v/>
      </c>
      <c r="D191" s="188" t="str">
        <f>IF(B191="","",SUMIFS(Input_APM!N:N,Input_APM!L:L,Check!B191,Input_APM!M:M,Check!$F$1))</f>
        <v/>
      </c>
      <c r="E191" s="174" t="str">
        <f t="shared" si="63"/>
        <v/>
      </c>
      <c r="F191" s="188" t="str">
        <f>IF(B191="","",SUMIFS(Input_APM!N:N,Input_APM!M:M,Check!$F$1,Input_APM!L:L,Check!B191))</f>
        <v/>
      </c>
      <c r="G191" s="188" t="str">
        <f>IF(B191="","",SUMIFS(Input_APM!N:N,Input_APM!M:M,Check!$G$1,Input_APM!L:L,Check!B191))</f>
        <v/>
      </c>
      <c r="H191" s="174" t="str">
        <f t="shared" si="64"/>
        <v/>
      </c>
      <c r="I191" s="174">
        <f>SUMIFS(Input_APM!N:N,Input_APM!L:L,Check!B191)</f>
        <v>0</v>
      </c>
      <c r="J191" s="176" t="str">
        <f t="shared" si="65"/>
        <v/>
      </c>
      <c r="K191" s="21" t="str">
        <f>IF(B191="","",SUMIFS('Input_APM (Zenith)'!N:N,'Input_APM (Zenith)'!L:L,Check!B191,'Input_APM (Zenith)'!M:M,Check!$F$1))</f>
        <v/>
      </c>
      <c r="L191" s="21" t="str">
        <f>IF(B191="","",SUMIFS('Input_APM (Zenith)'!N:N,'Input_APM (Zenith)'!L:L,Check!B191,'Input_APM (Zenith)'!M:M,Check!$G$1))</f>
        <v/>
      </c>
      <c r="M191" s="174" t="str">
        <f t="shared" si="66"/>
        <v/>
      </c>
      <c r="O191"/>
      <c r="P191" s="174" t="str">
        <f>IF(O191="","",IF(OR(LEFT(O191,4)="Cash",LEFT(O191,4)="Prov"),0,SUMIFS(Input_APM!N:N,Input_APM!L:L,Check!O191)))</f>
        <v/>
      </c>
      <c r="Q191" s="21" t="str">
        <f>IF(O191="","",IF(LEN(O191)&gt;9,SUMIFS(Options!$H$3:$H$25,Options!$B$3:$B$25,Check!O191),SUMIFS('Master P&amp;L'!$H$11:$H$92,'Master P&amp;L'!$B$11:$B$92,Check!O191)))</f>
        <v/>
      </c>
      <c r="R191" s="174" t="str">
        <f t="shared" si="67"/>
        <v/>
      </c>
      <c r="S191" s="289" t="str">
        <f t="shared" si="37"/>
        <v/>
      </c>
    </row>
    <row r="192" spans="3:19">
      <c r="O192"/>
      <c r="P192" s="174" t="str">
        <f>IF(O192="","",IF(OR(LEFT(O192,4)="Cash",LEFT(O192,4)="Prov"),0,SUMIFS(Input_APM!N:N,Input_APM!L:L,Check!O192)))</f>
        <v/>
      </c>
      <c r="Q192" s="21" t="str">
        <f>IF(O192="","",IF(LEN(O192)&gt;9,SUMIFS(Options!$H$3:$H$25,Options!$B$3:$B$25,Check!O192),SUMIFS('Master P&amp;L'!$H$11:$H$92,'Master P&amp;L'!$B$11:$B$92,Check!O192)))</f>
        <v/>
      </c>
      <c r="R192" s="174" t="str">
        <f t="shared" si="67"/>
        <v/>
      </c>
      <c r="S192" s="289" t="str">
        <f t="shared" si="37"/>
        <v/>
      </c>
    </row>
    <row r="193" spans="15:19">
      <c r="O193"/>
      <c r="P193" s="174" t="str">
        <f>IF(O193="","",IF(OR(LEFT(O193,4)="Cash",LEFT(O193,4)="Prov"),0,SUMIFS(Input_APM!N:N,Input_APM!L:L,Check!O193)))</f>
        <v/>
      </c>
      <c r="Q193" s="21" t="str">
        <f>IF(O193="","",IF(LEN(O193)&gt;9,SUMIFS(Options!$H$3:$H$25,Options!$B$3:$B$25,Check!O193),SUMIFS('Master P&amp;L'!$H$11:$H$92,'Master P&amp;L'!$B$11:$B$92,Check!O193)))</f>
        <v/>
      </c>
      <c r="R193" s="174" t="str">
        <f t="shared" si="67"/>
        <v/>
      </c>
      <c r="S193" s="289" t="str">
        <f t="shared" si="37"/>
        <v/>
      </c>
    </row>
    <row r="194" spans="15:19">
      <c r="O194"/>
      <c r="P194" s="174" t="str">
        <f>IF(O194="","",IF(OR(LEFT(O194,4)="Cash",LEFT(O194,4)="Prov"),0,SUMIFS(Input_APM!N:N,Input_APM!L:L,Check!O194)))</f>
        <v/>
      </c>
      <c r="Q194" s="21" t="str">
        <f>IF(O194="","",IF(LEN(O194)&gt;9,SUMIFS(Options!$H$3:$H$25,Options!$B$3:$B$25,Check!O194),SUMIFS('Master P&amp;L'!$H$11:$H$92,'Master P&amp;L'!$B$11:$B$92,Check!O194)))</f>
        <v/>
      </c>
      <c r="R194" s="174" t="str">
        <f t="shared" si="67"/>
        <v/>
      </c>
      <c r="S194" s="289" t="str">
        <f t="shared" si="37"/>
        <v/>
      </c>
    </row>
    <row r="195" spans="15:19">
      <c r="O195"/>
      <c r="P195" s="174" t="str">
        <f>IF(O195="","",IF(OR(LEFT(O195,4)="Cash",LEFT(O195,4)="Prov"),0,SUMIFS(Input_APM!N:N,Input_APM!L:L,Check!O195)))</f>
        <v/>
      </c>
      <c r="Q195" s="21" t="str">
        <f>IF(O195="","",IF(LEN(O195)&gt;9,SUMIFS(Options!$H$3:$H$25,Options!$B$3:$B$25,Check!O195),SUMIFS('Master P&amp;L'!$H$11:$H$92,'Master P&amp;L'!$B$11:$B$92,Check!O195)))</f>
        <v/>
      </c>
      <c r="R195" s="174" t="str">
        <f t="shared" si="67"/>
        <v/>
      </c>
      <c r="S195" s="289" t="str">
        <f t="shared" si="37"/>
        <v/>
      </c>
    </row>
    <row r="196" spans="15:19">
      <c r="O196"/>
      <c r="P196" s="174" t="str">
        <f>IF(O196="","",IF(OR(LEFT(O196,4)="Cash",LEFT(O196,4)="Prov"),0,SUMIFS(Input_APM!N:N,Input_APM!L:L,Check!O196)))</f>
        <v/>
      </c>
      <c r="Q196" s="21" t="str">
        <f>IF(O196="","",IF(LEN(O196)&gt;9,SUMIFS(Options!$H$3:$H$25,Options!$B$3:$B$25,Check!O196),SUMIFS('Master P&amp;L'!$H$11:$H$92,'Master P&amp;L'!$B$11:$B$92,Check!O196)))</f>
        <v/>
      </c>
      <c r="R196" s="174" t="str">
        <f t="shared" si="67"/>
        <v/>
      </c>
      <c r="S196" s="289" t="str">
        <f t="shared" si="37"/>
        <v/>
      </c>
    </row>
    <row r="197" spans="15:19">
      <c r="O197"/>
      <c r="P197" s="174" t="str">
        <f>IF(O197="","",IF(OR(LEFT(O197,4)="Cash",LEFT(O197,4)="Prov"),0,SUMIFS(Input_APM!N:N,Input_APM!L:L,Check!O197)))</f>
        <v/>
      </c>
      <c r="Q197" s="21" t="str">
        <f>IF(O197="","",IF(LEN(O197)&gt;9,SUMIFS(Options!$H$3:$H$25,Options!$B$3:$B$25,Check!O197),SUMIFS('Master P&amp;L'!$H$11:$H$92,'Master P&amp;L'!$B$11:$B$92,Check!O197)))</f>
        <v/>
      </c>
      <c r="R197" s="174" t="str">
        <f t="shared" si="67"/>
        <v/>
      </c>
      <c r="S197" s="289" t="str">
        <f t="shared" si="37"/>
        <v/>
      </c>
    </row>
    <row r="198" spans="15:19">
      <c r="O198"/>
      <c r="P198" s="174" t="str">
        <f>IF(O198="","",IF(OR(LEFT(O198,4)="Cash",LEFT(O198,4)="Prov"),0,SUMIFS(Input_APM!N:N,Input_APM!L:L,Check!O198)))</f>
        <v/>
      </c>
      <c r="Q198" s="21" t="str">
        <f>IF(O198="","",IF(LEN(O198)&gt;9,SUMIFS(Options!$H$3:$H$25,Options!$B$3:$B$25,Check!O198),SUMIFS('Master P&amp;L'!$H$11:$H$92,'Master P&amp;L'!$B$11:$B$92,Check!O198)))</f>
        <v/>
      </c>
      <c r="R198" s="174" t="str">
        <f t="shared" si="67"/>
        <v/>
      </c>
      <c r="S198" s="289" t="str">
        <f t="shared" ref="S198:S206" si="68">IF(O198="","",IF((P198+Q198)=0,"Ok",IF(OR(P198=0,Q198=0),"Erro",P198/Q198)))</f>
        <v/>
      </c>
    </row>
    <row r="199" spans="15:19">
      <c r="O199"/>
      <c r="P199" s="174" t="str">
        <f>IF(O199="","",IF(OR(LEFT(O199,4)="Cash",LEFT(O199,4)="Prov"),0,SUMIFS(Input_APM!N:N,Input_APM!L:L,Check!O199)))</f>
        <v/>
      </c>
      <c r="Q199" s="21" t="str">
        <f>IF(O199="","",IF(LEN(O199)&gt;9,SUMIFS(Options!$H$3:$H$25,Options!$B$3:$B$25,Check!O199),SUMIFS('Master P&amp;L'!$H$11:$H$92,'Master P&amp;L'!$B$11:$B$92,Check!O199)))</f>
        <v/>
      </c>
      <c r="R199" s="174" t="str">
        <f t="shared" si="67"/>
        <v/>
      </c>
      <c r="S199" s="289" t="str">
        <f t="shared" si="68"/>
        <v/>
      </c>
    </row>
    <row r="200" spans="15:19">
      <c r="O200"/>
      <c r="P200" s="174" t="str">
        <f>IF(O200="","",IF(OR(LEFT(O200,4)="Cash",LEFT(O200,4)="Prov"),0,SUMIFS(Input_APM!N:N,Input_APM!L:L,Check!O200)))</f>
        <v/>
      </c>
      <c r="Q200" s="21" t="str">
        <f>IF(O200="","",IF(LEN(O200)&gt;9,SUMIFS(Options!$H$3:$H$25,Options!$B$3:$B$25,Check!O200),SUMIFS('Master P&amp;L'!$H$11:$H$92,'Master P&amp;L'!$B$11:$B$92,Check!O200)))</f>
        <v/>
      </c>
      <c r="R200" s="174" t="str">
        <f t="shared" si="67"/>
        <v/>
      </c>
      <c r="S200" s="289" t="str">
        <f t="shared" si="68"/>
        <v/>
      </c>
    </row>
    <row r="201" spans="15:19">
      <c r="O201"/>
      <c r="P201" s="174" t="str">
        <f>IF(O201="","",IF(OR(LEFT(O201,4)="Cash",LEFT(O201,4)="Prov"),0,SUMIFS(Input_APM!N:N,Input_APM!L:L,Check!O201)))</f>
        <v/>
      </c>
      <c r="Q201" s="21" t="str">
        <f>IF(O201="","",IF(LEN(O201)&gt;9,SUMIFS(Options!$H$3:$H$25,Options!$B$3:$B$25,Check!O201),SUMIFS('Master P&amp;L'!$H$11:$H$92,'Master P&amp;L'!$B$11:$B$92,Check!O201)))</f>
        <v/>
      </c>
      <c r="R201" s="174" t="str">
        <f t="shared" si="67"/>
        <v/>
      </c>
      <c r="S201" s="289" t="str">
        <f t="shared" si="68"/>
        <v/>
      </c>
    </row>
    <row r="202" spans="15:19">
      <c r="O202"/>
      <c r="P202" s="174" t="str">
        <f>IF(O202="","",IF(OR(LEFT(O202,4)="Cash",LEFT(O202,4)="Prov"),0,SUMIFS(Input_APM!N:N,Input_APM!L:L,Check!O202)))</f>
        <v/>
      </c>
      <c r="Q202" s="21" t="str">
        <f>IF(O202="","",IF(LEN(O202)&gt;9,SUMIFS(Options!$H$3:$H$25,Options!$B$3:$B$25,Check!O202),SUMIFS('Master P&amp;L'!$H$11:$H$92,'Master P&amp;L'!$B$11:$B$92,Check!O202)))</f>
        <v/>
      </c>
      <c r="R202" s="174" t="str">
        <f t="shared" si="67"/>
        <v/>
      </c>
      <c r="S202" s="289" t="str">
        <f t="shared" si="68"/>
        <v/>
      </c>
    </row>
    <row r="203" spans="15:19">
      <c r="O203"/>
      <c r="P203" s="174" t="str">
        <f>IF(O203="","",IF(OR(LEFT(O203,4)="Cash",LEFT(O203,4)="Prov"),0,SUMIFS(Input_APM!N:N,Input_APM!L:L,Check!O203)))</f>
        <v/>
      </c>
      <c r="Q203" s="21" t="str">
        <f>IF(O203="","",IF(LEN(O203)&gt;9,SUMIFS(Options!$H$3:$H$25,Options!$B$3:$B$25,Check!O203),SUMIFS('Master P&amp;L'!$H$11:$H$92,'Master P&amp;L'!$B$11:$B$92,Check!O203)))</f>
        <v/>
      </c>
      <c r="R203" s="174" t="str">
        <f t="shared" si="67"/>
        <v/>
      </c>
      <c r="S203" s="289" t="str">
        <f t="shared" si="68"/>
        <v/>
      </c>
    </row>
    <row r="204" spans="15:19">
      <c r="O204"/>
      <c r="P204" s="174" t="str">
        <f>IF(O204="","",IF(OR(LEFT(O204,4)="Cash",LEFT(O204,4)="Prov"),0,SUMIFS(Input_APM!N:N,Input_APM!L:L,Check!O204)))</f>
        <v/>
      </c>
      <c r="Q204" s="21" t="str">
        <f>IF(O204="","",IF(LEN(O204)&gt;9,SUMIFS(Options!$H$3:$H$25,Options!$B$3:$B$25,Check!O204),SUMIFS('Master P&amp;L'!$H$11:$H$92,'Master P&amp;L'!$B$11:$B$92,Check!O204)))</f>
        <v/>
      </c>
      <c r="R204" s="174" t="str">
        <f t="shared" si="67"/>
        <v/>
      </c>
      <c r="S204" s="289" t="str">
        <f t="shared" si="68"/>
        <v/>
      </c>
    </row>
    <row r="205" spans="15:19">
      <c r="O205"/>
      <c r="P205" s="174" t="str">
        <f>IF(O205="","",IF(OR(LEFT(O205,4)="Cash",LEFT(O205,4)="Prov"),0,SUMIFS(Input_APM!N:N,Input_APM!L:L,Check!O205)))</f>
        <v/>
      </c>
      <c r="Q205" s="21" t="str">
        <f>IF(O205="","",IF(LEN(O205)&gt;9,SUMIFS(Options!$H$3:$H$25,Options!$B$3:$B$25,Check!O205),SUMIFS('Master P&amp;L'!$H$11:$H$92,'Master P&amp;L'!$B$11:$B$92,Check!O205)))</f>
        <v/>
      </c>
      <c r="R205" s="174" t="str">
        <f t="shared" si="67"/>
        <v/>
      </c>
      <c r="S205" s="289" t="str">
        <f t="shared" si="68"/>
        <v/>
      </c>
    </row>
    <row r="206" spans="15:19">
      <c r="O206"/>
      <c r="P206" s="174" t="str">
        <f>IF(O206="","",IF(OR(LEFT(O206,4)="Cash",LEFT(O206,4)="Prov"),0,SUMIFS(Input_APM!N:N,Input_APM!L:L,Check!O206)))</f>
        <v/>
      </c>
      <c r="Q206" s="21" t="str">
        <f>IF(O206="","",IF(LEN(O206)&gt;9,SUMIFS(Options!$H$3:$H$25,Options!$B$3:$B$25,Check!O206),SUMIFS('Master P&amp;L'!$H$11:$H$92,'Master P&amp;L'!$B$11:$B$92,Check!O206)))</f>
        <v/>
      </c>
      <c r="R206" s="174" t="str">
        <f>IF(O206="","",P206-Q206)</f>
        <v/>
      </c>
      <c r="S206" s="289" t="str">
        <f t="shared" si="68"/>
        <v/>
      </c>
    </row>
    <row r="207" spans="15:19">
      <c r="O207"/>
    </row>
    <row r="208" spans="15:19">
      <c r="O208"/>
    </row>
    <row r="209" spans="15:15">
      <c r="O209"/>
    </row>
    <row r="210" spans="15:15">
      <c r="O210"/>
    </row>
    <row r="211" spans="15:15">
      <c r="O211"/>
    </row>
    <row r="212" spans="15:15">
      <c r="O212"/>
    </row>
    <row r="213" spans="15:15">
      <c r="O213"/>
    </row>
    <row r="214" spans="15:15">
      <c r="O214"/>
    </row>
    <row r="215" spans="15:15">
      <c r="O215"/>
    </row>
    <row r="216" spans="15:15">
      <c r="O216"/>
    </row>
    <row r="217" spans="15:15">
      <c r="O217"/>
    </row>
    <row r="218" spans="15:15">
      <c r="O218"/>
    </row>
    <row r="219" spans="15:15">
      <c r="O219"/>
    </row>
    <row r="220" spans="15:15">
      <c r="O220"/>
    </row>
    <row r="221" spans="15:15">
      <c r="O221"/>
    </row>
    <row r="222" spans="15:15">
      <c r="O222"/>
    </row>
    <row r="223" spans="15:15">
      <c r="O223"/>
    </row>
    <row r="224" spans="15:15">
      <c r="O224"/>
    </row>
    <row r="225" spans="15:15">
      <c r="O225"/>
    </row>
    <row r="226" spans="15:15">
      <c r="O226"/>
    </row>
    <row r="227" spans="15:15">
      <c r="O227"/>
    </row>
    <row r="228" spans="15:15">
      <c r="O228"/>
    </row>
    <row r="229" spans="15:15">
      <c r="O229"/>
    </row>
    <row r="230" spans="15:15">
      <c r="O230"/>
    </row>
    <row r="231" spans="15:15">
      <c r="O231"/>
    </row>
    <row r="232" spans="15:15">
      <c r="O232"/>
    </row>
    <row r="233" spans="15:15">
      <c r="O233"/>
    </row>
    <row r="234" spans="15:15">
      <c r="O234"/>
    </row>
    <row r="235" spans="15:15">
      <c r="O235"/>
    </row>
    <row r="236" spans="15:15">
      <c r="O236"/>
    </row>
    <row r="237" spans="15:15">
      <c r="O237"/>
    </row>
    <row r="238" spans="15:15">
      <c r="O238"/>
    </row>
    <row r="239" spans="15:15">
      <c r="O239"/>
    </row>
    <row r="240" spans="15:15">
      <c r="O240"/>
    </row>
    <row r="241" spans="15:15">
      <c r="O241"/>
    </row>
    <row r="242" spans="15:15">
      <c r="O242"/>
    </row>
    <row r="243" spans="15:15">
      <c r="O243"/>
    </row>
    <row r="244" spans="15:15">
      <c r="O244"/>
    </row>
    <row r="245" spans="15:15">
      <c r="O245"/>
    </row>
    <row r="246" spans="15:15">
      <c r="O246"/>
    </row>
    <row r="247" spans="15:15">
      <c r="O247"/>
    </row>
    <row r="248" spans="15:15">
      <c r="O248"/>
    </row>
    <row r="249" spans="15:15">
      <c r="O249"/>
    </row>
    <row r="250" spans="15:15">
      <c r="O250"/>
    </row>
    <row r="251" spans="15:15">
      <c r="O251"/>
    </row>
    <row r="252" spans="15:15">
      <c r="O252"/>
    </row>
    <row r="253" spans="15:15">
      <c r="O253"/>
    </row>
    <row r="254" spans="15:15">
      <c r="O254"/>
    </row>
    <row r="255" spans="15:15">
      <c r="O255"/>
    </row>
    <row r="256" spans="15:15">
      <c r="O256"/>
    </row>
    <row r="257" spans="15:15">
      <c r="O257"/>
    </row>
    <row r="258" spans="15:15">
      <c r="O258"/>
    </row>
    <row r="259" spans="15:15">
      <c r="O259"/>
    </row>
    <row r="260" spans="15:15">
      <c r="O260"/>
    </row>
    <row r="261" spans="15:15">
      <c r="O261"/>
    </row>
    <row r="262" spans="15:15">
      <c r="O262"/>
    </row>
    <row r="263" spans="15:15">
      <c r="O263"/>
    </row>
    <row r="264" spans="15:15">
      <c r="O264"/>
    </row>
    <row r="265" spans="15:15">
      <c r="O265"/>
    </row>
    <row r="266" spans="15:15">
      <c r="O266"/>
    </row>
    <row r="267" spans="15:15">
      <c r="O267"/>
    </row>
    <row r="268" spans="15:15">
      <c r="O268"/>
    </row>
    <row r="269" spans="15:15">
      <c r="O269"/>
    </row>
    <row r="270" spans="15:15">
      <c r="O270"/>
    </row>
    <row r="271" spans="15:15">
      <c r="O271"/>
    </row>
    <row r="272" spans="15:15">
      <c r="O272"/>
    </row>
    <row r="273" spans="15:15">
      <c r="O273"/>
    </row>
    <row r="274" spans="15:15">
      <c r="O274"/>
    </row>
    <row r="275" spans="15:15">
      <c r="O275"/>
    </row>
    <row r="276" spans="15:15">
      <c r="O276"/>
    </row>
    <row r="277" spans="15:15">
      <c r="O277"/>
    </row>
    <row r="278" spans="15:15">
      <c r="O278"/>
    </row>
    <row r="279" spans="15:15">
      <c r="O279"/>
    </row>
    <row r="280" spans="15:15">
      <c r="O280"/>
    </row>
    <row r="281" spans="15:15">
      <c r="O281"/>
    </row>
    <row r="282" spans="15:15">
      <c r="O282"/>
    </row>
    <row r="283" spans="15:15">
      <c r="O283"/>
    </row>
    <row r="284" spans="15:15">
      <c r="O284"/>
    </row>
    <row r="285" spans="15:15">
      <c r="O285"/>
    </row>
    <row r="286" spans="15:15">
      <c r="O286"/>
    </row>
    <row r="287" spans="15:15">
      <c r="O287"/>
    </row>
    <row r="288" spans="15:15">
      <c r="O288"/>
    </row>
    <row r="289" spans="15:15">
      <c r="O289"/>
    </row>
    <row r="290" spans="15:15">
      <c r="O290"/>
    </row>
    <row r="291" spans="15:15">
      <c r="O291"/>
    </row>
    <row r="292" spans="15:15">
      <c r="O292"/>
    </row>
    <row r="293" spans="15:15">
      <c r="O293"/>
    </row>
    <row r="294" spans="15:15">
      <c r="O294"/>
    </row>
    <row r="295" spans="15:15">
      <c r="O295"/>
    </row>
    <row r="296" spans="15:15">
      <c r="O296"/>
    </row>
    <row r="297" spans="15:15">
      <c r="O297"/>
    </row>
    <row r="298" spans="15:15">
      <c r="O298"/>
    </row>
    <row r="299" spans="15:15">
      <c r="O299"/>
    </row>
    <row r="300" spans="15:15">
      <c r="O300"/>
    </row>
    <row r="301" spans="15:15">
      <c r="O301"/>
    </row>
    <row r="302" spans="15:15">
      <c r="O302"/>
    </row>
    <row r="303" spans="15:15">
      <c r="O303"/>
    </row>
    <row r="304" spans="15:15">
      <c r="O304"/>
    </row>
    <row r="305" spans="15:15">
      <c r="O305"/>
    </row>
    <row r="306" spans="15:15">
      <c r="O306"/>
    </row>
    <row r="307" spans="15:15">
      <c r="O307"/>
    </row>
    <row r="308" spans="15:15">
      <c r="O308"/>
    </row>
    <row r="309" spans="15:15">
      <c r="O309"/>
    </row>
    <row r="310" spans="15:15">
      <c r="O310"/>
    </row>
    <row r="311" spans="15:15">
      <c r="O311"/>
    </row>
    <row r="312" spans="15:15">
      <c r="O312"/>
    </row>
    <row r="313" spans="15:15">
      <c r="O313"/>
    </row>
    <row r="314" spans="15:15">
      <c r="O314"/>
    </row>
    <row r="315" spans="15:15">
      <c r="O315"/>
    </row>
    <row r="316" spans="15:15">
      <c r="O316"/>
    </row>
    <row r="317" spans="15:15">
      <c r="O317"/>
    </row>
    <row r="318" spans="15:15">
      <c r="O318"/>
    </row>
    <row r="319" spans="15:15">
      <c r="O319"/>
    </row>
    <row r="320" spans="15:15">
      <c r="O320"/>
    </row>
    <row r="321" spans="15:15">
      <c r="O321"/>
    </row>
    <row r="322" spans="15:15">
      <c r="O322"/>
    </row>
    <row r="323" spans="15:15">
      <c r="O323"/>
    </row>
    <row r="324" spans="15:15">
      <c r="O324"/>
    </row>
    <row r="325" spans="15:15">
      <c r="O325"/>
    </row>
    <row r="326" spans="15:15">
      <c r="O326"/>
    </row>
    <row r="327" spans="15:15">
      <c r="O327"/>
    </row>
    <row r="328" spans="15:15">
      <c r="O328"/>
    </row>
    <row r="329" spans="15:15">
      <c r="O329"/>
    </row>
    <row r="330" spans="15:15">
      <c r="O330"/>
    </row>
    <row r="331" spans="15:15">
      <c r="O331"/>
    </row>
    <row r="332" spans="15:15">
      <c r="O332"/>
    </row>
    <row r="333" spans="15:15">
      <c r="O333"/>
    </row>
    <row r="334" spans="15:15">
      <c r="O334"/>
    </row>
    <row r="335" spans="15:15">
      <c r="O335"/>
    </row>
    <row r="336" spans="15:15">
      <c r="O336"/>
    </row>
    <row r="337" spans="15:15">
      <c r="O337"/>
    </row>
    <row r="338" spans="15:15">
      <c r="O338"/>
    </row>
    <row r="339" spans="15:15">
      <c r="O339"/>
    </row>
    <row r="340" spans="15:15">
      <c r="O340"/>
    </row>
    <row r="341" spans="15:15">
      <c r="O341"/>
    </row>
    <row r="342" spans="15:15">
      <c r="O342"/>
    </row>
    <row r="343" spans="15:15">
      <c r="O343"/>
    </row>
    <row r="344" spans="15:15">
      <c r="O344"/>
    </row>
    <row r="345" spans="15:15">
      <c r="O345"/>
    </row>
    <row r="346" spans="15:15">
      <c r="O346"/>
    </row>
    <row r="347" spans="15:15">
      <c r="O347"/>
    </row>
    <row r="348" spans="15:15">
      <c r="O348"/>
    </row>
    <row r="349" spans="15:15">
      <c r="O349"/>
    </row>
    <row r="350" spans="15:15">
      <c r="O350"/>
    </row>
    <row r="351" spans="15:15">
      <c r="O351"/>
    </row>
    <row r="352" spans="15:15">
      <c r="O352"/>
    </row>
    <row r="353" spans="15:15">
      <c r="O353"/>
    </row>
    <row r="354" spans="15:15">
      <c r="O354"/>
    </row>
    <row r="355" spans="15:15">
      <c r="O355"/>
    </row>
    <row r="356" spans="15:15">
      <c r="O356"/>
    </row>
    <row r="357" spans="15:15">
      <c r="O357"/>
    </row>
    <row r="358" spans="15:15">
      <c r="O358"/>
    </row>
    <row r="359" spans="15:15">
      <c r="O359"/>
    </row>
    <row r="360" spans="15:15">
      <c r="O360"/>
    </row>
    <row r="361" spans="15:15">
      <c r="O361"/>
    </row>
    <row r="362" spans="15:15">
      <c r="O362"/>
    </row>
    <row r="363" spans="15:15">
      <c r="O363"/>
    </row>
    <row r="364" spans="15:15">
      <c r="O364"/>
    </row>
    <row r="365" spans="15:15">
      <c r="O365"/>
    </row>
    <row r="366" spans="15:15">
      <c r="O366"/>
    </row>
    <row r="367" spans="15:15">
      <c r="O367"/>
    </row>
    <row r="368" spans="15:15">
      <c r="O368"/>
    </row>
    <row r="369" spans="15:15">
      <c r="O369"/>
    </row>
    <row r="370" spans="15:15">
      <c r="O370"/>
    </row>
    <row r="371" spans="15:15">
      <c r="O371"/>
    </row>
    <row r="372" spans="15:15">
      <c r="O372"/>
    </row>
    <row r="373" spans="15:15">
      <c r="O373"/>
    </row>
    <row r="374" spans="15:15">
      <c r="O374"/>
    </row>
    <row r="375" spans="15:15">
      <c r="O375"/>
    </row>
    <row r="376" spans="15:15">
      <c r="O376"/>
    </row>
    <row r="377" spans="15:15">
      <c r="O377"/>
    </row>
    <row r="378" spans="15:15">
      <c r="O378"/>
    </row>
    <row r="379" spans="15:15">
      <c r="O379"/>
    </row>
    <row r="380" spans="15:15">
      <c r="O380"/>
    </row>
    <row r="381" spans="15:15">
      <c r="O381"/>
    </row>
    <row r="382" spans="15:15">
      <c r="O382"/>
    </row>
    <row r="383" spans="15:15">
      <c r="O383"/>
    </row>
    <row r="384" spans="15:15">
      <c r="O384"/>
    </row>
    <row r="385" spans="15:15">
      <c r="O385"/>
    </row>
    <row r="386" spans="15:15">
      <c r="O386"/>
    </row>
    <row r="387" spans="15:15">
      <c r="O387"/>
    </row>
    <row r="388" spans="15:15">
      <c r="O388"/>
    </row>
    <row r="389" spans="15:15">
      <c r="O389"/>
    </row>
    <row r="390" spans="15:15">
      <c r="O390"/>
    </row>
    <row r="391" spans="15:15">
      <c r="O391"/>
    </row>
    <row r="392" spans="15:15">
      <c r="O392"/>
    </row>
    <row r="393" spans="15:15">
      <c r="O393"/>
    </row>
    <row r="394" spans="15:15">
      <c r="O394"/>
    </row>
    <row r="395" spans="15:15">
      <c r="O395"/>
    </row>
    <row r="396" spans="15:15">
      <c r="O396"/>
    </row>
    <row r="397" spans="15:15">
      <c r="O397"/>
    </row>
    <row r="398" spans="15:15">
      <c r="O398"/>
    </row>
    <row r="399" spans="15:15">
      <c r="O399"/>
    </row>
    <row r="400" spans="15:15">
      <c r="O400"/>
    </row>
  </sheetData>
  <autoFilter ref="A4:V190" xr:uid="{932C9680-8A17-4F57-93E3-0C8EAAA0B9D1}"/>
  <conditionalFormatting sqref="J5:J191">
    <cfRule type="expression" dxfId="45" priority="4">
      <formula>J5&lt;&gt;0</formula>
    </cfRule>
  </conditionalFormatting>
  <conditionalFormatting sqref="E5:E191">
    <cfRule type="expression" dxfId="44" priority="3">
      <formula>E5&lt;&gt;0</formula>
    </cfRule>
  </conditionalFormatting>
  <conditionalFormatting sqref="S5:S206">
    <cfRule type="cellIs" dxfId="43" priority="2" operator="lessThan">
      <formula>0.9</formula>
    </cfRule>
  </conditionalFormatting>
  <conditionalFormatting sqref="S5:S198">
    <cfRule type="expression" dxfId="42" priority="1">
      <formula>S5="Erro"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copiar_trades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72072-B23C-439A-8B65-10BB2C0A9065}">
  <sheetPr codeName="Sheet13">
    <tabColor theme="5" tint="0.79998168889431442"/>
  </sheetPr>
  <dimension ref="E1:O580"/>
  <sheetViews>
    <sheetView showGridLines="0" zoomScale="85" zoomScaleNormal="85" workbookViewId="0">
      <selection activeCell="E1" sqref="E1:I85"/>
    </sheetView>
  </sheetViews>
  <sheetFormatPr defaultColWidth="9.140625" defaultRowHeight="12.75" outlineLevelCol="1"/>
  <cols>
    <col min="1" max="4" width="9.140625" style="170"/>
    <col min="5" max="5" width="31.7109375" style="170" bestFit="1" customWidth="1" outlineLevel="1"/>
    <col min="6" max="6" width="43.5703125" style="170" bestFit="1" customWidth="1" outlineLevel="1"/>
    <col min="7" max="7" width="24.42578125" style="170" bestFit="1" customWidth="1" outlineLevel="1"/>
    <col min="8" max="9" width="12.85546875" style="170" bestFit="1" customWidth="1" outlineLevel="1"/>
    <col min="10" max="10" width="9.140625" style="170"/>
    <col min="11" max="11" width="28.5703125" style="170" bestFit="1" customWidth="1"/>
    <col min="12" max="12" width="41.85546875" style="170" bestFit="1" customWidth="1"/>
    <col min="13" max="13" width="22.140625" style="170" bestFit="1" customWidth="1"/>
    <col min="14" max="14" width="13.42578125" style="170" bestFit="1" customWidth="1"/>
    <col min="15" max="15" width="16.28515625" style="170" bestFit="1" customWidth="1"/>
    <col min="16" max="16384" width="9.140625" style="170"/>
  </cols>
  <sheetData>
    <row r="1" spans="5:15">
      <c r="E1" s="170" t="s">
        <v>240</v>
      </c>
      <c r="F1" s="170" t="s">
        <v>118</v>
      </c>
      <c r="G1" s="170" t="s">
        <v>241</v>
      </c>
      <c r="H1" s="170" t="s">
        <v>221</v>
      </c>
      <c r="I1" s="170" t="s">
        <v>242</v>
      </c>
      <c r="K1" s="184" t="s">
        <v>240</v>
      </c>
      <c r="L1" s="184" t="s">
        <v>118</v>
      </c>
      <c r="M1" s="184" t="s">
        <v>241</v>
      </c>
      <c r="N1" s="184" t="s">
        <v>221</v>
      </c>
      <c r="O1" s="184" t="s">
        <v>242</v>
      </c>
    </row>
    <row r="2" spans="5:15">
      <c r="E2" s="170" t="s">
        <v>1120</v>
      </c>
      <c r="F2" s="170" t="s">
        <v>1116</v>
      </c>
      <c r="G2" s="170" t="s">
        <v>210</v>
      </c>
      <c r="H2" s="170">
        <v>0</v>
      </c>
      <c r="I2" s="170">
        <v>18</v>
      </c>
      <c r="K2" s="171" t="str">
        <f>IF(E2="","",E2)</f>
        <v>NASDAQ-100 E-mini Options - CME</v>
      </c>
      <c r="L2" s="171" t="str">
        <f>IF(E2="","",IF(COUNTIFS(Table2[[#All],[De (Lote)]],Input_APM!F2)&gt;0,INDEX(Table2[[#All],[Para (Ticker Daniel)]],MATCH(Input_APM!F2,Table2[[#All],[De (Lote)]],0)),Input_APM!F2))</f>
        <v>1OG6P 25750</v>
      </c>
      <c r="M2" s="171" t="str">
        <f>IF(E2="","",G2)</f>
        <v>EQTY.IntlUS.off</v>
      </c>
      <c r="N2" s="172">
        <f>IF(E2="","",H2)</f>
        <v>0</v>
      </c>
      <c r="O2" s="172">
        <f>IF(E2="","",I2)</f>
        <v>18</v>
      </c>
    </row>
    <row r="3" spans="5:15">
      <c r="E3" s="170" t="s">
        <v>1120</v>
      </c>
      <c r="F3" s="170" t="s">
        <v>1129</v>
      </c>
      <c r="G3" s="170" t="s">
        <v>210</v>
      </c>
      <c r="H3" s="170">
        <v>14</v>
      </c>
      <c r="I3" s="170">
        <v>0</v>
      </c>
      <c r="K3" s="171" t="str">
        <f t="shared" ref="K3:K66" si="0">IF(E3="","",E3)</f>
        <v>NASDAQ-100 E-mini Options - CME</v>
      </c>
      <c r="L3" s="171" t="str">
        <f>IF(E3="","",IF(COUNTIFS(Table2[[#All],[De (Lote)]],Input_APM!F3)&gt;0,INDEX(Table2[[#All],[Para (Ticker Daniel)]],MATCH(Input_APM!F3,Table2[[#All],[De (Lote)]],0)),Input_APM!F3))</f>
        <v>2OG6P 25000</v>
      </c>
      <c r="M3" s="171" t="str">
        <f t="shared" ref="M3:M66" si="1">IF(E3="","",G3)</f>
        <v>EQTY.IntlUS.off</v>
      </c>
      <c r="N3" s="172">
        <f t="shared" ref="N3:N66" si="2">IF(E3="","",H3)</f>
        <v>14</v>
      </c>
      <c r="O3" s="172">
        <f t="shared" ref="O3:O66" si="3">IF(E3="","",I3)</f>
        <v>0</v>
      </c>
    </row>
    <row r="4" spans="5:15">
      <c r="E4" s="170" t="s">
        <v>244</v>
      </c>
      <c r="F4" s="170" t="s">
        <v>27</v>
      </c>
      <c r="G4" s="170" t="s">
        <v>210</v>
      </c>
      <c r="H4" s="170">
        <v>7980</v>
      </c>
      <c r="I4" s="170">
        <v>2816</v>
      </c>
      <c r="K4" s="171" t="str">
        <f t="shared" si="0"/>
        <v>US Equity</v>
      </c>
      <c r="L4" s="171" t="str">
        <f>IF(E4="","",IF(COUNTIFS(Table2[[#All],[De (Lote)]],Input_APM!F4)&gt;0,INDEX(Table2[[#All],[Para (Ticker Daniel)]],MATCH(Input_APM!F4,Table2[[#All],[De (Lote)]],0)),Input_APM!F4))</f>
        <v>AAPL</v>
      </c>
      <c r="M4" s="171" t="str">
        <f t="shared" si="1"/>
        <v>EQTY.IntlUS.off</v>
      </c>
      <c r="N4" s="172">
        <f t="shared" si="2"/>
        <v>7980</v>
      </c>
      <c r="O4" s="172">
        <f t="shared" si="3"/>
        <v>2816</v>
      </c>
    </row>
    <row r="5" spans="5:15">
      <c r="E5" s="170" t="s">
        <v>246</v>
      </c>
      <c r="F5" s="170" t="s">
        <v>1095</v>
      </c>
      <c r="G5" s="170" t="s">
        <v>210</v>
      </c>
      <c r="H5" s="170">
        <v>329</v>
      </c>
      <c r="I5" s="170">
        <v>329</v>
      </c>
      <c r="K5" s="171" t="str">
        <f t="shared" si="0"/>
        <v>US Equity Options</v>
      </c>
      <c r="L5" s="171" t="str">
        <f>IF(E5="","",IF(COUNTIFS(Table2[[#All],[De (Lote)]],Input_APM!F5)&gt;0,INDEX(Table2[[#All],[Para (Ticker Daniel)]],MATCH(Input_APM!F5,Table2[[#All],[De (Lote)]],0)),Input_APM!F5))</f>
        <v>AAPL US 04/17/26 C260</v>
      </c>
      <c r="M5" s="171" t="str">
        <f t="shared" si="1"/>
        <v>EQTY.IntlUS.off</v>
      </c>
      <c r="N5" s="172">
        <f t="shared" si="2"/>
        <v>329</v>
      </c>
      <c r="O5" s="172">
        <f t="shared" si="3"/>
        <v>329</v>
      </c>
    </row>
    <row r="6" spans="5:15">
      <c r="E6" s="170" t="s">
        <v>246</v>
      </c>
      <c r="F6" s="170" t="s">
        <v>1096</v>
      </c>
      <c r="G6" s="170" t="s">
        <v>210</v>
      </c>
      <c r="H6" s="170">
        <v>-329</v>
      </c>
      <c r="I6" s="170">
        <v>-329</v>
      </c>
      <c r="K6" s="171" t="str">
        <f t="shared" si="0"/>
        <v>US Equity Options</v>
      </c>
      <c r="L6" s="171" t="str">
        <f>IF(E6="","",IF(COUNTIFS(Table2[[#All],[De (Lote)]],Input_APM!F6)&gt;0,INDEX(Table2[[#All],[Para (Ticker Daniel)]],MATCH(Input_APM!F6,Table2[[#All],[De (Lote)]],0)),Input_APM!F6))</f>
        <v>AAPL US 04/17/26 C280</v>
      </c>
      <c r="M6" s="171" t="str">
        <f t="shared" si="1"/>
        <v>EQTY.IntlUS.off</v>
      </c>
      <c r="N6" s="172">
        <f t="shared" si="2"/>
        <v>-329</v>
      </c>
      <c r="O6" s="172">
        <f t="shared" si="3"/>
        <v>-329</v>
      </c>
    </row>
    <row r="7" spans="5:15">
      <c r="E7" s="170" t="s">
        <v>244</v>
      </c>
      <c r="F7" s="170" t="s">
        <v>1013</v>
      </c>
      <c r="G7" s="170" t="s">
        <v>210</v>
      </c>
      <c r="H7" s="170">
        <v>9585</v>
      </c>
      <c r="I7" s="170">
        <v>7238</v>
      </c>
      <c r="K7" s="171" t="str">
        <f t="shared" si="0"/>
        <v>US Equity</v>
      </c>
      <c r="L7" s="171" t="str">
        <f>IF(E7="","",IF(COUNTIFS(Table2[[#All],[De (Lote)]],Input_APM!F7)&gt;0,INDEX(Table2[[#All],[Para (Ticker Daniel)]],MATCH(Input_APM!F7,Table2[[#All],[De (Lote)]],0)),Input_APM!F7))</f>
        <v>AKAM</v>
      </c>
      <c r="M7" s="171" t="str">
        <f t="shared" si="1"/>
        <v>EQTY.IntlUS.off</v>
      </c>
      <c r="N7" s="172">
        <f t="shared" si="2"/>
        <v>9585</v>
      </c>
      <c r="O7" s="172">
        <f t="shared" si="3"/>
        <v>7238</v>
      </c>
    </row>
    <row r="8" spans="5:15">
      <c r="E8" s="170" t="s">
        <v>244</v>
      </c>
      <c r="F8" s="170" t="s">
        <v>334</v>
      </c>
      <c r="G8" s="170" t="s">
        <v>210</v>
      </c>
      <c r="H8" s="170">
        <v>-1878</v>
      </c>
      <c r="I8" s="170">
        <v>0</v>
      </c>
      <c r="K8" s="171" t="str">
        <f t="shared" si="0"/>
        <v>US Equity</v>
      </c>
      <c r="L8" s="171" t="str">
        <f>IF(E8="","",IF(COUNTIFS(Table2[[#All],[De (Lote)]],Input_APM!F8)&gt;0,INDEX(Table2[[#All],[Para (Ticker Daniel)]],MATCH(Input_APM!F8,Table2[[#All],[De (Lote)]],0)),Input_APM!F8))</f>
        <v>AMD</v>
      </c>
      <c r="M8" s="171" t="str">
        <f t="shared" si="1"/>
        <v>EQTY.IntlUS.off</v>
      </c>
      <c r="N8" s="172">
        <f t="shared" si="2"/>
        <v>-1878</v>
      </c>
      <c r="O8" s="172">
        <f t="shared" si="3"/>
        <v>0</v>
      </c>
    </row>
    <row r="9" spans="5:15">
      <c r="E9" s="170" t="s">
        <v>244</v>
      </c>
      <c r="F9" s="170" t="s">
        <v>318</v>
      </c>
      <c r="G9" s="170" t="s">
        <v>210</v>
      </c>
      <c r="H9" s="170">
        <v>13772</v>
      </c>
      <c r="I9" s="170">
        <v>13772</v>
      </c>
      <c r="K9" s="171" t="str">
        <f t="shared" si="0"/>
        <v>US Equity</v>
      </c>
      <c r="L9" s="171" t="str">
        <f>IF(E9="","",IF(COUNTIFS(Table2[[#All],[De (Lote)]],Input_APM!F9)&gt;0,INDEX(Table2[[#All],[Para (Ticker Daniel)]],MATCH(Input_APM!F9,Table2[[#All],[De (Lote)]],0)),Input_APM!F9))</f>
        <v>AMZN</v>
      </c>
      <c r="M9" s="171" t="str">
        <f t="shared" si="1"/>
        <v>EQTY.IntlUS.off</v>
      </c>
      <c r="N9" s="172">
        <f t="shared" si="2"/>
        <v>13772</v>
      </c>
      <c r="O9" s="172">
        <f t="shared" si="3"/>
        <v>13772</v>
      </c>
    </row>
    <row r="10" spans="5:15">
      <c r="E10" s="170" t="s">
        <v>247</v>
      </c>
      <c r="F10" s="170" t="s">
        <v>7</v>
      </c>
      <c r="G10" s="170" t="s">
        <v>210</v>
      </c>
      <c r="H10" s="170">
        <v>19706</v>
      </c>
      <c r="I10" s="170">
        <v>19706</v>
      </c>
      <c r="K10" s="171" t="str">
        <f t="shared" si="0"/>
        <v>ETF</v>
      </c>
      <c r="L10" s="171" t="str">
        <f>IF(E10="","",IF(COUNTIFS(Table2[[#All],[De (Lote)]],Input_APM!F10)&gt;0,INDEX(Table2[[#All],[Para (Ticker Daniel)]],MATCH(Input_APM!F10,Table2[[#All],[De (Lote)]],0)),Input_APM!F10))</f>
        <v>ASHR</v>
      </c>
      <c r="M10" s="171" t="str">
        <f t="shared" si="1"/>
        <v>EQTY.IntlUS.off</v>
      </c>
      <c r="N10" s="172">
        <f t="shared" si="2"/>
        <v>19706</v>
      </c>
      <c r="O10" s="172">
        <f t="shared" si="3"/>
        <v>19706</v>
      </c>
    </row>
    <row r="11" spans="5:15">
      <c r="E11" s="170" t="s">
        <v>250</v>
      </c>
      <c r="F11" s="170" t="s">
        <v>895</v>
      </c>
      <c r="G11" s="170" t="s">
        <v>210</v>
      </c>
      <c r="H11" s="170">
        <v>935</v>
      </c>
      <c r="I11" s="170">
        <v>935</v>
      </c>
      <c r="K11" s="171" t="str">
        <f t="shared" si="0"/>
        <v>ETF Options</v>
      </c>
      <c r="L11" s="171" t="str">
        <f>IF(E11="","",IF(COUNTIFS(Table2[[#All],[De (Lote)]],Input_APM!F11)&gt;0,INDEX(Table2[[#All],[Para (Ticker Daniel)]],MATCH(Input_APM!F11,Table2[[#All],[De (Lote)]],0)),Input_APM!F11))</f>
        <v>ASHR US 02/20/26 C35</v>
      </c>
      <c r="M11" s="171" t="str">
        <f t="shared" si="1"/>
        <v>EQTY.IntlUS.off</v>
      </c>
      <c r="N11" s="172">
        <f t="shared" si="2"/>
        <v>935</v>
      </c>
      <c r="O11" s="172">
        <f t="shared" si="3"/>
        <v>935</v>
      </c>
    </row>
    <row r="12" spans="5:15">
      <c r="E12" s="170" t="s">
        <v>244</v>
      </c>
      <c r="F12" s="170" t="s">
        <v>84</v>
      </c>
      <c r="G12" s="170" t="s">
        <v>210</v>
      </c>
      <c r="H12" s="170">
        <v>0</v>
      </c>
      <c r="I12" s="170">
        <v>0</v>
      </c>
      <c r="K12" s="171" t="str">
        <f t="shared" si="0"/>
        <v>US Equity</v>
      </c>
      <c r="L12" s="171" t="str">
        <f>IF(E12="","",IF(COUNTIFS(Table2[[#All],[De (Lote)]],Input_APM!F12)&gt;0,INDEX(Table2[[#All],[Para (Ticker Daniel)]],MATCH(Input_APM!F12,Table2[[#All],[De (Lote)]],0)),Input_APM!F12))</f>
        <v>AVGO</v>
      </c>
      <c r="M12" s="171" t="str">
        <f t="shared" si="1"/>
        <v>EQTY.IntlUS.off</v>
      </c>
      <c r="N12" s="172">
        <f t="shared" si="2"/>
        <v>0</v>
      </c>
      <c r="O12" s="172">
        <f t="shared" si="3"/>
        <v>0</v>
      </c>
    </row>
    <row r="13" spans="5:15">
      <c r="E13" s="170" t="s">
        <v>246</v>
      </c>
      <c r="F13" s="170" t="s">
        <v>774</v>
      </c>
      <c r="G13" s="170" t="s">
        <v>210</v>
      </c>
      <c r="H13" s="170">
        <v>114</v>
      </c>
      <c r="I13" s="170">
        <v>114</v>
      </c>
      <c r="K13" s="171" t="str">
        <f t="shared" si="0"/>
        <v>US Equity Options</v>
      </c>
      <c r="L13" s="171" t="str">
        <f>IF(E13="","",IF(COUNTIFS(Table2[[#All],[De (Lote)]],Input_APM!F13)&gt;0,INDEX(Table2[[#All],[Para (Ticker Daniel)]],MATCH(Input_APM!F13,Table2[[#All],[De (Lote)]],0)),Input_APM!F13))</f>
        <v>AVGO US 06/18/26 C350</v>
      </c>
      <c r="M13" s="171" t="str">
        <f t="shared" si="1"/>
        <v>EQTY.IntlUS.off</v>
      </c>
      <c r="N13" s="172">
        <f t="shared" si="2"/>
        <v>114</v>
      </c>
      <c r="O13" s="172">
        <f t="shared" si="3"/>
        <v>114</v>
      </c>
    </row>
    <row r="14" spans="5:15">
      <c r="E14" s="170" t="s">
        <v>8</v>
      </c>
      <c r="F14" s="170" t="s">
        <v>336</v>
      </c>
      <c r="G14" s="170" t="s">
        <v>210</v>
      </c>
      <c r="H14" s="170">
        <v>3163</v>
      </c>
      <c r="I14" s="170">
        <v>3163</v>
      </c>
      <c r="K14" s="171" t="str">
        <f t="shared" si="0"/>
        <v>ADR</v>
      </c>
      <c r="L14" s="171" t="str">
        <f>IF(E14="","",IF(COUNTIFS(Table2[[#All],[De (Lote)]],Input_APM!F14)&gt;0,INDEX(Table2[[#All],[Para (Ticker Daniel)]],MATCH(Input_APM!F14,Table2[[#All],[De (Lote)]],0)),Input_APM!F14))</f>
        <v>BABA</v>
      </c>
      <c r="M14" s="171" t="str">
        <f t="shared" si="1"/>
        <v>EQTY.IntlUS.off</v>
      </c>
      <c r="N14" s="172">
        <f t="shared" si="2"/>
        <v>3163</v>
      </c>
      <c r="O14" s="172">
        <f t="shared" si="3"/>
        <v>3163</v>
      </c>
    </row>
    <row r="15" spans="5:15">
      <c r="E15" s="170" t="s">
        <v>8</v>
      </c>
      <c r="F15" s="170" t="s">
        <v>809</v>
      </c>
      <c r="G15" s="170" t="s">
        <v>210</v>
      </c>
      <c r="H15" s="170">
        <v>3285</v>
      </c>
      <c r="I15" s="170">
        <v>3285</v>
      </c>
      <c r="K15" s="171" t="str">
        <f t="shared" si="0"/>
        <v>ADR</v>
      </c>
      <c r="L15" s="171" t="str">
        <f>IF(E15="","",IF(COUNTIFS(Table2[[#All],[De (Lote)]],Input_APM!F15)&gt;0,INDEX(Table2[[#All],[Para (Ticker Daniel)]],MATCH(Input_APM!F15,Table2[[#All],[De (Lote)]],0)),Input_APM!F15))</f>
        <v>BIDU</v>
      </c>
      <c r="M15" s="171" t="str">
        <f t="shared" si="1"/>
        <v>EQTY.IntlUS.off</v>
      </c>
      <c r="N15" s="172">
        <f t="shared" si="2"/>
        <v>3285</v>
      </c>
      <c r="O15" s="172">
        <f t="shared" si="3"/>
        <v>3285</v>
      </c>
    </row>
    <row r="16" spans="5:15">
      <c r="E16" s="170" t="s">
        <v>248</v>
      </c>
      <c r="F16" s="170" t="s">
        <v>223</v>
      </c>
      <c r="G16" s="170" t="s">
        <v>210</v>
      </c>
      <c r="H16" s="170">
        <v>-0.28999999999999998</v>
      </c>
      <c r="I16" s="170">
        <v>-0.28999999999999998</v>
      </c>
      <c r="K16" s="171" t="str">
        <f t="shared" si="0"/>
        <v>Cash</v>
      </c>
      <c r="L16" s="171" t="str">
        <f>IF(E16="","",IF(COUNTIFS(Table2[[#All],[De (Lote)]],Input_APM!F16)&gt;0,INDEX(Table2[[#All],[Para (Ticker Daniel)]],MATCH(Input_APM!F16,Table2[[#All],[De (Lote)]],0)),Input_APM!F16))</f>
        <v>Cash CAD</v>
      </c>
      <c r="M16" s="171" t="str">
        <f t="shared" si="1"/>
        <v>EQTY.IntlUS.off</v>
      </c>
      <c r="N16" s="172">
        <f t="shared" si="2"/>
        <v>-0.28999999999999998</v>
      </c>
      <c r="O16" s="172">
        <f t="shared" si="3"/>
        <v>-0.28999999999999998</v>
      </c>
    </row>
    <row r="17" spans="5:15">
      <c r="E17" s="170" t="s">
        <v>248</v>
      </c>
      <c r="F17" s="170" t="s">
        <v>224</v>
      </c>
      <c r="G17" s="170" t="s">
        <v>211</v>
      </c>
      <c r="H17" s="170">
        <v>0.39</v>
      </c>
      <c r="I17" s="170">
        <v>0.39</v>
      </c>
      <c r="K17" s="171" t="str">
        <f t="shared" si="0"/>
        <v>Cash</v>
      </c>
      <c r="L17" s="171" t="str">
        <f>IF(E17="","",IF(COUNTIFS(Table2[[#All],[De (Lote)]],Input_APM!F17)&gt;0,INDEX(Table2[[#All],[Para (Ticker Daniel)]],MATCH(Input_APM!F17,Table2[[#All],[De (Lote)]],0)),Input_APM!F17))</f>
        <v>Cash CHF</v>
      </c>
      <c r="M17" s="171" t="str">
        <f t="shared" si="1"/>
        <v>EQTY.InternacionalUS2.off</v>
      </c>
      <c r="N17" s="172">
        <f t="shared" si="2"/>
        <v>0.39</v>
      </c>
      <c r="O17" s="172">
        <f t="shared" si="3"/>
        <v>0.39</v>
      </c>
    </row>
    <row r="18" spans="5:15">
      <c r="E18" s="170" t="s">
        <v>248</v>
      </c>
      <c r="F18" s="170" t="s">
        <v>224</v>
      </c>
      <c r="G18" s="170" t="s">
        <v>210</v>
      </c>
      <c r="H18" s="170">
        <v>-34454.449999999997</v>
      </c>
      <c r="I18" s="170">
        <v>-34454.449999999997</v>
      </c>
      <c r="K18" s="171" t="str">
        <f t="shared" si="0"/>
        <v>Cash</v>
      </c>
      <c r="L18" s="171" t="str">
        <f>IF(E18="","",IF(COUNTIFS(Table2[[#All],[De (Lote)]],Input_APM!F18)&gt;0,INDEX(Table2[[#All],[Para (Ticker Daniel)]],MATCH(Input_APM!F18,Table2[[#All],[De (Lote)]],0)),Input_APM!F18))</f>
        <v>Cash CHF</v>
      </c>
      <c r="M18" s="171" t="str">
        <f t="shared" si="1"/>
        <v>EQTY.IntlUS.off</v>
      </c>
      <c r="N18" s="172">
        <f t="shared" si="2"/>
        <v>-34454.449999999997</v>
      </c>
      <c r="O18" s="172">
        <f t="shared" si="3"/>
        <v>-34454.449999999997</v>
      </c>
    </row>
    <row r="19" spans="5:15">
      <c r="E19" s="170" t="s">
        <v>248</v>
      </c>
      <c r="F19" s="170" t="s">
        <v>225</v>
      </c>
      <c r="G19" s="170" t="s">
        <v>210</v>
      </c>
      <c r="H19" s="170">
        <v>-0.36</v>
      </c>
      <c r="I19" s="170">
        <v>-0.36</v>
      </c>
      <c r="K19" s="171" t="str">
        <f t="shared" si="0"/>
        <v>Cash</v>
      </c>
      <c r="L19" s="171" t="str">
        <f>IF(E19="","",IF(COUNTIFS(Table2[[#All],[De (Lote)]],Input_APM!F19)&gt;0,INDEX(Table2[[#All],[Para (Ticker Daniel)]],MATCH(Input_APM!F19,Table2[[#All],[De (Lote)]],0)),Input_APM!F19))</f>
        <v>Cash CNH</v>
      </c>
      <c r="M19" s="171" t="str">
        <f t="shared" si="1"/>
        <v>EQTY.IntlUS.off</v>
      </c>
      <c r="N19" s="172">
        <f t="shared" si="2"/>
        <v>-0.36</v>
      </c>
      <c r="O19" s="172">
        <f t="shared" si="3"/>
        <v>-0.36</v>
      </c>
    </row>
    <row r="20" spans="5:15">
      <c r="E20" s="170" t="s">
        <v>248</v>
      </c>
      <c r="F20" s="170" t="s">
        <v>795</v>
      </c>
      <c r="G20" s="170" t="s">
        <v>211</v>
      </c>
      <c r="H20" s="170">
        <v>-0.19</v>
      </c>
      <c r="I20" s="170">
        <v>-0.19</v>
      </c>
      <c r="K20" s="171" t="str">
        <f t="shared" si="0"/>
        <v>Cash</v>
      </c>
      <c r="L20" s="171" t="str">
        <f>IF(E20="","",IF(COUNTIFS(Table2[[#All],[De (Lote)]],Input_APM!F20)&gt;0,INDEX(Table2[[#All],[Para (Ticker Daniel)]],MATCH(Input_APM!F20,Table2[[#All],[De (Lote)]],0)),Input_APM!F20))</f>
        <v>Cash CNY</v>
      </c>
      <c r="M20" s="171" t="str">
        <f t="shared" si="1"/>
        <v>EQTY.InternacionalUS2.off</v>
      </c>
      <c r="N20" s="172">
        <f t="shared" si="2"/>
        <v>-0.19</v>
      </c>
      <c r="O20" s="172">
        <f t="shared" si="3"/>
        <v>-0.19</v>
      </c>
    </row>
    <row r="21" spans="5:15">
      <c r="E21" s="170" t="s">
        <v>248</v>
      </c>
      <c r="F21" s="170" t="s">
        <v>795</v>
      </c>
      <c r="G21" s="170" t="s">
        <v>210</v>
      </c>
      <c r="H21" s="170">
        <v>-143145.81</v>
      </c>
      <c r="I21" s="170">
        <v>-143145.81</v>
      </c>
      <c r="K21" s="171" t="str">
        <f t="shared" si="0"/>
        <v>Cash</v>
      </c>
      <c r="L21" s="171" t="str">
        <f>IF(E21="","",IF(COUNTIFS(Table2[[#All],[De (Lote)]],Input_APM!F21)&gt;0,INDEX(Table2[[#All],[Para (Ticker Daniel)]],MATCH(Input_APM!F21,Table2[[#All],[De (Lote)]],0)),Input_APM!F21))</f>
        <v>Cash CNY</v>
      </c>
      <c r="M21" s="171" t="str">
        <f t="shared" si="1"/>
        <v>EQTY.IntlUS.off</v>
      </c>
      <c r="N21" s="172">
        <f t="shared" si="2"/>
        <v>-143145.81</v>
      </c>
      <c r="O21" s="172">
        <f t="shared" si="3"/>
        <v>-143145.81</v>
      </c>
    </row>
    <row r="22" spans="5:15">
      <c r="E22" s="170" t="s">
        <v>248</v>
      </c>
      <c r="F22" s="170" t="s">
        <v>226</v>
      </c>
      <c r="G22" s="170" t="s">
        <v>211</v>
      </c>
      <c r="H22" s="170">
        <v>-0.15</v>
      </c>
      <c r="I22" s="170">
        <v>-0.15</v>
      </c>
      <c r="K22" s="171" t="str">
        <f t="shared" si="0"/>
        <v>Cash</v>
      </c>
      <c r="L22" s="171" t="str">
        <f>IF(E22="","",IF(COUNTIFS(Table2[[#All],[De (Lote)]],Input_APM!F22)&gt;0,INDEX(Table2[[#All],[Para (Ticker Daniel)]],MATCH(Input_APM!F22,Table2[[#All],[De (Lote)]],0)),Input_APM!F22))</f>
        <v>Cash EUR</v>
      </c>
      <c r="M22" s="171" t="str">
        <f t="shared" si="1"/>
        <v>EQTY.InternacionalUS2.off</v>
      </c>
      <c r="N22" s="172">
        <f t="shared" si="2"/>
        <v>-0.15</v>
      </c>
      <c r="O22" s="172">
        <f t="shared" si="3"/>
        <v>-0.15</v>
      </c>
    </row>
    <row r="23" spans="5:15">
      <c r="E23" s="170" t="s">
        <v>248</v>
      </c>
      <c r="F23" s="170" t="s">
        <v>226</v>
      </c>
      <c r="G23" s="170" t="s">
        <v>210</v>
      </c>
      <c r="H23" s="170">
        <v>40729.67</v>
      </c>
      <c r="I23" s="170">
        <v>40729.67</v>
      </c>
      <c r="K23" s="171" t="str">
        <f t="shared" si="0"/>
        <v>Cash</v>
      </c>
      <c r="L23" s="171" t="str">
        <f>IF(E23="","",IF(COUNTIFS(Table2[[#All],[De (Lote)]],Input_APM!F23)&gt;0,INDEX(Table2[[#All],[Para (Ticker Daniel)]],MATCH(Input_APM!F23,Table2[[#All],[De (Lote)]],0)),Input_APM!F23))</f>
        <v>Cash EUR</v>
      </c>
      <c r="M23" s="171" t="str">
        <f t="shared" si="1"/>
        <v>EQTY.IntlUS.off</v>
      </c>
      <c r="N23" s="172">
        <f t="shared" si="2"/>
        <v>40729.67</v>
      </c>
      <c r="O23" s="172">
        <f t="shared" si="3"/>
        <v>40729.67</v>
      </c>
    </row>
    <row r="24" spans="5:15">
      <c r="E24" s="170" t="s">
        <v>248</v>
      </c>
      <c r="F24" s="170" t="s">
        <v>227</v>
      </c>
      <c r="G24" s="170" t="s">
        <v>210</v>
      </c>
      <c r="H24" s="170">
        <v>-0.47</v>
      </c>
      <c r="I24" s="170">
        <v>-0.47</v>
      </c>
      <c r="K24" s="171" t="str">
        <f t="shared" si="0"/>
        <v>Cash</v>
      </c>
      <c r="L24" s="171" t="str">
        <f>IF(E24="","",IF(COUNTIFS(Table2[[#All],[De (Lote)]],Input_APM!F24)&gt;0,INDEX(Table2[[#All],[Para (Ticker Daniel)]],MATCH(Input_APM!F24,Table2[[#All],[De (Lote)]],0)),Input_APM!F24))</f>
        <v>Cash GBP</v>
      </c>
      <c r="M24" s="171" t="str">
        <f t="shared" si="1"/>
        <v>EQTY.IntlUS.off</v>
      </c>
      <c r="N24" s="172">
        <f t="shared" si="2"/>
        <v>-0.47</v>
      </c>
      <c r="O24" s="172">
        <f t="shared" si="3"/>
        <v>-0.47</v>
      </c>
    </row>
    <row r="25" spans="5:15">
      <c r="E25" s="170" t="s">
        <v>248</v>
      </c>
      <c r="F25" s="170" t="s">
        <v>228</v>
      </c>
      <c r="G25" s="170" t="s">
        <v>211</v>
      </c>
      <c r="H25" s="170">
        <v>0.2</v>
      </c>
      <c r="I25" s="170">
        <v>0.2</v>
      </c>
      <c r="K25" s="171" t="str">
        <f t="shared" si="0"/>
        <v>Cash</v>
      </c>
      <c r="L25" s="171" t="str">
        <f>IF(E25="","",IF(COUNTIFS(Table2[[#All],[De (Lote)]],Input_APM!F25)&gt;0,INDEX(Table2[[#All],[Para (Ticker Daniel)]],MATCH(Input_APM!F25,Table2[[#All],[De (Lote)]],0)),Input_APM!F25))</f>
        <v>Cash HKD</v>
      </c>
      <c r="M25" s="171" t="str">
        <f t="shared" si="1"/>
        <v>EQTY.InternacionalUS2.off</v>
      </c>
      <c r="N25" s="172">
        <f t="shared" si="2"/>
        <v>0.2</v>
      </c>
      <c r="O25" s="172">
        <f t="shared" si="3"/>
        <v>0.2</v>
      </c>
    </row>
    <row r="26" spans="5:15">
      <c r="E26" s="170" t="s">
        <v>248</v>
      </c>
      <c r="F26" s="170" t="s">
        <v>228</v>
      </c>
      <c r="G26" s="170" t="s">
        <v>210</v>
      </c>
      <c r="H26" s="170">
        <v>-341409.97</v>
      </c>
      <c r="I26" s="170">
        <v>-341409.97</v>
      </c>
      <c r="K26" s="171" t="str">
        <f t="shared" si="0"/>
        <v>Cash</v>
      </c>
      <c r="L26" s="171" t="str">
        <f>IF(E26="","",IF(COUNTIFS(Table2[[#All],[De (Lote)]],Input_APM!F26)&gt;0,INDEX(Table2[[#All],[Para (Ticker Daniel)]],MATCH(Input_APM!F26,Table2[[#All],[De (Lote)]],0)),Input_APM!F26))</f>
        <v>Cash HKD</v>
      </c>
      <c r="M26" s="171" t="str">
        <f t="shared" si="1"/>
        <v>EQTY.IntlUS.off</v>
      </c>
      <c r="N26" s="172">
        <f t="shared" si="2"/>
        <v>-341409.97</v>
      </c>
      <c r="O26" s="172">
        <f t="shared" si="3"/>
        <v>-341409.97</v>
      </c>
    </row>
    <row r="27" spans="5:15">
      <c r="E27" s="170" t="s">
        <v>248</v>
      </c>
      <c r="F27" s="170" t="s">
        <v>229</v>
      </c>
      <c r="G27" s="170" t="s">
        <v>210</v>
      </c>
      <c r="H27" s="170">
        <v>1.000005E-2</v>
      </c>
      <c r="I27" s="170">
        <v>1.000005E-2</v>
      </c>
      <c r="K27" s="171" t="str">
        <f t="shared" si="0"/>
        <v>Cash</v>
      </c>
      <c r="L27" s="171" t="str">
        <f>IF(E27="","",IF(COUNTIFS(Table2[[#All],[De (Lote)]],Input_APM!F27)&gt;0,INDEX(Table2[[#All],[Para (Ticker Daniel)]],MATCH(Input_APM!F27,Table2[[#All],[De (Lote)]],0)),Input_APM!F27))</f>
        <v>Cash KRW</v>
      </c>
      <c r="M27" s="171" t="str">
        <f t="shared" si="1"/>
        <v>EQTY.IntlUS.off</v>
      </c>
      <c r="N27" s="172">
        <f t="shared" si="2"/>
        <v>1.000005E-2</v>
      </c>
      <c r="O27" s="172">
        <f t="shared" si="3"/>
        <v>1.000005E-2</v>
      </c>
    </row>
    <row r="28" spans="5:15">
      <c r="E28" s="170" t="s">
        <v>248</v>
      </c>
      <c r="F28" s="170" t="s">
        <v>230</v>
      </c>
      <c r="G28" s="170" t="s">
        <v>210</v>
      </c>
      <c r="H28" s="170">
        <v>-8693362.8556468505</v>
      </c>
      <c r="I28" s="170">
        <v>180340.00435315</v>
      </c>
      <c r="K28" s="171" t="str">
        <f t="shared" si="0"/>
        <v>Cash</v>
      </c>
      <c r="L28" s="171" t="str">
        <f>IF(E28="","",IF(COUNTIFS(Table2[[#All],[De (Lote)]],Input_APM!F28)&gt;0,INDEX(Table2[[#All],[Para (Ticker Daniel)]],MATCH(Input_APM!F28,Table2[[#All],[De (Lote)]],0)),Input_APM!F28))</f>
        <v>Cash USD</v>
      </c>
      <c r="M28" s="171" t="str">
        <f t="shared" si="1"/>
        <v>EQTY.IntlUS.off</v>
      </c>
      <c r="N28" s="172">
        <f t="shared" si="2"/>
        <v>-8693362.8556468505</v>
      </c>
      <c r="O28" s="172">
        <f t="shared" si="3"/>
        <v>180340.00435315</v>
      </c>
    </row>
    <row r="29" spans="5:15">
      <c r="E29" s="170" t="s">
        <v>338</v>
      </c>
      <c r="F29" s="170" t="s">
        <v>578</v>
      </c>
      <c r="G29" s="170" t="s">
        <v>210</v>
      </c>
      <c r="H29" s="170">
        <v>4625000</v>
      </c>
      <c r="I29" s="170">
        <v>4625000</v>
      </c>
      <c r="K29" s="171" t="str">
        <f t="shared" si="0"/>
        <v>CDS</v>
      </c>
      <c r="L29" s="171" t="str">
        <f>IF(E29="","",IF(COUNTIFS(Table2[[#All],[De (Lote)]],Input_APM!F29)&gt;0,INDEX(Table2[[#All],[Para (Ticker Daniel)]],MATCH(Input_APM!F29,Table2[[#All],[De (Lote)]],0)),Input_APM!F29))</f>
        <v>CHINAGOV 12/20/30</v>
      </c>
      <c r="M29" s="171" t="str">
        <f t="shared" si="1"/>
        <v>EQTY.IntlUS.off</v>
      </c>
      <c r="N29" s="172">
        <f t="shared" si="2"/>
        <v>4625000</v>
      </c>
      <c r="O29" s="172">
        <f t="shared" si="3"/>
        <v>4625000</v>
      </c>
    </row>
    <row r="30" spans="5:15">
      <c r="E30" s="170" t="s">
        <v>244</v>
      </c>
      <c r="F30" s="170" t="s">
        <v>1004</v>
      </c>
      <c r="G30" s="170" t="s">
        <v>210</v>
      </c>
      <c r="H30" s="170">
        <v>41972</v>
      </c>
      <c r="I30" s="170">
        <v>29767</v>
      </c>
      <c r="K30" s="171" t="str">
        <f t="shared" si="0"/>
        <v>US Equity</v>
      </c>
      <c r="L30" s="171" t="str">
        <f>IF(E30="","",IF(COUNTIFS(Table2[[#All],[De (Lote)]],Input_APM!F30)&gt;0,INDEX(Table2[[#All],[Para (Ticker Daniel)]],MATCH(Input_APM!F30,Table2[[#All],[De (Lote)]],0)),Input_APM!F30))</f>
        <v>CSCO</v>
      </c>
      <c r="M30" s="171" t="str">
        <f t="shared" si="1"/>
        <v>EQTY.IntlUS.off</v>
      </c>
      <c r="N30" s="172">
        <f t="shared" si="2"/>
        <v>41972</v>
      </c>
      <c r="O30" s="172">
        <f t="shared" si="3"/>
        <v>29767</v>
      </c>
    </row>
    <row r="31" spans="5:15">
      <c r="E31" s="170" t="s">
        <v>245</v>
      </c>
      <c r="F31" s="170" t="s">
        <v>1151</v>
      </c>
      <c r="G31" s="170" t="s">
        <v>210</v>
      </c>
      <c r="H31" s="170">
        <v>66455.17</v>
      </c>
      <c r="I31" s="170">
        <v>0</v>
      </c>
      <c r="K31" s="171" t="str">
        <f t="shared" si="0"/>
        <v>Provisions and Costs</v>
      </c>
      <c r="L31" s="171" t="str">
        <f>IF(E31="","",IF(COUNTIFS(Table2[[#All],[De (Lote)]],Input_APM!F31)&gt;0,INDEX(Table2[[#All],[Para (Ticker Daniel)]],MATCH(Input_APM!F31,Table2[[#All],[De (Lote)]],0)),Input_APM!F31))</f>
        <v>Equity Total Return Swap Payment USD_</v>
      </c>
      <c r="M31" s="171" t="str">
        <f t="shared" si="1"/>
        <v>EQTY.IntlUS.off</v>
      </c>
      <c r="N31" s="172">
        <f t="shared" si="2"/>
        <v>66455.17</v>
      </c>
      <c r="O31" s="172">
        <f t="shared" si="3"/>
        <v>0</v>
      </c>
    </row>
    <row r="32" spans="5:15">
      <c r="E32" s="170" t="s">
        <v>247</v>
      </c>
      <c r="F32" s="170" t="s">
        <v>432</v>
      </c>
      <c r="G32" s="170" t="s">
        <v>210</v>
      </c>
      <c r="H32" s="170">
        <v>43349</v>
      </c>
      <c r="I32" s="170">
        <v>60248</v>
      </c>
      <c r="K32" s="171" t="str">
        <f t="shared" si="0"/>
        <v>ETF</v>
      </c>
      <c r="L32" s="171" t="str">
        <f>IF(E32="","",IF(COUNTIFS(Table2[[#All],[De (Lote)]],Input_APM!F32)&gt;0,INDEX(Table2[[#All],[Para (Ticker Daniel)]],MATCH(Input_APM!F32,Table2[[#All],[De (Lote)]],0)),Input_APM!F32))</f>
        <v>EWY</v>
      </c>
      <c r="M32" s="171" t="str">
        <f t="shared" si="1"/>
        <v>EQTY.IntlUS.off</v>
      </c>
      <c r="N32" s="172">
        <f t="shared" si="2"/>
        <v>43349</v>
      </c>
      <c r="O32" s="172">
        <f t="shared" si="3"/>
        <v>60248</v>
      </c>
    </row>
    <row r="33" spans="5:15">
      <c r="E33" s="170" t="s">
        <v>250</v>
      </c>
      <c r="F33" s="170" t="s">
        <v>924</v>
      </c>
      <c r="G33" s="170" t="s">
        <v>210</v>
      </c>
      <c r="H33" s="170">
        <v>797</v>
      </c>
      <c r="I33" s="170">
        <v>797</v>
      </c>
      <c r="K33" s="171" t="str">
        <f t="shared" si="0"/>
        <v>ETF Options</v>
      </c>
      <c r="L33" s="171" t="str">
        <f>IF(E33="","",IF(COUNTIFS(Table2[[#All],[De (Lote)]],Input_APM!F33)&gt;0,INDEX(Table2[[#All],[Para (Ticker Daniel)]],MATCH(Input_APM!F33,Table2[[#All],[De (Lote)]],0)),Input_APM!F33))</f>
        <v>GDX US 09/18/26 C105</v>
      </c>
      <c r="M33" s="171" t="str">
        <f t="shared" si="1"/>
        <v>EQTY.IntlUS.off</v>
      </c>
      <c r="N33" s="172">
        <f t="shared" si="2"/>
        <v>797</v>
      </c>
      <c r="O33" s="172">
        <f t="shared" si="3"/>
        <v>797</v>
      </c>
    </row>
    <row r="34" spans="5:15">
      <c r="E34" s="170" t="s">
        <v>250</v>
      </c>
      <c r="F34" s="170" t="s">
        <v>925</v>
      </c>
      <c r="G34" s="170" t="s">
        <v>210</v>
      </c>
      <c r="H34" s="170">
        <v>-797</v>
      </c>
      <c r="I34" s="170">
        <v>-797</v>
      </c>
      <c r="K34" s="171" t="str">
        <f t="shared" si="0"/>
        <v>ETF Options</v>
      </c>
      <c r="L34" s="171" t="str">
        <f>IF(E34="","",IF(COUNTIFS(Table2[[#All],[De (Lote)]],Input_APM!F34)&gt;0,INDEX(Table2[[#All],[Para (Ticker Daniel)]],MATCH(Input_APM!F34,Table2[[#All],[De (Lote)]],0)),Input_APM!F34))</f>
        <v>GDX US 09/18/26 C115</v>
      </c>
      <c r="M34" s="171" t="str">
        <f t="shared" si="1"/>
        <v>EQTY.IntlUS.off</v>
      </c>
      <c r="N34" s="172">
        <f t="shared" si="2"/>
        <v>-797</v>
      </c>
      <c r="O34" s="172">
        <f t="shared" si="3"/>
        <v>-797</v>
      </c>
    </row>
    <row r="35" spans="5:15">
      <c r="E35" s="170" t="s">
        <v>244</v>
      </c>
      <c r="F35" s="170" t="s">
        <v>816</v>
      </c>
      <c r="G35" s="170" t="s">
        <v>210</v>
      </c>
      <c r="H35" s="170">
        <v>13594</v>
      </c>
      <c r="I35" s="170">
        <v>13594</v>
      </c>
      <c r="K35" s="171" t="str">
        <f t="shared" si="0"/>
        <v>US Equity</v>
      </c>
      <c r="L35" s="171" t="str">
        <f>IF(E35="","",IF(COUNTIFS(Table2[[#All],[De (Lote)]],Input_APM!F35)&gt;0,INDEX(Table2[[#All],[Para (Ticker Daniel)]],MATCH(Input_APM!F35,Table2[[#All],[De (Lote)]],0)),Input_APM!F35))</f>
        <v>GOOG</v>
      </c>
      <c r="M35" s="171" t="str">
        <f t="shared" si="1"/>
        <v>EQTY.IntlUS.off</v>
      </c>
      <c r="N35" s="172">
        <f t="shared" si="2"/>
        <v>13594</v>
      </c>
      <c r="O35" s="172">
        <f t="shared" si="3"/>
        <v>13594</v>
      </c>
    </row>
    <row r="36" spans="5:15">
      <c r="E36" s="170" t="s">
        <v>251</v>
      </c>
      <c r="F36" s="170" t="s">
        <v>568</v>
      </c>
      <c r="G36" s="170" t="s">
        <v>210</v>
      </c>
      <c r="H36" s="170">
        <v>276451</v>
      </c>
      <c r="I36" s="170">
        <v>276451</v>
      </c>
      <c r="K36" s="171" t="str">
        <f t="shared" si="0"/>
        <v>Basket Index Options</v>
      </c>
      <c r="L36" s="171" t="str">
        <f>IF(E36="","",IF(COUNTIFS(Table2[[#All],[De (Lote)]],Input_APM!F36)&gt;0,INDEX(Table2[[#All],[Para (Ticker Daniel)]],MATCH(Input_APM!F36,Table2[[#All],[De (Lote)]],0)),Input_APM!F36))</f>
        <v>GSC1000P 03/20/26 C104</v>
      </c>
      <c r="M36" s="171" t="str">
        <f t="shared" si="1"/>
        <v>EQTY.IntlUS.off</v>
      </c>
      <c r="N36" s="172">
        <f t="shared" si="2"/>
        <v>276451</v>
      </c>
      <c r="O36" s="172">
        <f t="shared" si="3"/>
        <v>276451</v>
      </c>
    </row>
    <row r="37" spans="5:15">
      <c r="E37" s="170" t="s">
        <v>251</v>
      </c>
      <c r="F37" s="170" t="s">
        <v>569</v>
      </c>
      <c r="G37" s="170" t="s">
        <v>210</v>
      </c>
      <c r="H37" s="170">
        <v>-276451</v>
      </c>
      <c r="I37" s="170">
        <v>-276451</v>
      </c>
      <c r="K37" s="171" t="str">
        <f t="shared" si="0"/>
        <v>Basket Index Options</v>
      </c>
      <c r="L37" s="171" t="str">
        <f>IF(E37="","",IF(COUNTIFS(Table2[[#All],[De (Lote)]],Input_APM!F37)&gt;0,INDEX(Table2[[#All],[Para (Ticker Daniel)]],MATCH(Input_APM!F37,Table2[[#All],[De (Lote)]],0)),Input_APM!F37))</f>
        <v>GSC1000P 03/20/26 C119</v>
      </c>
      <c r="M37" s="171" t="str">
        <f t="shared" si="1"/>
        <v>EQTY.IntlUS.off</v>
      </c>
      <c r="N37" s="172">
        <f t="shared" si="2"/>
        <v>-276451</v>
      </c>
      <c r="O37" s="172">
        <f t="shared" si="3"/>
        <v>-276451</v>
      </c>
    </row>
    <row r="38" spans="5:15">
      <c r="E38" s="170" t="s">
        <v>247</v>
      </c>
      <c r="F38" s="170" t="s">
        <v>37</v>
      </c>
      <c r="G38" s="170" t="s">
        <v>210</v>
      </c>
      <c r="H38" s="170">
        <v>-18789</v>
      </c>
      <c r="I38" s="170">
        <v>-7054</v>
      </c>
      <c r="K38" s="171" t="str">
        <f t="shared" si="0"/>
        <v>ETF</v>
      </c>
      <c r="L38" s="171" t="str">
        <f>IF(E38="","",IF(COUNTIFS(Table2[[#All],[De (Lote)]],Input_APM!F38)&gt;0,INDEX(Table2[[#All],[Para (Ticker Daniel)]],MATCH(Input_APM!F38,Table2[[#All],[De (Lote)]],0)),Input_APM!F38))</f>
        <v>IGV</v>
      </c>
      <c r="M38" s="171" t="str">
        <f t="shared" si="1"/>
        <v>EQTY.IntlUS.off</v>
      </c>
      <c r="N38" s="172">
        <f t="shared" si="2"/>
        <v>-18789</v>
      </c>
      <c r="O38" s="172">
        <f t="shared" si="3"/>
        <v>-7054</v>
      </c>
    </row>
    <row r="39" spans="5:15">
      <c r="E39" s="170" t="s">
        <v>246</v>
      </c>
      <c r="F39" s="170" t="s">
        <v>984</v>
      </c>
      <c r="G39" s="170" t="s">
        <v>210</v>
      </c>
      <c r="H39" s="170">
        <v>260</v>
      </c>
      <c r="I39" s="170">
        <v>260</v>
      </c>
      <c r="K39" s="171" t="str">
        <f t="shared" si="0"/>
        <v>US Equity Options</v>
      </c>
      <c r="L39" s="171" t="str">
        <f>IF(E39="","",IF(COUNTIFS(Table2[[#All],[De (Lote)]],Input_APM!F39)&gt;0,INDEX(Table2[[#All],[Para (Ticker Daniel)]],MATCH(Input_APM!F39,Table2[[#All],[De (Lote)]],0)),Input_APM!F39))</f>
        <v>INTC US 07/17/26 C50</v>
      </c>
      <c r="M39" s="171" t="str">
        <f t="shared" si="1"/>
        <v>EQTY.IntlUS.off</v>
      </c>
      <c r="N39" s="172">
        <f t="shared" si="2"/>
        <v>260</v>
      </c>
      <c r="O39" s="172">
        <f t="shared" si="3"/>
        <v>260</v>
      </c>
    </row>
    <row r="40" spans="5:15">
      <c r="E40" s="170" t="s">
        <v>246</v>
      </c>
      <c r="F40" s="170" t="s">
        <v>985</v>
      </c>
      <c r="G40" s="170" t="s">
        <v>210</v>
      </c>
      <c r="H40" s="170">
        <v>-141</v>
      </c>
      <c r="I40" s="170">
        <v>-141</v>
      </c>
      <c r="K40" s="171" t="str">
        <f t="shared" si="0"/>
        <v>US Equity Options</v>
      </c>
      <c r="L40" s="171" t="str">
        <f>IF(E40="","",IF(COUNTIFS(Table2[[#All],[De (Lote)]],Input_APM!F40)&gt;0,INDEX(Table2[[#All],[Para (Ticker Daniel)]],MATCH(Input_APM!F40,Table2[[#All],[De (Lote)]],0)),Input_APM!F40))</f>
        <v>INTC US 07/17/26 C60</v>
      </c>
      <c r="M40" s="171" t="str">
        <f t="shared" si="1"/>
        <v>EQTY.IntlUS.off</v>
      </c>
      <c r="N40" s="172">
        <f t="shared" si="2"/>
        <v>-141</v>
      </c>
      <c r="O40" s="172">
        <f t="shared" si="3"/>
        <v>-141</v>
      </c>
    </row>
    <row r="41" spans="5:15">
      <c r="E41" s="170" t="s">
        <v>246</v>
      </c>
      <c r="F41" s="170" t="s">
        <v>983</v>
      </c>
      <c r="G41" s="170" t="s">
        <v>210</v>
      </c>
      <c r="H41" s="170">
        <v>-47</v>
      </c>
      <c r="I41" s="170">
        <v>-141</v>
      </c>
      <c r="K41" s="171" t="str">
        <f t="shared" si="0"/>
        <v>US Equity Options</v>
      </c>
      <c r="L41" s="171" t="str">
        <f>IF(E41="","",IF(COUNTIFS(Table2[[#All],[De (Lote)]],Input_APM!F41)&gt;0,INDEX(Table2[[#All],[Para (Ticker Daniel)]],MATCH(Input_APM!F41,Table2[[#All],[De (Lote)]],0)),Input_APM!F41))</f>
        <v>INTC US 07/17/26 P40</v>
      </c>
      <c r="M41" s="171" t="str">
        <f t="shared" si="1"/>
        <v>EQTY.IntlUS.off</v>
      </c>
      <c r="N41" s="172">
        <f t="shared" si="2"/>
        <v>-47</v>
      </c>
      <c r="O41" s="172">
        <f t="shared" si="3"/>
        <v>-141</v>
      </c>
    </row>
    <row r="42" spans="5:15">
      <c r="E42" s="170" t="s">
        <v>247</v>
      </c>
      <c r="F42" s="170" t="s">
        <v>6</v>
      </c>
      <c r="G42" s="170" t="s">
        <v>210</v>
      </c>
      <c r="H42" s="170">
        <v>14082</v>
      </c>
      <c r="I42" s="170">
        <v>0</v>
      </c>
      <c r="K42" s="171" t="str">
        <f t="shared" si="0"/>
        <v>ETF</v>
      </c>
      <c r="L42" s="171" t="str">
        <f>IF(E42="","",IF(COUNTIFS(Table2[[#All],[De (Lote)]],Input_APM!F42)&gt;0,INDEX(Table2[[#All],[Para (Ticker Daniel)]],MATCH(Input_APM!F42,Table2[[#All],[De (Lote)]],0)),Input_APM!F42))</f>
        <v>KBWB</v>
      </c>
      <c r="M42" s="171" t="str">
        <f t="shared" si="1"/>
        <v>EQTY.IntlUS.off</v>
      </c>
      <c r="N42" s="172">
        <f t="shared" si="2"/>
        <v>14082</v>
      </c>
      <c r="O42" s="172">
        <f t="shared" si="3"/>
        <v>0</v>
      </c>
    </row>
    <row r="43" spans="5:15">
      <c r="E43" s="170" t="s">
        <v>244</v>
      </c>
      <c r="F43" s="170" t="s">
        <v>926</v>
      </c>
      <c r="G43" s="170" t="s">
        <v>210</v>
      </c>
      <c r="H43" s="170">
        <v>-10782</v>
      </c>
      <c r="I43" s="170">
        <v>-10782</v>
      </c>
      <c r="K43" s="171" t="str">
        <f t="shared" si="0"/>
        <v>US Equity</v>
      </c>
      <c r="L43" s="171" t="str">
        <f>IF(E43="","",IF(COUNTIFS(Table2[[#All],[De (Lote)]],Input_APM!F43)&gt;0,INDEX(Table2[[#All],[Para (Ticker Daniel)]],MATCH(Input_APM!F43,Table2[[#All],[De (Lote)]],0)),Input_APM!F43))</f>
        <v>KHC</v>
      </c>
      <c r="M43" s="171" t="str">
        <f t="shared" si="1"/>
        <v>EQTY.IntlUS.off</v>
      </c>
      <c r="N43" s="172">
        <f t="shared" si="2"/>
        <v>-10782</v>
      </c>
      <c r="O43" s="172">
        <f t="shared" si="3"/>
        <v>-10782</v>
      </c>
    </row>
    <row r="44" spans="5:15">
      <c r="E44" s="170" t="s">
        <v>981</v>
      </c>
      <c r="F44" s="170" t="s">
        <v>958</v>
      </c>
      <c r="G44" s="170" t="s">
        <v>210</v>
      </c>
      <c r="H44" s="170">
        <v>10349446</v>
      </c>
      <c r="I44" s="170">
        <v>10349446</v>
      </c>
      <c r="K44" s="171" t="str">
        <f t="shared" si="0"/>
        <v>KOSPI 200 Index Options - KRX</v>
      </c>
      <c r="L44" s="171" t="str">
        <f>IF(E44="","",IF(COUNTIFS(Table2[[#All],[De (Lote)]],Input_APM!F44)&gt;0,INDEX(Table2[[#All],[Para (Ticker Daniel)]],MATCH(Input_APM!F44,Table2[[#All],[De (Lote)]],0)),Input_APM!F44))</f>
        <v>KOSPI2 12/10/26 C1000</v>
      </c>
      <c r="M44" s="171" t="str">
        <f t="shared" si="1"/>
        <v>EQTY.IntlUS.off</v>
      </c>
      <c r="N44" s="172">
        <f t="shared" si="2"/>
        <v>10349446</v>
      </c>
      <c r="O44" s="172">
        <f t="shared" si="3"/>
        <v>10349446</v>
      </c>
    </row>
    <row r="45" spans="5:15">
      <c r="E45" s="170" t="s">
        <v>244</v>
      </c>
      <c r="F45" s="170" t="s">
        <v>735</v>
      </c>
      <c r="G45" s="170" t="s">
        <v>210</v>
      </c>
      <c r="H45" s="170">
        <v>3380</v>
      </c>
      <c r="I45" s="170">
        <v>0</v>
      </c>
      <c r="K45" s="171" t="str">
        <f t="shared" si="0"/>
        <v>US Equity</v>
      </c>
      <c r="L45" s="171" t="str">
        <f>IF(E45="","",IF(COUNTIFS(Table2[[#All],[De (Lote)]],Input_APM!F45)&gt;0,INDEX(Table2[[#All],[Para (Ticker Daniel)]],MATCH(Input_APM!F45,Table2[[#All],[De (Lote)]],0)),Input_APM!F45))</f>
        <v>LITE</v>
      </c>
      <c r="M45" s="171" t="str">
        <f t="shared" si="1"/>
        <v>EQTY.IntlUS.off</v>
      </c>
      <c r="N45" s="172">
        <f t="shared" si="2"/>
        <v>3380</v>
      </c>
      <c r="O45" s="172">
        <f t="shared" si="3"/>
        <v>0</v>
      </c>
    </row>
    <row r="46" spans="5:15">
      <c r="E46" s="170" t="s">
        <v>246</v>
      </c>
      <c r="F46" s="170" t="s">
        <v>947</v>
      </c>
      <c r="G46" s="170" t="s">
        <v>210</v>
      </c>
      <c r="H46" s="170">
        <v>0</v>
      </c>
      <c r="I46" s="170">
        <v>56</v>
      </c>
      <c r="K46" s="171" t="str">
        <f t="shared" si="0"/>
        <v>US Equity Options</v>
      </c>
      <c r="L46" s="171" t="str">
        <f>IF(E46="","",IF(COUNTIFS(Table2[[#All],[De (Lote)]],Input_APM!F46)&gt;0,INDEX(Table2[[#All],[Para (Ticker Daniel)]],MATCH(Input_APM!F46,Table2[[#All],[De (Lote)]],0)),Input_APM!F46))</f>
        <v>LITE US 03/20/26 C420</v>
      </c>
      <c r="M46" s="171" t="str">
        <f t="shared" si="1"/>
        <v>EQTY.IntlUS.off</v>
      </c>
      <c r="N46" s="172">
        <f t="shared" si="2"/>
        <v>0</v>
      </c>
      <c r="O46" s="172">
        <f t="shared" si="3"/>
        <v>56</v>
      </c>
    </row>
    <row r="47" spans="5:15">
      <c r="E47" s="170" t="s">
        <v>337</v>
      </c>
      <c r="F47" s="170" t="s">
        <v>1058</v>
      </c>
      <c r="G47" s="170" t="s">
        <v>210</v>
      </c>
      <c r="H47" s="170">
        <v>-9372000</v>
      </c>
      <c r="I47" s="170">
        <v>-9372000</v>
      </c>
      <c r="K47" s="171" t="str">
        <f t="shared" si="0"/>
        <v>Global Bonds</v>
      </c>
      <c r="L47" s="171" t="str">
        <f>IF(E47="","",IF(COUNTIFS(Table2[[#All],[De (Lote)]],Input_APM!F47)&gt;0,INDEX(Table2[[#All],[Para (Ticker Daniel)]],MATCH(Input_APM!F47,Table2[[#All],[De (Lote)]],0)),Input_APM!F47))</f>
        <v>META 4.875% 11/15/35</v>
      </c>
      <c r="M47" s="171" t="str">
        <f t="shared" si="1"/>
        <v>EQTY.IntlUS.off</v>
      </c>
      <c r="N47" s="172">
        <f t="shared" si="2"/>
        <v>-9372000</v>
      </c>
      <c r="O47" s="172">
        <f t="shared" si="3"/>
        <v>-9372000</v>
      </c>
    </row>
    <row r="48" spans="5:15">
      <c r="E48" s="170" t="s">
        <v>244</v>
      </c>
      <c r="F48" s="170" t="s">
        <v>252</v>
      </c>
      <c r="G48" s="170" t="s">
        <v>210</v>
      </c>
      <c r="H48" s="170">
        <v>4183</v>
      </c>
      <c r="I48" s="170">
        <v>5403</v>
      </c>
      <c r="K48" s="171" t="str">
        <f t="shared" si="0"/>
        <v>US Equity</v>
      </c>
      <c r="L48" s="171" t="str">
        <f>IF(E48="","",IF(COUNTIFS(Table2[[#All],[De (Lote)]],Input_APM!F48)&gt;0,INDEX(Table2[[#All],[Para (Ticker Daniel)]],MATCH(Input_APM!F48,Table2[[#All],[De (Lote)]],0)),Input_APM!F48))</f>
        <v>META</v>
      </c>
      <c r="M48" s="171" t="str">
        <f t="shared" si="1"/>
        <v>EQTY.IntlUS.off</v>
      </c>
      <c r="N48" s="172">
        <f t="shared" si="2"/>
        <v>4183</v>
      </c>
      <c r="O48" s="172">
        <f t="shared" si="3"/>
        <v>5403</v>
      </c>
    </row>
    <row r="49" spans="5:15">
      <c r="E49" s="170" t="s">
        <v>246</v>
      </c>
      <c r="F49" s="170" t="s">
        <v>1094</v>
      </c>
      <c r="G49" s="170" t="s">
        <v>210</v>
      </c>
      <c r="H49" s="170">
        <v>128</v>
      </c>
      <c r="I49" s="170">
        <v>128</v>
      </c>
      <c r="K49" s="171" t="str">
        <f t="shared" si="0"/>
        <v>US Equity Options</v>
      </c>
      <c r="L49" s="171" t="str">
        <f>IF(E49="","",IF(COUNTIFS(Table2[[#All],[De (Lote)]],Input_APM!F49)&gt;0,INDEX(Table2[[#All],[Para (Ticker Daniel)]],MATCH(Input_APM!F49,Table2[[#All],[De (Lote)]],0)),Input_APM!F49))</f>
        <v>META US 07/17/26 C750</v>
      </c>
      <c r="M49" s="171" t="str">
        <f t="shared" si="1"/>
        <v>EQTY.IntlUS.off</v>
      </c>
      <c r="N49" s="172">
        <f t="shared" si="2"/>
        <v>128</v>
      </c>
      <c r="O49" s="172">
        <f t="shared" si="3"/>
        <v>128</v>
      </c>
    </row>
    <row r="50" spans="5:15">
      <c r="E50" s="170" t="s">
        <v>244</v>
      </c>
      <c r="F50" s="170" t="s">
        <v>85</v>
      </c>
      <c r="G50" s="170" t="s">
        <v>210</v>
      </c>
      <c r="H50" s="170">
        <v>0</v>
      </c>
      <c r="I50" s="170">
        <v>2771</v>
      </c>
      <c r="K50" s="171" t="str">
        <f t="shared" si="0"/>
        <v>US Equity</v>
      </c>
      <c r="L50" s="171" t="str">
        <f>IF(E50="","",IF(COUNTIFS(Table2[[#All],[De (Lote)]],Input_APM!F50)&gt;0,INDEX(Table2[[#All],[Para (Ticker Daniel)]],MATCH(Input_APM!F50,Table2[[#All],[De (Lote)]],0)),Input_APM!F50))</f>
        <v>MRVL</v>
      </c>
      <c r="M50" s="171" t="str">
        <f t="shared" si="1"/>
        <v>EQTY.IntlUS.off</v>
      </c>
      <c r="N50" s="172">
        <f t="shared" si="2"/>
        <v>0</v>
      </c>
      <c r="O50" s="172">
        <f t="shared" si="3"/>
        <v>2771</v>
      </c>
    </row>
    <row r="51" spans="5:15">
      <c r="E51" s="170" t="s">
        <v>246</v>
      </c>
      <c r="F51" s="170" t="s">
        <v>1138</v>
      </c>
      <c r="G51" s="170" t="s">
        <v>210</v>
      </c>
      <c r="H51" s="170">
        <v>-422</v>
      </c>
      <c r="I51" s="170">
        <v>0</v>
      </c>
      <c r="K51" s="171" t="str">
        <f t="shared" si="0"/>
        <v>US Equity Options</v>
      </c>
      <c r="L51" s="171" t="str">
        <f>IF(E51="","",IF(COUNTIFS(Table2[[#All],[De (Lote)]],Input_APM!F51)&gt;0,INDEX(Table2[[#All],[Para (Ticker Daniel)]],MATCH(Input_APM!F51,Table2[[#All],[De (Lote)]],0)),Input_APM!F51))</f>
        <v>MRVL US 03/20/26 P60</v>
      </c>
      <c r="M51" s="171" t="str">
        <f t="shared" si="1"/>
        <v>EQTY.IntlUS.off</v>
      </c>
      <c r="N51" s="172">
        <f t="shared" si="2"/>
        <v>-422</v>
      </c>
      <c r="O51" s="172">
        <f t="shared" si="3"/>
        <v>0</v>
      </c>
    </row>
    <row r="52" spans="5:15">
      <c r="E52" s="170" t="s">
        <v>246</v>
      </c>
      <c r="F52" s="170" t="s">
        <v>935</v>
      </c>
      <c r="G52" s="170" t="s">
        <v>210</v>
      </c>
      <c r="H52" s="170">
        <v>422</v>
      </c>
      <c r="I52" s="170">
        <v>-141</v>
      </c>
      <c r="K52" s="171" t="str">
        <f t="shared" si="0"/>
        <v>US Equity Options</v>
      </c>
      <c r="L52" s="171" t="str">
        <f>IF(E52="","",IF(COUNTIFS(Table2[[#All],[De (Lote)]],Input_APM!F52)&gt;0,INDEX(Table2[[#All],[Para (Ticker Daniel)]],MATCH(Input_APM!F52,Table2[[#All],[De (Lote)]],0)),Input_APM!F52))</f>
        <v>MRVL US 03/20/26 P70</v>
      </c>
      <c r="M52" s="171" t="str">
        <f t="shared" si="1"/>
        <v>EQTY.IntlUS.off</v>
      </c>
      <c r="N52" s="172">
        <f t="shared" si="2"/>
        <v>422</v>
      </c>
      <c r="O52" s="172">
        <f t="shared" si="3"/>
        <v>-141</v>
      </c>
    </row>
    <row r="53" spans="5:15">
      <c r="E53" s="170" t="s">
        <v>246</v>
      </c>
      <c r="F53" s="170" t="s">
        <v>767</v>
      </c>
      <c r="G53" s="170" t="s">
        <v>210</v>
      </c>
      <c r="H53" s="170">
        <v>0</v>
      </c>
      <c r="I53" s="170">
        <v>-188</v>
      </c>
      <c r="K53" s="171" t="str">
        <f t="shared" si="0"/>
        <v>US Equity Options</v>
      </c>
      <c r="L53" s="171" t="str">
        <f>IF(E53="","",IF(COUNTIFS(Table2[[#All],[De (Lote)]],Input_APM!F53)&gt;0,INDEX(Table2[[#All],[Para (Ticker Daniel)]],MATCH(Input_APM!F53,Table2[[#All],[De (Lote)]],0)),Input_APM!F53))</f>
        <v>MRVL US 03/20/26 P75</v>
      </c>
      <c r="M53" s="171" t="str">
        <f t="shared" si="1"/>
        <v>EQTY.IntlUS.off</v>
      </c>
      <c r="N53" s="172">
        <f t="shared" si="2"/>
        <v>0</v>
      </c>
      <c r="O53" s="172">
        <f t="shared" si="3"/>
        <v>-188</v>
      </c>
    </row>
    <row r="54" spans="5:15">
      <c r="E54" s="170" t="s">
        <v>246</v>
      </c>
      <c r="F54" s="170" t="s">
        <v>730</v>
      </c>
      <c r="G54" s="170" t="s">
        <v>210</v>
      </c>
      <c r="H54" s="170">
        <v>0</v>
      </c>
      <c r="I54" s="170">
        <v>141</v>
      </c>
      <c r="K54" s="171" t="str">
        <f t="shared" si="0"/>
        <v>US Equity Options</v>
      </c>
      <c r="L54" s="171" t="str">
        <f>IF(E54="","",IF(COUNTIFS(Table2[[#All],[De (Lote)]],Input_APM!F54)&gt;0,INDEX(Table2[[#All],[Para (Ticker Daniel)]],MATCH(Input_APM!F54,Table2[[#All],[De (Lote)]],0)),Input_APM!F54))</f>
        <v>MRVL US 03/20/26 P80</v>
      </c>
      <c r="M54" s="171" t="str">
        <f t="shared" si="1"/>
        <v>EQTY.IntlUS.off</v>
      </c>
      <c r="N54" s="172">
        <f t="shared" si="2"/>
        <v>0</v>
      </c>
      <c r="O54" s="172">
        <f t="shared" si="3"/>
        <v>141</v>
      </c>
    </row>
    <row r="55" spans="5:15">
      <c r="E55" s="170" t="s">
        <v>246</v>
      </c>
      <c r="F55" s="170" t="s">
        <v>766</v>
      </c>
      <c r="G55" s="170" t="s">
        <v>210</v>
      </c>
      <c r="H55" s="170">
        <v>0</v>
      </c>
      <c r="I55" s="170">
        <v>186</v>
      </c>
      <c r="K55" s="171" t="str">
        <f t="shared" si="0"/>
        <v>US Equity Options</v>
      </c>
      <c r="L55" s="171" t="str">
        <f>IF(E55="","",IF(COUNTIFS(Table2[[#All],[De (Lote)]],Input_APM!F55)&gt;0,INDEX(Table2[[#All],[Para (Ticker Daniel)]],MATCH(Input_APM!F55,Table2[[#All],[De (Lote)]],0)),Input_APM!F55))</f>
        <v>MRVL US 03/20/26 P85</v>
      </c>
      <c r="M55" s="171" t="str">
        <f t="shared" si="1"/>
        <v>EQTY.IntlUS.off</v>
      </c>
      <c r="N55" s="172">
        <f t="shared" si="2"/>
        <v>0</v>
      </c>
      <c r="O55" s="172">
        <f t="shared" si="3"/>
        <v>186</v>
      </c>
    </row>
    <row r="56" spans="5:15">
      <c r="E56" s="170" t="s">
        <v>244</v>
      </c>
      <c r="F56" s="170" t="s">
        <v>38</v>
      </c>
      <c r="G56" s="170" t="s">
        <v>210</v>
      </c>
      <c r="H56" s="170">
        <v>1751</v>
      </c>
      <c r="I56" s="170">
        <v>3910</v>
      </c>
      <c r="K56" s="171" t="str">
        <f t="shared" si="0"/>
        <v>US Equity</v>
      </c>
      <c r="L56" s="171" t="str">
        <f>IF(E56="","",IF(COUNTIFS(Table2[[#All],[De (Lote)]],Input_APM!F56)&gt;0,INDEX(Table2[[#All],[Para (Ticker Daniel)]],MATCH(Input_APM!F56,Table2[[#All],[De (Lote)]],0)),Input_APM!F56))</f>
        <v>MSFT</v>
      </c>
      <c r="M56" s="171" t="str">
        <f t="shared" si="1"/>
        <v>EQTY.IntlUS.off</v>
      </c>
      <c r="N56" s="172">
        <f t="shared" si="2"/>
        <v>1751</v>
      </c>
      <c r="O56" s="172">
        <f t="shared" si="3"/>
        <v>3910</v>
      </c>
    </row>
    <row r="57" spans="5:15">
      <c r="E57" s="170" t="s">
        <v>246</v>
      </c>
      <c r="F57" s="170" t="s">
        <v>1139</v>
      </c>
      <c r="G57" s="170" t="s">
        <v>210</v>
      </c>
      <c r="H57" s="170">
        <v>-188</v>
      </c>
      <c r="I57" s="170">
        <v>0</v>
      </c>
      <c r="K57" s="171" t="str">
        <f t="shared" si="0"/>
        <v>US Equity Options</v>
      </c>
      <c r="L57" s="171" t="str">
        <f>IF(E57="","",IF(COUNTIFS(Table2[[#All],[De (Lote)]],Input_APM!F57)&gt;0,INDEX(Table2[[#All],[Para (Ticker Daniel)]],MATCH(Input_APM!F57,Table2[[#All],[De (Lote)]],0)),Input_APM!F57))</f>
        <v>NFLX US 05/15/26 C90</v>
      </c>
      <c r="M57" s="171" t="str">
        <f t="shared" si="1"/>
        <v>EQTY.IntlUS.off</v>
      </c>
      <c r="N57" s="172">
        <f t="shared" si="2"/>
        <v>-188</v>
      </c>
      <c r="O57" s="172">
        <f t="shared" si="3"/>
        <v>0</v>
      </c>
    </row>
    <row r="58" spans="5:15">
      <c r="E58" s="170" t="s">
        <v>246</v>
      </c>
      <c r="F58" s="170" t="s">
        <v>1140</v>
      </c>
      <c r="G58" s="170" t="s">
        <v>210</v>
      </c>
      <c r="H58" s="170">
        <v>-188</v>
      </c>
      <c r="I58" s="170">
        <v>0</v>
      </c>
      <c r="K58" s="171" t="str">
        <f t="shared" si="0"/>
        <v>US Equity Options</v>
      </c>
      <c r="L58" s="171" t="str">
        <f>IF(E58="","",IF(COUNTIFS(Table2[[#All],[De (Lote)]],Input_APM!F58)&gt;0,INDEX(Table2[[#All],[Para (Ticker Daniel)]],MATCH(Input_APM!F58,Table2[[#All],[De (Lote)]],0)),Input_APM!F58))</f>
        <v>NFLX US 05/15/26 P70</v>
      </c>
      <c r="M58" s="171" t="str">
        <f t="shared" si="1"/>
        <v>EQTY.IntlUS.off</v>
      </c>
      <c r="N58" s="172">
        <f t="shared" si="2"/>
        <v>-188</v>
      </c>
      <c r="O58" s="172">
        <f t="shared" si="3"/>
        <v>0</v>
      </c>
    </row>
    <row r="59" spans="5:15">
      <c r="E59" s="170" t="s">
        <v>1101</v>
      </c>
      <c r="F59" s="170" t="s">
        <v>1102</v>
      </c>
      <c r="G59" s="170" t="s">
        <v>210</v>
      </c>
      <c r="H59" s="170">
        <v>-20</v>
      </c>
      <c r="I59" s="170">
        <v>0</v>
      </c>
      <c r="K59" s="171" t="str">
        <f t="shared" si="0"/>
        <v>NASDAQ-100 E-mini Futures - CME</v>
      </c>
      <c r="L59" s="171" t="str">
        <f>IF(E59="","",IF(COUNTIFS(Table2[[#All],[De (Lote)]],Input_APM!F59)&gt;0,INDEX(Table2[[#All],[Para (Ticker Daniel)]],MATCH(Input_APM!F59,Table2[[#All],[De (Lote)]],0)),Input_APM!F59))</f>
        <v>NQH6</v>
      </c>
      <c r="M59" s="171" t="str">
        <f t="shared" si="1"/>
        <v>EQTY.IntlUS.off</v>
      </c>
      <c r="N59" s="172">
        <f t="shared" si="2"/>
        <v>-20</v>
      </c>
      <c r="O59" s="172">
        <f t="shared" si="3"/>
        <v>0</v>
      </c>
    </row>
    <row r="60" spans="5:15">
      <c r="E60" s="170" t="s">
        <v>244</v>
      </c>
      <c r="F60" s="170" t="s">
        <v>42</v>
      </c>
      <c r="G60" s="170" t="s">
        <v>210</v>
      </c>
      <c r="H60" s="170">
        <v>21537</v>
      </c>
      <c r="I60" s="170">
        <v>18703</v>
      </c>
      <c r="K60" s="171" t="str">
        <f t="shared" si="0"/>
        <v>US Equity</v>
      </c>
      <c r="L60" s="171" t="str">
        <f>IF(E60="","",IF(COUNTIFS(Table2[[#All],[De (Lote)]],Input_APM!F60)&gt;0,INDEX(Table2[[#All],[Para (Ticker Daniel)]],MATCH(Input_APM!F60,Table2[[#All],[De (Lote)]],0)),Input_APM!F60))</f>
        <v>NVDA</v>
      </c>
      <c r="M60" s="171" t="str">
        <f t="shared" si="1"/>
        <v>EQTY.IntlUS.off</v>
      </c>
      <c r="N60" s="172">
        <f t="shared" si="2"/>
        <v>21537</v>
      </c>
      <c r="O60" s="172">
        <f t="shared" si="3"/>
        <v>18703</v>
      </c>
    </row>
    <row r="61" spans="5:15">
      <c r="E61" s="170" t="s">
        <v>246</v>
      </c>
      <c r="F61" s="170" t="s">
        <v>1043</v>
      </c>
      <c r="G61" s="170" t="s">
        <v>210</v>
      </c>
      <c r="H61" s="170">
        <v>142</v>
      </c>
      <c r="I61" s="170">
        <v>142</v>
      </c>
      <c r="K61" s="171" t="str">
        <f t="shared" si="0"/>
        <v>US Equity Options</v>
      </c>
      <c r="L61" s="171" t="str">
        <f>IF(E61="","",IF(COUNTIFS(Table2[[#All],[De (Lote)]],Input_APM!F61)&gt;0,INDEX(Table2[[#All],[Para (Ticker Daniel)]],MATCH(Input_APM!F61,Table2[[#All],[De (Lote)]],0)),Input_APM!F61))</f>
        <v>NVDA US 05/15/26 C200</v>
      </c>
      <c r="M61" s="171" t="str">
        <f t="shared" si="1"/>
        <v>EQTY.IntlUS.off</v>
      </c>
      <c r="N61" s="172">
        <f t="shared" si="2"/>
        <v>142</v>
      </c>
      <c r="O61" s="172">
        <f t="shared" si="3"/>
        <v>142</v>
      </c>
    </row>
    <row r="62" spans="5:15">
      <c r="E62" s="170" t="s">
        <v>245</v>
      </c>
      <c r="F62" s="170" t="s">
        <v>1121</v>
      </c>
      <c r="G62" s="170" t="s">
        <v>210</v>
      </c>
      <c r="H62" s="170">
        <v>67600</v>
      </c>
      <c r="I62" s="170">
        <v>-81630</v>
      </c>
      <c r="K62" s="171" t="str">
        <f t="shared" si="0"/>
        <v>Provisions and Costs</v>
      </c>
      <c r="L62" s="171" t="str">
        <f>IF(E62="","",IF(COUNTIFS(Table2[[#All],[De (Lote)]],Input_APM!F62)&gt;0,INDEX(Table2[[#All],[Para (Ticker Daniel)]],MATCH(Input_APM!F62,Table2[[#All],[De (Lote)]],0)),Input_APM!F62))</f>
        <v>Provision CME USD_</v>
      </c>
      <c r="M62" s="171" t="str">
        <f t="shared" si="1"/>
        <v>EQTY.IntlUS.off</v>
      </c>
      <c r="N62" s="172">
        <f t="shared" si="2"/>
        <v>67600</v>
      </c>
      <c r="O62" s="172">
        <f t="shared" si="3"/>
        <v>-81630</v>
      </c>
    </row>
    <row r="63" spans="5:15">
      <c r="E63" s="170" t="s">
        <v>245</v>
      </c>
      <c r="F63" s="170" t="s">
        <v>262</v>
      </c>
      <c r="G63" s="170" t="s">
        <v>210</v>
      </c>
      <c r="H63" s="170">
        <v>44328</v>
      </c>
      <c r="I63" s="170">
        <v>-21168</v>
      </c>
      <c r="K63" s="171" t="str">
        <f t="shared" si="0"/>
        <v>Provisions and Costs</v>
      </c>
      <c r="L63" s="171" t="str">
        <f>IF(E63="","",IF(COUNTIFS(Table2[[#All],[De (Lote)]],Input_APM!F63)&gt;0,INDEX(Table2[[#All],[Para (Ticker Daniel)]],MATCH(Input_APM!F63,Table2[[#All],[De (Lote)]],0)),Input_APM!F63))</f>
        <v>Provision ETF Options USD_</v>
      </c>
      <c r="M63" s="171" t="str">
        <f t="shared" si="1"/>
        <v>EQTY.IntlUS.off</v>
      </c>
      <c r="N63" s="172">
        <f t="shared" si="2"/>
        <v>44328</v>
      </c>
      <c r="O63" s="172">
        <f t="shared" si="3"/>
        <v>-21168</v>
      </c>
    </row>
    <row r="64" spans="5:15">
      <c r="E64" s="170" t="s">
        <v>245</v>
      </c>
      <c r="F64" s="170" t="s">
        <v>234</v>
      </c>
      <c r="G64" s="170" t="s">
        <v>210</v>
      </c>
      <c r="H64" s="170">
        <v>3099127.37</v>
      </c>
      <c r="I64" s="170">
        <v>-10692302.23</v>
      </c>
      <c r="K64" s="171" t="str">
        <f t="shared" si="0"/>
        <v>Provisions and Costs</v>
      </c>
      <c r="L64" s="171" t="str">
        <f>IF(E64="","",IF(COUNTIFS(Table2[[#All],[De (Lote)]],Input_APM!F64)&gt;0,INDEX(Table2[[#All],[Para (Ticker Daniel)]],MATCH(Input_APM!F64,Table2[[#All],[De (Lote)]],0)),Input_APM!F64))</f>
        <v>Provision ETF USD_</v>
      </c>
      <c r="M64" s="171" t="str">
        <f t="shared" si="1"/>
        <v>EQTY.IntlUS.off</v>
      </c>
      <c r="N64" s="172">
        <f t="shared" si="2"/>
        <v>3099127.37</v>
      </c>
      <c r="O64" s="172">
        <f t="shared" si="3"/>
        <v>-10692302.23</v>
      </c>
    </row>
    <row r="65" spans="5:15">
      <c r="E65" s="170" t="s">
        <v>245</v>
      </c>
      <c r="F65" s="170" t="s">
        <v>348</v>
      </c>
      <c r="G65" s="170" t="s">
        <v>210</v>
      </c>
      <c r="H65" s="170">
        <v>-922720.77</v>
      </c>
      <c r="I65" s="170">
        <v>1412903.8</v>
      </c>
      <c r="K65" s="171" t="str">
        <f t="shared" si="0"/>
        <v>Provisions and Costs</v>
      </c>
      <c r="L65" s="171" t="str">
        <f>IF(E65="","",IF(COUNTIFS(Table2[[#All],[De (Lote)]],Input_APM!F65)&gt;0,INDEX(Table2[[#All],[Para (Ticker Daniel)]],MATCH(Input_APM!F65,Table2[[#All],[De (Lote)]],0)),Input_APM!F65))</f>
        <v>Provision NYSE USD_</v>
      </c>
      <c r="M65" s="171" t="str">
        <f t="shared" si="1"/>
        <v>EQTY.IntlUS.off</v>
      </c>
      <c r="N65" s="172">
        <f t="shared" si="2"/>
        <v>-922720.77</v>
      </c>
      <c r="O65" s="172">
        <f t="shared" si="3"/>
        <v>1412903.8</v>
      </c>
    </row>
    <row r="66" spans="5:15">
      <c r="E66" s="170" t="s">
        <v>245</v>
      </c>
      <c r="F66" s="170" t="s">
        <v>263</v>
      </c>
      <c r="G66" s="170" t="s">
        <v>210</v>
      </c>
      <c r="H66" s="170">
        <v>563756</v>
      </c>
      <c r="I66" s="170">
        <v>168000</v>
      </c>
      <c r="K66" s="171" t="str">
        <f t="shared" si="0"/>
        <v>Provisions and Costs</v>
      </c>
      <c r="L66" s="171" t="str">
        <f>IF(E66="","",IF(COUNTIFS(Table2[[#All],[De (Lote)]],Input_APM!F66)&gt;0,INDEX(Table2[[#All],[Para (Ticker Daniel)]],MATCH(Input_APM!F66,Table2[[#All],[De (Lote)]],0)),Input_APM!F66))</f>
        <v>Provision US Equity Options USD_</v>
      </c>
      <c r="M66" s="171" t="str">
        <f t="shared" si="1"/>
        <v>EQTY.IntlUS.off</v>
      </c>
      <c r="N66" s="172">
        <f t="shared" si="2"/>
        <v>563756</v>
      </c>
      <c r="O66" s="172">
        <f t="shared" si="3"/>
        <v>168000</v>
      </c>
    </row>
    <row r="67" spans="5:15">
      <c r="E67" s="170" t="s">
        <v>245</v>
      </c>
      <c r="F67" s="170" t="s">
        <v>235</v>
      </c>
      <c r="G67" s="170" t="s">
        <v>210</v>
      </c>
      <c r="H67" s="170">
        <v>-3908772.27</v>
      </c>
      <c r="I67" s="170">
        <v>340493.57</v>
      </c>
      <c r="K67" s="171" t="str">
        <f t="shared" ref="K67:K130" si="4">IF(E67="","",E67)</f>
        <v>Provisions and Costs</v>
      </c>
      <c r="L67" s="171" t="str">
        <f>IF(E67="","",IF(COUNTIFS(Table2[[#All],[De (Lote)]],Input_APM!F67)&gt;0,INDEX(Table2[[#All],[Para (Ticker Daniel)]],MATCH(Input_APM!F67,Table2[[#All],[De (Lote)]],0)),Input_APM!F67))</f>
        <v>Provision US Equity USD_</v>
      </c>
      <c r="M67" s="171" t="str">
        <f t="shared" ref="M67:M130" si="5">IF(E67="","",G67)</f>
        <v>EQTY.IntlUS.off</v>
      </c>
      <c r="N67" s="172">
        <f t="shared" ref="N67:N130" si="6">IF(E67="","",H67)</f>
        <v>-3908772.27</v>
      </c>
      <c r="O67" s="172">
        <f t="shared" ref="O67:O130" si="7">IF(E67="","",I67)</f>
        <v>340493.57</v>
      </c>
    </row>
    <row r="68" spans="5:15">
      <c r="E68" s="170" t="s">
        <v>247</v>
      </c>
      <c r="F68" s="170" t="s">
        <v>82</v>
      </c>
      <c r="G68" s="170" t="s">
        <v>210</v>
      </c>
      <c r="H68" s="170">
        <v>0</v>
      </c>
      <c r="I68" s="170">
        <v>0</v>
      </c>
      <c r="K68" s="171" t="str">
        <f t="shared" si="4"/>
        <v>ETF</v>
      </c>
      <c r="L68" s="171" t="str">
        <f>IF(E68="","",IF(COUNTIFS(Table2[[#All],[De (Lote)]],Input_APM!F68)&gt;0,INDEX(Table2[[#All],[Para (Ticker Daniel)]],MATCH(Input_APM!F68,Table2[[#All],[De (Lote)]],0)),Input_APM!F68))</f>
        <v>QQQ</v>
      </c>
      <c r="M68" s="171" t="str">
        <f t="shared" si="5"/>
        <v>EQTY.IntlUS.off</v>
      </c>
      <c r="N68" s="172">
        <f t="shared" si="6"/>
        <v>0</v>
      </c>
      <c r="O68" s="172">
        <f t="shared" si="7"/>
        <v>0</v>
      </c>
    </row>
    <row r="69" spans="5:15">
      <c r="E69" s="170" t="s">
        <v>250</v>
      </c>
      <c r="F69" s="170" t="s">
        <v>1144</v>
      </c>
      <c r="G69" s="170" t="s">
        <v>210</v>
      </c>
      <c r="H69" s="170">
        <v>-939</v>
      </c>
      <c r="I69" s="170">
        <v>0</v>
      </c>
      <c r="K69" s="171" t="str">
        <f t="shared" si="4"/>
        <v>ETF Options</v>
      </c>
      <c r="L69" s="171" t="str">
        <f>IF(E69="","",IF(COUNTIFS(Table2[[#All],[De (Lote)]],Input_APM!F69)&gt;0,INDEX(Table2[[#All],[Para (Ticker Daniel)]],MATCH(Input_APM!F69,Table2[[#All],[De (Lote)]],0)),Input_APM!F69))</f>
        <v>QQQ US 02/03/26 P612</v>
      </c>
      <c r="M69" s="171" t="str">
        <f t="shared" si="5"/>
        <v>EQTY.IntlUS.off</v>
      </c>
      <c r="N69" s="172">
        <f t="shared" si="6"/>
        <v>-939</v>
      </c>
      <c r="O69" s="172">
        <f t="shared" si="7"/>
        <v>0</v>
      </c>
    </row>
    <row r="70" spans="5:15">
      <c r="E70" s="170" t="s">
        <v>250</v>
      </c>
      <c r="F70" s="170" t="s">
        <v>1143</v>
      </c>
      <c r="G70" s="170" t="s">
        <v>210</v>
      </c>
      <c r="H70" s="170">
        <v>939</v>
      </c>
      <c r="I70" s="170">
        <v>0</v>
      </c>
      <c r="K70" s="171" t="str">
        <f t="shared" si="4"/>
        <v>ETF Options</v>
      </c>
      <c r="L70" s="171" t="str">
        <f>IF(E70="","",IF(COUNTIFS(Table2[[#All],[De (Lote)]],Input_APM!F70)&gt;0,INDEX(Table2[[#All],[Para (Ticker Daniel)]],MATCH(Input_APM!F70,Table2[[#All],[De (Lote)]],0)),Input_APM!F70))</f>
        <v>QQQ US 02/03/26 P613</v>
      </c>
      <c r="M70" s="171" t="str">
        <f t="shared" si="5"/>
        <v>EQTY.IntlUS.off</v>
      </c>
      <c r="N70" s="172">
        <f t="shared" si="6"/>
        <v>939</v>
      </c>
      <c r="O70" s="172">
        <f t="shared" si="7"/>
        <v>0</v>
      </c>
    </row>
    <row r="71" spans="5:15">
      <c r="E71" s="170" t="s">
        <v>250</v>
      </c>
      <c r="F71" s="170" t="s">
        <v>1119</v>
      </c>
      <c r="G71" s="170" t="s">
        <v>210</v>
      </c>
      <c r="H71" s="170">
        <v>0</v>
      </c>
      <c r="I71" s="170">
        <v>-216</v>
      </c>
      <c r="K71" s="171" t="str">
        <f t="shared" si="4"/>
        <v>ETF Options</v>
      </c>
      <c r="L71" s="171" t="str">
        <f>IF(E71="","",IF(COUNTIFS(Table2[[#All],[De (Lote)]],Input_APM!F71)&gt;0,INDEX(Table2[[#All],[Para (Ticker Daniel)]],MATCH(Input_APM!F71,Table2[[#All],[De (Lote)]],0)),Input_APM!F71))</f>
        <v>QQQ US 02/06/26 P615</v>
      </c>
      <c r="M71" s="171" t="str">
        <f t="shared" si="5"/>
        <v>EQTY.IntlUS.off</v>
      </c>
      <c r="N71" s="172">
        <f t="shared" si="6"/>
        <v>0</v>
      </c>
      <c r="O71" s="172">
        <f t="shared" si="7"/>
        <v>-216</v>
      </c>
    </row>
    <row r="72" spans="5:15">
      <c r="E72" s="170" t="s">
        <v>250</v>
      </c>
      <c r="F72" s="170" t="s">
        <v>1118</v>
      </c>
      <c r="G72" s="170" t="s">
        <v>210</v>
      </c>
      <c r="H72" s="170">
        <v>0</v>
      </c>
      <c r="I72" s="170">
        <v>216</v>
      </c>
      <c r="K72" s="171" t="str">
        <f t="shared" si="4"/>
        <v>ETF Options</v>
      </c>
      <c r="L72" s="171" t="str">
        <f>IF(E72="","",IF(COUNTIFS(Table2[[#All],[De (Lote)]],Input_APM!F72)&gt;0,INDEX(Table2[[#All],[Para (Ticker Daniel)]],MATCH(Input_APM!F72,Table2[[#All],[De (Lote)]],0)),Input_APM!F72))</f>
        <v>QQQ US 02/06/26 P620</v>
      </c>
      <c r="M72" s="171" t="str">
        <f t="shared" si="5"/>
        <v>EQTY.IntlUS.off</v>
      </c>
      <c r="N72" s="172">
        <f t="shared" si="6"/>
        <v>0</v>
      </c>
      <c r="O72" s="172">
        <f t="shared" si="7"/>
        <v>216</v>
      </c>
    </row>
    <row r="73" spans="5:15">
      <c r="E73" s="170" t="s">
        <v>244</v>
      </c>
      <c r="F73" s="170" t="s">
        <v>799</v>
      </c>
      <c r="G73" s="170" t="s">
        <v>210</v>
      </c>
      <c r="H73" s="170">
        <v>33235</v>
      </c>
      <c r="I73" s="170">
        <v>33235</v>
      </c>
      <c r="K73" s="171" t="str">
        <f t="shared" si="4"/>
        <v>US Equity</v>
      </c>
      <c r="L73" s="171" t="str">
        <f>IF(E73="","",IF(COUNTIFS(Table2[[#All],[De (Lote)]],Input_APM!F73)&gt;0,INDEX(Table2[[#All],[Para (Ticker Daniel)]],MATCH(Input_APM!F73,Table2[[#All],[De (Lote)]],0)),Input_APM!F73))</f>
        <v>RIOT</v>
      </c>
      <c r="M73" s="171" t="str">
        <f t="shared" si="5"/>
        <v>EQTY.IntlUS.off</v>
      </c>
      <c r="N73" s="172">
        <f t="shared" si="6"/>
        <v>33235</v>
      </c>
      <c r="O73" s="172">
        <f t="shared" si="7"/>
        <v>33235</v>
      </c>
    </row>
    <row r="74" spans="5:15">
      <c r="E74" s="170" t="s">
        <v>247</v>
      </c>
      <c r="F74" s="170" t="s">
        <v>3</v>
      </c>
      <c r="G74" s="170" t="s">
        <v>210</v>
      </c>
      <c r="H74" s="170">
        <v>0</v>
      </c>
      <c r="I74" s="170">
        <v>0</v>
      </c>
      <c r="K74" s="171" t="str">
        <f t="shared" si="4"/>
        <v>ETF</v>
      </c>
      <c r="L74" s="171" t="str">
        <f>IF(E74="","",IF(COUNTIFS(Table2[[#All],[De (Lote)]],Input_APM!F74)&gt;0,INDEX(Table2[[#All],[Para (Ticker Daniel)]],MATCH(Input_APM!F74,Table2[[#All],[De (Lote)]],0)),Input_APM!F74))</f>
        <v>RSP</v>
      </c>
      <c r="M74" s="171" t="str">
        <f t="shared" si="5"/>
        <v>EQTY.IntlUS.off</v>
      </c>
      <c r="N74" s="172">
        <f t="shared" si="6"/>
        <v>0</v>
      </c>
      <c r="O74" s="172">
        <f t="shared" si="7"/>
        <v>0</v>
      </c>
    </row>
    <row r="75" spans="5:15">
      <c r="E75" s="170" t="s">
        <v>801</v>
      </c>
      <c r="F75" s="170" t="s">
        <v>802</v>
      </c>
      <c r="G75" s="170" t="s">
        <v>210</v>
      </c>
      <c r="H75" s="170">
        <v>655</v>
      </c>
      <c r="I75" s="170">
        <v>655</v>
      </c>
      <c r="K75" s="171" t="str">
        <f t="shared" si="4"/>
        <v>Equity Total Return Swap</v>
      </c>
      <c r="L75" s="171" t="str">
        <f>IF(E75="","",IF(COUNTIFS(Table2[[#All],[De (Lote)]],Input_APM!F75)&gt;0,INDEX(Table2[[#All],[Para (Ticker Daniel)]],MATCH(Input_APM!F75,Table2[[#All],[De (Lote)]],0)),Input_APM!F75))</f>
        <v>000660 KS</v>
      </c>
      <c r="M75" s="171" t="str">
        <f t="shared" si="5"/>
        <v>EQTY.IntlUS.off</v>
      </c>
      <c r="N75" s="172">
        <f t="shared" si="6"/>
        <v>655</v>
      </c>
      <c r="O75" s="172">
        <f t="shared" si="7"/>
        <v>655</v>
      </c>
    </row>
    <row r="76" spans="5:15">
      <c r="E76" s="170" t="s">
        <v>801</v>
      </c>
      <c r="F76" s="170" t="s">
        <v>982</v>
      </c>
      <c r="G76" s="170" t="s">
        <v>210</v>
      </c>
      <c r="H76" s="170">
        <v>643</v>
      </c>
      <c r="I76" s="170">
        <v>643</v>
      </c>
      <c r="K76" s="171" t="str">
        <f t="shared" si="4"/>
        <v>Equity Total Return Swap</v>
      </c>
      <c r="L76" s="171" t="str">
        <f>IF(E76="","",IF(COUNTIFS(Table2[[#All],[De (Lote)]],Input_APM!F76)&gt;0,INDEX(Table2[[#All],[Para (Ticker Daniel)]],MATCH(Input_APM!F76,Table2[[#All],[De (Lote)]],0)),Input_APM!F76))</f>
        <v>SWAP 000660 KS 26JAN2026 26JAN2027 509.6192</v>
      </c>
      <c r="M76" s="171" t="str">
        <f t="shared" si="5"/>
        <v>EQTY.IntlUS.off</v>
      </c>
      <c r="N76" s="172">
        <f t="shared" si="6"/>
        <v>643</v>
      </c>
      <c r="O76" s="172">
        <f t="shared" si="7"/>
        <v>643</v>
      </c>
    </row>
    <row r="77" spans="5:15">
      <c r="E77" s="170" t="s">
        <v>801</v>
      </c>
      <c r="F77" s="170" t="s">
        <v>1060</v>
      </c>
      <c r="G77" s="170" t="s">
        <v>210</v>
      </c>
      <c r="H77" s="170">
        <v>2470</v>
      </c>
      <c r="I77" s="170">
        <v>2470</v>
      </c>
      <c r="K77" s="171" t="str">
        <f t="shared" si="4"/>
        <v>Equity Total Return Swap</v>
      </c>
      <c r="L77" s="171" t="str">
        <f>IF(E77="","",IF(COUNTIFS(Table2[[#All],[De (Lote)]],Input_APM!F77)&gt;0,INDEX(Table2[[#All],[Para (Ticker Daniel)]],MATCH(Input_APM!F77,Table2[[#All],[De (Lote)]],0)),Input_APM!F77))</f>
        <v>SWAP 300502 CH 30JAN2026 01FEB2027 57.9966</v>
      </c>
      <c r="M77" s="171" t="str">
        <f t="shared" si="5"/>
        <v>EQTY.IntlUS.off</v>
      </c>
      <c r="N77" s="172">
        <f t="shared" si="6"/>
        <v>2470</v>
      </c>
      <c r="O77" s="172">
        <f t="shared" si="7"/>
        <v>2470</v>
      </c>
    </row>
    <row r="78" spans="5:15">
      <c r="E78" s="170" t="s">
        <v>1061</v>
      </c>
      <c r="F78" s="170" t="s">
        <v>1062</v>
      </c>
      <c r="G78" s="170" t="s">
        <v>210</v>
      </c>
      <c r="H78" s="170">
        <v>9090840</v>
      </c>
      <c r="I78" s="170">
        <v>9090840</v>
      </c>
      <c r="K78" s="171" t="str">
        <f t="shared" si="4"/>
        <v>TBOND</v>
      </c>
      <c r="L78" s="171" t="str">
        <f>IF(E78="","",IF(COUNTIFS(Table2[[#All],[De (Lote)]],Input_APM!F78)&gt;0,INDEX(Table2[[#All],[Para (Ticker Daniel)]],MATCH(Input_APM!F78,Table2[[#All],[De (Lote)]],0)),Input_APM!F78))</f>
        <v>T 4.000% 11/15/35</v>
      </c>
      <c r="M78" s="171" t="str">
        <f t="shared" si="5"/>
        <v>EQTY.IntlUS.off</v>
      </c>
      <c r="N78" s="172">
        <f t="shared" si="6"/>
        <v>9090840</v>
      </c>
      <c r="O78" s="172">
        <f t="shared" si="7"/>
        <v>9090840</v>
      </c>
    </row>
    <row r="79" spans="5:15">
      <c r="E79" s="170" t="s">
        <v>8</v>
      </c>
      <c r="F79" s="170" t="s">
        <v>44</v>
      </c>
      <c r="G79" s="170" t="s">
        <v>210</v>
      </c>
      <c r="H79" s="170">
        <v>3468</v>
      </c>
      <c r="I79" s="170">
        <v>708</v>
      </c>
      <c r="K79" s="171" t="str">
        <f t="shared" si="4"/>
        <v>ADR</v>
      </c>
      <c r="L79" s="171" t="str">
        <f>IF(E79="","",IF(COUNTIFS(Table2[[#All],[De (Lote)]],Input_APM!F79)&gt;0,INDEX(Table2[[#All],[Para (Ticker Daniel)]],MATCH(Input_APM!F79,Table2[[#All],[De (Lote)]],0)),Input_APM!F79))</f>
        <v>TSM</v>
      </c>
      <c r="M79" s="171" t="str">
        <f t="shared" si="5"/>
        <v>EQTY.IntlUS.off</v>
      </c>
      <c r="N79" s="172">
        <f t="shared" si="6"/>
        <v>3468</v>
      </c>
      <c r="O79" s="172">
        <f t="shared" si="7"/>
        <v>708</v>
      </c>
    </row>
    <row r="80" spans="5:15">
      <c r="E80" s="170" t="s">
        <v>253</v>
      </c>
      <c r="F80" s="170" t="s">
        <v>896</v>
      </c>
      <c r="G80" s="170" t="s">
        <v>210</v>
      </c>
      <c r="H80" s="170">
        <v>1453</v>
      </c>
      <c r="I80" s="170">
        <v>1453</v>
      </c>
      <c r="K80" s="171" t="str">
        <f t="shared" si="4"/>
        <v>ADR Options</v>
      </c>
      <c r="L80" s="171" t="str">
        <f>IF(E80="","",IF(COUNTIFS(Table2[[#All],[De (Lote)]],Input_APM!F80)&gt;0,INDEX(Table2[[#All],[Para (Ticker Daniel)]],MATCH(Input_APM!F80,Table2[[#All],[De (Lote)]],0)),Input_APM!F80))</f>
        <v>TSM US 06/18/26 C340</v>
      </c>
      <c r="M80" s="171" t="str">
        <f t="shared" si="5"/>
        <v>EQTY.IntlUS.off</v>
      </c>
      <c r="N80" s="172">
        <f t="shared" si="6"/>
        <v>1453</v>
      </c>
      <c r="O80" s="172">
        <f t="shared" si="7"/>
        <v>1453</v>
      </c>
    </row>
    <row r="81" spans="5:15">
      <c r="E81" s="170" t="s">
        <v>253</v>
      </c>
      <c r="F81" s="170" t="s">
        <v>897</v>
      </c>
      <c r="G81" s="170" t="s">
        <v>210</v>
      </c>
      <c r="H81" s="170">
        <v>-1195</v>
      </c>
      <c r="I81" s="170">
        <v>-1195</v>
      </c>
      <c r="K81" s="171" t="str">
        <f t="shared" si="4"/>
        <v>ADR Options</v>
      </c>
      <c r="L81" s="171" t="str">
        <f>IF(E81="","",IF(COUNTIFS(Table2[[#All],[De (Lote)]],Input_APM!F81)&gt;0,INDEX(Table2[[#All],[Para (Ticker Daniel)]],MATCH(Input_APM!F81,Table2[[#All],[De (Lote)]],0)),Input_APM!F81))</f>
        <v>TSM US 06/18/26 C380</v>
      </c>
      <c r="M81" s="171" t="str">
        <f t="shared" si="5"/>
        <v>EQTY.IntlUS.off</v>
      </c>
      <c r="N81" s="172">
        <f t="shared" si="6"/>
        <v>-1195</v>
      </c>
      <c r="O81" s="172">
        <f t="shared" si="7"/>
        <v>-1195</v>
      </c>
    </row>
    <row r="82" spans="5:15">
      <c r="E82" s="170" t="s">
        <v>244</v>
      </c>
      <c r="F82" s="170" t="s">
        <v>1131</v>
      </c>
      <c r="G82" s="170" t="s">
        <v>210</v>
      </c>
      <c r="H82" s="170">
        <v>24409</v>
      </c>
      <c r="I82" s="170">
        <v>0</v>
      </c>
      <c r="K82" s="171" t="str">
        <f t="shared" si="4"/>
        <v>US Equity</v>
      </c>
      <c r="L82" s="171" t="str">
        <f>IF(E82="","",IF(COUNTIFS(Table2[[#All],[De (Lote)]],Input_APM!F82)&gt;0,INDEX(Table2[[#All],[Para (Ticker Daniel)]],MATCH(Input_APM!F82,Table2[[#All],[De (Lote)]],0)),Input_APM!F82))</f>
        <v>WMB</v>
      </c>
      <c r="M82" s="171" t="str">
        <f t="shared" si="5"/>
        <v>EQTY.IntlUS.off</v>
      </c>
      <c r="N82" s="172">
        <f t="shared" si="6"/>
        <v>24409</v>
      </c>
      <c r="O82" s="172">
        <f t="shared" si="7"/>
        <v>0</v>
      </c>
    </row>
    <row r="83" spans="5:15">
      <c r="E83" s="170" t="s">
        <v>247</v>
      </c>
      <c r="F83" s="170" t="s">
        <v>36</v>
      </c>
      <c r="G83" s="170" t="s">
        <v>210</v>
      </c>
      <c r="H83" s="170">
        <v>21977</v>
      </c>
      <c r="I83" s="170">
        <v>42865</v>
      </c>
      <c r="K83" s="171" t="str">
        <f t="shared" si="4"/>
        <v>ETF</v>
      </c>
      <c r="L83" s="171" t="str">
        <f>IF(E83="","",IF(COUNTIFS(Table2[[#All],[De (Lote)]],Input_APM!F83)&gt;0,INDEX(Table2[[#All],[Para (Ticker Daniel)]],MATCH(Input_APM!F83,Table2[[#All],[De (Lote)]],0)),Input_APM!F83))</f>
        <v>XLF</v>
      </c>
      <c r="M83" s="171" t="str">
        <f t="shared" si="5"/>
        <v>EQTY.IntlUS.off</v>
      </c>
      <c r="N83" s="172">
        <f t="shared" si="6"/>
        <v>21977</v>
      </c>
      <c r="O83" s="172">
        <f t="shared" si="7"/>
        <v>42865</v>
      </c>
    </row>
    <row r="84" spans="5:15">
      <c r="E84" s="170" t="s">
        <v>247</v>
      </c>
      <c r="F84" s="170" t="s">
        <v>4</v>
      </c>
      <c r="G84" s="170" t="s">
        <v>210</v>
      </c>
      <c r="H84" s="170">
        <v>-25765</v>
      </c>
      <c r="I84" s="170">
        <v>-25765</v>
      </c>
      <c r="K84" s="171" t="str">
        <f t="shared" si="4"/>
        <v>ETF</v>
      </c>
      <c r="L84" s="171" t="str">
        <f>IF(E84="","",IF(COUNTIFS(Table2[[#All],[De (Lote)]],Input_APM!F84)&gt;0,INDEX(Table2[[#All],[Para (Ticker Daniel)]],MATCH(Input_APM!F84,Table2[[#All],[De (Lote)]],0)),Input_APM!F84))</f>
        <v>XLP</v>
      </c>
      <c r="M84" s="171" t="str">
        <f t="shared" si="5"/>
        <v>EQTY.IntlUS.off</v>
      </c>
      <c r="N84" s="172">
        <f t="shared" si="6"/>
        <v>-25765</v>
      </c>
      <c r="O84" s="172">
        <f t="shared" si="7"/>
        <v>-25765</v>
      </c>
    </row>
    <row r="85" spans="5:15">
      <c r="E85" s="170" t="s">
        <v>244</v>
      </c>
      <c r="F85" s="170" t="s">
        <v>1092</v>
      </c>
      <c r="G85" s="170" t="s">
        <v>210</v>
      </c>
      <c r="H85" s="170">
        <v>0</v>
      </c>
      <c r="I85" s="170">
        <v>-470</v>
      </c>
      <c r="K85" s="171" t="str">
        <f t="shared" si="4"/>
        <v>US Equity</v>
      </c>
      <c r="L85" s="171" t="str">
        <f>IF(E85="","",IF(COUNTIFS(Table2[[#All],[De (Lote)]],Input_APM!F85)&gt;0,INDEX(Table2[[#All],[Para (Ticker Daniel)]],MATCH(Input_APM!F85,Table2[[#All],[De (Lote)]],0)),Input_APM!F85))</f>
        <v>YSS</v>
      </c>
      <c r="M85" s="171" t="str">
        <f t="shared" si="5"/>
        <v>EQTY.IntlUS.off</v>
      </c>
      <c r="N85" s="172">
        <f t="shared" si="6"/>
        <v>0</v>
      </c>
      <c r="O85" s="172">
        <f t="shared" si="7"/>
        <v>-470</v>
      </c>
    </row>
    <row r="86" spans="5:15">
      <c r="H86" s="180"/>
      <c r="K86" s="171" t="str">
        <f t="shared" si="4"/>
        <v/>
      </c>
      <c r="L86" s="171" t="str">
        <f>IF(E86="","",IF(COUNTIFS(Table2[[#All],[De (Lote)]],Input_APM!F86)&gt;0,INDEX(Table2[[#All],[Para (Ticker Daniel)]],MATCH(Input_APM!F86,Table2[[#All],[De (Lote)]],0)),Input_APM!F86))</f>
        <v/>
      </c>
      <c r="M86" s="171" t="str">
        <f t="shared" si="5"/>
        <v/>
      </c>
      <c r="N86" s="172" t="str">
        <f t="shared" si="6"/>
        <v/>
      </c>
      <c r="O86" s="172" t="str">
        <f t="shared" si="7"/>
        <v/>
      </c>
    </row>
    <row r="87" spans="5:15">
      <c r="H87" s="180"/>
      <c r="K87" s="171" t="str">
        <f t="shared" si="4"/>
        <v/>
      </c>
      <c r="L87" s="171" t="str">
        <f>IF(E87="","",IF(COUNTIFS(Table2[[#All],[De (Lote)]],Input_APM!F87)&gt;0,INDEX(Table2[[#All],[Para (Ticker Daniel)]],MATCH(Input_APM!F87,Table2[[#All],[De (Lote)]],0)),Input_APM!F87))</f>
        <v/>
      </c>
      <c r="M87" s="171" t="str">
        <f t="shared" si="5"/>
        <v/>
      </c>
      <c r="N87" s="172" t="str">
        <f t="shared" si="6"/>
        <v/>
      </c>
      <c r="O87" s="172" t="str">
        <f t="shared" si="7"/>
        <v/>
      </c>
    </row>
    <row r="88" spans="5:15">
      <c r="K88" s="171" t="str">
        <f t="shared" si="4"/>
        <v/>
      </c>
      <c r="L88" s="171" t="str">
        <f>IF(E88="","",IF(COUNTIFS(Table2[[#All],[De (Lote)]],Input_APM!F88)&gt;0,INDEX(Table2[[#All],[Para (Ticker Daniel)]],MATCH(Input_APM!F88,Table2[[#All],[De (Lote)]],0)),Input_APM!F88))</f>
        <v/>
      </c>
      <c r="M88" s="171" t="str">
        <f t="shared" si="5"/>
        <v/>
      </c>
      <c r="N88" s="172" t="str">
        <f t="shared" si="6"/>
        <v/>
      </c>
      <c r="O88" s="172" t="str">
        <f t="shared" si="7"/>
        <v/>
      </c>
    </row>
    <row r="89" spans="5:15">
      <c r="K89" s="171" t="str">
        <f t="shared" si="4"/>
        <v/>
      </c>
      <c r="L89" s="171" t="str">
        <f>IF(E89="","",IF(COUNTIFS(Table2[[#All],[De (Lote)]],Input_APM!F89)&gt;0,INDEX(Table2[[#All],[Para (Ticker Daniel)]],MATCH(Input_APM!F89,Table2[[#All],[De (Lote)]],0)),Input_APM!F89))</f>
        <v/>
      </c>
      <c r="M89" s="171" t="str">
        <f t="shared" si="5"/>
        <v/>
      </c>
      <c r="N89" s="172" t="str">
        <f t="shared" si="6"/>
        <v/>
      </c>
      <c r="O89" s="172" t="str">
        <f t="shared" si="7"/>
        <v/>
      </c>
    </row>
    <row r="90" spans="5:15">
      <c r="K90" s="171" t="str">
        <f t="shared" si="4"/>
        <v/>
      </c>
      <c r="L90" s="171" t="str">
        <f>IF(E90="","",IF(COUNTIFS(Table2[[#All],[De (Lote)]],Input_APM!F90)&gt;0,INDEX(Table2[[#All],[Para (Ticker Daniel)]],MATCH(Input_APM!F90,Table2[[#All],[De (Lote)]],0)),Input_APM!F90))</f>
        <v/>
      </c>
      <c r="M90" s="171" t="str">
        <f t="shared" si="5"/>
        <v/>
      </c>
      <c r="N90" s="172" t="str">
        <f t="shared" si="6"/>
        <v/>
      </c>
      <c r="O90" s="172" t="str">
        <f t="shared" si="7"/>
        <v/>
      </c>
    </row>
    <row r="91" spans="5:15">
      <c r="K91" s="171" t="str">
        <f t="shared" si="4"/>
        <v/>
      </c>
      <c r="L91" s="171" t="str">
        <f>IF(E91="","",IF(COUNTIFS(Table2[[#All],[De (Lote)]],Input_APM!F91)&gt;0,INDEX(Table2[[#All],[Para (Ticker Daniel)]],MATCH(Input_APM!F91,Table2[[#All],[De (Lote)]],0)),Input_APM!F91))</f>
        <v/>
      </c>
      <c r="M91" s="171" t="str">
        <f t="shared" si="5"/>
        <v/>
      </c>
      <c r="N91" s="172" t="str">
        <f t="shared" si="6"/>
        <v/>
      </c>
      <c r="O91" s="172" t="str">
        <f t="shared" si="7"/>
        <v/>
      </c>
    </row>
    <row r="92" spans="5:15">
      <c r="H92" s="180"/>
      <c r="K92" s="171" t="str">
        <f t="shared" si="4"/>
        <v/>
      </c>
      <c r="L92" s="171" t="str">
        <f>IF(E92="","",IF(COUNTIFS(Table2[[#All],[De (Lote)]],Input_APM!F92)&gt;0,INDEX(Table2[[#All],[Para (Ticker Daniel)]],MATCH(Input_APM!F92,Table2[[#All],[De (Lote)]],0)),Input_APM!F92))</f>
        <v/>
      </c>
      <c r="M92" s="171" t="str">
        <f t="shared" si="5"/>
        <v/>
      </c>
      <c r="N92" s="172" t="str">
        <f t="shared" si="6"/>
        <v/>
      </c>
      <c r="O92" s="172" t="str">
        <f t="shared" si="7"/>
        <v/>
      </c>
    </row>
    <row r="93" spans="5:15">
      <c r="K93" s="171" t="str">
        <f t="shared" si="4"/>
        <v/>
      </c>
      <c r="L93" s="171" t="str">
        <f>IF(E93="","",IF(COUNTIFS(Table2[[#All],[De (Lote)]],Input_APM!F93)&gt;0,INDEX(Table2[[#All],[Para (Ticker Daniel)]],MATCH(Input_APM!F93,Table2[[#All],[De (Lote)]],0)),Input_APM!F93))</f>
        <v/>
      </c>
      <c r="M93" s="171" t="str">
        <f t="shared" si="5"/>
        <v/>
      </c>
      <c r="N93" s="172" t="str">
        <f t="shared" si="6"/>
        <v/>
      </c>
      <c r="O93" s="172" t="str">
        <f t="shared" si="7"/>
        <v/>
      </c>
    </row>
    <row r="94" spans="5:15">
      <c r="K94" s="171" t="str">
        <f t="shared" si="4"/>
        <v/>
      </c>
      <c r="L94" s="171" t="str">
        <f>IF(E94="","",IF(COUNTIFS(Table2[[#All],[De (Lote)]],Input_APM!F94)&gt;0,INDEX(Table2[[#All],[Para (Ticker Daniel)]],MATCH(Input_APM!F94,Table2[[#All],[De (Lote)]],0)),Input_APM!F94))</f>
        <v/>
      </c>
      <c r="M94" s="171" t="str">
        <f t="shared" si="5"/>
        <v/>
      </c>
      <c r="N94" s="172" t="str">
        <f t="shared" si="6"/>
        <v/>
      </c>
      <c r="O94" s="172" t="str">
        <f t="shared" si="7"/>
        <v/>
      </c>
    </row>
    <row r="95" spans="5:15">
      <c r="H95" s="180"/>
      <c r="K95" s="171" t="str">
        <f t="shared" si="4"/>
        <v/>
      </c>
      <c r="L95" s="171" t="str">
        <f>IF(E95="","",IF(COUNTIFS(Table2[[#All],[De (Lote)]],Input_APM!F95)&gt;0,INDEX(Table2[[#All],[Para (Ticker Daniel)]],MATCH(Input_APM!F95,Table2[[#All],[De (Lote)]],0)),Input_APM!F95))</f>
        <v/>
      </c>
      <c r="M95" s="171" t="str">
        <f t="shared" si="5"/>
        <v/>
      </c>
      <c r="N95" s="172" t="str">
        <f t="shared" si="6"/>
        <v/>
      </c>
      <c r="O95" s="172" t="str">
        <f t="shared" si="7"/>
        <v/>
      </c>
    </row>
    <row r="96" spans="5:15">
      <c r="K96" s="171" t="str">
        <f t="shared" si="4"/>
        <v/>
      </c>
      <c r="L96" s="171" t="str">
        <f>IF(E96="","",IF(COUNTIFS(Table2[[#All],[De (Lote)]],Input_APM!F96)&gt;0,INDEX(Table2[[#All],[Para (Ticker Daniel)]],MATCH(Input_APM!F96,Table2[[#All],[De (Lote)]],0)),Input_APM!F96))</f>
        <v/>
      </c>
      <c r="M96" s="171" t="str">
        <f t="shared" si="5"/>
        <v/>
      </c>
      <c r="N96" s="172" t="str">
        <f t="shared" si="6"/>
        <v/>
      </c>
      <c r="O96" s="172" t="str">
        <f t="shared" si="7"/>
        <v/>
      </c>
    </row>
    <row r="97" spans="11:15">
      <c r="K97" s="171" t="str">
        <f t="shared" si="4"/>
        <v/>
      </c>
      <c r="L97" s="171" t="str">
        <f>IF(E97="","",IF(COUNTIFS(Table2[[#All],[De (Lote)]],Input_APM!F97)&gt;0,INDEX(Table2[[#All],[Para (Ticker Daniel)]],MATCH(Input_APM!F97,Table2[[#All],[De (Lote)]],0)),Input_APM!F97))</f>
        <v/>
      </c>
      <c r="M97" s="171" t="str">
        <f t="shared" si="5"/>
        <v/>
      </c>
      <c r="N97" s="172" t="str">
        <f t="shared" si="6"/>
        <v/>
      </c>
      <c r="O97" s="172" t="str">
        <f t="shared" si="7"/>
        <v/>
      </c>
    </row>
    <row r="98" spans="11:15">
      <c r="K98" s="171" t="str">
        <f t="shared" si="4"/>
        <v/>
      </c>
      <c r="L98" s="171" t="str">
        <f>IF(E98="","",IF(COUNTIFS(Table2[[#All],[De (Lote)]],Input_APM!F98)&gt;0,INDEX(Table2[[#All],[Para (Ticker Daniel)]],MATCH(Input_APM!F98,Table2[[#All],[De (Lote)]],0)),Input_APM!F98))</f>
        <v/>
      </c>
      <c r="M98" s="171" t="str">
        <f t="shared" si="5"/>
        <v/>
      </c>
      <c r="N98" s="172" t="str">
        <f t="shared" si="6"/>
        <v/>
      </c>
      <c r="O98" s="172" t="str">
        <f t="shared" si="7"/>
        <v/>
      </c>
    </row>
    <row r="99" spans="11:15">
      <c r="K99" s="171" t="str">
        <f t="shared" si="4"/>
        <v/>
      </c>
      <c r="L99" s="171" t="str">
        <f>IF(E99="","",IF(COUNTIFS(Table2[[#All],[De (Lote)]],Input_APM!F99)&gt;0,INDEX(Table2[[#All],[Para (Ticker Daniel)]],MATCH(Input_APM!F99,Table2[[#All],[De (Lote)]],0)),Input_APM!F99))</f>
        <v/>
      </c>
      <c r="M99" s="171" t="str">
        <f t="shared" si="5"/>
        <v/>
      </c>
      <c r="N99" s="172" t="str">
        <f t="shared" si="6"/>
        <v/>
      </c>
      <c r="O99" s="172" t="str">
        <f t="shared" si="7"/>
        <v/>
      </c>
    </row>
    <row r="100" spans="11:15">
      <c r="K100" s="171" t="str">
        <f t="shared" si="4"/>
        <v/>
      </c>
      <c r="L100" s="171" t="str">
        <f>IF(E100="","",IF(COUNTIFS(Table2[[#All],[De (Lote)]],Input_APM!F100)&gt;0,INDEX(Table2[[#All],[Para (Ticker Daniel)]],MATCH(Input_APM!F100,Table2[[#All],[De (Lote)]],0)),Input_APM!F100))</f>
        <v/>
      </c>
      <c r="M100" s="171" t="str">
        <f t="shared" si="5"/>
        <v/>
      </c>
      <c r="N100" s="172" t="str">
        <f t="shared" si="6"/>
        <v/>
      </c>
      <c r="O100" s="172" t="str">
        <f t="shared" si="7"/>
        <v/>
      </c>
    </row>
    <row r="101" spans="11:15">
      <c r="K101" s="171" t="str">
        <f t="shared" si="4"/>
        <v/>
      </c>
      <c r="L101" s="171" t="str">
        <f>IF(E101="","",IF(COUNTIFS(Table2[[#All],[De (Lote)]],Input_APM!F101)&gt;0,INDEX(Table2[[#All],[Para (Ticker Daniel)]],MATCH(Input_APM!F101,Table2[[#All],[De (Lote)]],0)),Input_APM!F101))</f>
        <v/>
      </c>
      <c r="M101" s="171" t="str">
        <f t="shared" si="5"/>
        <v/>
      </c>
      <c r="N101" s="172" t="str">
        <f t="shared" si="6"/>
        <v/>
      </c>
      <c r="O101" s="172" t="str">
        <f t="shared" si="7"/>
        <v/>
      </c>
    </row>
    <row r="102" spans="11:15">
      <c r="K102" s="171" t="str">
        <f t="shared" si="4"/>
        <v/>
      </c>
      <c r="L102" s="171" t="str">
        <f>IF(E102="","",IF(COUNTIFS(Table2[[#All],[De (Lote)]],Input_APM!F102)&gt;0,INDEX(Table2[[#All],[Para (Ticker Daniel)]],MATCH(Input_APM!F102,Table2[[#All],[De (Lote)]],0)),Input_APM!F102))</f>
        <v/>
      </c>
      <c r="M102" s="171" t="str">
        <f t="shared" si="5"/>
        <v/>
      </c>
      <c r="N102" s="172" t="str">
        <f t="shared" si="6"/>
        <v/>
      </c>
      <c r="O102" s="172" t="str">
        <f t="shared" si="7"/>
        <v/>
      </c>
    </row>
    <row r="103" spans="11:15">
      <c r="K103" s="171" t="str">
        <f t="shared" si="4"/>
        <v/>
      </c>
      <c r="L103" s="171" t="str">
        <f>IF(E103="","",IF(COUNTIFS(Table2[[#All],[De (Lote)]],Input_APM!F103)&gt;0,INDEX(Table2[[#All],[Para (Ticker Daniel)]],MATCH(Input_APM!F103,Table2[[#All],[De (Lote)]],0)),Input_APM!F103))</f>
        <v/>
      </c>
      <c r="M103" s="171" t="str">
        <f t="shared" si="5"/>
        <v/>
      </c>
      <c r="N103" s="172" t="str">
        <f t="shared" si="6"/>
        <v/>
      </c>
      <c r="O103" s="172" t="str">
        <f t="shared" si="7"/>
        <v/>
      </c>
    </row>
    <row r="104" spans="11:15">
      <c r="K104" s="171" t="str">
        <f t="shared" si="4"/>
        <v/>
      </c>
      <c r="L104" s="171" t="str">
        <f>IF(E104="","",IF(COUNTIFS(Table2[[#All],[De (Lote)]],Input_APM!F104)&gt;0,INDEX(Table2[[#All],[Para (Ticker Daniel)]],MATCH(Input_APM!F104,Table2[[#All],[De (Lote)]],0)),Input_APM!F104))</f>
        <v/>
      </c>
      <c r="M104" s="171" t="str">
        <f t="shared" si="5"/>
        <v/>
      </c>
      <c r="N104" s="172" t="str">
        <f t="shared" si="6"/>
        <v/>
      </c>
      <c r="O104" s="172" t="str">
        <f t="shared" si="7"/>
        <v/>
      </c>
    </row>
    <row r="105" spans="11:15">
      <c r="K105" s="171" t="str">
        <f t="shared" si="4"/>
        <v/>
      </c>
      <c r="L105" s="171" t="str">
        <f>IF(E105="","",IF(COUNTIFS(Table2[[#All],[De (Lote)]],Input_APM!F105)&gt;0,INDEX(Table2[[#All],[Para (Ticker Daniel)]],MATCH(Input_APM!F105,Table2[[#All],[De (Lote)]],0)),Input_APM!F105))</f>
        <v/>
      </c>
      <c r="M105" s="171" t="str">
        <f t="shared" si="5"/>
        <v/>
      </c>
      <c r="N105" s="172" t="str">
        <f t="shared" si="6"/>
        <v/>
      </c>
      <c r="O105" s="172" t="str">
        <f t="shared" si="7"/>
        <v/>
      </c>
    </row>
    <row r="106" spans="11:15">
      <c r="K106" s="171" t="str">
        <f t="shared" si="4"/>
        <v/>
      </c>
      <c r="L106" s="171" t="str">
        <f>IF(E106="","",IF(COUNTIFS(Table2[[#All],[De (Lote)]],Input_APM!F106)&gt;0,INDEX(Table2[[#All],[Para (Ticker Daniel)]],MATCH(Input_APM!F106,Table2[[#All],[De (Lote)]],0)),Input_APM!F106))</f>
        <v/>
      </c>
      <c r="M106" s="171" t="str">
        <f t="shared" si="5"/>
        <v/>
      </c>
      <c r="N106" s="172" t="str">
        <f t="shared" si="6"/>
        <v/>
      </c>
      <c r="O106" s="172" t="str">
        <f t="shared" si="7"/>
        <v/>
      </c>
    </row>
    <row r="107" spans="11:15">
      <c r="K107" s="171" t="str">
        <f t="shared" si="4"/>
        <v/>
      </c>
      <c r="L107" s="171" t="str">
        <f>IF(E107="","",IF(COUNTIFS(Table2[[#All],[De (Lote)]],Input_APM!F107)&gt;0,INDEX(Table2[[#All],[Para (Ticker Daniel)]],MATCH(Input_APM!F107,Table2[[#All],[De (Lote)]],0)),Input_APM!F107))</f>
        <v/>
      </c>
      <c r="M107" s="171" t="str">
        <f t="shared" si="5"/>
        <v/>
      </c>
      <c r="N107" s="172" t="str">
        <f t="shared" si="6"/>
        <v/>
      </c>
      <c r="O107" s="172" t="str">
        <f t="shared" si="7"/>
        <v/>
      </c>
    </row>
    <row r="108" spans="11:15">
      <c r="K108" s="171" t="str">
        <f t="shared" si="4"/>
        <v/>
      </c>
      <c r="L108" s="171" t="str">
        <f>IF(E108="","",IF(COUNTIFS(Table2[[#All],[De (Lote)]],Input_APM!F108)&gt;0,INDEX(Table2[[#All],[Para (Ticker Daniel)]],MATCH(Input_APM!F108,Table2[[#All],[De (Lote)]],0)),Input_APM!F108))</f>
        <v/>
      </c>
      <c r="M108" s="171" t="str">
        <f t="shared" si="5"/>
        <v/>
      </c>
      <c r="N108" s="172" t="str">
        <f t="shared" si="6"/>
        <v/>
      </c>
      <c r="O108" s="172" t="str">
        <f t="shared" si="7"/>
        <v/>
      </c>
    </row>
    <row r="109" spans="11:15">
      <c r="K109" s="171" t="str">
        <f t="shared" si="4"/>
        <v/>
      </c>
      <c r="L109" s="171" t="str">
        <f>IF(E109="","",IF(COUNTIFS(Table2[[#All],[De (Lote)]],Input_APM!F109)&gt;0,INDEX(Table2[[#All],[Para (Ticker Daniel)]],MATCH(Input_APM!F109,Table2[[#All],[De (Lote)]],0)),Input_APM!F109))</f>
        <v/>
      </c>
      <c r="M109" s="171" t="str">
        <f t="shared" si="5"/>
        <v/>
      </c>
      <c r="N109" s="172" t="str">
        <f t="shared" si="6"/>
        <v/>
      </c>
      <c r="O109" s="172" t="str">
        <f t="shared" si="7"/>
        <v/>
      </c>
    </row>
    <row r="110" spans="11:15">
      <c r="K110" s="171" t="str">
        <f t="shared" si="4"/>
        <v/>
      </c>
      <c r="L110" s="171" t="str">
        <f>IF(E110="","",IF(COUNTIFS(Table2[[#All],[De (Lote)]],Input_APM!F110)&gt;0,INDEX(Table2[[#All],[Para (Ticker Daniel)]],MATCH(Input_APM!F110,Table2[[#All],[De (Lote)]],0)),Input_APM!F110))</f>
        <v/>
      </c>
      <c r="M110" s="171" t="str">
        <f t="shared" si="5"/>
        <v/>
      </c>
      <c r="N110" s="172" t="str">
        <f t="shared" si="6"/>
        <v/>
      </c>
      <c r="O110" s="172" t="str">
        <f t="shared" si="7"/>
        <v/>
      </c>
    </row>
    <row r="111" spans="11:15">
      <c r="K111" s="171" t="str">
        <f t="shared" si="4"/>
        <v/>
      </c>
      <c r="L111" s="171" t="str">
        <f>IF(E111="","",IF(COUNTIFS(Table2[[#All],[De (Lote)]],Input_APM!F111)&gt;0,INDEX(Table2[[#All],[Para (Ticker Daniel)]],MATCH(Input_APM!F111,Table2[[#All],[De (Lote)]],0)),Input_APM!F111))</f>
        <v/>
      </c>
      <c r="M111" s="171" t="str">
        <f t="shared" si="5"/>
        <v/>
      </c>
      <c r="N111" s="172" t="str">
        <f t="shared" si="6"/>
        <v/>
      </c>
      <c r="O111" s="172" t="str">
        <f t="shared" si="7"/>
        <v/>
      </c>
    </row>
    <row r="112" spans="11:15">
      <c r="K112" s="171" t="str">
        <f t="shared" si="4"/>
        <v/>
      </c>
      <c r="L112" s="171" t="str">
        <f>IF(E112="","",IF(COUNTIFS(Table2[[#All],[De (Lote)]],Input_APM!F112)&gt;0,INDEX(Table2[[#All],[Para (Ticker Daniel)]],MATCH(Input_APM!F112,Table2[[#All],[De (Lote)]],0)),Input_APM!F112))</f>
        <v/>
      </c>
      <c r="M112" s="171" t="str">
        <f t="shared" si="5"/>
        <v/>
      </c>
      <c r="N112" s="172" t="str">
        <f t="shared" si="6"/>
        <v/>
      </c>
      <c r="O112" s="172" t="str">
        <f t="shared" si="7"/>
        <v/>
      </c>
    </row>
    <row r="113" spans="11:15">
      <c r="K113" s="171" t="str">
        <f t="shared" si="4"/>
        <v/>
      </c>
      <c r="L113" s="171" t="str">
        <f>IF(E113="","",IF(COUNTIFS(Table2[[#All],[De (Lote)]],Input_APM!F113)&gt;0,INDEX(Table2[[#All],[Para (Ticker Daniel)]],MATCH(Input_APM!F113,Table2[[#All],[De (Lote)]],0)),Input_APM!F113))</f>
        <v/>
      </c>
      <c r="M113" s="171" t="str">
        <f t="shared" si="5"/>
        <v/>
      </c>
      <c r="N113" s="172" t="str">
        <f t="shared" si="6"/>
        <v/>
      </c>
      <c r="O113" s="172" t="str">
        <f t="shared" si="7"/>
        <v/>
      </c>
    </row>
    <row r="114" spans="11:15">
      <c r="K114" s="171" t="str">
        <f t="shared" si="4"/>
        <v/>
      </c>
      <c r="L114" s="171" t="str">
        <f>IF(E114="","",IF(COUNTIFS(Table2[[#All],[De (Lote)]],Input_APM!F114)&gt;0,INDEX(Table2[[#All],[Para (Ticker Daniel)]],MATCH(Input_APM!F114,Table2[[#All],[De (Lote)]],0)),Input_APM!F114))</f>
        <v/>
      </c>
      <c r="M114" s="171" t="str">
        <f t="shared" si="5"/>
        <v/>
      </c>
      <c r="N114" s="172" t="str">
        <f t="shared" si="6"/>
        <v/>
      </c>
      <c r="O114" s="172" t="str">
        <f t="shared" si="7"/>
        <v/>
      </c>
    </row>
    <row r="115" spans="11:15">
      <c r="K115" s="171" t="str">
        <f t="shared" si="4"/>
        <v/>
      </c>
      <c r="L115" s="171" t="str">
        <f>IF(E115="","",IF(COUNTIFS(Table2[[#All],[De (Lote)]],Input_APM!F115)&gt;0,INDEX(Table2[[#All],[Para (Ticker Daniel)]],MATCH(Input_APM!F115,Table2[[#All],[De (Lote)]],0)),Input_APM!F115))</f>
        <v/>
      </c>
      <c r="M115" s="171" t="str">
        <f t="shared" si="5"/>
        <v/>
      </c>
      <c r="N115" s="172" t="str">
        <f t="shared" si="6"/>
        <v/>
      </c>
      <c r="O115" s="172" t="str">
        <f t="shared" si="7"/>
        <v/>
      </c>
    </row>
    <row r="116" spans="11:15">
      <c r="K116" s="171" t="str">
        <f t="shared" si="4"/>
        <v/>
      </c>
      <c r="L116" s="171" t="str">
        <f>IF(E116="","",IF(COUNTIFS(Table2[[#All],[De (Lote)]],Input_APM!F116)&gt;0,INDEX(Table2[[#All],[Para (Ticker Daniel)]],MATCH(Input_APM!F116,Table2[[#All],[De (Lote)]],0)),Input_APM!F116))</f>
        <v/>
      </c>
      <c r="M116" s="171" t="str">
        <f t="shared" si="5"/>
        <v/>
      </c>
      <c r="N116" s="172" t="str">
        <f t="shared" si="6"/>
        <v/>
      </c>
      <c r="O116" s="172" t="str">
        <f t="shared" si="7"/>
        <v/>
      </c>
    </row>
    <row r="117" spans="11:15">
      <c r="K117" s="171" t="str">
        <f t="shared" si="4"/>
        <v/>
      </c>
      <c r="L117" s="171" t="str">
        <f>IF(E117="","",IF(COUNTIFS(Table2[[#All],[De (Lote)]],Input_APM!F117)&gt;0,INDEX(Table2[[#All],[Para (Ticker Daniel)]],MATCH(Input_APM!F117,Table2[[#All],[De (Lote)]],0)),Input_APM!F117))</f>
        <v/>
      </c>
      <c r="M117" s="171" t="str">
        <f t="shared" si="5"/>
        <v/>
      </c>
      <c r="N117" s="172" t="str">
        <f t="shared" si="6"/>
        <v/>
      </c>
      <c r="O117" s="172" t="str">
        <f t="shared" si="7"/>
        <v/>
      </c>
    </row>
    <row r="118" spans="11:15">
      <c r="K118" s="171" t="str">
        <f t="shared" si="4"/>
        <v/>
      </c>
      <c r="L118" s="171" t="str">
        <f>IF(E118="","",IF(COUNTIFS(Table2[[#All],[De (Lote)]],Input_APM!F118)&gt;0,INDEX(Table2[[#All],[Para (Ticker Daniel)]],MATCH(Input_APM!F118,Table2[[#All],[De (Lote)]],0)),Input_APM!F118))</f>
        <v/>
      </c>
      <c r="M118" s="171" t="str">
        <f t="shared" si="5"/>
        <v/>
      </c>
      <c r="N118" s="172" t="str">
        <f t="shared" si="6"/>
        <v/>
      </c>
      <c r="O118" s="172" t="str">
        <f t="shared" si="7"/>
        <v/>
      </c>
    </row>
    <row r="119" spans="11:15">
      <c r="K119" s="171" t="str">
        <f t="shared" si="4"/>
        <v/>
      </c>
      <c r="L119" s="171" t="str">
        <f>IF(E119="","",IF(COUNTIFS(Table2[[#All],[De (Lote)]],Input_APM!F119)&gt;0,INDEX(Table2[[#All],[Para (Ticker Daniel)]],MATCH(Input_APM!F119,Table2[[#All],[De (Lote)]],0)),Input_APM!F119))</f>
        <v/>
      </c>
      <c r="M119" s="171" t="str">
        <f t="shared" si="5"/>
        <v/>
      </c>
      <c r="N119" s="172" t="str">
        <f t="shared" si="6"/>
        <v/>
      </c>
      <c r="O119" s="172" t="str">
        <f t="shared" si="7"/>
        <v/>
      </c>
    </row>
    <row r="120" spans="11:15">
      <c r="K120" s="171" t="str">
        <f t="shared" si="4"/>
        <v/>
      </c>
      <c r="L120" s="171" t="str">
        <f>IF(E120="","",IF(COUNTIFS(Table2[[#All],[De (Lote)]],Input_APM!F120)&gt;0,INDEX(Table2[[#All],[Para (Ticker Daniel)]],MATCH(Input_APM!F120,Table2[[#All],[De (Lote)]],0)),Input_APM!F120))</f>
        <v/>
      </c>
      <c r="M120" s="171" t="str">
        <f t="shared" si="5"/>
        <v/>
      </c>
      <c r="N120" s="172" t="str">
        <f t="shared" si="6"/>
        <v/>
      </c>
      <c r="O120" s="172" t="str">
        <f t="shared" si="7"/>
        <v/>
      </c>
    </row>
    <row r="121" spans="11:15">
      <c r="K121" s="171" t="str">
        <f t="shared" si="4"/>
        <v/>
      </c>
      <c r="L121" s="171" t="str">
        <f>IF(E121="","",IF(COUNTIFS(Table2[[#All],[De (Lote)]],Input_APM!F121)&gt;0,INDEX(Table2[[#All],[Para (Ticker Daniel)]],MATCH(Input_APM!F121,Table2[[#All],[De (Lote)]],0)),Input_APM!F121))</f>
        <v/>
      </c>
      <c r="M121" s="171" t="str">
        <f t="shared" si="5"/>
        <v/>
      </c>
      <c r="N121" s="172" t="str">
        <f t="shared" si="6"/>
        <v/>
      </c>
      <c r="O121" s="172" t="str">
        <f t="shared" si="7"/>
        <v/>
      </c>
    </row>
    <row r="122" spans="11:15">
      <c r="K122" s="171" t="str">
        <f t="shared" si="4"/>
        <v/>
      </c>
      <c r="L122" s="171" t="str">
        <f>IF(E122="","",IF(COUNTIFS(Table2[[#All],[De (Lote)]],Input_APM!F122)&gt;0,INDEX(Table2[[#All],[Para (Ticker Daniel)]],MATCH(Input_APM!F122,Table2[[#All],[De (Lote)]],0)),Input_APM!F122))</f>
        <v/>
      </c>
      <c r="M122" s="171" t="str">
        <f t="shared" si="5"/>
        <v/>
      </c>
      <c r="N122" s="172" t="str">
        <f t="shared" si="6"/>
        <v/>
      </c>
      <c r="O122" s="172" t="str">
        <f t="shared" si="7"/>
        <v/>
      </c>
    </row>
    <row r="123" spans="11:15">
      <c r="K123" s="171" t="str">
        <f t="shared" si="4"/>
        <v/>
      </c>
      <c r="L123" s="171" t="str">
        <f>IF(E123="","",IF(COUNTIFS(Table2[[#All],[De (Lote)]],Input_APM!F123)&gt;0,INDEX(Table2[[#All],[Para (Ticker Daniel)]],MATCH(Input_APM!F123,Table2[[#All],[De (Lote)]],0)),Input_APM!F123))</f>
        <v/>
      </c>
      <c r="M123" s="171" t="str">
        <f t="shared" si="5"/>
        <v/>
      </c>
      <c r="N123" s="172" t="str">
        <f t="shared" si="6"/>
        <v/>
      </c>
      <c r="O123" s="172" t="str">
        <f t="shared" si="7"/>
        <v/>
      </c>
    </row>
    <row r="124" spans="11:15">
      <c r="K124" s="171" t="str">
        <f t="shared" si="4"/>
        <v/>
      </c>
      <c r="L124" s="171" t="str">
        <f>IF(E124="","",IF(COUNTIFS(Table2[[#All],[De (Lote)]],Input_APM!F124)&gt;0,INDEX(Table2[[#All],[Para (Ticker Daniel)]],MATCH(Input_APM!F124,Table2[[#All],[De (Lote)]],0)),Input_APM!F124))</f>
        <v/>
      </c>
      <c r="M124" s="171" t="str">
        <f t="shared" si="5"/>
        <v/>
      </c>
      <c r="N124" s="172" t="str">
        <f t="shared" si="6"/>
        <v/>
      </c>
      <c r="O124" s="172" t="str">
        <f t="shared" si="7"/>
        <v/>
      </c>
    </row>
    <row r="125" spans="11:15">
      <c r="K125" s="171" t="str">
        <f t="shared" si="4"/>
        <v/>
      </c>
      <c r="L125" s="171" t="str">
        <f>IF(E125="","",IF(COUNTIFS(Table2[[#All],[De (Lote)]],Input_APM!F125)&gt;0,INDEX(Table2[[#All],[Para (Ticker Daniel)]],MATCH(Input_APM!F125,Table2[[#All],[De (Lote)]],0)),Input_APM!F125))</f>
        <v/>
      </c>
      <c r="M125" s="171" t="str">
        <f t="shared" si="5"/>
        <v/>
      </c>
      <c r="N125" s="172" t="str">
        <f t="shared" si="6"/>
        <v/>
      </c>
      <c r="O125" s="172" t="str">
        <f t="shared" si="7"/>
        <v/>
      </c>
    </row>
    <row r="126" spans="11:15">
      <c r="K126" s="171" t="str">
        <f t="shared" si="4"/>
        <v/>
      </c>
      <c r="L126" s="171" t="str">
        <f>IF(E126="","",IF(COUNTIFS(Table2[[#All],[De (Lote)]],Input_APM!F126)&gt;0,INDEX(Table2[[#All],[Para (Ticker Daniel)]],MATCH(Input_APM!F126,Table2[[#All],[De (Lote)]],0)),Input_APM!F126))</f>
        <v/>
      </c>
      <c r="M126" s="171" t="str">
        <f t="shared" si="5"/>
        <v/>
      </c>
      <c r="N126" s="172" t="str">
        <f t="shared" si="6"/>
        <v/>
      </c>
      <c r="O126" s="172" t="str">
        <f t="shared" si="7"/>
        <v/>
      </c>
    </row>
    <row r="127" spans="11:15">
      <c r="K127" s="171" t="str">
        <f t="shared" si="4"/>
        <v/>
      </c>
      <c r="L127" s="171" t="str">
        <f>IF(E127="","",IF(COUNTIFS(Table2[[#All],[De (Lote)]],Input_APM!F127)&gt;0,INDEX(Table2[[#All],[Para (Ticker Daniel)]],MATCH(Input_APM!F127,Table2[[#All],[De (Lote)]],0)),Input_APM!F127))</f>
        <v/>
      </c>
      <c r="M127" s="171" t="str">
        <f t="shared" si="5"/>
        <v/>
      </c>
      <c r="N127" s="172" t="str">
        <f t="shared" si="6"/>
        <v/>
      </c>
      <c r="O127" s="172" t="str">
        <f t="shared" si="7"/>
        <v/>
      </c>
    </row>
    <row r="128" spans="11:15">
      <c r="K128" s="171" t="str">
        <f t="shared" si="4"/>
        <v/>
      </c>
      <c r="L128" s="171" t="str">
        <f>IF(E128="","",IF(COUNTIFS(Table2[[#All],[De (Lote)]],Input_APM!F128)&gt;0,INDEX(Table2[[#All],[Para (Ticker Daniel)]],MATCH(Input_APM!F128,Table2[[#All],[De (Lote)]],0)),Input_APM!F128))</f>
        <v/>
      </c>
      <c r="M128" s="171" t="str">
        <f t="shared" si="5"/>
        <v/>
      </c>
      <c r="N128" s="172" t="str">
        <f t="shared" si="6"/>
        <v/>
      </c>
      <c r="O128" s="172" t="str">
        <f t="shared" si="7"/>
        <v/>
      </c>
    </row>
    <row r="129" spans="11:15">
      <c r="K129" s="171" t="str">
        <f t="shared" si="4"/>
        <v/>
      </c>
      <c r="L129" s="171" t="str">
        <f>IF(E129="","",IF(COUNTIFS(Table2[[#All],[De (Lote)]],Input_APM!F129)&gt;0,INDEX(Table2[[#All],[Para (Ticker Daniel)]],MATCH(Input_APM!F129,Table2[[#All],[De (Lote)]],0)),Input_APM!F129))</f>
        <v/>
      </c>
      <c r="M129" s="171" t="str">
        <f t="shared" si="5"/>
        <v/>
      </c>
      <c r="N129" s="172" t="str">
        <f t="shared" si="6"/>
        <v/>
      </c>
      <c r="O129" s="172" t="str">
        <f t="shared" si="7"/>
        <v/>
      </c>
    </row>
    <row r="130" spans="11:15">
      <c r="K130" s="171" t="str">
        <f t="shared" si="4"/>
        <v/>
      </c>
      <c r="L130" s="171" t="str">
        <f>IF(E130="","",IF(COUNTIFS(Table2[[#All],[De (Lote)]],Input_APM!F130)&gt;0,INDEX(Table2[[#All],[Para (Ticker Daniel)]],MATCH(Input_APM!F130,Table2[[#All],[De (Lote)]],0)),Input_APM!F130))</f>
        <v/>
      </c>
      <c r="M130" s="171" t="str">
        <f t="shared" si="5"/>
        <v/>
      </c>
      <c r="N130" s="172" t="str">
        <f t="shared" si="6"/>
        <v/>
      </c>
      <c r="O130" s="172" t="str">
        <f t="shared" si="7"/>
        <v/>
      </c>
    </row>
    <row r="131" spans="11:15">
      <c r="K131" s="171" t="str">
        <f t="shared" ref="K131:K148" si="8">IF(E131="","",E131)</f>
        <v/>
      </c>
      <c r="L131" s="171" t="str">
        <f>IF(E131="","",IF(COUNTIFS(Table2[[#All],[De (Lote)]],Input_APM!F131)&gt;0,INDEX(Table2[[#All],[Para (Ticker Daniel)]],MATCH(Input_APM!F131,Table2[[#All],[De (Lote)]],0)),Input_APM!F131))</f>
        <v/>
      </c>
      <c r="M131" s="171" t="str">
        <f t="shared" ref="M131:M148" si="9">IF(E131="","",G131)</f>
        <v/>
      </c>
      <c r="N131" s="172" t="str">
        <f t="shared" ref="N131:N148" si="10">IF(E131="","",H131)</f>
        <v/>
      </c>
      <c r="O131" s="172" t="str">
        <f t="shared" ref="O131:O148" si="11">IF(E131="","",I131)</f>
        <v/>
      </c>
    </row>
    <row r="132" spans="11:15">
      <c r="K132" s="171" t="str">
        <f t="shared" si="8"/>
        <v/>
      </c>
      <c r="L132" s="171" t="str">
        <f>IF(E132="","",IF(COUNTIFS(Table2[[#All],[De (Lote)]],Input_APM!F132)&gt;0,INDEX(Table2[[#All],[Para (Ticker Daniel)]],MATCH(Input_APM!F132,Table2[[#All],[De (Lote)]],0)),Input_APM!F132))</f>
        <v/>
      </c>
      <c r="M132" s="171" t="str">
        <f t="shared" si="9"/>
        <v/>
      </c>
      <c r="N132" s="172" t="str">
        <f t="shared" si="10"/>
        <v/>
      </c>
      <c r="O132" s="172" t="str">
        <f t="shared" si="11"/>
        <v/>
      </c>
    </row>
    <row r="133" spans="11:15">
      <c r="K133" s="171" t="str">
        <f t="shared" si="8"/>
        <v/>
      </c>
      <c r="L133" s="171" t="str">
        <f>IF(E133="","",IF(COUNTIFS(Table2[[#All],[De (Lote)]],Input_APM!F133)&gt;0,INDEX(Table2[[#All],[Para (Ticker Daniel)]],MATCH(Input_APM!F133,Table2[[#All],[De (Lote)]],0)),Input_APM!F133))</f>
        <v/>
      </c>
      <c r="M133" s="171" t="str">
        <f t="shared" si="9"/>
        <v/>
      </c>
      <c r="N133" s="172" t="str">
        <f t="shared" si="10"/>
        <v/>
      </c>
      <c r="O133" s="172" t="str">
        <f t="shared" si="11"/>
        <v/>
      </c>
    </row>
    <row r="134" spans="11:15">
      <c r="K134" s="171" t="str">
        <f t="shared" si="8"/>
        <v/>
      </c>
      <c r="L134" s="171" t="str">
        <f>IF(E134="","",IF(COUNTIFS(Table2[[#All],[De (Lote)]],Input_APM!F134)&gt;0,INDEX(Table2[[#All],[Para (Ticker Daniel)]],MATCH(Input_APM!F134,Table2[[#All],[De (Lote)]],0)),Input_APM!F134))</f>
        <v/>
      </c>
      <c r="M134" s="171" t="str">
        <f t="shared" si="9"/>
        <v/>
      </c>
      <c r="N134" s="172" t="str">
        <f t="shared" si="10"/>
        <v/>
      </c>
      <c r="O134" s="172" t="str">
        <f t="shared" si="11"/>
        <v/>
      </c>
    </row>
    <row r="135" spans="11:15">
      <c r="K135" s="171" t="str">
        <f t="shared" si="8"/>
        <v/>
      </c>
      <c r="L135" s="171" t="str">
        <f>IF(E135="","",IF(COUNTIFS(Table2[[#All],[De (Lote)]],Input_APM!F135)&gt;0,INDEX(Table2[[#All],[Para (Ticker Daniel)]],MATCH(Input_APM!F135,Table2[[#All],[De (Lote)]],0)),Input_APM!F135))</f>
        <v/>
      </c>
      <c r="M135" s="171" t="str">
        <f t="shared" si="9"/>
        <v/>
      </c>
      <c r="N135" s="172" t="str">
        <f t="shared" si="10"/>
        <v/>
      </c>
      <c r="O135" s="172" t="str">
        <f t="shared" si="11"/>
        <v/>
      </c>
    </row>
    <row r="136" spans="11:15">
      <c r="K136" s="171" t="str">
        <f t="shared" si="8"/>
        <v/>
      </c>
      <c r="L136" s="171" t="str">
        <f>IF(E136="","",IF(COUNTIFS(Table2[[#All],[De (Lote)]],Input_APM!F136)&gt;0,INDEX(Table2[[#All],[Para (Ticker Daniel)]],MATCH(Input_APM!F136,Table2[[#All],[De (Lote)]],0)),Input_APM!F136))</f>
        <v/>
      </c>
      <c r="M136" s="171" t="str">
        <f t="shared" si="9"/>
        <v/>
      </c>
      <c r="N136" s="172" t="str">
        <f t="shared" si="10"/>
        <v/>
      </c>
      <c r="O136" s="172" t="str">
        <f t="shared" si="11"/>
        <v/>
      </c>
    </row>
    <row r="137" spans="11:15">
      <c r="K137" s="171" t="str">
        <f t="shared" si="8"/>
        <v/>
      </c>
      <c r="L137" s="171" t="str">
        <f>IF(E137="","",IF(COUNTIFS(Table2[[#All],[De (Lote)]],Input_APM!F137)&gt;0,INDEX(Table2[[#All],[Para (Ticker Daniel)]],MATCH(Input_APM!F137,Table2[[#All],[De (Lote)]],0)),Input_APM!F137))</f>
        <v/>
      </c>
      <c r="M137" s="171" t="str">
        <f t="shared" si="9"/>
        <v/>
      </c>
      <c r="N137" s="172" t="str">
        <f t="shared" si="10"/>
        <v/>
      </c>
      <c r="O137" s="172" t="str">
        <f t="shared" si="11"/>
        <v/>
      </c>
    </row>
    <row r="138" spans="11:15">
      <c r="K138" s="171" t="str">
        <f t="shared" si="8"/>
        <v/>
      </c>
      <c r="L138" s="171" t="str">
        <f>IF(E138="","",IF(COUNTIFS(Table2[[#All],[De (Lote)]],Input_APM!F138)&gt;0,INDEX(Table2[[#All],[Para (Ticker Daniel)]],MATCH(Input_APM!F138,Table2[[#All],[De (Lote)]],0)),Input_APM!F138))</f>
        <v/>
      </c>
      <c r="M138" s="171" t="str">
        <f t="shared" si="9"/>
        <v/>
      </c>
      <c r="N138" s="172" t="str">
        <f t="shared" si="10"/>
        <v/>
      </c>
      <c r="O138" s="172" t="str">
        <f t="shared" si="11"/>
        <v/>
      </c>
    </row>
    <row r="139" spans="11:15">
      <c r="K139" s="171" t="str">
        <f t="shared" si="8"/>
        <v/>
      </c>
      <c r="L139" s="171" t="str">
        <f>IF(E139="","",IF(COUNTIFS(Table2[[#All],[De (Lote)]],Input_APM!F139)&gt;0,INDEX(Table2[[#All],[Para (Ticker Daniel)]],MATCH(Input_APM!F139,Table2[[#All],[De (Lote)]],0)),Input_APM!F139))</f>
        <v/>
      </c>
      <c r="M139" s="171" t="str">
        <f t="shared" si="9"/>
        <v/>
      </c>
      <c r="N139" s="172" t="str">
        <f t="shared" si="10"/>
        <v/>
      </c>
      <c r="O139" s="172" t="str">
        <f t="shared" si="11"/>
        <v/>
      </c>
    </row>
    <row r="140" spans="11:15">
      <c r="K140" s="171" t="str">
        <f t="shared" si="8"/>
        <v/>
      </c>
      <c r="L140" s="171" t="str">
        <f>IF(E140="","",IF(COUNTIFS(Table2[[#All],[De (Lote)]],Input_APM!F140)&gt;0,INDEX(Table2[[#All],[Para (Ticker Daniel)]],MATCH(Input_APM!F140,Table2[[#All],[De (Lote)]],0)),Input_APM!F140))</f>
        <v/>
      </c>
      <c r="M140" s="171" t="str">
        <f t="shared" si="9"/>
        <v/>
      </c>
      <c r="N140" s="172" t="str">
        <f t="shared" si="10"/>
        <v/>
      </c>
      <c r="O140" s="172" t="str">
        <f t="shared" si="11"/>
        <v/>
      </c>
    </row>
    <row r="141" spans="11:15">
      <c r="K141" s="171" t="str">
        <f t="shared" si="8"/>
        <v/>
      </c>
      <c r="L141" s="171" t="str">
        <f>IF(E141="","",IF(COUNTIFS(Table2[[#All],[De (Lote)]],Input_APM!F141)&gt;0,INDEX(Table2[[#All],[Para (Ticker Daniel)]],MATCH(Input_APM!F141,Table2[[#All],[De (Lote)]],0)),Input_APM!F141))</f>
        <v/>
      </c>
      <c r="M141" s="171" t="str">
        <f t="shared" si="9"/>
        <v/>
      </c>
      <c r="N141" s="172" t="str">
        <f t="shared" si="10"/>
        <v/>
      </c>
      <c r="O141" s="172" t="str">
        <f t="shared" si="11"/>
        <v/>
      </c>
    </row>
    <row r="142" spans="11:15">
      <c r="K142" s="171" t="str">
        <f t="shared" si="8"/>
        <v/>
      </c>
      <c r="L142" s="171" t="str">
        <f>IF(E142="","",IF(COUNTIFS(Table2[[#All],[De (Lote)]],Input_APM!F142)&gt;0,INDEX(Table2[[#All],[Para (Ticker Daniel)]],MATCH(Input_APM!F142,Table2[[#All],[De (Lote)]],0)),Input_APM!F142))</f>
        <v/>
      </c>
      <c r="M142" s="171" t="str">
        <f t="shared" si="9"/>
        <v/>
      </c>
      <c r="N142" s="172" t="str">
        <f t="shared" si="10"/>
        <v/>
      </c>
      <c r="O142" s="172" t="str">
        <f t="shared" si="11"/>
        <v/>
      </c>
    </row>
    <row r="143" spans="11:15">
      <c r="K143" s="171" t="str">
        <f t="shared" si="8"/>
        <v/>
      </c>
      <c r="L143" s="171" t="str">
        <f>IF(E143="","",IF(COUNTIFS(Table2[[#All],[De (Lote)]],Input_APM!F143)&gt;0,INDEX(Table2[[#All],[Para (Ticker Daniel)]],MATCH(Input_APM!F143,Table2[[#All],[De (Lote)]],0)),Input_APM!F143))</f>
        <v/>
      </c>
      <c r="M143" s="171" t="str">
        <f t="shared" si="9"/>
        <v/>
      </c>
      <c r="N143" s="172" t="str">
        <f t="shared" si="10"/>
        <v/>
      </c>
      <c r="O143" s="172" t="str">
        <f t="shared" si="11"/>
        <v/>
      </c>
    </row>
    <row r="144" spans="11:15">
      <c r="K144" s="171" t="str">
        <f t="shared" si="8"/>
        <v/>
      </c>
      <c r="L144" s="171" t="str">
        <f>IF(E144="","",IF(COUNTIFS(Table2[[#All],[De (Lote)]],Input_APM!F144)&gt;0,INDEX(Table2[[#All],[Para (Ticker Daniel)]],MATCH(Input_APM!F144,Table2[[#All],[De (Lote)]],0)),Input_APM!F144))</f>
        <v/>
      </c>
      <c r="M144" s="171" t="str">
        <f t="shared" si="9"/>
        <v/>
      </c>
      <c r="N144" s="172" t="str">
        <f t="shared" si="10"/>
        <v/>
      </c>
      <c r="O144" s="172" t="str">
        <f t="shared" si="11"/>
        <v/>
      </c>
    </row>
    <row r="145" spans="11:15">
      <c r="K145" s="171" t="str">
        <f t="shared" si="8"/>
        <v/>
      </c>
      <c r="L145" s="171" t="str">
        <f>IF(E145="","",IF(COUNTIFS(Table2[[#All],[De (Lote)]],Input_APM!F145)&gt;0,INDEX(Table2[[#All],[Para (Ticker Daniel)]],MATCH(Input_APM!F145,Table2[[#All],[De (Lote)]],0)),Input_APM!F145))</f>
        <v/>
      </c>
      <c r="M145" s="171" t="str">
        <f t="shared" si="9"/>
        <v/>
      </c>
      <c r="N145" s="172" t="str">
        <f t="shared" si="10"/>
        <v/>
      </c>
      <c r="O145" s="172" t="str">
        <f t="shared" si="11"/>
        <v/>
      </c>
    </row>
    <row r="146" spans="11:15">
      <c r="K146" s="171" t="str">
        <f t="shared" si="8"/>
        <v/>
      </c>
      <c r="L146" s="171" t="str">
        <f>IF(E146="","",IF(COUNTIFS(Table2[[#All],[De (Lote)]],Input_APM!F146)&gt;0,INDEX(Table2[[#All],[Para (Ticker Daniel)]],MATCH(Input_APM!F146,Table2[[#All],[De (Lote)]],0)),Input_APM!F146))</f>
        <v/>
      </c>
      <c r="M146" s="171" t="str">
        <f t="shared" si="9"/>
        <v/>
      </c>
      <c r="N146" s="172" t="str">
        <f t="shared" si="10"/>
        <v/>
      </c>
      <c r="O146" s="172" t="str">
        <f t="shared" si="11"/>
        <v/>
      </c>
    </row>
    <row r="147" spans="11:15">
      <c r="K147" s="171" t="str">
        <f t="shared" si="8"/>
        <v/>
      </c>
      <c r="L147" s="171" t="str">
        <f>IF(E147="","",IF(COUNTIFS(Table2[[#All],[De (Lote)]],Input_APM!F147)&gt;0,INDEX(Table2[[#All],[Para (Ticker Daniel)]],MATCH(Input_APM!F147,Table2[[#All],[De (Lote)]],0)),Input_APM!F147))</f>
        <v/>
      </c>
      <c r="M147" s="171" t="str">
        <f t="shared" si="9"/>
        <v/>
      </c>
      <c r="N147" s="172" t="str">
        <f t="shared" si="10"/>
        <v/>
      </c>
      <c r="O147" s="172" t="str">
        <f t="shared" si="11"/>
        <v/>
      </c>
    </row>
    <row r="148" spans="11:15">
      <c r="K148" s="171" t="str">
        <f t="shared" si="8"/>
        <v/>
      </c>
      <c r="L148" s="171" t="str">
        <f>IF(E148="","",IF(COUNTIFS(Table2[[#All],[De (Lote)]],Input_APM!F148)&gt;0,INDEX(Table2[[#All],[Para (Ticker Daniel)]],MATCH(Input_APM!F148,Table2[[#All],[De (Lote)]],0)),Input_APM!F148))</f>
        <v/>
      </c>
      <c r="M148" s="171" t="str">
        <f t="shared" si="9"/>
        <v/>
      </c>
      <c r="N148" s="172" t="str">
        <f t="shared" si="10"/>
        <v/>
      </c>
      <c r="O148" s="172" t="str">
        <f t="shared" si="11"/>
        <v/>
      </c>
    </row>
    <row r="149" spans="11:15">
      <c r="K149" s="171" t="str">
        <f t="shared" ref="K149:K207" si="12">IF(E149="","",E149)</f>
        <v/>
      </c>
      <c r="L149" s="171" t="str">
        <f>IF(E149="","",IF(COUNTIFS(Table2[[#All],[De (Lote)]],Input_APM!F149)&gt;0,INDEX(Table2[[#All],[Para (Ticker Daniel)]],MATCH(Input_APM!F149,Table2[[#All],[De (Lote)]],0)),Input_APM!F149))</f>
        <v/>
      </c>
      <c r="M149" s="171" t="str">
        <f t="shared" ref="M149:M207" si="13">IF(E149="","",G149)</f>
        <v/>
      </c>
      <c r="N149" s="172" t="str">
        <f t="shared" ref="N149:N207" si="14">IF(E149="","",H149)</f>
        <v/>
      </c>
      <c r="O149" s="172" t="str">
        <f t="shared" ref="O149:O207" si="15">IF(E149="","",I149)</f>
        <v/>
      </c>
    </row>
    <row r="150" spans="11:15">
      <c r="K150" s="171" t="str">
        <f t="shared" si="12"/>
        <v/>
      </c>
      <c r="L150" s="171" t="str">
        <f>IF(E150="","",IF(COUNTIFS(Table2[[#All],[De (Lote)]],Input_APM!F150)&gt;0,INDEX(Table2[[#All],[Para (Ticker Daniel)]],MATCH(Input_APM!F150,Table2[[#All],[De (Lote)]],0)),Input_APM!F150))</f>
        <v/>
      </c>
      <c r="M150" s="171" t="str">
        <f t="shared" si="13"/>
        <v/>
      </c>
      <c r="N150" s="172" t="str">
        <f t="shared" si="14"/>
        <v/>
      </c>
      <c r="O150" s="172" t="str">
        <f t="shared" si="15"/>
        <v/>
      </c>
    </row>
    <row r="151" spans="11:15">
      <c r="K151" s="171" t="str">
        <f t="shared" si="12"/>
        <v/>
      </c>
      <c r="L151" s="171" t="str">
        <f>IF(E151="","",IF(COUNTIFS(Table2[[#All],[De (Lote)]],Input_APM!F151)&gt;0,INDEX(Table2[[#All],[Para (Ticker Daniel)]],MATCH(Input_APM!F151,Table2[[#All],[De (Lote)]],0)),Input_APM!F151))</f>
        <v/>
      </c>
      <c r="M151" s="171" t="str">
        <f t="shared" si="13"/>
        <v/>
      </c>
      <c r="N151" s="172" t="str">
        <f t="shared" si="14"/>
        <v/>
      </c>
      <c r="O151" s="172" t="str">
        <f t="shared" si="15"/>
        <v/>
      </c>
    </row>
    <row r="152" spans="11:15">
      <c r="K152" s="171" t="str">
        <f t="shared" si="12"/>
        <v/>
      </c>
      <c r="L152" s="171" t="str">
        <f>IF(E152="","",IF(COUNTIFS(Table2[[#All],[De (Lote)]],Input_APM!F152)&gt;0,INDEX(Table2[[#All],[Para (Ticker Daniel)]],MATCH(Input_APM!F152,Table2[[#All],[De (Lote)]],0)),Input_APM!F152))</f>
        <v/>
      </c>
      <c r="M152" s="171" t="str">
        <f t="shared" si="13"/>
        <v/>
      </c>
      <c r="N152" s="172" t="str">
        <f t="shared" si="14"/>
        <v/>
      </c>
      <c r="O152" s="172" t="str">
        <f t="shared" si="15"/>
        <v/>
      </c>
    </row>
    <row r="153" spans="11:15">
      <c r="K153" s="171" t="str">
        <f t="shared" si="12"/>
        <v/>
      </c>
      <c r="L153" s="171" t="str">
        <f>IF(E153="","",IF(COUNTIFS(Table2[[#All],[De (Lote)]],Input_APM!F153)&gt;0,INDEX(Table2[[#All],[Para (Ticker Daniel)]],MATCH(Input_APM!F153,Table2[[#All],[De (Lote)]],0)),Input_APM!F153))</f>
        <v/>
      </c>
      <c r="M153" s="171" t="str">
        <f t="shared" si="13"/>
        <v/>
      </c>
      <c r="N153" s="172" t="str">
        <f t="shared" si="14"/>
        <v/>
      </c>
      <c r="O153" s="172" t="str">
        <f t="shared" si="15"/>
        <v/>
      </c>
    </row>
    <row r="154" spans="11:15">
      <c r="K154" s="171" t="str">
        <f t="shared" si="12"/>
        <v/>
      </c>
      <c r="L154" s="171" t="str">
        <f>IF(E154="","",IF(COUNTIFS(Table2[[#All],[De (Lote)]],Input_APM!F154)&gt;0,INDEX(Table2[[#All],[Para (Ticker Daniel)]],MATCH(Input_APM!F154,Table2[[#All],[De (Lote)]],0)),Input_APM!F154))</f>
        <v/>
      </c>
      <c r="M154" s="171" t="str">
        <f t="shared" si="13"/>
        <v/>
      </c>
      <c r="N154" s="172" t="str">
        <f t="shared" si="14"/>
        <v/>
      </c>
      <c r="O154" s="172" t="str">
        <f t="shared" si="15"/>
        <v/>
      </c>
    </row>
    <row r="155" spans="11:15">
      <c r="K155" s="171" t="str">
        <f t="shared" si="12"/>
        <v/>
      </c>
      <c r="L155" s="171" t="str">
        <f>IF(E155="","",IF(COUNTIFS(Table2[[#All],[De (Lote)]],Input_APM!F155)&gt;0,INDEX(Table2[[#All],[Para (Ticker Daniel)]],MATCH(Input_APM!F155,Table2[[#All],[De (Lote)]],0)),Input_APM!F155))</f>
        <v/>
      </c>
      <c r="M155" s="171" t="str">
        <f t="shared" si="13"/>
        <v/>
      </c>
      <c r="N155" s="172" t="str">
        <f t="shared" si="14"/>
        <v/>
      </c>
      <c r="O155" s="172" t="str">
        <f t="shared" si="15"/>
        <v/>
      </c>
    </row>
    <row r="156" spans="11:15">
      <c r="K156" s="171" t="str">
        <f t="shared" si="12"/>
        <v/>
      </c>
      <c r="L156" s="171" t="str">
        <f>IF(E156="","",IF(COUNTIFS(Table2[[#All],[De (Lote)]],Input_APM!F156)&gt;0,INDEX(Table2[[#All],[Para (Ticker Daniel)]],MATCH(Input_APM!F156,Table2[[#All],[De (Lote)]],0)),Input_APM!F156))</f>
        <v/>
      </c>
      <c r="M156" s="171" t="str">
        <f t="shared" si="13"/>
        <v/>
      </c>
      <c r="N156" s="172" t="str">
        <f t="shared" si="14"/>
        <v/>
      </c>
      <c r="O156" s="172" t="str">
        <f t="shared" si="15"/>
        <v/>
      </c>
    </row>
    <row r="157" spans="11:15">
      <c r="K157" s="171" t="str">
        <f t="shared" si="12"/>
        <v/>
      </c>
      <c r="L157" s="171" t="str">
        <f>IF(E157="","",IF(COUNTIFS(Table2[[#All],[De (Lote)]],Input_APM!F157)&gt;0,INDEX(Table2[[#All],[Para (Ticker Daniel)]],MATCH(Input_APM!F157,Table2[[#All],[De (Lote)]],0)),Input_APM!F157))</f>
        <v/>
      </c>
      <c r="M157" s="171" t="str">
        <f t="shared" si="13"/>
        <v/>
      </c>
      <c r="N157" s="172" t="str">
        <f t="shared" si="14"/>
        <v/>
      </c>
      <c r="O157" s="172" t="str">
        <f t="shared" si="15"/>
        <v/>
      </c>
    </row>
    <row r="158" spans="11:15">
      <c r="K158" s="171" t="str">
        <f t="shared" si="12"/>
        <v/>
      </c>
      <c r="L158" s="171" t="str">
        <f>IF(E158="","",IF(COUNTIFS(Table2[[#All],[De (Lote)]],Input_APM!F158)&gt;0,INDEX(Table2[[#All],[Para (Ticker Daniel)]],MATCH(Input_APM!F158,Table2[[#All],[De (Lote)]],0)),Input_APM!F158))</f>
        <v/>
      </c>
      <c r="M158" s="171" t="str">
        <f t="shared" si="13"/>
        <v/>
      </c>
      <c r="N158" s="172" t="str">
        <f t="shared" si="14"/>
        <v/>
      </c>
      <c r="O158" s="172" t="str">
        <f t="shared" si="15"/>
        <v/>
      </c>
    </row>
    <row r="159" spans="11:15">
      <c r="K159" s="171" t="str">
        <f t="shared" si="12"/>
        <v/>
      </c>
      <c r="L159" s="171" t="str">
        <f>IF(E159="","",IF(COUNTIFS(Table2[[#All],[De (Lote)]],Input_APM!F159)&gt;0,INDEX(Table2[[#All],[Para (Ticker Daniel)]],MATCH(Input_APM!F159,Table2[[#All],[De (Lote)]],0)),Input_APM!F159))</f>
        <v/>
      </c>
      <c r="M159" s="171" t="str">
        <f t="shared" si="13"/>
        <v/>
      </c>
      <c r="N159" s="172" t="str">
        <f t="shared" si="14"/>
        <v/>
      </c>
      <c r="O159" s="172" t="str">
        <f t="shared" si="15"/>
        <v/>
      </c>
    </row>
    <row r="160" spans="11:15">
      <c r="K160" s="171" t="str">
        <f t="shared" si="12"/>
        <v/>
      </c>
      <c r="L160" s="171" t="str">
        <f>IF(E160="","",IF(COUNTIFS(Table2[[#All],[De (Lote)]],Input_APM!F160)&gt;0,INDEX(Table2[[#All],[Para (Ticker Daniel)]],MATCH(Input_APM!F160,Table2[[#All],[De (Lote)]],0)),Input_APM!F160))</f>
        <v/>
      </c>
      <c r="M160" s="171" t="str">
        <f t="shared" si="13"/>
        <v/>
      </c>
      <c r="N160" s="172" t="str">
        <f t="shared" si="14"/>
        <v/>
      </c>
      <c r="O160" s="172" t="str">
        <f t="shared" si="15"/>
        <v/>
      </c>
    </row>
    <row r="161" spans="11:15">
      <c r="K161" s="171" t="str">
        <f t="shared" si="12"/>
        <v/>
      </c>
      <c r="L161" s="171" t="str">
        <f>IF(E161="","",IF(COUNTIFS(Table2[[#All],[De (Lote)]],Input_APM!F161)&gt;0,INDEX(Table2[[#All],[Para (Ticker Daniel)]],MATCH(Input_APM!F161,Table2[[#All],[De (Lote)]],0)),Input_APM!F161))</f>
        <v/>
      </c>
      <c r="M161" s="171" t="str">
        <f t="shared" si="13"/>
        <v/>
      </c>
      <c r="N161" s="172" t="str">
        <f t="shared" si="14"/>
        <v/>
      </c>
      <c r="O161" s="172" t="str">
        <f t="shared" si="15"/>
        <v/>
      </c>
    </row>
    <row r="162" spans="11:15">
      <c r="K162" s="171" t="str">
        <f t="shared" si="12"/>
        <v/>
      </c>
      <c r="L162" s="171" t="str">
        <f>IF(E162="","",IF(COUNTIFS(Table2[[#All],[De (Lote)]],Input_APM!F162)&gt;0,INDEX(Table2[[#All],[Para (Ticker Daniel)]],MATCH(Input_APM!F162,Table2[[#All],[De (Lote)]],0)),Input_APM!F162))</f>
        <v/>
      </c>
      <c r="M162" s="171" t="str">
        <f t="shared" si="13"/>
        <v/>
      </c>
      <c r="N162" s="172" t="str">
        <f t="shared" si="14"/>
        <v/>
      </c>
      <c r="O162" s="172" t="str">
        <f t="shared" si="15"/>
        <v/>
      </c>
    </row>
    <row r="163" spans="11:15">
      <c r="K163" s="171" t="str">
        <f t="shared" si="12"/>
        <v/>
      </c>
      <c r="L163" s="171" t="str">
        <f>IF(E163="","",IF(COUNTIFS(Table2[[#All],[De (Lote)]],Input_APM!F163)&gt;0,INDEX(Table2[[#All],[Para (Ticker Daniel)]],MATCH(Input_APM!F163,Table2[[#All],[De (Lote)]],0)),Input_APM!F163))</f>
        <v/>
      </c>
      <c r="M163" s="171" t="str">
        <f t="shared" si="13"/>
        <v/>
      </c>
      <c r="N163" s="172" t="str">
        <f t="shared" si="14"/>
        <v/>
      </c>
      <c r="O163" s="172" t="str">
        <f t="shared" si="15"/>
        <v/>
      </c>
    </row>
    <row r="164" spans="11:15">
      <c r="K164" s="171" t="str">
        <f t="shared" si="12"/>
        <v/>
      </c>
      <c r="L164" s="171" t="str">
        <f>IF(E164="","",IF(COUNTIFS(Table2[[#All],[De (Lote)]],Input_APM!F164)&gt;0,INDEX(Table2[[#All],[Para (Ticker Daniel)]],MATCH(Input_APM!F164,Table2[[#All],[De (Lote)]],0)),Input_APM!F164))</f>
        <v/>
      </c>
      <c r="M164" s="171" t="str">
        <f t="shared" si="13"/>
        <v/>
      </c>
      <c r="N164" s="172" t="str">
        <f t="shared" si="14"/>
        <v/>
      </c>
      <c r="O164" s="172" t="str">
        <f t="shared" si="15"/>
        <v/>
      </c>
    </row>
    <row r="165" spans="11:15">
      <c r="K165" s="171" t="str">
        <f t="shared" si="12"/>
        <v/>
      </c>
      <c r="L165" s="171" t="str">
        <f>IF(E165="","",IF(COUNTIFS(Table2[[#All],[De (Lote)]],Input_APM!F165)&gt;0,INDEX(Table2[[#All],[Para (Ticker Daniel)]],MATCH(Input_APM!F165,Table2[[#All],[De (Lote)]],0)),Input_APM!F165))</f>
        <v/>
      </c>
      <c r="M165" s="171" t="str">
        <f t="shared" si="13"/>
        <v/>
      </c>
      <c r="N165" s="172" t="str">
        <f t="shared" si="14"/>
        <v/>
      </c>
      <c r="O165" s="172" t="str">
        <f t="shared" si="15"/>
        <v/>
      </c>
    </row>
    <row r="166" spans="11:15">
      <c r="K166" s="171" t="str">
        <f t="shared" si="12"/>
        <v/>
      </c>
      <c r="L166" s="171" t="str">
        <f>IF(E166="","",IF(COUNTIFS(Table2[[#All],[De (Lote)]],Input_APM!F166)&gt;0,INDEX(Table2[[#All],[Para (Ticker Daniel)]],MATCH(Input_APM!F166,Table2[[#All],[De (Lote)]],0)),Input_APM!F166))</f>
        <v/>
      </c>
      <c r="M166" s="171" t="str">
        <f t="shared" si="13"/>
        <v/>
      </c>
      <c r="N166" s="172" t="str">
        <f t="shared" si="14"/>
        <v/>
      </c>
      <c r="O166" s="172" t="str">
        <f t="shared" si="15"/>
        <v/>
      </c>
    </row>
    <row r="167" spans="11:15">
      <c r="K167" s="171" t="str">
        <f t="shared" si="12"/>
        <v/>
      </c>
      <c r="L167" s="171" t="str">
        <f>IF(E167="","",IF(COUNTIFS(Table2[[#All],[De (Lote)]],Input_APM!F167)&gt;0,INDEX(Table2[[#All],[Para (Ticker Daniel)]],MATCH(Input_APM!F167,Table2[[#All],[De (Lote)]],0)),Input_APM!F167))</f>
        <v/>
      </c>
      <c r="M167" s="171" t="str">
        <f t="shared" si="13"/>
        <v/>
      </c>
      <c r="N167" s="172" t="str">
        <f t="shared" si="14"/>
        <v/>
      </c>
      <c r="O167" s="172" t="str">
        <f t="shared" si="15"/>
        <v/>
      </c>
    </row>
    <row r="168" spans="11:15">
      <c r="K168" s="171" t="str">
        <f t="shared" si="12"/>
        <v/>
      </c>
      <c r="L168" s="171" t="str">
        <f>IF(E168="","",IF(COUNTIFS(Table2[[#All],[De (Lote)]],Input_APM!F168)&gt;0,INDEX(Table2[[#All],[Para (Ticker Daniel)]],MATCH(Input_APM!F168,Table2[[#All],[De (Lote)]],0)),Input_APM!F168))</f>
        <v/>
      </c>
      <c r="M168" s="171" t="str">
        <f t="shared" si="13"/>
        <v/>
      </c>
      <c r="N168" s="172" t="str">
        <f t="shared" si="14"/>
        <v/>
      </c>
      <c r="O168" s="172" t="str">
        <f t="shared" si="15"/>
        <v/>
      </c>
    </row>
    <row r="169" spans="11:15">
      <c r="K169" s="171" t="str">
        <f t="shared" si="12"/>
        <v/>
      </c>
      <c r="L169" s="171" t="str">
        <f>IF(E169="","",IF(COUNTIFS(Table2[[#All],[De (Lote)]],Input_APM!F169)&gt;0,INDEX(Table2[[#All],[Para (Ticker Daniel)]],MATCH(Input_APM!F169,Table2[[#All],[De (Lote)]],0)),Input_APM!F169))</f>
        <v/>
      </c>
      <c r="M169" s="171" t="str">
        <f t="shared" si="13"/>
        <v/>
      </c>
      <c r="N169" s="172" t="str">
        <f t="shared" si="14"/>
        <v/>
      </c>
      <c r="O169" s="172" t="str">
        <f t="shared" si="15"/>
        <v/>
      </c>
    </row>
    <row r="170" spans="11:15">
      <c r="K170" s="171" t="str">
        <f t="shared" si="12"/>
        <v/>
      </c>
      <c r="L170" s="171" t="str">
        <f>IF(E170="","",IF(COUNTIFS(Table2[[#All],[De (Lote)]],Input_APM!F170)&gt;0,INDEX(Table2[[#All],[Para (Ticker Daniel)]],MATCH(Input_APM!F170,Table2[[#All],[De (Lote)]],0)),Input_APM!F170))</f>
        <v/>
      </c>
      <c r="M170" s="171" t="str">
        <f t="shared" si="13"/>
        <v/>
      </c>
      <c r="N170" s="172" t="str">
        <f t="shared" si="14"/>
        <v/>
      </c>
      <c r="O170" s="172" t="str">
        <f t="shared" si="15"/>
        <v/>
      </c>
    </row>
    <row r="171" spans="11:15">
      <c r="K171" s="171" t="str">
        <f t="shared" si="12"/>
        <v/>
      </c>
      <c r="L171" s="171" t="str">
        <f>IF(E171="","",IF(COUNTIFS(Table2[[#All],[De (Lote)]],Input_APM!F171)&gt;0,INDEX(Table2[[#All],[Para (Ticker Daniel)]],MATCH(Input_APM!F171,Table2[[#All],[De (Lote)]],0)),Input_APM!F171))</f>
        <v/>
      </c>
      <c r="M171" s="171" t="str">
        <f t="shared" si="13"/>
        <v/>
      </c>
      <c r="N171" s="172" t="str">
        <f t="shared" si="14"/>
        <v/>
      </c>
      <c r="O171" s="172" t="str">
        <f t="shared" si="15"/>
        <v/>
      </c>
    </row>
    <row r="172" spans="11:15">
      <c r="K172" s="171" t="str">
        <f t="shared" si="12"/>
        <v/>
      </c>
      <c r="L172" s="171" t="str">
        <f>IF(E172="","",IF(COUNTIFS(Table2[[#All],[De (Lote)]],Input_APM!F172)&gt;0,INDEX(Table2[[#All],[Para (Ticker Daniel)]],MATCH(Input_APM!F172,Table2[[#All],[De (Lote)]],0)),Input_APM!F172))</f>
        <v/>
      </c>
      <c r="M172" s="171" t="str">
        <f t="shared" si="13"/>
        <v/>
      </c>
      <c r="N172" s="172" t="str">
        <f t="shared" si="14"/>
        <v/>
      </c>
      <c r="O172" s="172" t="str">
        <f t="shared" si="15"/>
        <v/>
      </c>
    </row>
    <row r="173" spans="11:15">
      <c r="K173" s="171" t="str">
        <f t="shared" si="12"/>
        <v/>
      </c>
      <c r="L173" s="171" t="str">
        <f>IF(E173="","",IF(COUNTIFS(Table2[[#All],[De (Lote)]],Input_APM!F173)&gt;0,INDEX(Table2[[#All],[Para (Ticker Daniel)]],MATCH(Input_APM!F173,Table2[[#All],[De (Lote)]],0)),Input_APM!F173))</f>
        <v/>
      </c>
      <c r="M173" s="171" t="str">
        <f t="shared" si="13"/>
        <v/>
      </c>
      <c r="N173" s="172" t="str">
        <f t="shared" si="14"/>
        <v/>
      </c>
      <c r="O173" s="172" t="str">
        <f t="shared" si="15"/>
        <v/>
      </c>
    </row>
    <row r="174" spans="11:15">
      <c r="K174" s="171" t="str">
        <f t="shared" si="12"/>
        <v/>
      </c>
      <c r="L174" s="171" t="str">
        <f>IF(E174="","",IF(COUNTIFS(Table2[[#All],[De (Lote)]],Input_APM!F174)&gt;0,INDEX(Table2[[#All],[Para (Ticker Daniel)]],MATCH(Input_APM!F174,Table2[[#All],[De (Lote)]],0)),Input_APM!F174))</f>
        <v/>
      </c>
      <c r="M174" s="171" t="str">
        <f t="shared" si="13"/>
        <v/>
      </c>
      <c r="N174" s="172" t="str">
        <f t="shared" si="14"/>
        <v/>
      </c>
      <c r="O174" s="172" t="str">
        <f t="shared" si="15"/>
        <v/>
      </c>
    </row>
    <row r="175" spans="11:15">
      <c r="K175" s="171" t="str">
        <f t="shared" si="12"/>
        <v/>
      </c>
      <c r="L175" s="171" t="str">
        <f>IF(E175="","",IF(COUNTIFS(Table2[[#All],[De (Lote)]],Input_APM!F175)&gt;0,INDEX(Table2[[#All],[Para (Ticker Daniel)]],MATCH(Input_APM!F175,Table2[[#All],[De (Lote)]],0)),Input_APM!F175))</f>
        <v/>
      </c>
      <c r="M175" s="171" t="str">
        <f t="shared" si="13"/>
        <v/>
      </c>
      <c r="N175" s="172" t="str">
        <f t="shared" si="14"/>
        <v/>
      </c>
      <c r="O175" s="172" t="str">
        <f t="shared" si="15"/>
        <v/>
      </c>
    </row>
    <row r="176" spans="11:15">
      <c r="K176" s="171" t="str">
        <f t="shared" si="12"/>
        <v/>
      </c>
      <c r="L176" s="171" t="str">
        <f>IF(E176="","",IF(COUNTIFS(Table2[[#All],[De (Lote)]],Input_APM!F176)&gt;0,INDEX(Table2[[#All],[Para (Ticker Daniel)]],MATCH(Input_APM!F176,Table2[[#All],[De (Lote)]],0)),Input_APM!F176))</f>
        <v/>
      </c>
      <c r="M176" s="171" t="str">
        <f t="shared" si="13"/>
        <v/>
      </c>
      <c r="N176" s="172" t="str">
        <f t="shared" si="14"/>
        <v/>
      </c>
      <c r="O176" s="172" t="str">
        <f t="shared" si="15"/>
        <v/>
      </c>
    </row>
    <row r="177" spans="11:15">
      <c r="K177" s="171" t="str">
        <f t="shared" si="12"/>
        <v/>
      </c>
      <c r="L177" s="171" t="str">
        <f>IF(E177="","",IF(COUNTIFS(Table2[[#All],[De (Lote)]],Input_APM!F177)&gt;0,INDEX(Table2[[#All],[Para (Ticker Daniel)]],MATCH(Input_APM!F177,Table2[[#All],[De (Lote)]],0)),Input_APM!F177))</f>
        <v/>
      </c>
      <c r="M177" s="171" t="str">
        <f t="shared" si="13"/>
        <v/>
      </c>
      <c r="N177" s="172" t="str">
        <f t="shared" si="14"/>
        <v/>
      </c>
      <c r="O177" s="172" t="str">
        <f t="shared" si="15"/>
        <v/>
      </c>
    </row>
    <row r="178" spans="11:15">
      <c r="K178" s="171" t="str">
        <f t="shared" si="12"/>
        <v/>
      </c>
      <c r="L178" s="171" t="str">
        <f>IF(E178="","",IF(COUNTIFS(Table2[[#All],[De (Lote)]],Input_APM!F178)&gt;0,INDEX(Table2[[#All],[Para (Ticker Daniel)]],MATCH(Input_APM!F178,Table2[[#All],[De (Lote)]],0)),Input_APM!F178))</f>
        <v/>
      </c>
      <c r="M178" s="171" t="str">
        <f t="shared" si="13"/>
        <v/>
      </c>
      <c r="N178" s="172" t="str">
        <f t="shared" si="14"/>
        <v/>
      </c>
      <c r="O178" s="172" t="str">
        <f t="shared" si="15"/>
        <v/>
      </c>
    </row>
    <row r="179" spans="11:15">
      <c r="K179" s="171" t="str">
        <f t="shared" si="12"/>
        <v/>
      </c>
      <c r="L179" s="171" t="str">
        <f>IF(E179="","",IF(COUNTIFS(Table2[[#All],[De (Lote)]],Input_APM!F179)&gt;0,INDEX(Table2[[#All],[Para (Ticker Daniel)]],MATCH(Input_APM!F179,Table2[[#All],[De (Lote)]],0)),Input_APM!F179))</f>
        <v/>
      </c>
      <c r="M179" s="171" t="str">
        <f t="shared" si="13"/>
        <v/>
      </c>
      <c r="N179" s="172" t="str">
        <f t="shared" si="14"/>
        <v/>
      </c>
      <c r="O179" s="172" t="str">
        <f t="shared" si="15"/>
        <v/>
      </c>
    </row>
    <row r="180" spans="11:15">
      <c r="K180" s="171" t="str">
        <f t="shared" si="12"/>
        <v/>
      </c>
      <c r="L180" s="171" t="str">
        <f>IF(E180="","",IF(COUNTIFS(Table2[[#All],[De (Lote)]],Input_APM!F180)&gt;0,INDEX(Table2[[#All],[Para (Ticker Daniel)]],MATCH(Input_APM!F180,Table2[[#All],[De (Lote)]],0)),Input_APM!F180))</f>
        <v/>
      </c>
      <c r="M180" s="171" t="str">
        <f t="shared" si="13"/>
        <v/>
      </c>
      <c r="N180" s="172" t="str">
        <f t="shared" si="14"/>
        <v/>
      </c>
      <c r="O180" s="172" t="str">
        <f t="shared" si="15"/>
        <v/>
      </c>
    </row>
    <row r="181" spans="11:15">
      <c r="K181" s="171" t="str">
        <f t="shared" si="12"/>
        <v/>
      </c>
      <c r="L181" s="171" t="str">
        <f>IF(E181="","",IF(COUNTIFS(Table2[[#All],[De (Lote)]],Input_APM!F181)&gt;0,INDEX(Table2[[#All],[Para (Ticker Daniel)]],MATCH(Input_APM!F181,Table2[[#All],[De (Lote)]],0)),Input_APM!F181))</f>
        <v/>
      </c>
      <c r="M181" s="171" t="str">
        <f t="shared" si="13"/>
        <v/>
      </c>
      <c r="N181" s="172" t="str">
        <f t="shared" si="14"/>
        <v/>
      </c>
      <c r="O181" s="172" t="str">
        <f t="shared" si="15"/>
        <v/>
      </c>
    </row>
    <row r="182" spans="11:15">
      <c r="K182" s="171" t="str">
        <f t="shared" si="12"/>
        <v/>
      </c>
      <c r="L182" s="171" t="str">
        <f>IF(E182="","",IF(COUNTIFS(Table2[[#All],[De (Lote)]],Input_APM!F182)&gt;0,INDEX(Table2[[#All],[Para (Ticker Daniel)]],MATCH(Input_APM!F182,Table2[[#All],[De (Lote)]],0)),Input_APM!F182))</f>
        <v/>
      </c>
      <c r="M182" s="171" t="str">
        <f t="shared" si="13"/>
        <v/>
      </c>
      <c r="N182" s="172" t="str">
        <f t="shared" si="14"/>
        <v/>
      </c>
      <c r="O182" s="172" t="str">
        <f t="shared" si="15"/>
        <v/>
      </c>
    </row>
    <row r="183" spans="11:15">
      <c r="K183" s="171" t="str">
        <f t="shared" si="12"/>
        <v/>
      </c>
      <c r="L183" s="171" t="str">
        <f>IF(E183="","",IF(COUNTIFS(Table2[[#All],[De (Lote)]],Input_APM!F183)&gt;0,INDEX(Table2[[#All],[Para (Ticker Daniel)]],MATCH(Input_APM!F183,Table2[[#All],[De (Lote)]],0)),Input_APM!F183))</f>
        <v/>
      </c>
      <c r="M183" s="171" t="str">
        <f t="shared" si="13"/>
        <v/>
      </c>
      <c r="N183" s="172" t="str">
        <f t="shared" si="14"/>
        <v/>
      </c>
      <c r="O183" s="172" t="str">
        <f t="shared" si="15"/>
        <v/>
      </c>
    </row>
    <row r="184" spans="11:15">
      <c r="K184" s="171" t="str">
        <f t="shared" si="12"/>
        <v/>
      </c>
      <c r="L184" s="171" t="str">
        <f>IF(E184="","",IF(COUNTIFS(Table2[[#All],[De (Lote)]],Input_APM!F184)&gt;0,INDEX(Table2[[#All],[Para (Ticker Daniel)]],MATCH(Input_APM!F184,Table2[[#All],[De (Lote)]],0)),Input_APM!F184))</f>
        <v/>
      </c>
      <c r="M184" s="171" t="str">
        <f t="shared" si="13"/>
        <v/>
      </c>
      <c r="N184" s="172" t="str">
        <f t="shared" si="14"/>
        <v/>
      </c>
      <c r="O184" s="172" t="str">
        <f t="shared" si="15"/>
        <v/>
      </c>
    </row>
    <row r="185" spans="11:15">
      <c r="K185" s="171" t="str">
        <f t="shared" si="12"/>
        <v/>
      </c>
      <c r="L185" s="171" t="str">
        <f>IF(E185="","",IF(COUNTIFS(Table2[[#All],[De (Lote)]],Input_APM!F185)&gt;0,INDEX(Table2[[#All],[Para (Ticker Daniel)]],MATCH(Input_APM!F185,Table2[[#All],[De (Lote)]],0)),Input_APM!F185))</f>
        <v/>
      </c>
      <c r="M185" s="171" t="str">
        <f t="shared" si="13"/>
        <v/>
      </c>
      <c r="N185" s="172" t="str">
        <f t="shared" si="14"/>
        <v/>
      </c>
      <c r="O185" s="172" t="str">
        <f t="shared" si="15"/>
        <v/>
      </c>
    </row>
    <row r="186" spans="11:15">
      <c r="K186" s="171" t="str">
        <f t="shared" si="12"/>
        <v/>
      </c>
      <c r="L186" s="171" t="str">
        <f>IF(E186="","",IF(COUNTIFS(Table2[[#All],[De (Lote)]],Input_APM!F186)&gt;0,INDEX(Table2[[#All],[Para (Ticker Daniel)]],MATCH(Input_APM!F186,Table2[[#All],[De (Lote)]],0)),Input_APM!F186))</f>
        <v/>
      </c>
      <c r="M186" s="171" t="str">
        <f t="shared" si="13"/>
        <v/>
      </c>
      <c r="N186" s="172" t="str">
        <f t="shared" si="14"/>
        <v/>
      </c>
      <c r="O186" s="172" t="str">
        <f t="shared" si="15"/>
        <v/>
      </c>
    </row>
    <row r="187" spans="11:15">
      <c r="K187" s="171" t="str">
        <f t="shared" si="12"/>
        <v/>
      </c>
      <c r="L187" s="171" t="str">
        <f>IF(E187="","",IF(COUNTIFS(Table2[[#All],[De (Lote)]],Input_APM!F187)&gt;0,INDEX(Table2[[#All],[Para (Ticker Daniel)]],MATCH(Input_APM!F187,Table2[[#All],[De (Lote)]],0)),Input_APM!F187))</f>
        <v/>
      </c>
      <c r="M187" s="171" t="str">
        <f t="shared" si="13"/>
        <v/>
      </c>
      <c r="N187" s="172" t="str">
        <f t="shared" si="14"/>
        <v/>
      </c>
      <c r="O187" s="172" t="str">
        <f t="shared" si="15"/>
        <v/>
      </c>
    </row>
    <row r="188" spans="11:15">
      <c r="K188" s="171" t="str">
        <f t="shared" si="12"/>
        <v/>
      </c>
      <c r="L188" s="171" t="str">
        <f>IF(E188="","",IF(COUNTIFS(Table2[[#All],[De (Lote)]],Input_APM!F188)&gt;0,INDEX(Table2[[#All],[Para (Ticker Daniel)]],MATCH(Input_APM!F188,Table2[[#All],[De (Lote)]],0)),Input_APM!F188))</f>
        <v/>
      </c>
      <c r="M188" s="171" t="str">
        <f t="shared" si="13"/>
        <v/>
      </c>
      <c r="N188" s="172" t="str">
        <f t="shared" si="14"/>
        <v/>
      </c>
      <c r="O188" s="172" t="str">
        <f t="shared" si="15"/>
        <v/>
      </c>
    </row>
    <row r="189" spans="11:15">
      <c r="K189" s="171" t="str">
        <f t="shared" si="12"/>
        <v/>
      </c>
      <c r="L189" s="171" t="str">
        <f>IF(E189="","",IF(COUNTIFS(Table2[[#All],[De (Lote)]],Input_APM!F189)&gt;0,INDEX(Table2[[#All],[Para (Ticker Daniel)]],MATCH(Input_APM!F189,Table2[[#All],[De (Lote)]],0)),Input_APM!F189))</f>
        <v/>
      </c>
      <c r="M189" s="171" t="str">
        <f t="shared" si="13"/>
        <v/>
      </c>
      <c r="N189" s="172" t="str">
        <f t="shared" si="14"/>
        <v/>
      </c>
      <c r="O189" s="172" t="str">
        <f t="shared" si="15"/>
        <v/>
      </c>
    </row>
    <row r="190" spans="11:15">
      <c r="K190" s="171" t="str">
        <f t="shared" si="12"/>
        <v/>
      </c>
      <c r="L190" s="171" t="str">
        <f>IF(E190="","",IF(COUNTIFS(Table2[[#All],[De (Lote)]],Input_APM!F190)&gt;0,INDEX(Table2[[#All],[Para (Ticker Daniel)]],MATCH(Input_APM!F190,Table2[[#All],[De (Lote)]],0)),Input_APM!F190))</f>
        <v/>
      </c>
      <c r="M190" s="171" t="str">
        <f t="shared" si="13"/>
        <v/>
      </c>
      <c r="N190" s="172" t="str">
        <f t="shared" si="14"/>
        <v/>
      </c>
      <c r="O190" s="172" t="str">
        <f t="shared" si="15"/>
        <v/>
      </c>
    </row>
    <row r="191" spans="11:15">
      <c r="K191" s="171" t="str">
        <f t="shared" si="12"/>
        <v/>
      </c>
      <c r="L191" s="171" t="str">
        <f>IF(E191="","",IF(COUNTIFS(Table2[[#All],[De (Lote)]],Input_APM!F191)&gt;0,INDEX(Table2[[#All],[Para (Ticker Daniel)]],MATCH(Input_APM!F191,Table2[[#All],[De (Lote)]],0)),Input_APM!F191))</f>
        <v/>
      </c>
      <c r="M191" s="171" t="str">
        <f t="shared" si="13"/>
        <v/>
      </c>
      <c r="N191" s="172" t="str">
        <f t="shared" si="14"/>
        <v/>
      </c>
      <c r="O191" s="172" t="str">
        <f t="shared" si="15"/>
        <v/>
      </c>
    </row>
    <row r="192" spans="11:15">
      <c r="K192" s="171" t="str">
        <f t="shared" si="12"/>
        <v/>
      </c>
      <c r="L192" s="171" t="str">
        <f>IF(E192="","",IF(COUNTIFS(Table2[[#All],[De (Lote)]],Input_APM!F192)&gt;0,INDEX(Table2[[#All],[Para (Ticker Daniel)]],MATCH(Input_APM!F192,Table2[[#All],[De (Lote)]],0)),Input_APM!F192))</f>
        <v/>
      </c>
      <c r="M192" s="171" t="str">
        <f t="shared" si="13"/>
        <v/>
      </c>
      <c r="N192" s="172" t="str">
        <f t="shared" si="14"/>
        <v/>
      </c>
      <c r="O192" s="172" t="str">
        <f t="shared" si="15"/>
        <v/>
      </c>
    </row>
    <row r="193" spans="5:15">
      <c r="K193" s="171" t="str">
        <f t="shared" si="12"/>
        <v/>
      </c>
      <c r="L193" s="171" t="str">
        <f>IF(E193="","",IF(COUNTIFS(Table2[[#All],[De (Lote)]],Input_APM!F193)&gt;0,INDEX(Table2[[#All],[Para (Ticker Daniel)]],MATCH(Input_APM!F193,Table2[[#All],[De (Lote)]],0)),Input_APM!F193))</f>
        <v/>
      </c>
      <c r="M193" s="171" t="str">
        <f t="shared" si="13"/>
        <v/>
      </c>
      <c r="N193" s="172" t="str">
        <f t="shared" si="14"/>
        <v/>
      </c>
      <c r="O193" s="172" t="str">
        <f t="shared" si="15"/>
        <v/>
      </c>
    </row>
    <row r="194" spans="5:15">
      <c r="K194" s="171" t="str">
        <f t="shared" si="12"/>
        <v/>
      </c>
      <c r="L194" s="171" t="str">
        <f>IF(E194="","",IF(COUNTIFS(Table2[[#All],[De (Lote)]],Input_APM!F194)&gt;0,INDEX(Table2[[#All],[Para (Ticker Daniel)]],MATCH(Input_APM!F194,Table2[[#All],[De (Lote)]],0)),Input_APM!F194))</f>
        <v/>
      </c>
      <c r="M194" s="171" t="str">
        <f t="shared" si="13"/>
        <v/>
      </c>
      <c r="N194" s="172" t="str">
        <f t="shared" si="14"/>
        <v/>
      </c>
      <c r="O194" s="172" t="str">
        <f t="shared" si="15"/>
        <v/>
      </c>
    </row>
    <row r="195" spans="5:15">
      <c r="E195" s="298"/>
      <c r="K195" s="171" t="str">
        <f t="shared" si="12"/>
        <v/>
      </c>
      <c r="L195" s="171" t="str">
        <f>IF(E195="","",IF(COUNTIFS(Table2[[#All],[De (Lote)]],Input_APM!F195)&gt;0,INDEX(Table2[[#All],[Para (Ticker Daniel)]],MATCH(Input_APM!F195,Table2[[#All],[De (Lote)]],0)),Input_APM!F195))</f>
        <v/>
      </c>
      <c r="M195" s="171" t="str">
        <f t="shared" si="13"/>
        <v/>
      </c>
      <c r="N195" s="172" t="str">
        <f t="shared" si="14"/>
        <v/>
      </c>
      <c r="O195" s="172" t="str">
        <f t="shared" si="15"/>
        <v/>
      </c>
    </row>
    <row r="196" spans="5:15">
      <c r="E196" s="298"/>
      <c r="K196" s="171" t="str">
        <f t="shared" si="12"/>
        <v/>
      </c>
      <c r="L196" s="171" t="str">
        <f>IF(E196="","",IF(COUNTIFS(Table2[[#All],[De (Lote)]],Input_APM!F196)&gt;0,INDEX(Table2[[#All],[Para (Ticker Daniel)]],MATCH(Input_APM!F196,Table2[[#All],[De (Lote)]],0)),Input_APM!F196))</f>
        <v/>
      </c>
      <c r="M196" s="171" t="str">
        <f t="shared" si="13"/>
        <v/>
      </c>
      <c r="N196" s="172" t="str">
        <f t="shared" si="14"/>
        <v/>
      </c>
      <c r="O196" s="172" t="str">
        <f t="shared" si="15"/>
        <v/>
      </c>
    </row>
    <row r="197" spans="5:15">
      <c r="E197" s="298"/>
      <c r="K197" s="171" t="str">
        <f t="shared" si="12"/>
        <v/>
      </c>
      <c r="L197" s="171" t="str">
        <f>IF(E197="","",IF(COUNTIFS(Table2[[#All],[De (Lote)]],Input_APM!F197)&gt;0,INDEX(Table2[[#All],[Para (Ticker Daniel)]],MATCH(Input_APM!F197,Table2[[#All],[De (Lote)]],0)),Input_APM!F197))</f>
        <v/>
      </c>
      <c r="M197" s="171" t="str">
        <f t="shared" si="13"/>
        <v/>
      </c>
      <c r="N197" s="172" t="str">
        <f t="shared" si="14"/>
        <v/>
      </c>
      <c r="O197" s="172" t="str">
        <f t="shared" si="15"/>
        <v/>
      </c>
    </row>
    <row r="198" spans="5:15">
      <c r="E198" s="298"/>
      <c r="K198" s="171" t="str">
        <f t="shared" si="12"/>
        <v/>
      </c>
      <c r="L198" s="171" t="str">
        <f>IF(E198="","",IF(COUNTIFS(Table2[[#All],[De (Lote)]],Input_APM!F198)&gt;0,INDEX(Table2[[#All],[Para (Ticker Daniel)]],MATCH(Input_APM!F198,Table2[[#All],[De (Lote)]],0)),Input_APM!F198))</f>
        <v/>
      </c>
      <c r="M198" s="171" t="str">
        <f t="shared" si="13"/>
        <v/>
      </c>
      <c r="N198" s="172" t="str">
        <f t="shared" si="14"/>
        <v/>
      </c>
      <c r="O198" s="172" t="str">
        <f t="shared" si="15"/>
        <v/>
      </c>
    </row>
    <row r="199" spans="5:15">
      <c r="E199" s="298"/>
      <c r="K199" s="171" t="str">
        <f t="shared" si="12"/>
        <v/>
      </c>
      <c r="L199" s="171" t="str">
        <f>IF(E199="","",IF(COUNTIFS(Table2[[#All],[De (Lote)]],Input_APM!F199)&gt;0,INDEX(Table2[[#All],[Para (Ticker Daniel)]],MATCH(Input_APM!F199,Table2[[#All],[De (Lote)]],0)),Input_APM!F199))</f>
        <v/>
      </c>
      <c r="M199" s="171" t="str">
        <f t="shared" si="13"/>
        <v/>
      </c>
      <c r="N199" s="172" t="str">
        <f t="shared" si="14"/>
        <v/>
      </c>
      <c r="O199" s="172" t="str">
        <f t="shared" si="15"/>
        <v/>
      </c>
    </row>
    <row r="200" spans="5:15">
      <c r="E200" s="298"/>
      <c r="K200" s="171" t="str">
        <f t="shared" si="12"/>
        <v/>
      </c>
      <c r="L200" s="171" t="str">
        <f>IF(E200="","",IF(COUNTIFS(Table2[[#All],[De (Lote)]],Input_APM!F200)&gt;0,INDEX(Table2[[#All],[Para (Ticker Daniel)]],MATCH(Input_APM!F200,Table2[[#All],[De (Lote)]],0)),Input_APM!F200))</f>
        <v/>
      </c>
      <c r="M200" s="171" t="str">
        <f t="shared" si="13"/>
        <v/>
      </c>
      <c r="N200" s="172" t="str">
        <f t="shared" si="14"/>
        <v/>
      </c>
      <c r="O200" s="172" t="str">
        <f t="shared" si="15"/>
        <v/>
      </c>
    </row>
    <row r="201" spans="5:15">
      <c r="E201" s="298"/>
      <c r="K201" s="171" t="str">
        <f t="shared" si="12"/>
        <v/>
      </c>
      <c r="L201" s="171" t="str">
        <f>IF(E201="","",IF(COUNTIFS(Table2[[#All],[De (Lote)]],Input_APM!F201)&gt;0,INDEX(Table2[[#All],[Para (Ticker Daniel)]],MATCH(Input_APM!F201,Table2[[#All],[De (Lote)]],0)),Input_APM!F201))</f>
        <v/>
      </c>
      <c r="M201" s="171" t="str">
        <f t="shared" si="13"/>
        <v/>
      </c>
      <c r="N201" s="172" t="str">
        <f t="shared" si="14"/>
        <v/>
      </c>
      <c r="O201" s="172" t="str">
        <f t="shared" si="15"/>
        <v/>
      </c>
    </row>
    <row r="202" spans="5:15">
      <c r="E202" s="298"/>
      <c r="K202" s="171" t="str">
        <f t="shared" si="12"/>
        <v/>
      </c>
      <c r="L202" s="171" t="str">
        <f>IF(E202="","",IF(COUNTIFS(Table2[[#All],[De (Lote)]],Input_APM!F202)&gt;0,INDEX(Table2[[#All],[Para (Ticker Daniel)]],MATCH(Input_APM!F202,Table2[[#All],[De (Lote)]],0)),Input_APM!F202))</f>
        <v/>
      </c>
      <c r="M202" s="171" t="str">
        <f t="shared" si="13"/>
        <v/>
      </c>
      <c r="N202" s="172" t="str">
        <f t="shared" si="14"/>
        <v/>
      </c>
      <c r="O202" s="172" t="str">
        <f t="shared" si="15"/>
        <v/>
      </c>
    </row>
    <row r="203" spans="5:15">
      <c r="E203" s="298"/>
      <c r="K203" s="171" t="str">
        <f t="shared" si="12"/>
        <v/>
      </c>
      <c r="L203" s="171" t="str">
        <f>IF(E203="","",IF(COUNTIFS(Table2[[#All],[De (Lote)]],Input_APM!F203)&gt;0,INDEX(Table2[[#All],[Para (Ticker Daniel)]],MATCH(Input_APM!F203,Table2[[#All],[De (Lote)]],0)),Input_APM!F203))</f>
        <v/>
      </c>
      <c r="M203" s="171" t="str">
        <f t="shared" si="13"/>
        <v/>
      </c>
      <c r="N203" s="172" t="str">
        <f t="shared" si="14"/>
        <v/>
      </c>
      <c r="O203" s="172" t="str">
        <f t="shared" si="15"/>
        <v/>
      </c>
    </row>
    <row r="204" spans="5:15">
      <c r="E204" s="298"/>
      <c r="K204" s="171" t="str">
        <f t="shared" si="12"/>
        <v/>
      </c>
      <c r="L204" s="171" t="str">
        <f>IF(E204="","",IF(COUNTIFS(Table2[[#All],[De (Lote)]],Input_APM!F204)&gt;0,INDEX(Table2[[#All],[Para (Ticker Daniel)]],MATCH(Input_APM!F204,Table2[[#All],[De (Lote)]],0)),Input_APM!F204))</f>
        <v/>
      </c>
      <c r="M204" s="171" t="str">
        <f t="shared" si="13"/>
        <v/>
      </c>
      <c r="N204" s="172" t="str">
        <f t="shared" si="14"/>
        <v/>
      </c>
      <c r="O204" s="172" t="str">
        <f t="shared" si="15"/>
        <v/>
      </c>
    </row>
    <row r="205" spans="5:15">
      <c r="E205" s="298"/>
      <c r="K205" s="171" t="str">
        <f t="shared" si="12"/>
        <v/>
      </c>
      <c r="L205" s="171" t="str">
        <f>IF(E205="","",IF(COUNTIFS(Table2[[#All],[De (Lote)]],Input_APM!F205)&gt;0,INDEX(Table2[[#All],[Para (Ticker Daniel)]],MATCH(Input_APM!F205,Table2[[#All],[De (Lote)]],0)),Input_APM!F205))</f>
        <v/>
      </c>
      <c r="M205" s="171" t="str">
        <f t="shared" si="13"/>
        <v/>
      </c>
      <c r="N205" s="172" t="str">
        <f t="shared" si="14"/>
        <v/>
      </c>
      <c r="O205" s="172" t="str">
        <f t="shared" si="15"/>
        <v/>
      </c>
    </row>
    <row r="206" spans="5:15">
      <c r="E206" s="298"/>
      <c r="K206" s="171" t="str">
        <f t="shared" si="12"/>
        <v/>
      </c>
      <c r="L206" s="171" t="str">
        <f>IF(E206="","",IF(COUNTIFS(Table2[[#All],[De (Lote)]],Input_APM!F206)&gt;0,INDEX(Table2[[#All],[Para (Ticker Daniel)]],MATCH(Input_APM!F206,Table2[[#All],[De (Lote)]],0)),Input_APM!F206))</f>
        <v/>
      </c>
      <c r="M206" s="171" t="str">
        <f t="shared" si="13"/>
        <v/>
      </c>
      <c r="N206" s="172" t="str">
        <f t="shared" si="14"/>
        <v/>
      </c>
      <c r="O206" s="172" t="str">
        <f t="shared" si="15"/>
        <v/>
      </c>
    </row>
    <row r="207" spans="5:15">
      <c r="E207" s="298"/>
      <c r="K207" s="171" t="str">
        <f t="shared" si="12"/>
        <v/>
      </c>
      <c r="L207" s="171" t="str">
        <f>IF(E207="","",IF(COUNTIFS(Table2[[#All],[De (Lote)]],Input_APM!F207)&gt;0,INDEX(Table2[[#All],[Para (Ticker Daniel)]],MATCH(Input_APM!F207,Table2[[#All],[De (Lote)]],0)),Input_APM!F207))</f>
        <v/>
      </c>
      <c r="M207" s="171" t="str">
        <f t="shared" si="13"/>
        <v/>
      </c>
      <c r="N207" s="172" t="str">
        <f t="shared" si="14"/>
        <v/>
      </c>
      <c r="O207" s="172" t="str">
        <f t="shared" si="15"/>
        <v/>
      </c>
    </row>
    <row r="208" spans="5:15">
      <c r="E208" s="298"/>
      <c r="K208" s="171" t="str">
        <f t="shared" ref="K208:K234" si="16">IF(E208="","",E208)</f>
        <v/>
      </c>
      <c r="L208" s="171" t="str">
        <f>IF(E208="","",IF(COUNTIFS(Table2[[#All],[De (Lote)]],Input_APM!F208)&gt;0,INDEX(Table2[[#All],[Para (Ticker Daniel)]],MATCH(Input_APM!F208,Table2[[#All],[De (Lote)]],0)),Input_APM!F208))</f>
        <v/>
      </c>
      <c r="M208" s="171" t="str">
        <f t="shared" ref="M208:M234" si="17">IF(E208="","",G208)</f>
        <v/>
      </c>
      <c r="N208" s="172" t="str">
        <f t="shared" ref="N208:N234" si="18">IF(E208="","",H208)</f>
        <v/>
      </c>
      <c r="O208" s="172" t="str">
        <f t="shared" ref="O208:O234" si="19">IF(E208="","",I208)</f>
        <v/>
      </c>
    </row>
    <row r="209" spans="5:15">
      <c r="E209" s="298"/>
      <c r="K209" s="171" t="str">
        <f t="shared" si="16"/>
        <v/>
      </c>
      <c r="L209" s="171" t="str">
        <f>IF(E209="","",IF(COUNTIFS(Table2[[#All],[De (Lote)]],Input_APM!F209)&gt;0,INDEX(Table2[[#All],[Para (Ticker Daniel)]],MATCH(Input_APM!F209,Table2[[#All],[De (Lote)]],0)),Input_APM!F209))</f>
        <v/>
      </c>
      <c r="M209" s="171" t="str">
        <f t="shared" si="17"/>
        <v/>
      </c>
      <c r="N209" s="172" t="str">
        <f t="shared" si="18"/>
        <v/>
      </c>
      <c r="O209" s="172" t="str">
        <f t="shared" si="19"/>
        <v/>
      </c>
    </row>
    <row r="210" spans="5:15">
      <c r="E210" s="298"/>
      <c r="K210" s="171" t="str">
        <f t="shared" si="16"/>
        <v/>
      </c>
      <c r="L210" s="171" t="str">
        <f>IF(E210="","",IF(COUNTIFS(Table2[[#All],[De (Lote)]],Input_APM!F210)&gt;0,INDEX(Table2[[#All],[Para (Ticker Daniel)]],MATCH(Input_APM!F210,Table2[[#All],[De (Lote)]],0)),Input_APM!F210))</f>
        <v/>
      </c>
      <c r="M210" s="171" t="str">
        <f t="shared" si="17"/>
        <v/>
      </c>
      <c r="N210" s="172" t="str">
        <f t="shared" si="18"/>
        <v/>
      </c>
      <c r="O210" s="172" t="str">
        <f t="shared" si="19"/>
        <v/>
      </c>
    </row>
    <row r="211" spans="5:15">
      <c r="E211" s="298"/>
      <c r="K211" s="171" t="str">
        <f t="shared" si="16"/>
        <v/>
      </c>
      <c r="L211" s="171" t="str">
        <f>IF(E211="","",IF(COUNTIFS(Table2[[#All],[De (Lote)]],Input_APM!F211)&gt;0,INDEX(Table2[[#All],[Para (Ticker Daniel)]],MATCH(Input_APM!F211,Table2[[#All],[De (Lote)]],0)),Input_APM!F211))</f>
        <v/>
      </c>
      <c r="M211" s="171" t="str">
        <f t="shared" si="17"/>
        <v/>
      </c>
      <c r="N211" s="172" t="str">
        <f t="shared" si="18"/>
        <v/>
      </c>
      <c r="O211" s="172" t="str">
        <f t="shared" si="19"/>
        <v/>
      </c>
    </row>
    <row r="212" spans="5:15">
      <c r="E212" s="298"/>
      <c r="K212" s="171" t="str">
        <f t="shared" si="16"/>
        <v/>
      </c>
      <c r="L212" s="171" t="str">
        <f>IF(E212="","",IF(COUNTIFS(Table2[[#All],[De (Lote)]],Input_APM!F212)&gt;0,INDEX(Table2[[#All],[Para (Ticker Daniel)]],MATCH(Input_APM!F212,Table2[[#All],[De (Lote)]],0)),Input_APM!F212))</f>
        <v/>
      </c>
      <c r="M212" s="171" t="str">
        <f t="shared" si="17"/>
        <v/>
      </c>
      <c r="N212" s="172" t="str">
        <f t="shared" si="18"/>
        <v/>
      </c>
      <c r="O212" s="172" t="str">
        <f t="shared" si="19"/>
        <v/>
      </c>
    </row>
    <row r="213" spans="5:15">
      <c r="E213" s="298"/>
      <c r="K213" s="171" t="str">
        <f t="shared" si="16"/>
        <v/>
      </c>
      <c r="L213" s="171" t="str">
        <f>IF(E213="","",IF(COUNTIFS(Table2[[#All],[De (Lote)]],Input_APM!F213)&gt;0,INDEX(Table2[[#All],[Para (Ticker Daniel)]],MATCH(Input_APM!F213,Table2[[#All],[De (Lote)]],0)),Input_APM!F213))</f>
        <v/>
      </c>
      <c r="M213" s="171" t="str">
        <f t="shared" si="17"/>
        <v/>
      </c>
      <c r="N213" s="172" t="str">
        <f t="shared" si="18"/>
        <v/>
      </c>
      <c r="O213" s="172" t="str">
        <f t="shared" si="19"/>
        <v/>
      </c>
    </row>
    <row r="214" spans="5:15">
      <c r="E214" s="298"/>
      <c r="K214" s="171" t="str">
        <f t="shared" si="16"/>
        <v/>
      </c>
      <c r="L214" s="171" t="str">
        <f>IF(E214="","",IF(COUNTIFS(Table2[[#All],[De (Lote)]],Input_APM!F214)&gt;0,INDEX(Table2[[#All],[Para (Ticker Daniel)]],MATCH(Input_APM!F214,Table2[[#All],[De (Lote)]],0)),Input_APM!F214))</f>
        <v/>
      </c>
      <c r="M214" s="171" t="str">
        <f t="shared" si="17"/>
        <v/>
      </c>
      <c r="N214" s="172" t="str">
        <f t="shared" si="18"/>
        <v/>
      </c>
      <c r="O214" s="172" t="str">
        <f t="shared" si="19"/>
        <v/>
      </c>
    </row>
    <row r="215" spans="5:15">
      <c r="E215" s="298"/>
      <c r="K215" s="171" t="str">
        <f t="shared" si="16"/>
        <v/>
      </c>
      <c r="L215" s="171" t="str">
        <f>IF(E215="","",IF(COUNTIFS(Table2[[#All],[De (Lote)]],Input_APM!F215)&gt;0,INDEX(Table2[[#All],[Para (Ticker Daniel)]],MATCH(Input_APM!F215,Table2[[#All],[De (Lote)]],0)),Input_APM!F215))</f>
        <v/>
      </c>
      <c r="M215" s="171" t="str">
        <f t="shared" si="17"/>
        <v/>
      </c>
      <c r="N215" s="172" t="str">
        <f t="shared" si="18"/>
        <v/>
      </c>
      <c r="O215" s="172" t="str">
        <f t="shared" si="19"/>
        <v/>
      </c>
    </row>
    <row r="216" spans="5:15">
      <c r="E216" s="298"/>
      <c r="K216" s="171" t="str">
        <f t="shared" si="16"/>
        <v/>
      </c>
      <c r="L216" s="171" t="str">
        <f>IF(E216="","",IF(COUNTIFS(Table2[[#All],[De (Lote)]],Input_APM!F216)&gt;0,INDEX(Table2[[#All],[Para (Ticker Daniel)]],MATCH(Input_APM!F216,Table2[[#All],[De (Lote)]],0)),Input_APM!F216))</f>
        <v/>
      </c>
      <c r="M216" s="171" t="str">
        <f t="shared" si="17"/>
        <v/>
      </c>
      <c r="N216" s="172" t="str">
        <f t="shared" si="18"/>
        <v/>
      </c>
      <c r="O216" s="172" t="str">
        <f t="shared" si="19"/>
        <v/>
      </c>
    </row>
    <row r="217" spans="5:15">
      <c r="E217" s="298"/>
      <c r="K217" s="171" t="str">
        <f t="shared" si="16"/>
        <v/>
      </c>
      <c r="L217" s="171" t="str">
        <f>IF(E217="","",IF(COUNTIFS(Table2[[#All],[De (Lote)]],Input_APM!F217)&gt;0,INDEX(Table2[[#All],[Para (Ticker Daniel)]],MATCH(Input_APM!F217,Table2[[#All],[De (Lote)]],0)),Input_APM!F217))</f>
        <v/>
      </c>
      <c r="M217" s="171" t="str">
        <f t="shared" si="17"/>
        <v/>
      </c>
      <c r="N217" s="172" t="str">
        <f t="shared" si="18"/>
        <v/>
      </c>
      <c r="O217" s="172" t="str">
        <f t="shared" si="19"/>
        <v/>
      </c>
    </row>
    <row r="218" spans="5:15">
      <c r="E218" s="298"/>
      <c r="K218" s="171" t="str">
        <f t="shared" si="16"/>
        <v/>
      </c>
      <c r="L218" s="171" t="str">
        <f>IF(E218="","",IF(COUNTIFS(Table2[[#All],[De (Lote)]],Input_APM!F218)&gt;0,INDEX(Table2[[#All],[Para (Ticker Daniel)]],MATCH(Input_APM!F218,Table2[[#All],[De (Lote)]],0)),Input_APM!F218))</f>
        <v/>
      </c>
      <c r="M218" s="171" t="str">
        <f t="shared" si="17"/>
        <v/>
      </c>
      <c r="N218" s="172" t="str">
        <f t="shared" si="18"/>
        <v/>
      </c>
      <c r="O218" s="172" t="str">
        <f t="shared" si="19"/>
        <v/>
      </c>
    </row>
    <row r="219" spans="5:15">
      <c r="E219" s="298"/>
      <c r="K219" s="171" t="str">
        <f t="shared" si="16"/>
        <v/>
      </c>
      <c r="L219" s="171" t="str">
        <f>IF(E219="","",IF(COUNTIFS(Table2[[#All],[De (Lote)]],Input_APM!F219)&gt;0,INDEX(Table2[[#All],[Para (Ticker Daniel)]],MATCH(Input_APM!F219,Table2[[#All],[De (Lote)]],0)),Input_APM!F219))</f>
        <v/>
      </c>
      <c r="M219" s="171" t="str">
        <f t="shared" si="17"/>
        <v/>
      </c>
      <c r="N219" s="172" t="str">
        <f t="shared" si="18"/>
        <v/>
      </c>
      <c r="O219" s="172" t="str">
        <f t="shared" si="19"/>
        <v/>
      </c>
    </row>
    <row r="220" spans="5:15">
      <c r="E220" s="298"/>
      <c r="K220" s="171" t="str">
        <f t="shared" si="16"/>
        <v/>
      </c>
      <c r="L220" s="171" t="str">
        <f>IF(E220="","",IF(COUNTIFS(Table2[[#All],[De (Lote)]],Input_APM!F220)&gt;0,INDEX(Table2[[#All],[Para (Ticker Daniel)]],MATCH(Input_APM!F220,Table2[[#All],[De (Lote)]],0)),Input_APM!F220))</f>
        <v/>
      </c>
      <c r="M220" s="171" t="str">
        <f t="shared" si="17"/>
        <v/>
      </c>
      <c r="N220" s="172" t="str">
        <f t="shared" si="18"/>
        <v/>
      </c>
      <c r="O220" s="172" t="str">
        <f t="shared" si="19"/>
        <v/>
      </c>
    </row>
    <row r="221" spans="5:15">
      <c r="E221" s="298"/>
      <c r="K221" s="171" t="str">
        <f t="shared" si="16"/>
        <v/>
      </c>
      <c r="L221" s="171" t="str">
        <f>IF(E221="","",IF(COUNTIFS(Table2[[#All],[De (Lote)]],Input_APM!F221)&gt;0,INDEX(Table2[[#All],[Para (Ticker Daniel)]],MATCH(Input_APM!F221,Table2[[#All],[De (Lote)]],0)),Input_APM!F221))</f>
        <v/>
      </c>
      <c r="M221" s="171" t="str">
        <f t="shared" si="17"/>
        <v/>
      </c>
      <c r="N221" s="172" t="str">
        <f t="shared" si="18"/>
        <v/>
      </c>
      <c r="O221" s="172" t="str">
        <f t="shared" si="19"/>
        <v/>
      </c>
    </row>
    <row r="222" spans="5:15">
      <c r="E222" s="298"/>
      <c r="K222" s="171" t="str">
        <f t="shared" si="16"/>
        <v/>
      </c>
      <c r="L222" s="171" t="str">
        <f>IF(E222="","",IF(COUNTIFS(Table2[[#All],[De (Lote)]],Input_APM!F222)&gt;0,INDEX(Table2[[#All],[Para (Ticker Daniel)]],MATCH(Input_APM!F222,Table2[[#All],[De (Lote)]],0)),Input_APM!F222))</f>
        <v/>
      </c>
      <c r="M222" s="171" t="str">
        <f t="shared" si="17"/>
        <v/>
      </c>
      <c r="N222" s="172" t="str">
        <f t="shared" si="18"/>
        <v/>
      </c>
      <c r="O222" s="172" t="str">
        <f t="shared" si="19"/>
        <v/>
      </c>
    </row>
    <row r="223" spans="5:15">
      <c r="E223" s="298"/>
      <c r="K223" s="171" t="str">
        <f t="shared" si="16"/>
        <v/>
      </c>
      <c r="L223" s="171" t="str">
        <f>IF(E223="","",IF(COUNTIFS(Table2[[#All],[De (Lote)]],Input_APM!F223)&gt;0,INDEX(Table2[[#All],[Para (Ticker Daniel)]],MATCH(Input_APM!F223,Table2[[#All],[De (Lote)]],0)),Input_APM!F223))</f>
        <v/>
      </c>
      <c r="M223" s="171" t="str">
        <f t="shared" si="17"/>
        <v/>
      </c>
      <c r="N223" s="172" t="str">
        <f t="shared" si="18"/>
        <v/>
      </c>
      <c r="O223" s="172" t="str">
        <f t="shared" si="19"/>
        <v/>
      </c>
    </row>
    <row r="224" spans="5:15">
      <c r="E224" s="298"/>
      <c r="K224" s="171" t="str">
        <f t="shared" si="16"/>
        <v/>
      </c>
      <c r="L224" s="171" t="str">
        <f>IF(E224="","",IF(COUNTIFS(Table2[[#All],[De (Lote)]],Input_APM!F224)&gt;0,INDEX(Table2[[#All],[Para (Ticker Daniel)]],MATCH(Input_APM!F224,Table2[[#All],[De (Lote)]],0)),Input_APM!F224))</f>
        <v/>
      </c>
      <c r="M224" s="171" t="str">
        <f t="shared" si="17"/>
        <v/>
      </c>
      <c r="N224" s="172" t="str">
        <f t="shared" si="18"/>
        <v/>
      </c>
      <c r="O224" s="172" t="str">
        <f t="shared" si="19"/>
        <v/>
      </c>
    </row>
    <row r="225" spans="5:15">
      <c r="E225" s="298"/>
      <c r="K225" s="171" t="str">
        <f t="shared" si="16"/>
        <v/>
      </c>
      <c r="L225" s="171" t="str">
        <f>IF(E225="","",IF(COUNTIFS(Table2[[#All],[De (Lote)]],Input_APM!F225)&gt;0,INDEX(Table2[[#All],[Para (Ticker Daniel)]],MATCH(Input_APM!F225,Table2[[#All],[De (Lote)]],0)),Input_APM!F225))</f>
        <v/>
      </c>
      <c r="M225" s="171" t="str">
        <f t="shared" si="17"/>
        <v/>
      </c>
      <c r="N225" s="172" t="str">
        <f t="shared" si="18"/>
        <v/>
      </c>
      <c r="O225" s="172" t="str">
        <f t="shared" si="19"/>
        <v/>
      </c>
    </row>
    <row r="226" spans="5:15">
      <c r="E226" s="298"/>
      <c r="K226" s="171" t="str">
        <f t="shared" si="16"/>
        <v/>
      </c>
      <c r="L226" s="171" t="str">
        <f>IF(E226="","",IF(COUNTIFS(Table2[[#All],[De (Lote)]],Input_APM!F226)&gt;0,INDEX(Table2[[#All],[Para (Ticker Daniel)]],MATCH(Input_APM!F226,Table2[[#All],[De (Lote)]],0)),Input_APM!F226))</f>
        <v/>
      </c>
      <c r="M226" s="171" t="str">
        <f t="shared" si="17"/>
        <v/>
      </c>
      <c r="N226" s="172" t="str">
        <f t="shared" si="18"/>
        <v/>
      </c>
      <c r="O226" s="172" t="str">
        <f t="shared" si="19"/>
        <v/>
      </c>
    </row>
    <row r="227" spans="5:15">
      <c r="E227" s="298"/>
      <c r="K227" s="171" t="str">
        <f t="shared" si="16"/>
        <v/>
      </c>
      <c r="L227" s="171" t="str">
        <f>IF(E227="","",IF(COUNTIFS(Table2[[#All],[De (Lote)]],Input_APM!F227)&gt;0,INDEX(Table2[[#All],[Para (Ticker Daniel)]],MATCH(Input_APM!F227,Table2[[#All],[De (Lote)]],0)),Input_APM!F227))</f>
        <v/>
      </c>
      <c r="M227" s="171" t="str">
        <f t="shared" si="17"/>
        <v/>
      </c>
      <c r="N227" s="172" t="str">
        <f t="shared" si="18"/>
        <v/>
      </c>
      <c r="O227" s="172" t="str">
        <f t="shared" si="19"/>
        <v/>
      </c>
    </row>
    <row r="228" spans="5:15">
      <c r="E228" s="298"/>
      <c r="K228" s="171" t="str">
        <f t="shared" si="16"/>
        <v/>
      </c>
      <c r="L228" s="171" t="str">
        <f>IF(E228="","",IF(COUNTIFS(Table2[[#All],[De (Lote)]],Input_APM!F228)&gt;0,INDEX(Table2[[#All],[Para (Ticker Daniel)]],MATCH(Input_APM!F228,Table2[[#All],[De (Lote)]],0)),Input_APM!F228))</f>
        <v/>
      </c>
      <c r="M228" s="171" t="str">
        <f t="shared" si="17"/>
        <v/>
      </c>
      <c r="N228" s="172" t="str">
        <f t="shared" si="18"/>
        <v/>
      </c>
      <c r="O228" s="172" t="str">
        <f t="shared" si="19"/>
        <v/>
      </c>
    </row>
    <row r="229" spans="5:15">
      <c r="E229" s="298"/>
      <c r="K229" s="171" t="str">
        <f t="shared" si="16"/>
        <v/>
      </c>
      <c r="L229" s="171" t="str">
        <f>IF(E229="","",IF(COUNTIFS(Table2[[#All],[De (Lote)]],Input_APM!F229)&gt;0,INDEX(Table2[[#All],[Para (Ticker Daniel)]],MATCH(Input_APM!F229,Table2[[#All],[De (Lote)]],0)),Input_APM!F229))</f>
        <v/>
      </c>
      <c r="M229" s="171" t="str">
        <f t="shared" si="17"/>
        <v/>
      </c>
      <c r="N229" s="172" t="str">
        <f t="shared" si="18"/>
        <v/>
      </c>
      <c r="O229" s="172" t="str">
        <f t="shared" si="19"/>
        <v/>
      </c>
    </row>
    <row r="230" spans="5:15">
      <c r="E230" s="298"/>
      <c r="K230" s="171" t="str">
        <f t="shared" si="16"/>
        <v/>
      </c>
      <c r="L230" s="171" t="str">
        <f>IF(E230="","",IF(COUNTIFS(Table2[[#All],[De (Lote)]],Input_APM!F230)&gt;0,INDEX(Table2[[#All],[Para (Ticker Daniel)]],MATCH(Input_APM!F230,Table2[[#All],[De (Lote)]],0)),Input_APM!F230))</f>
        <v/>
      </c>
      <c r="M230" s="171" t="str">
        <f t="shared" si="17"/>
        <v/>
      </c>
      <c r="N230" s="172" t="str">
        <f t="shared" si="18"/>
        <v/>
      </c>
      <c r="O230" s="172" t="str">
        <f t="shared" si="19"/>
        <v/>
      </c>
    </row>
    <row r="231" spans="5:15">
      <c r="E231" s="298"/>
      <c r="K231" s="171" t="str">
        <f t="shared" si="16"/>
        <v/>
      </c>
      <c r="L231" s="171" t="str">
        <f>IF(E231="","",IF(COUNTIFS(Table2[[#All],[De (Lote)]],Input_APM!F231)&gt;0,INDEX(Table2[[#All],[Para (Ticker Daniel)]],MATCH(Input_APM!F231,Table2[[#All],[De (Lote)]],0)),Input_APM!F231))</f>
        <v/>
      </c>
      <c r="M231" s="171" t="str">
        <f t="shared" si="17"/>
        <v/>
      </c>
      <c r="N231" s="172" t="str">
        <f t="shared" si="18"/>
        <v/>
      </c>
      <c r="O231" s="172" t="str">
        <f t="shared" si="19"/>
        <v/>
      </c>
    </row>
    <row r="232" spans="5:15">
      <c r="E232" s="298"/>
      <c r="K232" s="171" t="str">
        <f t="shared" si="16"/>
        <v/>
      </c>
      <c r="L232" s="171" t="str">
        <f>IF(E232="","",IF(COUNTIFS(Table2[[#All],[De (Lote)]],Input_APM!F232)&gt;0,INDEX(Table2[[#All],[Para (Ticker Daniel)]],MATCH(Input_APM!F232,Table2[[#All],[De (Lote)]],0)),Input_APM!F232))</f>
        <v/>
      </c>
      <c r="M232" s="171" t="str">
        <f t="shared" si="17"/>
        <v/>
      </c>
      <c r="N232" s="172" t="str">
        <f t="shared" si="18"/>
        <v/>
      </c>
      <c r="O232" s="172" t="str">
        <f t="shared" si="19"/>
        <v/>
      </c>
    </row>
    <row r="233" spans="5:15">
      <c r="E233" s="298"/>
      <c r="K233" s="171" t="str">
        <f t="shared" si="16"/>
        <v/>
      </c>
      <c r="L233" s="171" t="str">
        <f>IF(E233="","",IF(COUNTIFS(Table2[[#All],[De (Lote)]],Input_APM!F233)&gt;0,INDEX(Table2[[#All],[Para (Ticker Daniel)]],MATCH(Input_APM!F233,Table2[[#All],[De (Lote)]],0)),Input_APM!F233))</f>
        <v/>
      </c>
      <c r="M233" s="171" t="str">
        <f t="shared" si="17"/>
        <v/>
      </c>
      <c r="N233" s="172" t="str">
        <f t="shared" si="18"/>
        <v/>
      </c>
      <c r="O233" s="172" t="str">
        <f t="shared" si="19"/>
        <v/>
      </c>
    </row>
    <row r="234" spans="5:15">
      <c r="E234" s="298"/>
      <c r="K234" s="171" t="str">
        <f t="shared" si="16"/>
        <v/>
      </c>
      <c r="L234" s="171" t="str">
        <f>IF(E234="","",IF(COUNTIFS(Table2[[#All],[De (Lote)]],Input_APM!F234)&gt;0,INDEX(Table2[[#All],[Para (Ticker Daniel)]],MATCH(Input_APM!F234,Table2[[#All],[De (Lote)]],0)),Input_APM!F234))</f>
        <v/>
      </c>
      <c r="M234" s="171" t="str">
        <f t="shared" si="17"/>
        <v/>
      </c>
      <c r="N234" s="172" t="str">
        <f t="shared" si="18"/>
        <v/>
      </c>
      <c r="O234" s="172" t="str">
        <f t="shared" si="19"/>
        <v/>
      </c>
    </row>
    <row r="235" spans="5:15">
      <c r="E235" s="298"/>
      <c r="K235" s="171" t="str">
        <f>IF(E235="","",E235)</f>
        <v/>
      </c>
      <c r="L235" s="171" t="str">
        <f>IF(E235="","",IF(COUNTIFS(Table2[[#All],[De (Lote)]],Input_APM!F235)&gt;0,INDEX(Table2[[#All],[Para (Ticker Daniel)]],MATCH(Input_APM!F235,Table2[[#All],[De (Lote)]],0)),Input_APM!F235))</f>
        <v/>
      </c>
      <c r="M235" s="171" t="str">
        <f>IF(E235="","",G235)</f>
        <v/>
      </c>
      <c r="N235" s="172" t="str">
        <f>IF(E235="","",H235)</f>
        <v/>
      </c>
      <c r="O235" s="172" t="str">
        <f>IF(E235="","",I235)</f>
        <v/>
      </c>
    </row>
    <row r="236" spans="5:15">
      <c r="E236" s="298"/>
      <c r="K236" s="171" t="str">
        <f>IF(E236="","",E236)</f>
        <v/>
      </c>
      <c r="L236" s="171" t="str">
        <f>IF(E236="","",IF(COUNTIFS(Table2[[#All],[De (Lote)]],Input_APM!F236)&gt;0,INDEX(Table2[[#All],[Para (Ticker Daniel)]],MATCH(Input_APM!F236,Table2[[#All],[De (Lote)]],0)),Input_APM!F236))</f>
        <v/>
      </c>
      <c r="M236" s="171" t="str">
        <f>IF(E236="","",G236)</f>
        <v/>
      </c>
      <c r="N236" s="172" t="str">
        <f>IF(E236="","",H236)</f>
        <v/>
      </c>
      <c r="O236" s="172" t="str">
        <f>IF(E236="","",I236)</f>
        <v/>
      </c>
    </row>
    <row r="237" spans="5:15">
      <c r="E237" s="298"/>
      <c r="K237" s="171" t="str">
        <f>IF(E237="","",E237)</f>
        <v/>
      </c>
      <c r="L237" s="171" t="str">
        <f>IF(E237="","",IF(COUNTIFS(Table2[[#All],[De (Lote)]],Input_APM!F237)&gt;0,INDEX(Table2[[#All],[Para (Ticker Daniel)]],MATCH(Input_APM!F237,Table2[[#All],[De (Lote)]],0)),Input_APM!F237))</f>
        <v/>
      </c>
      <c r="M237" s="171" t="str">
        <f>IF(E237="","",G237)</f>
        <v/>
      </c>
      <c r="N237" s="172" t="str">
        <f>IF(E237="","",H237)</f>
        <v/>
      </c>
      <c r="O237" s="172" t="str">
        <f>IF(E237="","",I237)</f>
        <v/>
      </c>
    </row>
    <row r="238" spans="5:15">
      <c r="E238" s="298"/>
      <c r="K238" s="171" t="str">
        <f>IF(E238="","",E238)</f>
        <v/>
      </c>
      <c r="L238" s="171" t="str">
        <f>IF(E238="","",IF(COUNTIFS(Table2[[#All],[De (Lote)]],Input_APM!F238)&gt;0,INDEX(Table2[[#All],[Para (Ticker Daniel)]],MATCH(Input_APM!F238,Table2[[#All],[De (Lote)]],0)),Input_APM!F238))</f>
        <v/>
      </c>
      <c r="M238" s="171" t="str">
        <f>IF(E238="","",G238)</f>
        <v/>
      </c>
      <c r="N238" s="172" t="str">
        <f>IF(E238="","",H238)</f>
        <v/>
      </c>
      <c r="O238" s="172" t="str">
        <f>IF(E238="","",I238)</f>
        <v/>
      </c>
    </row>
    <row r="239" spans="5:15">
      <c r="E239" s="298"/>
      <c r="K239" s="171" t="str">
        <f>IF(E239="","",E239)</f>
        <v/>
      </c>
      <c r="L239" s="171" t="str">
        <f>IF(E239="","",IF(COUNTIFS(Table2[[#All],[De (Lote)]],Input_APM!F239)&gt;0,INDEX(Table2[[#All],[Para (Ticker Daniel)]],MATCH(Input_APM!F239,Table2[[#All],[De (Lote)]],0)),Input_APM!F239))</f>
        <v/>
      </c>
      <c r="M239" s="171" t="str">
        <f>IF(E239="","",G239)</f>
        <v/>
      </c>
      <c r="N239" s="172" t="str">
        <f>IF(E239="","",H239)</f>
        <v/>
      </c>
      <c r="O239" s="172" t="str">
        <f>IF(E239="","",I239)</f>
        <v/>
      </c>
    </row>
    <row r="240" spans="5:15">
      <c r="E240" s="298"/>
      <c r="K240" s="171" t="str">
        <f t="shared" ref="K240:K303" si="20">IF(E240="","",E240)</f>
        <v/>
      </c>
      <c r="L240" s="171" t="str">
        <f>IF(E240="","",IF(COUNTIFS(Table2[[#All],[De (Lote)]],Input_APM!F240)&gt;0,INDEX(Table2[[#All],[Para (Ticker Daniel)]],MATCH(Input_APM!F240,Table2[[#All],[De (Lote)]],0)),Input_APM!F240))</f>
        <v/>
      </c>
      <c r="M240" s="171" t="str">
        <f t="shared" ref="M240:M303" si="21">IF(E240="","",G240)</f>
        <v/>
      </c>
      <c r="N240" s="172" t="str">
        <f t="shared" ref="N240:N303" si="22">IF(E240="","",H240)</f>
        <v/>
      </c>
      <c r="O240" s="172" t="str">
        <f t="shared" ref="O240:O303" si="23">IF(E240="","",I240)</f>
        <v/>
      </c>
    </row>
    <row r="241" spans="5:15">
      <c r="E241" s="298"/>
      <c r="K241" s="171" t="str">
        <f t="shared" si="20"/>
        <v/>
      </c>
      <c r="L241" s="171" t="str">
        <f>IF(E241="","",IF(COUNTIFS(Table2[[#All],[De (Lote)]],Input_APM!F241)&gt;0,INDEX(Table2[[#All],[Para (Ticker Daniel)]],MATCH(Input_APM!F241,Table2[[#All],[De (Lote)]],0)),Input_APM!F241))</f>
        <v/>
      </c>
      <c r="M241" s="171" t="str">
        <f t="shared" si="21"/>
        <v/>
      </c>
      <c r="N241" s="172" t="str">
        <f t="shared" si="22"/>
        <v/>
      </c>
      <c r="O241" s="172" t="str">
        <f t="shared" si="23"/>
        <v/>
      </c>
    </row>
    <row r="242" spans="5:15">
      <c r="E242" s="298"/>
      <c r="K242" s="171" t="str">
        <f t="shared" si="20"/>
        <v/>
      </c>
      <c r="L242" s="171" t="str">
        <f>IF(E242="","",IF(COUNTIFS(Table2[[#All],[De (Lote)]],Input_APM!F242)&gt;0,INDEX(Table2[[#All],[Para (Ticker Daniel)]],MATCH(Input_APM!F242,Table2[[#All],[De (Lote)]],0)),Input_APM!F242))</f>
        <v/>
      </c>
      <c r="M242" s="171" t="str">
        <f t="shared" si="21"/>
        <v/>
      </c>
      <c r="N242" s="172" t="str">
        <f t="shared" si="22"/>
        <v/>
      </c>
      <c r="O242" s="172" t="str">
        <f t="shared" si="23"/>
        <v/>
      </c>
    </row>
    <row r="243" spans="5:15">
      <c r="E243" s="298"/>
      <c r="K243" s="171" t="str">
        <f t="shared" si="20"/>
        <v/>
      </c>
      <c r="L243" s="171" t="str">
        <f>IF(E243="","",IF(COUNTIFS(Table2[[#All],[De (Lote)]],Input_APM!F243)&gt;0,INDEX(Table2[[#All],[Para (Ticker Daniel)]],MATCH(Input_APM!F243,Table2[[#All],[De (Lote)]],0)),Input_APM!F243))</f>
        <v/>
      </c>
      <c r="M243" s="171" t="str">
        <f t="shared" si="21"/>
        <v/>
      </c>
      <c r="N243" s="172" t="str">
        <f t="shared" si="22"/>
        <v/>
      </c>
      <c r="O243" s="172" t="str">
        <f t="shared" si="23"/>
        <v/>
      </c>
    </row>
    <row r="244" spans="5:15">
      <c r="E244" s="298"/>
      <c r="K244" s="171" t="str">
        <f t="shared" si="20"/>
        <v/>
      </c>
      <c r="L244" s="171" t="str">
        <f>IF(E244="","",IF(COUNTIFS(Table2[[#All],[De (Lote)]],Input_APM!F244)&gt;0,INDEX(Table2[[#All],[Para (Ticker Daniel)]],MATCH(Input_APM!F244,Table2[[#All],[De (Lote)]],0)),Input_APM!F244))</f>
        <v/>
      </c>
      <c r="M244" s="171" t="str">
        <f t="shared" si="21"/>
        <v/>
      </c>
      <c r="N244" s="172" t="str">
        <f t="shared" si="22"/>
        <v/>
      </c>
      <c r="O244" s="172" t="str">
        <f t="shared" si="23"/>
        <v/>
      </c>
    </row>
    <row r="245" spans="5:15">
      <c r="E245" s="298"/>
      <c r="K245" s="171" t="str">
        <f t="shared" si="20"/>
        <v/>
      </c>
      <c r="L245" s="171" t="str">
        <f>IF(E245="","",IF(COUNTIFS(Table2[[#All],[De (Lote)]],Input_APM!F245)&gt;0,INDEX(Table2[[#All],[Para (Ticker Daniel)]],MATCH(Input_APM!F245,Table2[[#All],[De (Lote)]],0)),Input_APM!F245))</f>
        <v/>
      </c>
      <c r="M245" s="171" t="str">
        <f t="shared" si="21"/>
        <v/>
      </c>
      <c r="N245" s="172" t="str">
        <f t="shared" si="22"/>
        <v/>
      </c>
      <c r="O245" s="172" t="str">
        <f t="shared" si="23"/>
        <v/>
      </c>
    </row>
    <row r="246" spans="5:15">
      <c r="E246" s="298"/>
      <c r="K246" s="171" t="str">
        <f t="shared" si="20"/>
        <v/>
      </c>
      <c r="L246" s="171" t="str">
        <f>IF(E246="","",IF(COUNTIFS(Table2[[#All],[De (Lote)]],Input_APM!F246)&gt;0,INDEX(Table2[[#All],[Para (Ticker Daniel)]],MATCH(Input_APM!F246,Table2[[#All],[De (Lote)]],0)),Input_APM!F246))</f>
        <v/>
      </c>
      <c r="M246" s="171" t="str">
        <f t="shared" si="21"/>
        <v/>
      </c>
      <c r="N246" s="172" t="str">
        <f t="shared" si="22"/>
        <v/>
      </c>
      <c r="O246" s="172" t="str">
        <f t="shared" si="23"/>
        <v/>
      </c>
    </row>
    <row r="247" spans="5:15">
      <c r="E247" s="298"/>
      <c r="K247" s="171" t="str">
        <f t="shared" si="20"/>
        <v/>
      </c>
      <c r="L247" s="171" t="str">
        <f>IF(E247="","",IF(COUNTIFS(Table2[[#All],[De (Lote)]],Input_APM!F247)&gt;0,INDEX(Table2[[#All],[Para (Ticker Daniel)]],MATCH(Input_APM!F247,Table2[[#All],[De (Lote)]],0)),Input_APM!F247))</f>
        <v/>
      </c>
      <c r="M247" s="171" t="str">
        <f t="shared" si="21"/>
        <v/>
      </c>
      <c r="N247" s="172" t="str">
        <f t="shared" si="22"/>
        <v/>
      </c>
      <c r="O247" s="172" t="str">
        <f t="shared" si="23"/>
        <v/>
      </c>
    </row>
    <row r="248" spans="5:15">
      <c r="E248" s="298"/>
      <c r="K248" s="171" t="str">
        <f t="shared" si="20"/>
        <v/>
      </c>
      <c r="L248" s="171" t="str">
        <f>IF(E248="","",IF(COUNTIFS(Table2[[#All],[De (Lote)]],Input_APM!F248)&gt;0,INDEX(Table2[[#All],[Para (Ticker Daniel)]],MATCH(Input_APM!F248,Table2[[#All],[De (Lote)]],0)),Input_APM!F248))</f>
        <v/>
      </c>
      <c r="M248" s="171" t="str">
        <f t="shared" si="21"/>
        <v/>
      </c>
      <c r="N248" s="172" t="str">
        <f t="shared" si="22"/>
        <v/>
      </c>
      <c r="O248" s="172" t="str">
        <f t="shared" si="23"/>
        <v/>
      </c>
    </row>
    <row r="249" spans="5:15">
      <c r="E249" s="298"/>
      <c r="K249" s="171" t="str">
        <f t="shared" si="20"/>
        <v/>
      </c>
      <c r="L249" s="171" t="str">
        <f>IF(E249="","",IF(COUNTIFS(Table2[[#All],[De (Lote)]],Input_APM!F249)&gt;0,INDEX(Table2[[#All],[Para (Ticker Daniel)]],MATCH(Input_APM!F249,Table2[[#All],[De (Lote)]],0)),Input_APM!F249))</f>
        <v/>
      </c>
      <c r="M249" s="171" t="str">
        <f t="shared" si="21"/>
        <v/>
      </c>
      <c r="N249" s="172" t="str">
        <f t="shared" si="22"/>
        <v/>
      </c>
      <c r="O249" s="172" t="str">
        <f t="shared" si="23"/>
        <v/>
      </c>
    </row>
    <row r="250" spans="5:15">
      <c r="E250" s="298"/>
      <c r="K250" s="171" t="str">
        <f t="shared" si="20"/>
        <v/>
      </c>
      <c r="L250" s="171" t="str">
        <f>IF(E250="","",IF(COUNTIFS(Table2[[#All],[De (Lote)]],Input_APM!F250)&gt;0,INDEX(Table2[[#All],[Para (Ticker Daniel)]],MATCH(Input_APM!F250,Table2[[#All],[De (Lote)]],0)),Input_APM!F250))</f>
        <v/>
      </c>
      <c r="M250" s="171" t="str">
        <f t="shared" si="21"/>
        <v/>
      </c>
      <c r="N250" s="172" t="str">
        <f t="shared" si="22"/>
        <v/>
      </c>
      <c r="O250" s="172" t="str">
        <f t="shared" si="23"/>
        <v/>
      </c>
    </row>
    <row r="251" spans="5:15">
      <c r="E251" s="298"/>
      <c r="K251" s="171" t="str">
        <f t="shared" si="20"/>
        <v/>
      </c>
      <c r="L251" s="171" t="str">
        <f>IF(E251="","",IF(COUNTIFS(Table2[[#All],[De (Lote)]],Input_APM!F251)&gt;0,INDEX(Table2[[#All],[Para (Ticker Daniel)]],MATCH(Input_APM!F251,Table2[[#All],[De (Lote)]],0)),Input_APM!F251))</f>
        <v/>
      </c>
      <c r="M251" s="171" t="str">
        <f t="shared" si="21"/>
        <v/>
      </c>
      <c r="N251" s="172" t="str">
        <f t="shared" si="22"/>
        <v/>
      </c>
      <c r="O251" s="172" t="str">
        <f t="shared" si="23"/>
        <v/>
      </c>
    </row>
    <row r="252" spans="5:15">
      <c r="E252" s="298"/>
      <c r="K252" s="171" t="str">
        <f t="shared" si="20"/>
        <v/>
      </c>
      <c r="L252" s="171" t="str">
        <f>IF(E252="","",IF(COUNTIFS(Table2[[#All],[De (Lote)]],Input_APM!F252)&gt;0,INDEX(Table2[[#All],[Para (Ticker Daniel)]],MATCH(Input_APM!F252,Table2[[#All],[De (Lote)]],0)),Input_APM!F252))</f>
        <v/>
      </c>
      <c r="M252" s="171" t="str">
        <f t="shared" si="21"/>
        <v/>
      </c>
      <c r="N252" s="172" t="str">
        <f t="shared" si="22"/>
        <v/>
      </c>
      <c r="O252" s="172" t="str">
        <f t="shared" si="23"/>
        <v/>
      </c>
    </row>
    <row r="253" spans="5:15">
      <c r="E253" s="298"/>
      <c r="K253" s="171" t="str">
        <f t="shared" si="20"/>
        <v/>
      </c>
      <c r="L253" s="171" t="str">
        <f>IF(E253="","",IF(COUNTIFS(Table2[[#All],[De (Lote)]],Input_APM!F253)&gt;0,INDEX(Table2[[#All],[Para (Ticker Daniel)]],MATCH(Input_APM!F253,Table2[[#All],[De (Lote)]],0)),Input_APM!F253))</f>
        <v/>
      </c>
      <c r="M253" s="171" t="str">
        <f t="shared" si="21"/>
        <v/>
      </c>
      <c r="N253" s="172" t="str">
        <f t="shared" si="22"/>
        <v/>
      </c>
      <c r="O253" s="172" t="str">
        <f t="shared" si="23"/>
        <v/>
      </c>
    </row>
    <row r="254" spans="5:15">
      <c r="E254" s="298"/>
      <c r="K254" s="171" t="str">
        <f t="shared" si="20"/>
        <v/>
      </c>
      <c r="L254" s="171" t="str">
        <f>IF(E254="","",IF(COUNTIFS(Table2[[#All],[De (Lote)]],Input_APM!F254)&gt;0,INDEX(Table2[[#All],[Para (Ticker Daniel)]],MATCH(Input_APM!F254,Table2[[#All],[De (Lote)]],0)),Input_APM!F254))</f>
        <v/>
      </c>
      <c r="M254" s="171" t="str">
        <f t="shared" si="21"/>
        <v/>
      </c>
      <c r="N254" s="172" t="str">
        <f t="shared" si="22"/>
        <v/>
      </c>
      <c r="O254" s="172" t="str">
        <f t="shared" si="23"/>
        <v/>
      </c>
    </row>
    <row r="255" spans="5:15">
      <c r="E255" s="298"/>
      <c r="K255" s="171" t="str">
        <f t="shared" si="20"/>
        <v/>
      </c>
      <c r="L255" s="171" t="str">
        <f>IF(E255="","",IF(COUNTIFS(Table2[[#All],[De (Lote)]],Input_APM!F255)&gt;0,INDEX(Table2[[#All],[Para (Ticker Daniel)]],MATCH(Input_APM!F255,Table2[[#All],[De (Lote)]],0)),Input_APM!F255))</f>
        <v/>
      </c>
      <c r="M255" s="171" t="str">
        <f t="shared" si="21"/>
        <v/>
      </c>
      <c r="N255" s="172" t="str">
        <f t="shared" si="22"/>
        <v/>
      </c>
      <c r="O255" s="172" t="str">
        <f t="shared" si="23"/>
        <v/>
      </c>
    </row>
    <row r="256" spans="5:15">
      <c r="E256" s="298"/>
      <c r="K256" s="171" t="str">
        <f t="shared" si="20"/>
        <v/>
      </c>
      <c r="L256" s="171" t="str">
        <f>IF(E256="","",IF(COUNTIFS(Table2[[#All],[De (Lote)]],Input_APM!F256)&gt;0,INDEX(Table2[[#All],[Para (Ticker Daniel)]],MATCH(Input_APM!F256,Table2[[#All],[De (Lote)]],0)),Input_APM!F256))</f>
        <v/>
      </c>
      <c r="M256" s="171" t="str">
        <f t="shared" si="21"/>
        <v/>
      </c>
      <c r="N256" s="172" t="str">
        <f t="shared" si="22"/>
        <v/>
      </c>
      <c r="O256" s="172" t="str">
        <f t="shared" si="23"/>
        <v/>
      </c>
    </row>
    <row r="257" spans="5:15">
      <c r="E257" s="298"/>
      <c r="K257" s="171" t="str">
        <f t="shared" si="20"/>
        <v/>
      </c>
      <c r="L257" s="171" t="str">
        <f>IF(E257="","",IF(COUNTIFS(Table2[[#All],[De (Lote)]],Input_APM!F257)&gt;0,INDEX(Table2[[#All],[Para (Ticker Daniel)]],MATCH(Input_APM!F257,Table2[[#All],[De (Lote)]],0)),Input_APM!F257))</f>
        <v/>
      </c>
      <c r="M257" s="171" t="str">
        <f t="shared" si="21"/>
        <v/>
      </c>
      <c r="N257" s="172" t="str">
        <f t="shared" si="22"/>
        <v/>
      </c>
      <c r="O257" s="172" t="str">
        <f t="shared" si="23"/>
        <v/>
      </c>
    </row>
    <row r="258" spans="5:15">
      <c r="E258" s="298"/>
      <c r="K258" s="171" t="str">
        <f t="shared" si="20"/>
        <v/>
      </c>
      <c r="L258" s="171" t="str">
        <f>IF(E258="","",IF(COUNTIFS(Table2[[#All],[De (Lote)]],Input_APM!F258)&gt;0,INDEX(Table2[[#All],[Para (Ticker Daniel)]],MATCH(Input_APM!F258,Table2[[#All],[De (Lote)]],0)),Input_APM!F258))</f>
        <v/>
      </c>
      <c r="M258" s="171" t="str">
        <f t="shared" si="21"/>
        <v/>
      </c>
      <c r="N258" s="172" t="str">
        <f t="shared" si="22"/>
        <v/>
      </c>
      <c r="O258" s="172" t="str">
        <f t="shared" si="23"/>
        <v/>
      </c>
    </row>
    <row r="259" spans="5:15">
      <c r="E259" s="298"/>
      <c r="K259" s="171" t="str">
        <f t="shared" si="20"/>
        <v/>
      </c>
      <c r="L259" s="171" t="str">
        <f>IF(E259="","",IF(COUNTIFS(Table2[[#All],[De (Lote)]],Input_APM!F259)&gt;0,INDEX(Table2[[#All],[Para (Ticker Daniel)]],MATCH(Input_APM!F259,Table2[[#All],[De (Lote)]],0)),Input_APM!F259))</f>
        <v/>
      </c>
      <c r="M259" s="171" t="str">
        <f t="shared" si="21"/>
        <v/>
      </c>
      <c r="N259" s="172" t="str">
        <f t="shared" si="22"/>
        <v/>
      </c>
      <c r="O259" s="172" t="str">
        <f t="shared" si="23"/>
        <v/>
      </c>
    </row>
    <row r="260" spans="5:15">
      <c r="E260" s="298"/>
      <c r="K260" s="171" t="str">
        <f t="shared" si="20"/>
        <v/>
      </c>
      <c r="L260" s="171" t="str">
        <f>IF(E260="","",IF(COUNTIFS(Table2[[#All],[De (Lote)]],Input_APM!F260)&gt;0,INDEX(Table2[[#All],[Para (Ticker Daniel)]],MATCH(Input_APM!F260,Table2[[#All],[De (Lote)]],0)),Input_APM!F260))</f>
        <v/>
      </c>
      <c r="M260" s="171" t="str">
        <f t="shared" si="21"/>
        <v/>
      </c>
      <c r="N260" s="172" t="str">
        <f t="shared" si="22"/>
        <v/>
      </c>
      <c r="O260" s="172" t="str">
        <f t="shared" si="23"/>
        <v/>
      </c>
    </row>
    <row r="261" spans="5:15">
      <c r="E261" s="298"/>
      <c r="K261" s="171" t="str">
        <f t="shared" si="20"/>
        <v/>
      </c>
      <c r="L261" s="171" t="str">
        <f>IF(E261="","",IF(COUNTIFS(Table2[[#All],[De (Lote)]],Input_APM!F261)&gt;0,INDEX(Table2[[#All],[Para (Ticker Daniel)]],MATCH(Input_APM!F261,Table2[[#All],[De (Lote)]],0)),Input_APM!F261))</f>
        <v/>
      </c>
      <c r="M261" s="171" t="str">
        <f t="shared" si="21"/>
        <v/>
      </c>
      <c r="N261" s="172" t="str">
        <f t="shared" si="22"/>
        <v/>
      </c>
      <c r="O261" s="172" t="str">
        <f t="shared" si="23"/>
        <v/>
      </c>
    </row>
    <row r="262" spans="5:15">
      <c r="E262" s="298"/>
      <c r="K262" s="171" t="str">
        <f t="shared" si="20"/>
        <v/>
      </c>
      <c r="L262" s="171" t="str">
        <f>IF(E262="","",IF(COUNTIFS(Table2[[#All],[De (Lote)]],Input_APM!F262)&gt;0,INDEX(Table2[[#All],[Para (Ticker Daniel)]],MATCH(Input_APM!F262,Table2[[#All],[De (Lote)]],0)),Input_APM!F262))</f>
        <v/>
      </c>
      <c r="M262" s="171" t="str">
        <f t="shared" si="21"/>
        <v/>
      </c>
      <c r="N262" s="172" t="str">
        <f t="shared" si="22"/>
        <v/>
      </c>
      <c r="O262" s="172" t="str">
        <f t="shared" si="23"/>
        <v/>
      </c>
    </row>
    <row r="263" spans="5:15">
      <c r="E263" s="298"/>
      <c r="K263" s="171" t="str">
        <f t="shared" si="20"/>
        <v/>
      </c>
      <c r="L263" s="171" t="str">
        <f>IF(E263="","",IF(COUNTIFS(Table2[[#All],[De (Lote)]],Input_APM!F263)&gt;0,INDEX(Table2[[#All],[Para (Ticker Daniel)]],MATCH(Input_APM!F263,Table2[[#All],[De (Lote)]],0)),Input_APM!F263))</f>
        <v/>
      </c>
      <c r="M263" s="171" t="str">
        <f t="shared" si="21"/>
        <v/>
      </c>
      <c r="N263" s="172" t="str">
        <f t="shared" si="22"/>
        <v/>
      </c>
      <c r="O263" s="172" t="str">
        <f t="shared" si="23"/>
        <v/>
      </c>
    </row>
    <row r="264" spans="5:15">
      <c r="E264" s="298"/>
      <c r="K264" s="171" t="str">
        <f t="shared" si="20"/>
        <v/>
      </c>
      <c r="L264" s="171" t="str">
        <f>IF(E264="","",IF(COUNTIFS(Table2[[#All],[De (Lote)]],Input_APM!F264)&gt;0,INDEX(Table2[[#All],[Para (Ticker Daniel)]],MATCH(Input_APM!F264,Table2[[#All],[De (Lote)]],0)),Input_APM!F264))</f>
        <v/>
      </c>
      <c r="M264" s="171" t="str">
        <f t="shared" si="21"/>
        <v/>
      </c>
      <c r="N264" s="172" t="str">
        <f t="shared" si="22"/>
        <v/>
      </c>
      <c r="O264" s="172" t="str">
        <f t="shared" si="23"/>
        <v/>
      </c>
    </row>
    <row r="265" spans="5:15">
      <c r="E265" s="298"/>
      <c r="K265" s="171" t="str">
        <f t="shared" si="20"/>
        <v/>
      </c>
      <c r="L265" s="171" t="str">
        <f>IF(E265="","",IF(COUNTIFS(Table2[[#All],[De (Lote)]],Input_APM!F265)&gt;0,INDEX(Table2[[#All],[Para (Ticker Daniel)]],MATCH(Input_APM!F265,Table2[[#All],[De (Lote)]],0)),Input_APM!F265))</f>
        <v/>
      </c>
      <c r="M265" s="171" t="str">
        <f t="shared" si="21"/>
        <v/>
      </c>
      <c r="N265" s="172" t="str">
        <f t="shared" si="22"/>
        <v/>
      </c>
      <c r="O265" s="172" t="str">
        <f t="shared" si="23"/>
        <v/>
      </c>
    </row>
    <row r="266" spans="5:15">
      <c r="E266" s="298"/>
      <c r="K266" s="171" t="str">
        <f t="shared" si="20"/>
        <v/>
      </c>
      <c r="L266" s="171" t="str">
        <f>IF(E266="","",IF(COUNTIFS(Table2[[#All],[De (Lote)]],Input_APM!F266)&gt;0,INDEX(Table2[[#All],[Para (Ticker Daniel)]],MATCH(Input_APM!F266,Table2[[#All],[De (Lote)]],0)),Input_APM!F266))</f>
        <v/>
      </c>
      <c r="M266" s="171" t="str">
        <f t="shared" si="21"/>
        <v/>
      </c>
      <c r="N266" s="172" t="str">
        <f t="shared" si="22"/>
        <v/>
      </c>
      <c r="O266" s="172" t="str">
        <f t="shared" si="23"/>
        <v/>
      </c>
    </row>
    <row r="267" spans="5:15">
      <c r="E267" s="298"/>
      <c r="K267" s="171" t="str">
        <f t="shared" si="20"/>
        <v/>
      </c>
      <c r="L267" s="171" t="str">
        <f>IF(E267="","",IF(COUNTIFS(Table2[[#All],[De (Lote)]],Input_APM!F267)&gt;0,INDEX(Table2[[#All],[Para (Ticker Daniel)]],MATCH(Input_APM!F267,Table2[[#All],[De (Lote)]],0)),Input_APM!F267))</f>
        <v/>
      </c>
      <c r="M267" s="171" t="str">
        <f t="shared" si="21"/>
        <v/>
      </c>
      <c r="N267" s="172" t="str">
        <f t="shared" si="22"/>
        <v/>
      </c>
      <c r="O267" s="172" t="str">
        <f t="shared" si="23"/>
        <v/>
      </c>
    </row>
    <row r="268" spans="5:15">
      <c r="E268" s="298"/>
      <c r="K268" s="171" t="str">
        <f t="shared" si="20"/>
        <v/>
      </c>
      <c r="L268" s="171" t="str">
        <f>IF(E268="","",IF(COUNTIFS(Table2[[#All],[De (Lote)]],Input_APM!F268)&gt;0,INDEX(Table2[[#All],[Para (Ticker Daniel)]],MATCH(Input_APM!F268,Table2[[#All],[De (Lote)]],0)),Input_APM!F268))</f>
        <v/>
      </c>
      <c r="M268" s="171" t="str">
        <f t="shared" si="21"/>
        <v/>
      </c>
      <c r="N268" s="172" t="str">
        <f t="shared" si="22"/>
        <v/>
      </c>
      <c r="O268" s="172" t="str">
        <f t="shared" si="23"/>
        <v/>
      </c>
    </row>
    <row r="269" spans="5:15">
      <c r="E269" s="298"/>
      <c r="K269" s="171" t="str">
        <f t="shared" si="20"/>
        <v/>
      </c>
      <c r="L269" s="171" t="str">
        <f>IF(E269="","",IF(COUNTIFS(Table2[[#All],[De (Lote)]],Input_APM!F269)&gt;0,INDEX(Table2[[#All],[Para (Ticker Daniel)]],MATCH(Input_APM!F269,Table2[[#All],[De (Lote)]],0)),Input_APM!F269))</f>
        <v/>
      </c>
      <c r="M269" s="171" t="str">
        <f t="shared" si="21"/>
        <v/>
      </c>
      <c r="N269" s="172" t="str">
        <f t="shared" si="22"/>
        <v/>
      </c>
      <c r="O269" s="172" t="str">
        <f t="shared" si="23"/>
        <v/>
      </c>
    </row>
    <row r="270" spans="5:15">
      <c r="E270" s="298"/>
      <c r="K270" s="171" t="str">
        <f t="shared" si="20"/>
        <v/>
      </c>
      <c r="L270" s="171" t="str">
        <f>IF(E270="","",IF(COUNTIFS(Table2[[#All],[De (Lote)]],Input_APM!F270)&gt;0,INDEX(Table2[[#All],[Para (Ticker Daniel)]],MATCH(Input_APM!F270,Table2[[#All],[De (Lote)]],0)),Input_APM!F270))</f>
        <v/>
      </c>
      <c r="M270" s="171" t="str">
        <f t="shared" si="21"/>
        <v/>
      </c>
      <c r="N270" s="172" t="str">
        <f t="shared" si="22"/>
        <v/>
      </c>
      <c r="O270" s="172" t="str">
        <f t="shared" si="23"/>
        <v/>
      </c>
    </row>
    <row r="271" spans="5:15">
      <c r="E271" s="298"/>
      <c r="K271" s="171" t="str">
        <f t="shared" si="20"/>
        <v/>
      </c>
      <c r="L271" s="171" t="str">
        <f>IF(E271="","",IF(COUNTIFS(Table2[[#All],[De (Lote)]],Input_APM!F271)&gt;0,INDEX(Table2[[#All],[Para (Ticker Daniel)]],MATCH(Input_APM!F271,Table2[[#All],[De (Lote)]],0)),Input_APM!F271))</f>
        <v/>
      </c>
      <c r="M271" s="171" t="str">
        <f t="shared" si="21"/>
        <v/>
      </c>
      <c r="N271" s="172" t="str">
        <f t="shared" si="22"/>
        <v/>
      </c>
      <c r="O271" s="172" t="str">
        <f t="shared" si="23"/>
        <v/>
      </c>
    </row>
    <row r="272" spans="5:15">
      <c r="E272" s="298"/>
      <c r="K272" s="171" t="str">
        <f t="shared" si="20"/>
        <v/>
      </c>
      <c r="L272" s="171" t="str">
        <f>IF(E272="","",IF(COUNTIFS(Table2[[#All],[De (Lote)]],Input_APM!F272)&gt;0,INDEX(Table2[[#All],[Para (Ticker Daniel)]],MATCH(Input_APM!F272,Table2[[#All],[De (Lote)]],0)),Input_APM!F272))</f>
        <v/>
      </c>
      <c r="M272" s="171" t="str">
        <f t="shared" si="21"/>
        <v/>
      </c>
      <c r="N272" s="172" t="str">
        <f t="shared" si="22"/>
        <v/>
      </c>
      <c r="O272" s="172" t="str">
        <f t="shared" si="23"/>
        <v/>
      </c>
    </row>
    <row r="273" spans="5:15">
      <c r="E273" s="298"/>
      <c r="K273" s="171" t="str">
        <f t="shared" si="20"/>
        <v/>
      </c>
      <c r="L273" s="171" t="str">
        <f>IF(E273="","",IF(COUNTIFS(Table2[[#All],[De (Lote)]],Input_APM!F273)&gt;0,INDEX(Table2[[#All],[Para (Ticker Daniel)]],MATCH(Input_APM!F273,Table2[[#All],[De (Lote)]],0)),Input_APM!F273))</f>
        <v/>
      </c>
      <c r="M273" s="171" t="str">
        <f t="shared" si="21"/>
        <v/>
      </c>
      <c r="N273" s="172" t="str">
        <f t="shared" si="22"/>
        <v/>
      </c>
      <c r="O273" s="172" t="str">
        <f t="shared" si="23"/>
        <v/>
      </c>
    </row>
    <row r="274" spans="5:15">
      <c r="E274" s="298"/>
      <c r="K274" s="171" t="str">
        <f t="shared" si="20"/>
        <v/>
      </c>
      <c r="L274" s="171" t="str">
        <f>IF(E274="","",IF(COUNTIFS(Table2[[#All],[De (Lote)]],Input_APM!F274)&gt;0,INDEX(Table2[[#All],[Para (Ticker Daniel)]],MATCH(Input_APM!F274,Table2[[#All],[De (Lote)]],0)),Input_APM!F274))</f>
        <v/>
      </c>
      <c r="M274" s="171" t="str">
        <f t="shared" si="21"/>
        <v/>
      </c>
      <c r="N274" s="172" t="str">
        <f t="shared" si="22"/>
        <v/>
      </c>
      <c r="O274" s="172" t="str">
        <f t="shared" si="23"/>
        <v/>
      </c>
    </row>
    <row r="275" spans="5:15">
      <c r="E275" s="298"/>
      <c r="K275" s="171" t="str">
        <f t="shared" si="20"/>
        <v/>
      </c>
      <c r="L275" s="171" t="str">
        <f>IF(E275="","",IF(COUNTIFS(Table2[[#All],[De (Lote)]],Input_APM!F275)&gt;0,INDEX(Table2[[#All],[Para (Ticker Daniel)]],MATCH(Input_APM!F275,Table2[[#All],[De (Lote)]],0)),Input_APM!F275))</f>
        <v/>
      </c>
      <c r="M275" s="171" t="str">
        <f t="shared" si="21"/>
        <v/>
      </c>
      <c r="N275" s="172" t="str">
        <f t="shared" si="22"/>
        <v/>
      </c>
      <c r="O275" s="172" t="str">
        <f t="shared" si="23"/>
        <v/>
      </c>
    </row>
    <row r="276" spans="5:15">
      <c r="E276" s="298"/>
      <c r="K276" s="171" t="str">
        <f t="shared" si="20"/>
        <v/>
      </c>
      <c r="L276" s="171" t="str">
        <f>IF(E276="","",IF(COUNTIFS(Table2[[#All],[De (Lote)]],Input_APM!F276)&gt;0,INDEX(Table2[[#All],[Para (Ticker Daniel)]],MATCH(Input_APM!F276,Table2[[#All],[De (Lote)]],0)),Input_APM!F276))</f>
        <v/>
      </c>
      <c r="M276" s="171" t="str">
        <f t="shared" si="21"/>
        <v/>
      </c>
      <c r="N276" s="172" t="str">
        <f t="shared" si="22"/>
        <v/>
      </c>
      <c r="O276" s="172" t="str">
        <f t="shared" si="23"/>
        <v/>
      </c>
    </row>
    <row r="277" spans="5:15">
      <c r="E277" s="298"/>
      <c r="K277" s="171" t="str">
        <f t="shared" si="20"/>
        <v/>
      </c>
      <c r="L277" s="171" t="str">
        <f>IF(E277="","",IF(COUNTIFS(Table2[[#All],[De (Lote)]],Input_APM!F277)&gt;0,INDEX(Table2[[#All],[Para (Ticker Daniel)]],MATCH(Input_APM!F277,Table2[[#All],[De (Lote)]],0)),Input_APM!F277))</f>
        <v/>
      </c>
      <c r="M277" s="171" t="str">
        <f t="shared" si="21"/>
        <v/>
      </c>
      <c r="N277" s="172" t="str">
        <f t="shared" si="22"/>
        <v/>
      </c>
      <c r="O277" s="172" t="str">
        <f t="shared" si="23"/>
        <v/>
      </c>
    </row>
    <row r="278" spans="5:15">
      <c r="E278" s="298"/>
      <c r="K278" s="171" t="str">
        <f t="shared" si="20"/>
        <v/>
      </c>
      <c r="L278" s="171" t="str">
        <f>IF(E278="","",IF(COUNTIFS(Table2[[#All],[De (Lote)]],Input_APM!F278)&gt;0,INDEX(Table2[[#All],[Para (Ticker Daniel)]],MATCH(Input_APM!F278,Table2[[#All],[De (Lote)]],0)),Input_APM!F278))</f>
        <v/>
      </c>
      <c r="M278" s="171" t="str">
        <f t="shared" si="21"/>
        <v/>
      </c>
      <c r="N278" s="172" t="str">
        <f t="shared" si="22"/>
        <v/>
      </c>
      <c r="O278" s="172" t="str">
        <f t="shared" si="23"/>
        <v/>
      </c>
    </row>
    <row r="279" spans="5:15">
      <c r="E279" s="298"/>
      <c r="K279" s="171" t="str">
        <f t="shared" si="20"/>
        <v/>
      </c>
      <c r="L279" s="171" t="str">
        <f>IF(E279="","",IF(COUNTIFS(Table2[[#All],[De (Lote)]],Input_APM!F279)&gt;0,INDEX(Table2[[#All],[Para (Ticker Daniel)]],MATCH(Input_APM!F279,Table2[[#All],[De (Lote)]],0)),Input_APM!F279))</f>
        <v/>
      </c>
      <c r="M279" s="171" t="str">
        <f t="shared" si="21"/>
        <v/>
      </c>
      <c r="N279" s="172" t="str">
        <f t="shared" si="22"/>
        <v/>
      </c>
      <c r="O279" s="172" t="str">
        <f t="shared" si="23"/>
        <v/>
      </c>
    </row>
    <row r="280" spans="5:15">
      <c r="E280" s="298"/>
      <c r="K280" s="171" t="str">
        <f t="shared" si="20"/>
        <v/>
      </c>
      <c r="L280" s="171" t="str">
        <f>IF(E280="","",IF(COUNTIFS(Table2[[#All],[De (Lote)]],Input_APM!F280)&gt;0,INDEX(Table2[[#All],[Para (Ticker Daniel)]],MATCH(Input_APM!F280,Table2[[#All],[De (Lote)]],0)),Input_APM!F280))</f>
        <v/>
      </c>
      <c r="M280" s="171" t="str">
        <f t="shared" si="21"/>
        <v/>
      </c>
      <c r="N280" s="172" t="str">
        <f t="shared" si="22"/>
        <v/>
      </c>
      <c r="O280" s="172" t="str">
        <f t="shared" si="23"/>
        <v/>
      </c>
    </row>
    <row r="281" spans="5:15">
      <c r="E281" s="298"/>
      <c r="K281" s="171" t="str">
        <f t="shared" si="20"/>
        <v/>
      </c>
      <c r="L281" s="171" t="str">
        <f>IF(E281="","",IF(COUNTIFS(Table2[[#All],[De (Lote)]],Input_APM!F281)&gt;0,INDEX(Table2[[#All],[Para (Ticker Daniel)]],MATCH(Input_APM!F281,Table2[[#All],[De (Lote)]],0)),Input_APM!F281))</f>
        <v/>
      </c>
      <c r="M281" s="171" t="str">
        <f t="shared" si="21"/>
        <v/>
      </c>
      <c r="N281" s="172" t="str">
        <f t="shared" si="22"/>
        <v/>
      </c>
      <c r="O281" s="172" t="str">
        <f t="shared" si="23"/>
        <v/>
      </c>
    </row>
    <row r="282" spans="5:15">
      <c r="E282" s="298"/>
      <c r="K282" s="171" t="str">
        <f t="shared" si="20"/>
        <v/>
      </c>
      <c r="L282" s="171" t="str">
        <f>IF(E282="","",IF(COUNTIFS(Table2[[#All],[De (Lote)]],Input_APM!F282)&gt;0,INDEX(Table2[[#All],[Para (Ticker Daniel)]],MATCH(Input_APM!F282,Table2[[#All],[De (Lote)]],0)),Input_APM!F282))</f>
        <v/>
      </c>
      <c r="M282" s="171" t="str">
        <f t="shared" si="21"/>
        <v/>
      </c>
      <c r="N282" s="172" t="str">
        <f t="shared" si="22"/>
        <v/>
      </c>
      <c r="O282" s="172" t="str">
        <f t="shared" si="23"/>
        <v/>
      </c>
    </row>
    <row r="283" spans="5:15">
      <c r="E283" s="298"/>
      <c r="K283" s="171" t="str">
        <f t="shared" si="20"/>
        <v/>
      </c>
      <c r="L283" s="171" t="str">
        <f>IF(E283="","",IF(COUNTIFS(Table2[[#All],[De (Lote)]],Input_APM!F283)&gt;0,INDEX(Table2[[#All],[Para (Ticker Daniel)]],MATCH(Input_APM!F283,Table2[[#All],[De (Lote)]],0)),Input_APM!F283))</f>
        <v/>
      </c>
      <c r="M283" s="171" t="str">
        <f t="shared" si="21"/>
        <v/>
      </c>
      <c r="N283" s="172" t="str">
        <f t="shared" si="22"/>
        <v/>
      </c>
      <c r="O283" s="172" t="str">
        <f t="shared" si="23"/>
        <v/>
      </c>
    </row>
    <row r="284" spans="5:15">
      <c r="E284" s="298"/>
      <c r="K284" s="171" t="str">
        <f t="shared" si="20"/>
        <v/>
      </c>
      <c r="L284" s="171" t="str">
        <f>IF(E284="","",IF(COUNTIFS(Table2[[#All],[De (Lote)]],Input_APM!F284)&gt;0,INDEX(Table2[[#All],[Para (Ticker Daniel)]],MATCH(Input_APM!F284,Table2[[#All],[De (Lote)]],0)),Input_APM!F284))</f>
        <v/>
      </c>
      <c r="M284" s="171" t="str">
        <f t="shared" si="21"/>
        <v/>
      </c>
      <c r="N284" s="172" t="str">
        <f t="shared" si="22"/>
        <v/>
      </c>
      <c r="O284" s="172" t="str">
        <f t="shared" si="23"/>
        <v/>
      </c>
    </row>
    <row r="285" spans="5:15">
      <c r="E285" s="298"/>
      <c r="K285" s="171" t="str">
        <f t="shared" si="20"/>
        <v/>
      </c>
      <c r="L285" s="171" t="str">
        <f>IF(E285="","",IF(COUNTIFS(Table2[[#All],[De (Lote)]],Input_APM!F285)&gt;0,INDEX(Table2[[#All],[Para (Ticker Daniel)]],MATCH(Input_APM!F285,Table2[[#All],[De (Lote)]],0)),Input_APM!F285))</f>
        <v/>
      </c>
      <c r="M285" s="171" t="str">
        <f t="shared" si="21"/>
        <v/>
      </c>
      <c r="N285" s="172" t="str">
        <f t="shared" si="22"/>
        <v/>
      </c>
      <c r="O285" s="172" t="str">
        <f t="shared" si="23"/>
        <v/>
      </c>
    </row>
    <row r="286" spans="5:15">
      <c r="E286" s="298"/>
      <c r="K286" s="171" t="str">
        <f t="shared" si="20"/>
        <v/>
      </c>
      <c r="L286" s="171" t="str">
        <f>IF(E286="","",IF(COUNTIFS(Table2[[#All],[De (Lote)]],Input_APM!F286)&gt;0,INDEX(Table2[[#All],[Para (Ticker Daniel)]],MATCH(Input_APM!F286,Table2[[#All],[De (Lote)]],0)),Input_APM!F286))</f>
        <v/>
      </c>
      <c r="M286" s="171" t="str">
        <f t="shared" si="21"/>
        <v/>
      </c>
      <c r="N286" s="172" t="str">
        <f t="shared" si="22"/>
        <v/>
      </c>
      <c r="O286" s="172" t="str">
        <f t="shared" si="23"/>
        <v/>
      </c>
    </row>
    <row r="287" spans="5:15">
      <c r="E287" s="298"/>
      <c r="K287" s="171" t="str">
        <f t="shared" si="20"/>
        <v/>
      </c>
      <c r="L287" s="171" t="str">
        <f>IF(E287="","",IF(COUNTIFS(Table2[[#All],[De (Lote)]],Input_APM!F287)&gt;0,INDEX(Table2[[#All],[Para (Ticker Daniel)]],MATCH(Input_APM!F287,Table2[[#All],[De (Lote)]],0)),Input_APM!F287))</f>
        <v/>
      </c>
      <c r="M287" s="171" t="str">
        <f t="shared" si="21"/>
        <v/>
      </c>
      <c r="N287" s="172" t="str">
        <f t="shared" si="22"/>
        <v/>
      </c>
      <c r="O287" s="172" t="str">
        <f t="shared" si="23"/>
        <v/>
      </c>
    </row>
    <row r="288" spans="5:15">
      <c r="E288" s="298"/>
      <c r="K288" s="171" t="str">
        <f t="shared" si="20"/>
        <v/>
      </c>
      <c r="L288" s="171" t="str">
        <f>IF(E288="","",IF(COUNTIFS(Table2[[#All],[De (Lote)]],Input_APM!F288)&gt;0,INDEX(Table2[[#All],[Para (Ticker Daniel)]],MATCH(Input_APM!F288,Table2[[#All],[De (Lote)]],0)),Input_APM!F288))</f>
        <v/>
      </c>
      <c r="M288" s="171" t="str">
        <f t="shared" si="21"/>
        <v/>
      </c>
      <c r="N288" s="172" t="str">
        <f t="shared" si="22"/>
        <v/>
      </c>
      <c r="O288" s="172" t="str">
        <f t="shared" si="23"/>
        <v/>
      </c>
    </row>
    <row r="289" spans="5:15">
      <c r="E289" s="298"/>
      <c r="K289" s="171" t="str">
        <f t="shared" si="20"/>
        <v/>
      </c>
      <c r="L289" s="171" t="str">
        <f>IF(E289="","",IF(COUNTIFS(Table2[[#All],[De (Lote)]],Input_APM!F289)&gt;0,INDEX(Table2[[#All],[Para (Ticker Daniel)]],MATCH(Input_APM!F289,Table2[[#All],[De (Lote)]],0)),Input_APM!F289))</f>
        <v/>
      </c>
      <c r="M289" s="171" t="str">
        <f t="shared" si="21"/>
        <v/>
      </c>
      <c r="N289" s="172" t="str">
        <f t="shared" si="22"/>
        <v/>
      </c>
      <c r="O289" s="172" t="str">
        <f t="shared" si="23"/>
        <v/>
      </c>
    </row>
    <row r="290" spans="5:15">
      <c r="E290" s="298"/>
      <c r="K290" s="171" t="str">
        <f t="shared" si="20"/>
        <v/>
      </c>
      <c r="L290" s="171" t="str">
        <f>IF(E290="","",IF(COUNTIFS(Table2[[#All],[De (Lote)]],Input_APM!F290)&gt;0,INDEX(Table2[[#All],[Para (Ticker Daniel)]],MATCH(Input_APM!F290,Table2[[#All],[De (Lote)]],0)),Input_APM!F290))</f>
        <v/>
      </c>
      <c r="M290" s="171" t="str">
        <f t="shared" si="21"/>
        <v/>
      </c>
      <c r="N290" s="172" t="str">
        <f t="shared" si="22"/>
        <v/>
      </c>
      <c r="O290" s="172" t="str">
        <f t="shared" si="23"/>
        <v/>
      </c>
    </row>
    <row r="291" spans="5:15">
      <c r="E291" s="298"/>
      <c r="K291" s="171" t="str">
        <f t="shared" si="20"/>
        <v/>
      </c>
      <c r="L291" s="171" t="str">
        <f>IF(E291="","",IF(COUNTIFS(Table2[[#All],[De (Lote)]],Input_APM!F291)&gt;0,INDEX(Table2[[#All],[Para (Ticker Daniel)]],MATCH(Input_APM!F291,Table2[[#All],[De (Lote)]],0)),Input_APM!F291))</f>
        <v/>
      </c>
      <c r="M291" s="171" t="str">
        <f t="shared" si="21"/>
        <v/>
      </c>
      <c r="N291" s="172" t="str">
        <f t="shared" si="22"/>
        <v/>
      </c>
      <c r="O291" s="172" t="str">
        <f t="shared" si="23"/>
        <v/>
      </c>
    </row>
    <row r="292" spans="5:15">
      <c r="E292" s="298"/>
      <c r="K292" s="171" t="str">
        <f t="shared" si="20"/>
        <v/>
      </c>
      <c r="L292" s="171" t="str">
        <f>IF(E292="","",IF(COUNTIFS(Table2[[#All],[De (Lote)]],Input_APM!F292)&gt;0,INDEX(Table2[[#All],[Para (Ticker Daniel)]],MATCH(Input_APM!F292,Table2[[#All],[De (Lote)]],0)),Input_APM!F292))</f>
        <v/>
      </c>
      <c r="M292" s="171" t="str">
        <f t="shared" si="21"/>
        <v/>
      </c>
      <c r="N292" s="172" t="str">
        <f t="shared" si="22"/>
        <v/>
      </c>
      <c r="O292" s="172" t="str">
        <f t="shared" si="23"/>
        <v/>
      </c>
    </row>
    <row r="293" spans="5:15">
      <c r="E293" s="298"/>
      <c r="K293" s="171" t="str">
        <f t="shared" si="20"/>
        <v/>
      </c>
      <c r="L293" s="171" t="str">
        <f>IF(E293="","",IF(COUNTIFS(Table2[[#All],[De (Lote)]],Input_APM!F293)&gt;0,INDEX(Table2[[#All],[Para (Ticker Daniel)]],MATCH(Input_APM!F293,Table2[[#All],[De (Lote)]],0)),Input_APM!F293))</f>
        <v/>
      </c>
      <c r="M293" s="171" t="str">
        <f t="shared" si="21"/>
        <v/>
      </c>
      <c r="N293" s="172" t="str">
        <f t="shared" si="22"/>
        <v/>
      </c>
      <c r="O293" s="172" t="str">
        <f t="shared" si="23"/>
        <v/>
      </c>
    </row>
    <row r="294" spans="5:15">
      <c r="E294" s="298"/>
      <c r="K294" s="171" t="str">
        <f t="shared" si="20"/>
        <v/>
      </c>
      <c r="L294" s="171" t="str">
        <f>IF(E294="","",IF(COUNTIFS(Table2[[#All],[De (Lote)]],Input_APM!F294)&gt;0,INDEX(Table2[[#All],[Para (Ticker Daniel)]],MATCH(Input_APM!F294,Table2[[#All],[De (Lote)]],0)),Input_APM!F294))</f>
        <v/>
      </c>
      <c r="M294" s="171" t="str">
        <f t="shared" si="21"/>
        <v/>
      </c>
      <c r="N294" s="172" t="str">
        <f t="shared" si="22"/>
        <v/>
      </c>
      <c r="O294" s="172" t="str">
        <f t="shared" si="23"/>
        <v/>
      </c>
    </row>
    <row r="295" spans="5:15">
      <c r="E295" s="298"/>
      <c r="K295" s="171" t="str">
        <f t="shared" si="20"/>
        <v/>
      </c>
      <c r="L295" s="171" t="str">
        <f>IF(E295="","",IF(COUNTIFS(Table2[[#All],[De (Lote)]],Input_APM!F295)&gt;0,INDEX(Table2[[#All],[Para (Ticker Daniel)]],MATCH(Input_APM!F295,Table2[[#All],[De (Lote)]],0)),Input_APM!F295))</f>
        <v/>
      </c>
      <c r="M295" s="171" t="str">
        <f t="shared" si="21"/>
        <v/>
      </c>
      <c r="N295" s="172" t="str">
        <f t="shared" si="22"/>
        <v/>
      </c>
      <c r="O295" s="172" t="str">
        <f t="shared" si="23"/>
        <v/>
      </c>
    </row>
    <row r="296" spans="5:15">
      <c r="E296" s="298"/>
      <c r="K296" s="171" t="str">
        <f t="shared" si="20"/>
        <v/>
      </c>
      <c r="L296" s="171" t="str">
        <f>IF(E296="","",IF(COUNTIFS(Table2[[#All],[De (Lote)]],Input_APM!F296)&gt;0,INDEX(Table2[[#All],[Para (Ticker Daniel)]],MATCH(Input_APM!F296,Table2[[#All],[De (Lote)]],0)),Input_APM!F296))</f>
        <v/>
      </c>
      <c r="M296" s="171" t="str">
        <f t="shared" si="21"/>
        <v/>
      </c>
      <c r="N296" s="172" t="str">
        <f t="shared" si="22"/>
        <v/>
      </c>
      <c r="O296" s="172" t="str">
        <f t="shared" si="23"/>
        <v/>
      </c>
    </row>
    <row r="297" spans="5:15">
      <c r="E297" s="298"/>
      <c r="K297" s="171" t="str">
        <f t="shared" si="20"/>
        <v/>
      </c>
      <c r="L297" s="171" t="str">
        <f>IF(E297="","",IF(COUNTIFS(Table2[[#All],[De (Lote)]],Input_APM!F297)&gt;0,INDEX(Table2[[#All],[Para (Ticker Daniel)]],MATCH(Input_APM!F297,Table2[[#All],[De (Lote)]],0)),Input_APM!F297))</f>
        <v/>
      </c>
      <c r="M297" s="171" t="str">
        <f t="shared" si="21"/>
        <v/>
      </c>
      <c r="N297" s="172" t="str">
        <f t="shared" si="22"/>
        <v/>
      </c>
      <c r="O297" s="172" t="str">
        <f t="shared" si="23"/>
        <v/>
      </c>
    </row>
    <row r="298" spans="5:15">
      <c r="E298" s="298"/>
      <c r="K298" s="171" t="str">
        <f t="shared" si="20"/>
        <v/>
      </c>
      <c r="L298" s="171" t="str">
        <f>IF(E298="","",IF(COUNTIFS(Table2[[#All],[De (Lote)]],Input_APM!F298)&gt;0,INDEX(Table2[[#All],[Para (Ticker Daniel)]],MATCH(Input_APM!F298,Table2[[#All],[De (Lote)]],0)),Input_APM!F298))</f>
        <v/>
      </c>
      <c r="M298" s="171" t="str">
        <f t="shared" si="21"/>
        <v/>
      </c>
      <c r="N298" s="172" t="str">
        <f t="shared" si="22"/>
        <v/>
      </c>
      <c r="O298" s="172" t="str">
        <f t="shared" si="23"/>
        <v/>
      </c>
    </row>
    <row r="299" spans="5:15">
      <c r="E299" s="298"/>
      <c r="K299" s="171" t="str">
        <f t="shared" si="20"/>
        <v/>
      </c>
      <c r="L299" s="171" t="str">
        <f>IF(E299="","",IF(COUNTIFS(Table2[[#All],[De (Lote)]],Input_APM!F299)&gt;0,INDEX(Table2[[#All],[Para (Ticker Daniel)]],MATCH(Input_APM!F299,Table2[[#All],[De (Lote)]],0)),Input_APM!F299))</f>
        <v/>
      </c>
      <c r="M299" s="171" t="str">
        <f t="shared" si="21"/>
        <v/>
      </c>
      <c r="N299" s="172" t="str">
        <f t="shared" si="22"/>
        <v/>
      </c>
      <c r="O299" s="172" t="str">
        <f t="shared" si="23"/>
        <v/>
      </c>
    </row>
    <row r="300" spans="5:15">
      <c r="E300" s="298"/>
      <c r="K300" s="171" t="str">
        <f t="shared" si="20"/>
        <v/>
      </c>
      <c r="L300" s="171" t="str">
        <f>IF(E300="","",IF(COUNTIFS(Table2[[#All],[De (Lote)]],Input_APM!F300)&gt;0,INDEX(Table2[[#All],[Para (Ticker Daniel)]],MATCH(Input_APM!F300,Table2[[#All],[De (Lote)]],0)),Input_APM!F300))</f>
        <v/>
      </c>
      <c r="M300" s="171" t="str">
        <f t="shared" si="21"/>
        <v/>
      </c>
      <c r="N300" s="172" t="str">
        <f t="shared" si="22"/>
        <v/>
      </c>
      <c r="O300" s="172" t="str">
        <f t="shared" si="23"/>
        <v/>
      </c>
    </row>
    <row r="301" spans="5:15">
      <c r="E301" s="298"/>
      <c r="K301" s="171" t="str">
        <f t="shared" si="20"/>
        <v/>
      </c>
      <c r="L301" s="171" t="str">
        <f>IF(E301="","",IF(COUNTIFS(Table2[[#All],[De (Lote)]],Input_APM!F301)&gt;0,INDEX(Table2[[#All],[Para (Ticker Daniel)]],MATCH(Input_APM!F301,Table2[[#All],[De (Lote)]],0)),Input_APM!F301))</f>
        <v/>
      </c>
      <c r="M301" s="171" t="str">
        <f t="shared" si="21"/>
        <v/>
      </c>
      <c r="N301" s="172" t="str">
        <f t="shared" si="22"/>
        <v/>
      </c>
      <c r="O301" s="172" t="str">
        <f t="shared" si="23"/>
        <v/>
      </c>
    </row>
    <row r="302" spans="5:15">
      <c r="E302" s="298"/>
      <c r="K302" s="171" t="str">
        <f t="shared" si="20"/>
        <v/>
      </c>
      <c r="L302" s="171" t="str">
        <f>IF(E302="","",IF(COUNTIFS(Table2[[#All],[De (Lote)]],Input_APM!F302)&gt;0,INDEX(Table2[[#All],[Para (Ticker Daniel)]],MATCH(Input_APM!F302,Table2[[#All],[De (Lote)]],0)),Input_APM!F302))</f>
        <v/>
      </c>
      <c r="M302" s="171" t="str">
        <f t="shared" si="21"/>
        <v/>
      </c>
      <c r="N302" s="172" t="str">
        <f t="shared" si="22"/>
        <v/>
      </c>
      <c r="O302" s="172" t="str">
        <f t="shared" si="23"/>
        <v/>
      </c>
    </row>
    <row r="303" spans="5:15">
      <c r="E303" s="298"/>
      <c r="K303" s="171" t="str">
        <f t="shared" si="20"/>
        <v/>
      </c>
      <c r="L303" s="171" t="str">
        <f>IF(E303="","",IF(COUNTIFS(Table2[[#All],[De (Lote)]],Input_APM!F303)&gt;0,INDEX(Table2[[#All],[Para (Ticker Daniel)]],MATCH(Input_APM!F303,Table2[[#All],[De (Lote)]],0)),Input_APM!F303))</f>
        <v/>
      </c>
      <c r="M303" s="171" t="str">
        <f t="shared" si="21"/>
        <v/>
      </c>
      <c r="N303" s="172" t="str">
        <f t="shared" si="22"/>
        <v/>
      </c>
      <c r="O303" s="172" t="str">
        <f t="shared" si="23"/>
        <v/>
      </c>
    </row>
    <row r="304" spans="5:15">
      <c r="E304" s="298"/>
      <c r="K304" s="171" t="str">
        <f t="shared" ref="K304:K355" si="24">IF(E304="","",E304)</f>
        <v/>
      </c>
      <c r="L304" s="171" t="str">
        <f>IF(E304="","",IF(COUNTIFS(Table2[[#All],[De (Lote)]],Input_APM!F304)&gt;0,INDEX(Table2[[#All],[Para (Ticker Daniel)]],MATCH(Input_APM!F304,Table2[[#All],[De (Lote)]],0)),Input_APM!F304))</f>
        <v/>
      </c>
      <c r="M304" s="171" t="str">
        <f t="shared" ref="M304:M355" si="25">IF(E304="","",G304)</f>
        <v/>
      </c>
      <c r="N304" s="172" t="str">
        <f t="shared" ref="N304:N355" si="26">IF(E304="","",H304)</f>
        <v/>
      </c>
      <c r="O304" s="172" t="str">
        <f t="shared" ref="O304:O355" si="27">IF(E304="","",I304)</f>
        <v/>
      </c>
    </row>
    <row r="305" spans="5:15">
      <c r="E305" s="298"/>
      <c r="K305" s="171" t="str">
        <f t="shared" si="24"/>
        <v/>
      </c>
      <c r="L305" s="171" t="str">
        <f>IF(E305="","",IF(COUNTIFS(Table2[[#All],[De (Lote)]],Input_APM!F305)&gt;0,INDEX(Table2[[#All],[Para (Ticker Daniel)]],MATCH(Input_APM!F305,Table2[[#All],[De (Lote)]],0)),Input_APM!F305))</f>
        <v/>
      </c>
      <c r="M305" s="171" t="str">
        <f t="shared" si="25"/>
        <v/>
      </c>
      <c r="N305" s="172" t="str">
        <f t="shared" si="26"/>
        <v/>
      </c>
      <c r="O305" s="172" t="str">
        <f t="shared" si="27"/>
        <v/>
      </c>
    </row>
    <row r="306" spans="5:15">
      <c r="E306" s="298"/>
      <c r="K306" s="171" t="str">
        <f t="shared" si="24"/>
        <v/>
      </c>
      <c r="L306" s="171" t="str">
        <f>IF(E306="","",IF(COUNTIFS(Table2[[#All],[De (Lote)]],Input_APM!F306)&gt;0,INDEX(Table2[[#All],[Para (Ticker Daniel)]],MATCH(Input_APM!F306,Table2[[#All],[De (Lote)]],0)),Input_APM!F306))</f>
        <v/>
      </c>
      <c r="M306" s="171" t="str">
        <f t="shared" si="25"/>
        <v/>
      </c>
      <c r="N306" s="172" t="str">
        <f t="shared" si="26"/>
        <v/>
      </c>
      <c r="O306" s="172" t="str">
        <f t="shared" si="27"/>
        <v/>
      </c>
    </row>
    <row r="307" spans="5:15">
      <c r="E307" s="298"/>
      <c r="K307" s="171" t="str">
        <f t="shared" si="24"/>
        <v/>
      </c>
      <c r="L307" s="171" t="str">
        <f>IF(E307="","",IF(COUNTIFS(Table2[[#All],[De (Lote)]],Input_APM!F307)&gt;0,INDEX(Table2[[#All],[Para (Ticker Daniel)]],MATCH(Input_APM!F307,Table2[[#All],[De (Lote)]],0)),Input_APM!F307))</f>
        <v/>
      </c>
      <c r="M307" s="171" t="str">
        <f t="shared" si="25"/>
        <v/>
      </c>
      <c r="N307" s="172" t="str">
        <f t="shared" si="26"/>
        <v/>
      </c>
      <c r="O307" s="172" t="str">
        <f t="shared" si="27"/>
        <v/>
      </c>
    </row>
    <row r="308" spans="5:15">
      <c r="E308" s="298"/>
      <c r="K308" s="171" t="str">
        <f t="shared" si="24"/>
        <v/>
      </c>
      <c r="L308" s="171" t="str">
        <f>IF(E308="","",IF(COUNTIFS(Table2[[#All],[De (Lote)]],Input_APM!F308)&gt;0,INDEX(Table2[[#All],[Para (Ticker Daniel)]],MATCH(Input_APM!F308,Table2[[#All],[De (Lote)]],0)),Input_APM!F308))</f>
        <v/>
      </c>
      <c r="M308" s="171" t="str">
        <f t="shared" si="25"/>
        <v/>
      </c>
      <c r="N308" s="172" t="str">
        <f t="shared" si="26"/>
        <v/>
      </c>
      <c r="O308" s="172" t="str">
        <f t="shared" si="27"/>
        <v/>
      </c>
    </row>
    <row r="309" spans="5:15">
      <c r="E309" s="298"/>
      <c r="K309" s="171" t="str">
        <f t="shared" si="24"/>
        <v/>
      </c>
      <c r="L309" s="171" t="str">
        <f>IF(E309="","",IF(COUNTIFS(Table2[[#All],[De (Lote)]],Input_APM!F309)&gt;0,INDEX(Table2[[#All],[Para (Ticker Daniel)]],MATCH(Input_APM!F309,Table2[[#All],[De (Lote)]],0)),Input_APM!F309))</f>
        <v/>
      </c>
      <c r="M309" s="171" t="str">
        <f t="shared" si="25"/>
        <v/>
      </c>
      <c r="N309" s="172" t="str">
        <f t="shared" si="26"/>
        <v/>
      </c>
      <c r="O309" s="172" t="str">
        <f t="shared" si="27"/>
        <v/>
      </c>
    </row>
    <row r="310" spans="5:15">
      <c r="E310" s="298"/>
      <c r="K310" s="171" t="str">
        <f t="shared" si="24"/>
        <v/>
      </c>
      <c r="L310" s="171" t="str">
        <f>IF(E310="","",IF(COUNTIFS(Table2[[#All],[De (Lote)]],Input_APM!F310)&gt;0,INDEX(Table2[[#All],[Para (Ticker Daniel)]],MATCH(Input_APM!F310,Table2[[#All],[De (Lote)]],0)),Input_APM!F310))</f>
        <v/>
      </c>
      <c r="M310" s="171" t="str">
        <f t="shared" si="25"/>
        <v/>
      </c>
      <c r="N310" s="172" t="str">
        <f t="shared" si="26"/>
        <v/>
      </c>
      <c r="O310" s="172" t="str">
        <f t="shared" si="27"/>
        <v/>
      </c>
    </row>
    <row r="311" spans="5:15">
      <c r="E311" s="298"/>
      <c r="K311" s="171" t="str">
        <f t="shared" si="24"/>
        <v/>
      </c>
      <c r="L311" s="171" t="str">
        <f>IF(E311="","",IF(COUNTIFS(Table2[[#All],[De (Lote)]],Input_APM!F311)&gt;0,INDEX(Table2[[#All],[Para (Ticker Daniel)]],MATCH(Input_APM!F311,Table2[[#All],[De (Lote)]],0)),Input_APM!F311))</f>
        <v/>
      </c>
      <c r="M311" s="171" t="str">
        <f t="shared" si="25"/>
        <v/>
      </c>
      <c r="N311" s="172" t="str">
        <f t="shared" si="26"/>
        <v/>
      </c>
      <c r="O311" s="172" t="str">
        <f t="shared" si="27"/>
        <v/>
      </c>
    </row>
    <row r="312" spans="5:15">
      <c r="E312" s="298"/>
      <c r="K312" s="171" t="str">
        <f t="shared" si="24"/>
        <v/>
      </c>
      <c r="L312" s="171" t="str">
        <f>IF(E312="","",IF(COUNTIFS(Table2[[#All],[De (Lote)]],Input_APM!F312)&gt;0,INDEX(Table2[[#All],[Para (Ticker Daniel)]],MATCH(Input_APM!F312,Table2[[#All],[De (Lote)]],0)),Input_APM!F312))</f>
        <v/>
      </c>
      <c r="M312" s="171" t="str">
        <f t="shared" si="25"/>
        <v/>
      </c>
      <c r="N312" s="172" t="str">
        <f t="shared" si="26"/>
        <v/>
      </c>
      <c r="O312" s="172" t="str">
        <f t="shared" si="27"/>
        <v/>
      </c>
    </row>
    <row r="313" spans="5:15">
      <c r="E313" s="298"/>
      <c r="K313" s="171" t="str">
        <f t="shared" si="24"/>
        <v/>
      </c>
      <c r="L313" s="171" t="str">
        <f>IF(E313="","",IF(COUNTIFS(Table2[[#All],[De (Lote)]],Input_APM!F313)&gt;0,INDEX(Table2[[#All],[Para (Ticker Daniel)]],MATCH(Input_APM!F313,Table2[[#All],[De (Lote)]],0)),Input_APM!F313))</f>
        <v/>
      </c>
      <c r="M313" s="171" t="str">
        <f t="shared" si="25"/>
        <v/>
      </c>
      <c r="N313" s="172" t="str">
        <f t="shared" si="26"/>
        <v/>
      </c>
      <c r="O313" s="172" t="str">
        <f t="shared" si="27"/>
        <v/>
      </c>
    </row>
    <row r="314" spans="5:15">
      <c r="E314" s="298"/>
      <c r="K314" s="171" t="str">
        <f t="shared" si="24"/>
        <v/>
      </c>
      <c r="L314" s="171" t="str">
        <f>IF(E314="","",IF(COUNTIFS(Table2[[#All],[De (Lote)]],Input_APM!F314)&gt;0,INDEX(Table2[[#All],[Para (Ticker Daniel)]],MATCH(Input_APM!F314,Table2[[#All],[De (Lote)]],0)),Input_APM!F314))</f>
        <v/>
      </c>
      <c r="M314" s="171" t="str">
        <f t="shared" si="25"/>
        <v/>
      </c>
      <c r="N314" s="172" t="str">
        <f t="shared" si="26"/>
        <v/>
      </c>
      <c r="O314" s="172" t="str">
        <f t="shared" si="27"/>
        <v/>
      </c>
    </row>
    <row r="315" spans="5:15">
      <c r="E315" s="298"/>
      <c r="K315" s="171" t="str">
        <f t="shared" si="24"/>
        <v/>
      </c>
      <c r="L315" s="171" t="str">
        <f>IF(E315="","",IF(COUNTIFS(Table2[[#All],[De (Lote)]],Input_APM!F315)&gt;0,INDEX(Table2[[#All],[Para (Ticker Daniel)]],MATCH(Input_APM!F315,Table2[[#All],[De (Lote)]],0)),Input_APM!F315))</f>
        <v/>
      </c>
      <c r="M315" s="171" t="str">
        <f t="shared" si="25"/>
        <v/>
      </c>
      <c r="N315" s="172" t="str">
        <f t="shared" si="26"/>
        <v/>
      </c>
      <c r="O315" s="172" t="str">
        <f t="shared" si="27"/>
        <v/>
      </c>
    </row>
    <row r="316" spans="5:15">
      <c r="E316" s="298"/>
      <c r="K316" s="171" t="str">
        <f t="shared" si="24"/>
        <v/>
      </c>
      <c r="L316" s="171" t="str">
        <f>IF(E316="","",IF(COUNTIFS(Table2[[#All],[De (Lote)]],Input_APM!F316)&gt;0,INDEX(Table2[[#All],[Para (Ticker Daniel)]],MATCH(Input_APM!F316,Table2[[#All],[De (Lote)]],0)),Input_APM!F316))</f>
        <v/>
      </c>
      <c r="M316" s="171" t="str">
        <f t="shared" si="25"/>
        <v/>
      </c>
      <c r="N316" s="172" t="str">
        <f t="shared" si="26"/>
        <v/>
      </c>
      <c r="O316" s="172" t="str">
        <f t="shared" si="27"/>
        <v/>
      </c>
    </row>
    <row r="317" spans="5:15">
      <c r="E317" s="298"/>
      <c r="K317" s="171" t="str">
        <f t="shared" si="24"/>
        <v/>
      </c>
      <c r="L317" s="171" t="str">
        <f>IF(E317="","",IF(COUNTIFS(Table2[[#All],[De (Lote)]],Input_APM!F317)&gt;0,INDEX(Table2[[#All],[Para (Ticker Daniel)]],MATCH(Input_APM!F317,Table2[[#All],[De (Lote)]],0)),Input_APM!F317))</f>
        <v/>
      </c>
      <c r="M317" s="171" t="str">
        <f t="shared" si="25"/>
        <v/>
      </c>
      <c r="N317" s="172" t="str">
        <f t="shared" si="26"/>
        <v/>
      </c>
      <c r="O317" s="172" t="str">
        <f t="shared" si="27"/>
        <v/>
      </c>
    </row>
    <row r="318" spans="5:15">
      <c r="E318" s="298"/>
      <c r="K318" s="171" t="str">
        <f t="shared" si="24"/>
        <v/>
      </c>
      <c r="L318" s="171" t="str">
        <f>IF(E318="","",IF(COUNTIFS(Table2[[#All],[De (Lote)]],Input_APM!F318)&gt;0,INDEX(Table2[[#All],[Para (Ticker Daniel)]],MATCH(Input_APM!F318,Table2[[#All],[De (Lote)]],0)),Input_APM!F318))</f>
        <v/>
      </c>
      <c r="M318" s="171" t="str">
        <f t="shared" si="25"/>
        <v/>
      </c>
      <c r="N318" s="172" t="str">
        <f t="shared" si="26"/>
        <v/>
      </c>
      <c r="O318" s="172" t="str">
        <f t="shared" si="27"/>
        <v/>
      </c>
    </row>
    <row r="319" spans="5:15">
      <c r="E319" s="298"/>
      <c r="K319" s="171" t="str">
        <f t="shared" si="24"/>
        <v/>
      </c>
      <c r="L319" s="171" t="str">
        <f>IF(E319="","",IF(COUNTIFS(Table2[[#All],[De (Lote)]],Input_APM!F319)&gt;0,INDEX(Table2[[#All],[Para (Ticker Daniel)]],MATCH(Input_APM!F319,Table2[[#All],[De (Lote)]],0)),Input_APM!F319))</f>
        <v/>
      </c>
      <c r="M319" s="171" t="str">
        <f t="shared" si="25"/>
        <v/>
      </c>
      <c r="N319" s="172" t="str">
        <f t="shared" si="26"/>
        <v/>
      </c>
      <c r="O319" s="172" t="str">
        <f t="shared" si="27"/>
        <v/>
      </c>
    </row>
    <row r="320" spans="5:15">
      <c r="E320" s="298"/>
      <c r="K320" s="171" t="str">
        <f t="shared" si="24"/>
        <v/>
      </c>
      <c r="L320" s="171" t="str">
        <f>IF(E320="","",IF(COUNTIFS(Table2[[#All],[De (Lote)]],Input_APM!F320)&gt;0,INDEX(Table2[[#All],[Para (Ticker Daniel)]],MATCH(Input_APM!F320,Table2[[#All],[De (Lote)]],0)),Input_APM!F320))</f>
        <v/>
      </c>
      <c r="M320" s="171" t="str">
        <f t="shared" si="25"/>
        <v/>
      </c>
      <c r="N320" s="172" t="str">
        <f t="shared" si="26"/>
        <v/>
      </c>
      <c r="O320" s="172" t="str">
        <f t="shared" si="27"/>
        <v/>
      </c>
    </row>
    <row r="321" spans="5:15">
      <c r="E321" s="298"/>
      <c r="K321" s="171" t="str">
        <f t="shared" si="24"/>
        <v/>
      </c>
      <c r="L321" s="171" t="str">
        <f>IF(E321="","",IF(COUNTIFS(Table2[[#All],[De (Lote)]],Input_APM!F321)&gt;0,INDEX(Table2[[#All],[Para (Ticker Daniel)]],MATCH(Input_APM!F321,Table2[[#All],[De (Lote)]],0)),Input_APM!F321))</f>
        <v/>
      </c>
      <c r="M321" s="171" t="str">
        <f t="shared" si="25"/>
        <v/>
      </c>
      <c r="N321" s="172" t="str">
        <f t="shared" si="26"/>
        <v/>
      </c>
      <c r="O321" s="172" t="str">
        <f t="shared" si="27"/>
        <v/>
      </c>
    </row>
    <row r="322" spans="5:15">
      <c r="E322" s="298"/>
      <c r="K322" s="171" t="str">
        <f t="shared" si="24"/>
        <v/>
      </c>
      <c r="L322" s="171" t="str">
        <f>IF(E322="","",IF(COUNTIFS(Table2[[#All],[De (Lote)]],Input_APM!F322)&gt;0,INDEX(Table2[[#All],[Para (Ticker Daniel)]],MATCH(Input_APM!F322,Table2[[#All],[De (Lote)]],0)),Input_APM!F322))</f>
        <v/>
      </c>
      <c r="M322" s="171" t="str">
        <f t="shared" si="25"/>
        <v/>
      </c>
      <c r="N322" s="172" t="str">
        <f t="shared" si="26"/>
        <v/>
      </c>
      <c r="O322" s="172" t="str">
        <f t="shared" si="27"/>
        <v/>
      </c>
    </row>
    <row r="323" spans="5:15">
      <c r="E323" s="298"/>
      <c r="K323" s="171" t="str">
        <f t="shared" si="24"/>
        <v/>
      </c>
      <c r="L323" s="171" t="str">
        <f>IF(E323="","",IF(COUNTIFS(Table2[[#All],[De (Lote)]],Input_APM!F323)&gt;0,INDEX(Table2[[#All],[Para (Ticker Daniel)]],MATCH(Input_APM!F323,Table2[[#All],[De (Lote)]],0)),Input_APM!F323))</f>
        <v/>
      </c>
      <c r="M323" s="171" t="str">
        <f t="shared" si="25"/>
        <v/>
      </c>
      <c r="N323" s="172" t="str">
        <f t="shared" si="26"/>
        <v/>
      </c>
      <c r="O323" s="172" t="str">
        <f t="shared" si="27"/>
        <v/>
      </c>
    </row>
    <row r="324" spans="5:15">
      <c r="E324" s="298"/>
      <c r="K324" s="171" t="str">
        <f t="shared" si="24"/>
        <v/>
      </c>
      <c r="L324" s="171" t="str">
        <f>IF(E324="","",IF(COUNTIFS(Table2[[#All],[De (Lote)]],Input_APM!F324)&gt;0,INDEX(Table2[[#All],[Para (Ticker Daniel)]],MATCH(Input_APM!F324,Table2[[#All],[De (Lote)]],0)),Input_APM!F324))</f>
        <v/>
      </c>
      <c r="M324" s="171" t="str">
        <f t="shared" si="25"/>
        <v/>
      </c>
      <c r="N324" s="172" t="str">
        <f t="shared" si="26"/>
        <v/>
      </c>
      <c r="O324" s="172" t="str">
        <f t="shared" si="27"/>
        <v/>
      </c>
    </row>
    <row r="325" spans="5:15">
      <c r="E325" s="298"/>
      <c r="K325" s="171" t="str">
        <f t="shared" si="24"/>
        <v/>
      </c>
      <c r="L325" s="171" t="str">
        <f>IF(E325="","",IF(COUNTIFS(Table2[[#All],[De (Lote)]],Input_APM!F325)&gt;0,INDEX(Table2[[#All],[Para (Ticker Daniel)]],MATCH(Input_APM!F325,Table2[[#All],[De (Lote)]],0)),Input_APM!F325))</f>
        <v/>
      </c>
      <c r="M325" s="171" t="str">
        <f t="shared" si="25"/>
        <v/>
      </c>
      <c r="N325" s="172" t="str">
        <f t="shared" si="26"/>
        <v/>
      </c>
      <c r="O325" s="172" t="str">
        <f t="shared" si="27"/>
        <v/>
      </c>
    </row>
    <row r="326" spans="5:15">
      <c r="E326" s="298"/>
      <c r="K326" s="171" t="str">
        <f t="shared" si="24"/>
        <v/>
      </c>
      <c r="L326" s="171" t="str">
        <f>IF(E326="","",IF(COUNTIFS(Table2[[#All],[De (Lote)]],Input_APM!F326)&gt;0,INDEX(Table2[[#All],[Para (Ticker Daniel)]],MATCH(Input_APM!F326,Table2[[#All],[De (Lote)]],0)),Input_APM!F326))</f>
        <v/>
      </c>
      <c r="M326" s="171" t="str">
        <f t="shared" si="25"/>
        <v/>
      </c>
      <c r="N326" s="172" t="str">
        <f t="shared" si="26"/>
        <v/>
      </c>
      <c r="O326" s="172" t="str">
        <f t="shared" si="27"/>
        <v/>
      </c>
    </row>
    <row r="327" spans="5:15">
      <c r="E327" s="298"/>
      <c r="K327" s="171" t="str">
        <f t="shared" si="24"/>
        <v/>
      </c>
      <c r="L327" s="171" t="str">
        <f>IF(E327="","",IF(COUNTIFS(Table2[[#All],[De (Lote)]],Input_APM!F327)&gt;0,INDEX(Table2[[#All],[Para (Ticker Daniel)]],MATCH(Input_APM!F327,Table2[[#All],[De (Lote)]],0)),Input_APM!F327))</f>
        <v/>
      </c>
      <c r="M327" s="171" t="str">
        <f t="shared" si="25"/>
        <v/>
      </c>
      <c r="N327" s="172" t="str">
        <f t="shared" si="26"/>
        <v/>
      </c>
      <c r="O327" s="172" t="str">
        <f t="shared" si="27"/>
        <v/>
      </c>
    </row>
    <row r="328" spans="5:15">
      <c r="E328" s="298"/>
      <c r="K328" s="171" t="str">
        <f t="shared" si="24"/>
        <v/>
      </c>
      <c r="L328" s="171" t="str">
        <f>IF(E328="","",IF(COUNTIFS(Table2[[#All],[De (Lote)]],Input_APM!F328)&gt;0,INDEX(Table2[[#All],[Para (Ticker Daniel)]],MATCH(Input_APM!F328,Table2[[#All],[De (Lote)]],0)),Input_APM!F328))</f>
        <v/>
      </c>
      <c r="M328" s="171" t="str">
        <f t="shared" si="25"/>
        <v/>
      </c>
      <c r="N328" s="172" t="str">
        <f t="shared" si="26"/>
        <v/>
      </c>
      <c r="O328" s="172" t="str">
        <f t="shared" si="27"/>
        <v/>
      </c>
    </row>
    <row r="329" spans="5:15">
      <c r="E329" s="298"/>
      <c r="K329" s="171" t="str">
        <f t="shared" si="24"/>
        <v/>
      </c>
      <c r="L329" s="171" t="str">
        <f>IF(E329="","",IF(COUNTIFS(Table2[[#All],[De (Lote)]],Input_APM!F329)&gt;0,INDEX(Table2[[#All],[Para (Ticker Daniel)]],MATCH(Input_APM!F329,Table2[[#All],[De (Lote)]],0)),Input_APM!F329))</f>
        <v/>
      </c>
      <c r="M329" s="171" t="str">
        <f t="shared" si="25"/>
        <v/>
      </c>
      <c r="N329" s="172" t="str">
        <f t="shared" si="26"/>
        <v/>
      </c>
      <c r="O329" s="172" t="str">
        <f t="shared" si="27"/>
        <v/>
      </c>
    </row>
    <row r="330" spans="5:15">
      <c r="E330" s="298"/>
      <c r="K330" s="171" t="str">
        <f t="shared" si="24"/>
        <v/>
      </c>
      <c r="L330" s="171" t="str">
        <f>IF(E330="","",IF(COUNTIFS(Table2[[#All],[De (Lote)]],Input_APM!F330)&gt;0,INDEX(Table2[[#All],[Para (Ticker Daniel)]],MATCH(Input_APM!F330,Table2[[#All],[De (Lote)]],0)),Input_APM!F330))</f>
        <v/>
      </c>
      <c r="M330" s="171" t="str">
        <f t="shared" si="25"/>
        <v/>
      </c>
      <c r="N330" s="172" t="str">
        <f t="shared" si="26"/>
        <v/>
      </c>
      <c r="O330" s="172" t="str">
        <f t="shared" si="27"/>
        <v/>
      </c>
    </row>
    <row r="331" spans="5:15">
      <c r="E331" s="298"/>
      <c r="K331" s="171" t="str">
        <f t="shared" si="24"/>
        <v/>
      </c>
      <c r="L331" s="171" t="str">
        <f>IF(E331="","",IF(COUNTIFS(Table2[[#All],[De (Lote)]],Input_APM!F331)&gt;0,INDEX(Table2[[#All],[Para (Ticker Daniel)]],MATCH(Input_APM!F331,Table2[[#All],[De (Lote)]],0)),Input_APM!F331))</f>
        <v/>
      </c>
      <c r="M331" s="171" t="str">
        <f t="shared" si="25"/>
        <v/>
      </c>
      <c r="N331" s="172" t="str">
        <f t="shared" si="26"/>
        <v/>
      </c>
      <c r="O331" s="172" t="str">
        <f t="shared" si="27"/>
        <v/>
      </c>
    </row>
    <row r="332" spans="5:15">
      <c r="E332" s="298"/>
      <c r="K332" s="171" t="str">
        <f t="shared" si="24"/>
        <v/>
      </c>
      <c r="L332" s="171" t="str">
        <f>IF(E332="","",IF(COUNTIFS(Table2[[#All],[De (Lote)]],Input_APM!F332)&gt;0,INDEX(Table2[[#All],[Para (Ticker Daniel)]],MATCH(Input_APM!F332,Table2[[#All],[De (Lote)]],0)),Input_APM!F332))</f>
        <v/>
      </c>
      <c r="M332" s="171" t="str">
        <f t="shared" si="25"/>
        <v/>
      </c>
      <c r="N332" s="172" t="str">
        <f t="shared" si="26"/>
        <v/>
      </c>
      <c r="O332" s="172" t="str">
        <f t="shared" si="27"/>
        <v/>
      </c>
    </row>
    <row r="333" spans="5:15">
      <c r="E333" s="298"/>
      <c r="K333" s="171" t="str">
        <f t="shared" si="24"/>
        <v/>
      </c>
      <c r="L333" s="171" t="str">
        <f>IF(E333="","",IF(COUNTIFS(Table2[[#All],[De (Lote)]],Input_APM!F333)&gt;0,INDEX(Table2[[#All],[Para (Ticker Daniel)]],MATCH(Input_APM!F333,Table2[[#All],[De (Lote)]],0)),Input_APM!F333))</f>
        <v/>
      </c>
      <c r="M333" s="171" t="str">
        <f t="shared" si="25"/>
        <v/>
      </c>
      <c r="N333" s="172" t="str">
        <f t="shared" si="26"/>
        <v/>
      </c>
      <c r="O333" s="172" t="str">
        <f t="shared" si="27"/>
        <v/>
      </c>
    </row>
    <row r="334" spans="5:15">
      <c r="E334" s="298"/>
      <c r="K334" s="171" t="str">
        <f t="shared" si="24"/>
        <v/>
      </c>
      <c r="L334" s="171" t="str">
        <f>IF(E334="","",IF(COUNTIFS(Table2[[#All],[De (Lote)]],Input_APM!F334)&gt;0,INDEX(Table2[[#All],[Para (Ticker Daniel)]],MATCH(Input_APM!F334,Table2[[#All],[De (Lote)]],0)),Input_APM!F334))</f>
        <v/>
      </c>
      <c r="M334" s="171" t="str">
        <f t="shared" si="25"/>
        <v/>
      </c>
      <c r="N334" s="172" t="str">
        <f t="shared" si="26"/>
        <v/>
      </c>
      <c r="O334" s="172" t="str">
        <f t="shared" si="27"/>
        <v/>
      </c>
    </row>
    <row r="335" spans="5:15">
      <c r="E335" s="298"/>
      <c r="K335" s="171" t="str">
        <f t="shared" si="24"/>
        <v/>
      </c>
      <c r="L335" s="171" t="str">
        <f>IF(E335="","",IF(COUNTIFS(Table2[[#All],[De (Lote)]],Input_APM!F335)&gt;0,INDEX(Table2[[#All],[Para (Ticker Daniel)]],MATCH(Input_APM!F335,Table2[[#All],[De (Lote)]],0)),Input_APM!F335))</f>
        <v/>
      </c>
      <c r="M335" s="171" t="str">
        <f t="shared" si="25"/>
        <v/>
      </c>
      <c r="N335" s="172" t="str">
        <f t="shared" si="26"/>
        <v/>
      </c>
      <c r="O335" s="172" t="str">
        <f t="shared" si="27"/>
        <v/>
      </c>
    </row>
    <row r="336" spans="5:15">
      <c r="E336" s="298"/>
      <c r="K336" s="171" t="str">
        <f t="shared" si="24"/>
        <v/>
      </c>
      <c r="L336" s="171" t="str">
        <f>IF(E336="","",IF(COUNTIFS(Table2[[#All],[De (Lote)]],Input_APM!F336)&gt;0,INDEX(Table2[[#All],[Para (Ticker Daniel)]],MATCH(Input_APM!F336,Table2[[#All],[De (Lote)]],0)),Input_APM!F336))</f>
        <v/>
      </c>
      <c r="M336" s="171" t="str">
        <f t="shared" si="25"/>
        <v/>
      </c>
      <c r="N336" s="172" t="str">
        <f t="shared" si="26"/>
        <v/>
      </c>
      <c r="O336" s="172" t="str">
        <f t="shared" si="27"/>
        <v/>
      </c>
    </row>
    <row r="337" spans="5:15">
      <c r="E337" s="298"/>
      <c r="K337" s="171" t="str">
        <f t="shared" si="24"/>
        <v/>
      </c>
      <c r="L337" s="171" t="str">
        <f>IF(E337="","",IF(COUNTIFS(Table2[[#All],[De (Lote)]],Input_APM!F337)&gt;0,INDEX(Table2[[#All],[Para (Ticker Daniel)]],MATCH(Input_APM!F337,Table2[[#All],[De (Lote)]],0)),Input_APM!F337))</f>
        <v/>
      </c>
      <c r="M337" s="171" t="str">
        <f t="shared" si="25"/>
        <v/>
      </c>
      <c r="N337" s="172" t="str">
        <f t="shared" si="26"/>
        <v/>
      </c>
      <c r="O337" s="172" t="str">
        <f t="shared" si="27"/>
        <v/>
      </c>
    </row>
    <row r="338" spans="5:15">
      <c r="E338" s="298"/>
      <c r="K338" s="171" t="str">
        <f t="shared" si="24"/>
        <v/>
      </c>
      <c r="L338" s="171" t="str">
        <f>IF(E338="","",IF(COUNTIFS(Table2[[#All],[De (Lote)]],Input_APM!F338)&gt;0,INDEX(Table2[[#All],[Para (Ticker Daniel)]],MATCH(Input_APM!F338,Table2[[#All],[De (Lote)]],0)),Input_APM!F338))</f>
        <v/>
      </c>
      <c r="M338" s="171" t="str">
        <f t="shared" si="25"/>
        <v/>
      </c>
      <c r="N338" s="172" t="str">
        <f t="shared" si="26"/>
        <v/>
      </c>
      <c r="O338" s="172" t="str">
        <f t="shared" si="27"/>
        <v/>
      </c>
    </row>
    <row r="339" spans="5:15">
      <c r="E339" s="298"/>
      <c r="K339" s="171" t="str">
        <f t="shared" si="24"/>
        <v/>
      </c>
      <c r="L339" s="171" t="str">
        <f>IF(E339="","",IF(COUNTIFS(Table2[[#All],[De (Lote)]],Input_APM!F339)&gt;0,INDEX(Table2[[#All],[Para (Ticker Daniel)]],MATCH(Input_APM!F339,Table2[[#All],[De (Lote)]],0)),Input_APM!F339))</f>
        <v/>
      </c>
      <c r="M339" s="171" t="str">
        <f t="shared" si="25"/>
        <v/>
      </c>
      <c r="N339" s="172" t="str">
        <f t="shared" si="26"/>
        <v/>
      </c>
      <c r="O339" s="172" t="str">
        <f t="shared" si="27"/>
        <v/>
      </c>
    </row>
    <row r="340" spans="5:15">
      <c r="E340" s="298"/>
      <c r="K340" s="171" t="str">
        <f t="shared" si="24"/>
        <v/>
      </c>
      <c r="L340" s="171" t="str">
        <f>IF(E340="","",IF(COUNTIFS(Table2[[#All],[De (Lote)]],Input_APM!F340)&gt;0,INDEX(Table2[[#All],[Para (Ticker Daniel)]],MATCH(Input_APM!F340,Table2[[#All],[De (Lote)]],0)),Input_APM!F340))</f>
        <v/>
      </c>
      <c r="M340" s="171" t="str">
        <f t="shared" si="25"/>
        <v/>
      </c>
      <c r="N340" s="172" t="str">
        <f t="shared" si="26"/>
        <v/>
      </c>
      <c r="O340" s="172" t="str">
        <f t="shared" si="27"/>
        <v/>
      </c>
    </row>
    <row r="341" spans="5:15">
      <c r="E341" s="298"/>
      <c r="K341" s="171" t="str">
        <f t="shared" si="24"/>
        <v/>
      </c>
      <c r="L341" s="171" t="str">
        <f>IF(E341="","",IF(COUNTIFS(Table2[[#All],[De (Lote)]],Input_APM!F341)&gt;0,INDEX(Table2[[#All],[Para (Ticker Daniel)]],MATCH(Input_APM!F341,Table2[[#All],[De (Lote)]],0)),Input_APM!F341))</f>
        <v/>
      </c>
      <c r="M341" s="171" t="str">
        <f t="shared" si="25"/>
        <v/>
      </c>
      <c r="N341" s="172" t="str">
        <f t="shared" si="26"/>
        <v/>
      </c>
      <c r="O341" s="172" t="str">
        <f t="shared" si="27"/>
        <v/>
      </c>
    </row>
    <row r="342" spans="5:15">
      <c r="E342" s="298"/>
      <c r="K342" s="171" t="str">
        <f t="shared" si="24"/>
        <v/>
      </c>
      <c r="L342" s="171" t="str">
        <f>IF(E342="","",IF(COUNTIFS(Table2[[#All],[De (Lote)]],Input_APM!F342)&gt;0,INDEX(Table2[[#All],[Para (Ticker Daniel)]],MATCH(Input_APM!F342,Table2[[#All],[De (Lote)]],0)),Input_APM!F342))</f>
        <v/>
      </c>
      <c r="M342" s="171" t="str">
        <f t="shared" si="25"/>
        <v/>
      </c>
      <c r="N342" s="172" t="str">
        <f t="shared" si="26"/>
        <v/>
      </c>
      <c r="O342" s="172" t="str">
        <f t="shared" si="27"/>
        <v/>
      </c>
    </row>
    <row r="343" spans="5:15">
      <c r="E343" s="298"/>
      <c r="K343" s="171" t="str">
        <f t="shared" si="24"/>
        <v/>
      </c>
      <c r="L343" s="171" t="str">
        <f>IF(E343="","",IF(COUNTIFS(Table2[[#All],[De (Lote)]],Input_APM!F343)&gt;0,INDEX(Table2[[#All],[Para (Ticker Daniel)]],MATCH(Input_APM!F343,Table2[[#All],[De (Lote)]],0)),Input_APM!F343))</f>
        <v/>
      </c>
      <c r="M343" s="171" t="str">
        <f t="shared" si="25"/>
        <v/>
      </c>
      <c r="N343" s="172" t="str">
        <f t="shared" si="26"/>
        <v/>
      </c>
      <c r="O343" s="172" t="str">
        <f t="shared" si="27"/>
        <v/>
      </c>
    </row>
    <row r="344" spans="5:15">
      <c r="E344" s="298"/>
      <c r="K344" s="171" t="str">
        <f t="shared" si="24"/>
        <v/>
      </c>
      <c r="L344" s="171" t="str">
        <f>IF(E344="","",IF(COUNTIFS(Table2[[#All],[De (Lote)]],Input_APM!F344)&gt;0,INDEX(Table2[[#All],[Para (Ticker Daniel)]],MATCH(Input_APM!F344,Table2[[#All],[De (Lote)]],0)),Input_APM!F344))</f>
        <v/>
      </c>
      <c r="M344" s="171" t="str">
        <f t="shared" si="25"/>
        <v/>
      </c>
      <c r="N344" s="172" t="str">
        <f t="shared" si="26"/>
        <v/>
      </c>
      <c r="O344" s="172" t="str">
        <f t="shared" si="27"/>
        <v/>
      </c>
    </row>
    <row r="345" spans="5:15">
      <c r="E345" s="298"/>
      <c r="K345" s="171" t="str">
        <f t="shared" si="24"/>
        <v/>
      </c>
      <c r="L345" s="171" t="str">
        <f>IF(E345="","",IF(COUNTIFS(Table2[[#All],[De (Lote)]],Input_APM!F345)&gt;0,INDEX(Table2[[#All],[Para (Ticker Daniel)]],MATCH(Input_APM!F345,Table2[[#All],[De (Lote)]],0)),Input_APM!F345))</f>
        <v/>
      </c>
      <c r="M345" s="171" t="str">
        <f t="shared" si="25"/>
        <v/>
      </c>
      <c r="N345" s="172" t="str">
        <f t="shared" si="26"/>
        <v/>
      </c>
      <c r="O345" s="172" t="str">
        <f t="shared" si="27"/>
        <v/>
      </c>
    </row>
    <row r="346" spans="5:15">
      <c r="E346" s="298"/>
      <c r="K346" s="171" t="str">
        <f t="shared" si="24"/>
        <v/>
      </c>
      <c r="L346" s="171" t="str">
        <f>IF(E346="","",IF(COUNTIFS(Table2[[#All],[De (Lote)]],Input_APM!F346)&gt;0,INDEX(Table2[[#All],[Para (Ticker Daniel)]],MATCH(Input_APM!F346,Table2[[#All],[De (Lote)]],0)),Input_APM!F346))</f>
        <v/>
      </c>
      <c r="M346" s="171" t="str">
        <f t="shared" si="25"/>
        <v/>
      </c>
      <c r="N346" s="172" t="str">
        <f t="shared" si="26"/>
        <v/>
      </c>
      <c r="O346" s="172" t="str">
        <f t="shared" si="27"/>
        <v/>
      </c>
    </row>
    <row r="347" spans="5:15">
      <c r="E347" s="298"/>
      <c r="K347" s="171" t="str">
        <f t="shared" si="24"/>
        <v/>
      </c>
      <c r="L347" s="171" t="str">
        <f>IF(E347="","",IF(COUNTIFS(Table2[[#All],[De (Lote)]],Input_APM!F347)&gt;0,INDEX(Table2[[#All],[Para (Ticker Daniel)]],MATCH(Input_APM!F347,Table2[[#All],[De (Lote)]],0)),Input_APM!F347))</f>
        <v/>
      </c>
      <c r="M347" s="171" t="str">
        <f t="shared" si="25"/>
        <v/>
      </c>
      <c r="N347" s="172" t="str">
        <f t="shared" si="26"/>
        <v/>
      </c>
      <c r="O347" s="172" t="str">
        <f t="shared" si="27"/>
        <v/>
      </c>
    </row>
    <row r="348" spans="5:15">
      <c r="E348" s="298"/>
      <c r="K348" s="171" t="str">
        <f t="shared" si="24"/>
        <v/>
      </c>
      <c r="L348" s="171" t="str">
        <f>IF(E348="","",IF(COUNTIFS(Table2[[#All],[De (Lote)]],Input_APM!F348)&gt;0,INDEX(Table2[[#All],[Para (Ticker Daniel)]],MATCH(Input_APM!F348,Table2[[#All],[De (Lote)]],0)),Input_APM!F348))</f>
        <v/>
      </c>
      <c r="M348" s="171" t="str">
        <f t="shared" si="25"/>
        <v/>
      </c>
      <c r="N348" s="172" t="str">
        <f t="shared" si="26"/>
        <v/>
      </c>
      <c r="O348" s="172" t="str">
        <f t="shared" si="27"/>
        <v/>
      </c>
    </row>
    <row r="349" spans="5:15">
      <c r="E349" s="298"/>
      <c r="K349" s="171" t="str">
        <f t="shared" si="24"/>
        <v/>
      </c>
      <c r="L349" s="171" t="str">
        <f>IF(E349="","",IF(COUNTIFS(Table2[[#All],[De (Lote)]],Input_APM!F349)&gt;0,INDEX(Table2[[#All],[Para (Ticker Daniel)]],MATCH(Input_APM!F349,Table2[[#All],[De (Lote)]],0)),Input_APM!F349))</f>
        <v/>
      </c>
      <c r="M349" s="171" t="str">
        <f t="shared" si="25"/>
        <v/>
      </c>
      <c r="N349" s="172" t="str">
        <f t="shared" si="26"/>
        <v/>
      </c>
      <c r="O349" s="172" t="str">
        <f t="shared" si="27"/>
        <v/>
      </c>
    </row>
    <row r="350" spans="5:15">
      <c r="E350" s="298"/>
      <c r="K350" s="171" t="str">
        <f t="shared" si="24"/>
        <v/>
      </c>
      <c r="L350" s="171" t="str">
        <f>IF(E350="","",IF(COUNTIFS(Table2[[#All],[De (Lote)]],Input_APM!F350)&gt;0,INDEX(Table2[[#All],[Para (Ticker Daniel)]],MATCH(Input_APM!F350,Table2[[#All],[De (Lote)]],0)),Input_APM!F350))</f>
        <v/>
      </c>
      <c r="M350" s="171" t="str">
        <f t="shared" si="25"/>
        <v/>
      </c>
      <c r="N350" s="172" t="str">
        <f t="shared" si="26"/>
        <v/>
      </c>
      <c r="O350" s="172" t="str">
        <f t="shared" si="27"/>
        <v/>
      </c>
    </row>
    <row r="351" spans="5:15">
      <c r="E351" s="298"/>
      <c r="K351" s="171" t="str">
        <f t="shared" si="24"/>
        <v/>
      </c>
      <c r="L351" s="171" t="str">
        <f>IF(E351="","",IF(COUNTIFS(Table2[[#All],[De (Lote)]],Input_APM!F351)&gt;0,INDEX(Table2[[#All],[Para (Ticker Daniel)]],MATCH(Input_APM!F351,Table2[[#All],[De (Lote)]],0)),Input_APM!F351))</f>
        <v/>
      </c>
      <c r="M351" s="171" t="str">
        <f t="shared" si="25"/>
        <v/>
      </c>
      <c r="N351" s="172" t="str">
        <f t="shared" si="26"/>
        <v/>
      </c>
      <c r="O351" s="172" t="str">
        <f t="shared" si="27"/>
        <v/>
      </c>
    </row>
    <row r="352" spans="5:15">
      <c r="E352" s="298"/>
      <c r="K352" s="171" t="str">
        <f t="shared" si="24"/>
        <v/>
      </c>
      <c r="L352" s="171" t="str">
        <f>IF(E352="","",IF(COUNTIFS(Table2[[#All],[De (Lote)]],Input_APM!F352)&gt;0,INDEX(Table2[[#All],[Para (Ticker Daniel)]],MATCH(Input_APM!F352,Table2[[#All],[De (Lote)]],0)),Input_APM!F352))</f>
        <v/>
      </c>
      <c r="M352" s="171" t="str">
        <f t="shared" si="25"/>
        <v/>
      </c>
      <c r="N352" s="172" t="str">
        <f t="shared" si="26"/>
        <v/>
      </c>
      <c r="O352" s="172" t="str">
        <f t="shared" si="27"/>
        <v/>
      </c>
    </row>
    <row r="353" spans="5:15">
      <c r="E353" s="298"/>
      <c r="K353" s="171" t="str">
        <f t="shared" si="24"/>
        <v/>
      </c>
      <c r="L353" s="171" t="str">
        <f>IF(E353="","",IF(COUNTIFS(Table2[[#All],[De (Lote)]],Input_APM!F353)&gt;0,INDEX(Table2[[#All],[Para (Ticker Daniel)]],MATCH(Input_APM!F353,Table2[[#All],[De (Lote)]],0)),Input_APM!F353))</f>
        <v/>
      </c>
      <c r="M353" s="171" t="str">
        <f t="shared" si="25"/>
        <v/>
      </c>
      <c r="N353" s="172" t="str">
        <f t="shared" si="26"/>
        <v/>
      </c>
      <c r="O353" s="172" t="str">
        <f t="shared" si="27"/>
        <v/>
      </c>
    </row>
    <row r="354" spans="5:15">
      <c r="E354" s="298"/>
      <c r="K354" s="171" t="str">
        <f t="shared" si="24"/>
        <v/>
      </c>
      <c r="L354" s="171" t="str">
        <f>IF(E354="","",IF(COUNTIFS(Table2[[#All],[De (Lote)]],Input_APM!F354)&gt;0,INDEX(Table2[[#All],[Para (Ticker Daniel)]],MATCH(Input_APM!F354,Table2[[#All],[De (Lote)]],0)),Input_APM!F354))</f>
        <v/>
      </c>
      <c r="M354" s="171" t="str">
        <f t="shared" si="25"/>
        <v/>
      </c>
      <c r="N354" s="172" t="str">
        <f t="shared" si="26"/>
        <v/>
      </c>
      <c r="O354" s="172" t="str">
        <f t="shared" si="27"/>
        <v/>
      </c>
    </row>
    <row r="355" spans="5:15">
      <c r="E355" s="298"/>
      <c r="K355" s="171" t="str">
        <f t="shared" si="24"/>
        <v/>
      </c>
      <c r="L355" s="171" t="str">
        <f>IF(E355="","",IF(COUNTIFS(Table2[[#All],[De (Lote)]],Input_APM!F355)&gt;0,INDEX(Table2[[#All],[Para (Ticker Daniel)]],MATCH(Input_APM!F355,Table2[[#All],[De (Lote)]],0)),Input_APM!F355))</f>
        <v/>
      </c>
      <c r="M355" s="171" t="str">
        <f t="shared" si="25"/>
        <v/>
      </c>
      <c r="N355" s="172" t="str">
        <f t="shared" si="26"/>
        <v/>
      </c>
      <c r="O355" s="172" t="str">
        <f t="shared" si="27"/>
        <v/>
      </c>
    </row>
    <row r="356" spans="5:15">
      <c r="E356" s="298"/>
      <c r="K356" s="171" t="str">
        <f t="shared" ref="K356:K396" si="28">IF(E356="","",E356)</f>
        <v/>
      </c>
      <c r="L356" s="171" t="str">
        <f>IF(E356="","",IF(COUNTIFS(Table2[[#All],[De (Lote)]],Input_APM!F356)&gt;0,INDEX(Table2[[#All],[Para (Ticker Daniel)]],MATCH(Input_APM!F356,Table2[[#All],[De (Lote)]],0)),Input_APM!F356))</f>
        <v/>
      </c>
      <c r="M356" s="171" t="str">
        <f t="shared" ref="M356:M396" si="29">IF(E356="","",G356)</f>
        <v/>
      </c>
      <c r="N356" s="172" t="str">
        <f t="shared" ref="N356:N396" si="30">IF(E356="","",H356)</f>
        <v/>
      </c>
      <c r="O356" s="172" t="str">
        <f t="shared" ref="O356:O396" si="31">IF(E356="","",I356)</f>
        <v/>
      </c>
    </row>
    <row r="357" spans="5:15">
      <c r="E357" s="298"/>
      <c r="K357" s="171" t="str">
        <f t="shared" si="28"/>
        <v/>
      </c>
      <c r="L357" s="171" t="str">
        <f>IF(E357="","",IF(COUNTIFS(Table2[[#All],[De (Lote)]],Input_APM!F357)&gt;0,INDEX(Table2[[#All],[Para (Ticker Daniel)]],MATCH(Input_APM!F357,Table2[[#All],[De (Lote)]],0)),Input_APM!F357))</f>
        <v/>
      </c>
      <c r="M357" s="171" t="str">
        <f t="shared" si="29"/>
        <v/>
      </c>
      <c r="N357" s="172" t="str">
        <f t="shared" si="30"/>
        <v/>
      </c>
      <c r="O357" s="172" t="str">
        <f t="shared" si="31"/>
        <v/>
      </c>
    </row>
    <row r="358" spans="5:15">
      <c r="E358" s="298"/>
      <c r="K358" s="171" t="str">
        <f t="shared" si="28"/>
        <v/>
      </c>
      <c r="L358" s="171" t="str">
        <f>IF(E358="","",IF(COUNTIFS(Table2[[#All],[De (Lote)]],Input_APM!F358)&gt;0,INDEX(Table2[[#All],[Para (Ticker Daniel)]],MATCH(Input_APM!F358,Table2[[#All],[De (Lote)]],0)),Input_APM!F358))</f>
        <v/>
      </c>
      <c r="M358" s="171" t="str">
        <f t="shared" si="29"/>
        <v/>
      </c>
      <c r="N358" s="172" t="str">
        <f t="shared" si="30"/>
        <v/>
      </c>
      <c r="O358" s="172" t="str">
        <f t="shared" si="31"/>
        <v/>
      </c>
    </row>
    <row r="359" spans="5:15">
      <c r="E359" s="298"/>
      <c r="K359" s="171" t="str">
        <f t="shared" si="28"/>
        <v/>
      </c>
      <c r="L359" s="171" t="str">
        <f>IF(E359="","",IF(COUNTIFS(Table2[[#All],[De (Lote)]],Input_APM!F359)&gt;0,INDEX(Table2[[#All],[Para (Ticker Daniel)]],MATCH(Input_APM!F359,Table2[[#All],[De (Lote)]],0)),Input_APM!F359))</f>
        <v/>
      </c>
      <c r="M359" s="171" t="str">
        <f t="shared" si="29"/>
        <v/>
      </c>
      <c r="N359" s="172" t="str">
        <f t="shared" si="30"/>
        <v/>
      </c>
      <c r="O359" s="172" t="str">
        <f t="shared" si="31"/>
        <v/>
      </c>
    </row>
    <row r="360" spans="5:15">
      <c r="E360" s="298"/>
      <c r="K360" s="171" t="str">
        <f t="shared" si="28"/>
        <v/>
      </c>
      <c r="L360" s="171" t="str">
        <f>IF(E360="","",IF(COUNTIFS(Table2[[#All],[De (Lote)]],Input_APM!F360)&gt;0,INDEX(Table2[[#All],[Para (Ticker Daniel)]],MATCH(Input_APM!F360,Table2[[#All],[De (Lote)]],0)),Input_APM!F360))</f>
        <v/>
      </c>
      <c r="M360" s="171" t="str">
        <f t="shared" si="29"/>
        <v/>
      </c>
      <c r="N360" s="172" t="str">
        <f t="shared" si="30"/>
        <v/>
      </c>
      <c r="O360" s="172" t="str">
        <f t="shared" si="31"/>
        <v/>
      </c>
    </row>
    <row r="361" spans="5:15">
      <c r="E361" s="298"/>
      <c r="K361" s="171" t="str">
        <f t="shared" si="28"/>
        <v/>
      </c>
      <c r="L361" s="171" t="str">
        <f>IF(E361="","",IF(COUNTIFS(Table2[[#All],[De (Lote)]],Input_APM!F361)&gt;0,INDEX(Table2[[#All],[Para (Ticker Daniel)]],MATCH(Input_APM!F361,Table2[[#All],[De (Lote)]],0)),Input_APM!F361))</f>
        <v/>
      </c>
      <c r="M361" s="171" t="str">
        <f t="shared" si="29"/>
        <v/>
      </c>
      <c r="N361" s="172" t="str">
        <f t="shared" si="30"/>
        <v/>
      </c>
      <c r="O361" s="172" t="str">
        <f t="shared" si="31"/>
        <v/>
      </c>
    </row>
    <row r="362" spans="5:15">
      <c r="E362" s="298"/>
      <c r="K362" s="171" t="str">
        <f t="shared" si="28"/>
        <v/>
      </c>
      <c r="L362" s="171" t="str">
        <f>IF(E362="","",IF(COUNTIFS(Table2[[#All],[De (Lote)]],Input_APM!F362)&gt;0,INDEX(Table2[[#All],[Para (Ticker Daniel)]],MATCH(Input_APM!F362,Table2[[#All],[De (Lote)]],0)),Input_APM!F362))</f>
        <v/>
      </c>
      <c r="M362" s="171" t="str">
        <f t="shared" si="29"/>
        <v/>
      </c>
      <c r="N362" s="172" t="str">
        <f t="shared" si="30"/>
        <v/>
      </c>
      <c r="O362" s="172" t="str">
        <f t="shared" si="31"/>
        <v/>
      </c>
    </row>
    <row r="363" spans="5:15">
      <c r="E363" s="298"/>
      <c r="K363" s="171" t="str">
        <f t="shared" si="28"/>
        <v/>
      </c>
      <c r="L363" s="171" t="str">
        <f>IF(E363="","",IF(COUNTIFS(Table2[[#All],[De (Lote)]],Input_APM!F363)&gt;0,INDEX(Table2[[#All],[Para (Ticker Daniel)]],MATCH(Input_APM!F363,Table2[[#All],[De (Lote)]],0)),Input_APM!F363))</f>
        <v/>
      </c>
      <c r="M363" s="171" t="str">
        <f t="shared" si="29"/>
        <v/>
      </c>
      <c r="N363" s="172" t="str">
        <f t="shared" si="30"/>
        <v/>
      </c>
      <c r="O363" s="172" t="str">
        <f t="shared" si="31"/>
        <v/>
      </c>
    </row>
    <row r="364" spans="5:15">
      <c r="E364" s="298"/>
      <c r="K364" s="171" t="str">
        <f t="shared" si="28"/>
        <v/>
      </c>
      <c r="L364" s="171" t="str">
        <f>IF(E364="","",IF(COUNTIFS(Table2[[#All],[De (Lote)]],Input_APM!F364)&gt;0,INDEX(Table2[[#All],[Para (Ticker Daniel)]],MATCH(Input_APM!F364,Table2[[#All],[De (Lote)]],0)),Input_APM!F364))</f>
        <v/>
      </c>
      <c r="M364" s="171" t="str">
        <f t="shared" si="29"/>
        <v/>
      </c>
      <c r="N364" s="172" t="str">
        <f t="shared" si="30"/>
        <v/>
      </c>
      <c r="O364" s="172" t="str">
        <f t="shared" si="31"/>
        <v/>
      </c>
    </row>
    <row r="365" spans="5:15">
      <c r="E365" s="298"/>
      <c r="K365" s="171" t="str">
        <f t="shared" si="28"/>
        <v/>
      </c>
      <c r="L365" s="171" t="str">
        <f>IF(E365="","",IF(COUNTIFS(Table2[[#All],[De (Lote)]],Input_APM!F365)&gt;0,INDEX(Table2[[#All],[Para (Ticker Daniel)]],MATCH(Input_APM!F365,Table2[[#All],[De (Lote)]],0)),Input_APM!F365))</f>
        <v/>
      </c>
      <c r="M365" s="171" t="str">
        <f t="shared" si="29"/>
        <v/>
      </c>
      <c r="N365" s="172" t="str">
        <f t="shared" si="30"/>
        <v/>
      </c>
      <c r="O365" s="172" t="str">
        <f t="shared" si="31"/>
        <v/>
      </c>
    </row>
    <row r="366" spans="5:15">
      <c r="E366" s="298"/>
      <c r="K366" s="171" t="str">
        <f t="shared" si="28"/>
        <v/>
      </c>
      <c r="L366" s="171" t="str">
        <f>IF(E366="","",IF(COUNTIFS(Table2[[#All],[De (Lote)]],Input_APM!F366)&gt;0,INDEX(Table2[[#All],[Para (Ticker Daniel)]],MATCH(Input_APM!F366,Table2[[#All],[De (Lote)]],0)),Input_APM!F366))</f>
        <v/>
      </c>
      <c r="M366" s="171" t="str">
        <f t="shared" si="29"/>
        <v/>
      </c>
      <c r="N366" s="172" t="str">
        <f t="shared" si="30"/>
        <v/>
      </c>
      <c r="O366" s="172" t="str">
        <f t="shared" si="31"/>
        <v/>
      </c>
    </row>
    <row r="367" spans="5:15">
      <c r="E367" s="298"/>
      <c r="K367" s="171" t="str">
        <f t="shared" si="28"/>
        <v/>
      </c>
      <c r="L367" s="171" t="str">
        <f>IF(E367="","",IF(COUNTIFS(Table2[[#All],[De (Lote)]],Input_APM!F367)&gt;0,INDEX(Table2[[#All],[Para (Ticker Daniel)]],MATCH(Input_APM!F367,Table2[[#All],[De (Lote)]],0)),Input_APM!F367))</f>
        <v/>
      </c>
      <c r="M367" s="171" t="str">
        <f t="shared" si="29"/>
        <v/>
      </c>
      <c r="N367" s="172" t="str">
        <f t="shared" si="30"/>
        <v/>
      </c>
      <c r="O367" s="172" t="str">
        <f t="shared" si="31"/>
        <v/>
      </c>
    </row>
    <row r="368" spans="5:15">
      <c r="E368" s="298"/>
      <c r="K368" s="171" t="str">
        <f t="shared" si="28"/>
        <v/>
      </c>
      <c r="L368" s="171" t="str">
        <f>IF(E368="","",IF(COUNTIFS(Table2[[#All],[De (Lote)]],Input_APM!F368)&gt;0,INDEX(Table2[[#All],[Para (Ticker Daniel)]],MATCH(Input_APM!F368,Table2[[#All],[De (Lote)]],0)),Input_APM!F368))</f>
        <v/>
      </c>
      <c r="M368" s="171" t="str">
        <f t="shared" si="29"/>
        <v/>
      </c>
      <c r="N368" s="172" t="str">
        <f t="shared" si="30"/>
        <v/>
      </c>
      <c r="O368" s="172" t="str">
        <f t="shared" si="31"/>
        <v/>
      </c>
    </row>
    <row r="369" spans="5:15">
      <c r="E369" s="298"/>
      <c r="K369" s="171" t="str">
        <f t="shared" si="28"/>
        <v/>
      </c>
      <c r="L369" s="171" t="str">
        <f>IF(E369="","",IF(COUNTIFS(Table2[[#All],[De (Lote)]],Input_APM!F369)&gt;0,INDEX(Table2[[#All],[Para (Ticker Daniel)]],MATCH(Input_APM!F369,Table2[[#All],[De (Lote)]],0)),Input_APM!F369))</f>
        <v/>
      </c>
      <c r="M369" s="171" t="str">
        <f t="shared" si="29"/>
        <v/>
      </c>
      <c r="N369" s="172" t="str">
        <f t="shared" si="30"/>
        <v/>
      </c>
      <c r="O369" s="172" t="str">
        <f t="shared" si="31"/>
        <v/>
      </c>
    </row>
    <row r="370" spans="5:15">
      <c r="E370" s="298"/>
      <c r="K370" s="171" t="str">
        <f t="shared" si="28"/>
        <v/>
      </c>
      <c r="L370" s="171" t="str">
        <f>IF(E370="","",IF(COUNTIFS(Table2[[#All],[De (Lote)]],Input_APM!F370)&gt;0,INDEX(Table2[[#All],[Para (Ticker Daniel)]],MATCH(Input_APM!F370,Table2[[#All],[De (Lote)]],0)),Input_APM!F370))</f>
        <v/>
      </c>
      <c r="M370" s="171" t="str">
        <f t="shared" si="29"/>
        <v/>
      </c>
      <c r="N370" s="172" t="str">
        <f t="shared" si="30"/>
        <v/>
      </c>
      <c r="O370" s="172" t="str">
        <f t="shared" si="31"/>
        <v/>
      </c>
    </row>
    <row r="371" spans="5:15">
      <c r="E371" s="298"/>
      <c r="K371" s="171" t="str">
        <f t="shared" si="28"/>
        <v/>
      </c>
      <c r="L371" s="171" t="str">
        <f>IF(E371="","",IF(COUNTIFS(Table2[[#All],[De (Lote)]],Input_APM!F371)&gt;0,INDEX(Table2[[#All],[Para (Ticker Daniel)]],MATCH(Input_APM!F371,Table2[[#All],[De (Lote)]],0)),Input_APM!F371))</f>
        <v/>
      </c>
      <c r="M371" s="171" t="str">
        <f t="shared" si="29"/>
        <v/>
      </c>
      <c r="N371" s="172" t="str">
        <f t="shared" si="30"/>
        <v/>
      </c>
      <c r="O371" s="172" t="str">
        <f t="shared" si="31"/>
        <v/>
      </c>
    </row>
    <row r="372" spans="5:15">
      <c r="E372" s="298"/>
      <c r="K372" s="171" t="str">
        <f t="shared" si="28"/>
        <v/>
      </c>
      <c r="L372" s="171" t="str">
        <f>IF(E372="","",IF(COUNTIFS(Table2[[#All],[De (Lote)]],Input_APM!F372)&gt;0,INDEX(Table2[[#All],[Para (Ticker Daniel)]],MATCH(Input_APM!F372,Table2[[#All],[De (Lote)]],0)),Input_APM!F372))</f>
        <v/>
      </c>
      <c r="M372" s="171" t="str">
        <f t="shared" si="29"/>
        <v/>
      </c>
      <c r="N372" s="172" t="str">
        <f t="shared" si="30"/>
        <v/>
      </c>
      <c r="O372" s="172" t="str">
        <f t="shared" si="31"/>
        <v/>
      </c>
    </row>
    <row r="373" spans="5:15">
      <c r="E373" s="298"/>
      <c r="K373" s="171" t="str">
        <f t="shared" si="28"/>
        <v/>
      </c>
      <c r="L373" s="171" t="str">
        <f>IF(E373="","",IF(COUNTIFS(Table2[[#All],[De (Lote)]],Input_APM!F373)&gt;0,INDEX(Table2[[#All],[Para (Ticker Daniel)]],MATCH(Input_APM!F373,Table2[[#All],[De (Lote)]],0)),Input_APM!F373))</f>
        <v/>
      </c>
      <c r="M373" s="171" t="str">
        <f t="shared" si="29"/>
        <v/>
      </c>
      <c r="N373" s="172" t="str">
        <f t="shared" si="30"/>
        <v/>
      </c>
      <c r="O373" s="172" t="str">
        <f t="shared" si="31"/>
        <v/>
      </c>
    </row>
    <row r="374" spans="5:15">
      <c r="E374" s="298"/>
      <c r="K374" s="171" t="str">
        <f t="shared" si="28"/>
        <v/>
      </c>
      <c r="L374" s="171" t="str">
        <f>IF(E374="","",IF(COUNTIFS(Table2[[#All],[De (Lote)]],Input_APM!F374)&gt;0,INDEX(Table2[[#All],[Para (Ticker Daniel)]],MATCH(Input_APM!F374,Table2[[#All],[De (Lote)]],0)),Input_APM!F374))</f>
        <v/>
      </c>
      <c r="M374" s="171" t="str">
        <f t="shared" si="29"/>
        <v/>
      </c>
      <c r="N374" s="172" t="str">
        <f t="shared" si="30"/>
        <v/>
      </c>
      <c r="O374" s="172" t="str">
        <f t="shared" si="31"/>
        <v/>
      </c>
    </row>
    <row r="375" spans="5:15">
      <c r="E375" s="298"/>
      <c r="K375" s="171" t="str">
        <f t="shared" si="28"/>
        <v/>
      </c>
      <c r="L375" s="171" t="str">
        <f>IF(E375="","",IF(COUNTIFS(Table2[[#All],[De (Lote)]],Input_APM!F375)&gt;0,INDEX(Table2[[#All],[Para (Ticker Daniel)]],MATCH(Input_APM!F375,Table2[[#All],[De (Lote)]],0)),Input_APM!F375))</f>
        <v/>
      </c>
      <c r="M375" s="171" t="str">
        <f t="shared" si="29"/>
        <v/>
      </c>
      <c r="N375" s="172" t="str">
        <f t="shared" si="30"/>
        <v/>
      </c>
      <c r="O375" s="172" t="str">
        <f t="shared" si="31"/>
        <v/>
      </c>
    </row>
    <row r="376" spans="5:15">
      <c r="E376" s="298"/>
      <c r="K376" s="171" t="str">
        <f t="shared" si="28"/>
        <v/>
      </c>
      <c r="L376" s="171" t="str">
        <f>IF(E376="","",IF(COUNTIFS(Table2[[#All],[De (Lote)]],Input_APM!F376)&gt;0,INDEX(Table2[[#All],[Para (Ticker Daniel)]],MATCH(Input_APM!F376,Table2[[#All],[De (Lote)]],0)),Input_APM!F376))</f>
        <v/>
      </c>
      <c r="M376" s="171" t="str">
        <f t="shared" si="29"/>
        <v/>
      </c>
      <c r="N376" s="172" t="str">
        <f t="shared" si="30"/>
        <v/>
      </c>
      <c r="O376" s="172" t="str">
        <f t="shared" si="31"/>
        <v/>
      </c>
    </row>
    <row r="377" spans="5:15">
      <c r="E377" s="298"/>
      <c r="K377" s="171" t="str">
        <f t="shared" si="28"/>
        <v/>
      </c>
      <c r="L377" s="171" t="str">
        <f>IF(E377="","",IF(COUNTIFS(Table2[[#All],[De (Lote)]],Input_APM!F377)&gt;0,INDEX(Table2[[#All],[Para (Ticker Daniel)]],MATCH(Input_APM!F377,Table2[[#All],[De (Lote)]],0)),Input_APM!F377))</f>
        <v/>
      </c>
      <c r="M377" s="171" t="str">
        <f t="shared" si="29"/>
        <v/>
      </c>
      <c r="N377" s="172" t="str">
        <f t="shared" si="30"/>
        <v/>
      </c>
      <c r="O377" s="172" t="str">
        <f t="shared" si="31"/>
        <v/>
      </c>
    </row>
    <row r="378" spans="5:15">
      <c r="E378" s="298"/>
      <c r="K378" s="171" t="str">
        <f t="shared" si="28"/>
        <v/>
      </c>
      <c r="L378" s="171" t="str">
        <f>IF(E378="","",IF(COUNTIFS(Table2[[#All],[De (Lote)]],Input_APM!F378)&gt;0,INDEX(Table2[[#All],[Para (Ticker Daniel)]],MATCH(Input_APM!F378,Table2[[#All],[De (Lote)]],0)),Input_APM!F378))</f>
        <v/>
      </c>
      <c r="M378" s="171" t="str">
        <f t="shared" si="29"/>
        <v/>
      </c>
      <c r="N378" s="172" t="str">
        <f t="shared" si="30"/>
        <v/>
      </c>
      <c r="O378" s="172" t="str">
        <f t="shared" si="31"/>
        <v/>
      </c>
    </row>
    <row r="379" spans="5:15">
      <c r="E379" s="298"/>
      <c r="K379" s="171" t="str">
        <f t="shared" si="28"/>
        <v/>
      </c>
      <c r="L379" s="171" t="str">
        <f>IF(E379="","",IF(COUNTIFS(Table2[[#All],[De (Lote)]],Input_APM!F379)&gt;0,INDEX(Table2[[#All],[Para (Ticker Daniel)]],MATCH(Input_APM!F379,Table2[[#All],[De (Lote)]],0)),Input_APM!F379))</f>
        <v/>
      </c>
      <c r="M379" s="171" t="str">
        <f t="shared" si="29"/>
        <v/>
      </c>
      <c r="N379" s="172" t="str">
        <f t="shared" si="30"/>
        <v/>
      </c>
      <c r="O379" s="172" t="str">
        <f t="shared" si="31"/>
        <v/>
      </c>
    </row>
    <row r="380" spans="5:15">
      <c r="E380" s="298"/>
      <c r="K380" s="171" t="str">
        <f t="shared" si="28"/>
        <v/>
      </c>
      <c r="L380" s="171" t="str">
        <f>IF(E380="","",IF(COUNTIFS(Table2[[#All],[De (Lote)]],Input_APM!F380)&gt;0,INDEX(Table2[[#All],[Para (Ticker Daniel)]],MATCH(Input_APM!F380,Table2[[#All],[De (Lote)]],0)),Input_APM!F380))</f>
        <v/>
      </c>
      <c r="M380" s="171" t="str">
        <f t="shared" si="29"/>
        <v/>
      </c>
      <c r="N380" s="172" t="str">
        <f t="shared" si="30"/>
        <v/>
      </c>
      <c r="O380" s="172" t="str">
        <f t="shared" si="31"/>
        <v/>
      </c>
    </row>
    <row r="381" spans="5:15">
      <c r="E381" s="298"/>
      <c r="K381" s="171" t="str">
        <f t="shared" si="28"/>
        <v/>
      </c>
      <c r="L381" s="171" t="str">
        <f>IF(E381="","",IF(COUNTIFS(Table2[[#All],[De (Lote)]],Input_APM!F381)&gt;0,INDEX(Table2[[#All],[Para (Ticker Daniel)]],MATCH(Input_APM!F381,Table2[[#All],[De (Lote)]],0)),Input_APM!F381))</f>
        <v/>
      </c>
      <c r="M381" s="171" t="str">
        <f t="shared" si="29"/>
        <v/>
      </c>
      <c r="N381" s="172" t="str">
        <f t="shared" si="30"/>
        <v/>
      </c>
      <c r="O381" s="172" t="str">
        <f t="shared" si="31"/>
        <v/>
      </c>
    </row>
    <row r="382" spans="5:15">
      <c r="E382" s="298"/>
      <c r="K382" s="171" t="str">
        <f t="shared" si="28"/>
        <v/>
      </c>
      <c r="L382" s="171" t="str">
        <f>IF(E382="","",IF(COUNTIFS(Table2[[#All],[De (Lote)]],Input_APM!F382)&gt;0,INDEX(Table2[[#All],[Para (Ticker Daniel)]],MATCH(Input_APM!F382,Table2[[#All],[De (Lote)]],0)),Input_APM!F382))</f>
        <v/>
      </c>
      <c r="M382" s="171" t="str">
        <f t="shared" si="29"/>
        <v/>
      </c>
      <c r="N382" s="172" t="str">
        <f t="shared" si="30"/>
        <v/>
      </c>
      <c r="O382" s="172" t="str">
        <f t="shared" si="31"/>
        <v/>
      </c>
    </row>
    <row r="383" spans="5:15">
      <c r="E383" s="298"/>
      <c r="K383" s="171" t="str">
        <f t="shared" si="28"/>
        <v/>
      </c>
      <c r="L383" s="171" t="str">
        <f>IF(E383="","",IF(COUNTIFS(Table2[[#All],[De (Lote)]],Input_APM!F383)&gt;0,INDEX(Table2[[#All],[Para (Ticker Daniel)]],MATCH(Input_APM!F383,Table2[[#All],[De (Lote)]],0)),Input_APM!F383))</f>
        <v/>
      </c>
      <c r="M383" s="171" t="str">
        <f t="shared" si="29"/>
        <v/>
      </c>
      <c r="N383" s="172" t="str">
        <f t="shared" si="30"/>
        <v/>
      </c>
      <c r="O383" s="172" t="str">
        <f t="shared" si="31"/>
        <v/>
      </c>
    </row>
    <row r="384" spans="5:15">
      <c r="E384" s="298"/>
      <c r="K384" s="171" t="str">
        <f t="shared" si="28"/>
        <v/>
      </c>
      <c r="L384" s="171" t="str">
        <f>IF(E384="","",IF(COUNTIFS(Table2[[#All],[De (Lote)]],Input_APM!F384)&gt;0,INDEX(Table2[[#All],[Para (Ticker Daniel)]],MATCH(Input_APM!F384,Table2[[#All],[De (Lote)]],0)),Input_APM!F384))</f>
        <v/>
      </c>
      <c r="M384" s="171" t="str">
        <f t="shared" si="29"/>
        <v/>
      </c>
      <c r="N384" s="172" t="str">
        <f t="shared" si="30"/>
        <v/>
      </c>
      <c r="O384" s="172" t="str">
        <f t="shared" si="31"/>
        <v/>
      </c>
    </row>
    <row r="385" spans="5:15">
      <c r="E385" s="298"/>
      <c r="K385" s="171" t="str">
        <f t="shared" si="28"/>
        <v/>
      </c>
      <c r="L385" s="171" t="str">
        <f>IF(E385="","",IF(COUNTIFS(Table2[[#All],[De (Lote)]],Input_APM!F385)&gt;0,INDEX(Table2[[#All],[Para (Ticker Daniel)]],MATCH(Input_APM!F385,Table2[[#All],[De (Lote)]],0)),Input_APM!F385))</f>
        <v/>
      </c>
      <c r="M385" s="171" t="str">
        <f t="shared" si="29"/>
        <v/>
      </c>
      <c r="N385" s="172" t="str">
        <f t="shared" si="30"/>
        <v/>
      </c>
      <c r="O385" s="172" t="str">
        <f t="shared" si="31"/>
        <v/>
      </c>
    </row>
    <row r="386" spans="5:15">
      <c r="E386" s="298"/>
      <c r="K386" s="171" t="str">
        <f t="shared" si="28"/>
        <v/>
      </c>
      <c r="L386" s="171" t="str">
        <f>IF(E386="","",IF(COUNTIFS(Table2[[#All],[De (Lote)]],Input_APM!F386)&gt;0,INDEX(Table2[[#All],[Para (Ticker Daniel)]],MATCH(Input_APM!F386,Table2[[#All],[De (Lote)]],0)),Input_APM!F386))</f>
        <v/>
      </c>
      <c r="M386" s="171" t="str">
        <f t="shared" si="29"/>
        <v/>
      </c>
      <c r="N386" s="172" t="str">
        <f t="shared" si="30"/>
        <v/>
      </c>
      <c r="O386" s="172" t="str">
        <f t="shared" si="31"/>
        <v/>
      </c>
    </row>
    <row r="387" spans="5:15">
      <c r="E387" s="298"/>
      <c r="K387" s="171" t="str">
        <f t="shared" si="28"/>
        <v/>
      </c>
      <c r="L387" s="171" t="str">
        <f>IF(E387="","",IF(COUNTIFS(Table2[[#All],[De (Lote)]],Input_APM!F387)&gt;0,INDEX(Table2[[#All],[Para (Ticker Daniel)]],MATCH(Input_APM!F387,Table2[[#All],[De (Lote)]],0)),Input_APM!F387))</f>
        <v/>
      </c>
      <c r="M387" s="171" t="str">
        <f t="shared" si="29"/>
        <v/>
      </c>
      <c r="N387" s="172" t="str">
        <f t="shared" si="30"/>
        <v/>
      </c>
      <c r="O387" s="172" t="str">
        <f t="shared" si="31"/>
        <v/>
      </c>
    </row>
    <row r="388" spans="5:15">
      <c r="E388" s="298"/>
      <c r="K388" s="171" t="str">
        <f t="shared" si="28"/>
        <v/>
      </c>
      <c r="L388" s="171" t="str">
        <f>IF(E388="","",IF(COUNTIFS(Table2[[#All],[De (Lote)]],Input_APM!F388)&gt;0,INDEX(Table2[[#All],[Para (Ticker Daniel)]],MATCH(Input_APM!F388,Table2[[#All],[De (Lote)]],0)),Input_APM!F388))</f>
        <v/>
      </c>
      <c r="M388" s="171" t="str">
        <f t="shared" si="29"/>
        <v/>
      </c>
      <c r="N388" s="172" t="str">
        <f t="shared" si="30"/>
        <v/>
      </c>
      <c r="O388" s="172" t="str">
        <f t="shared" si="31"/>
        <v/>
      </c>
    </row>
    <row r="389" spans="5:15">
      <c r="E389" s="298"/>
      <c r="K389" s="171" t="str">
        <f t="shared" si="28"/>
        <v/>
      </c>
      <c r="L389" s="171" t="str">
        <f>IF(E389="","",IF(COUNTIFS(Table2[[#All],[De (Lote)]],Input_APM!F389)&gt;0,INDEX(Table2[[#All],[Para (Ticker Daniel)]],MATCH(Input_APM!F389,Table2[[#All],[De (Lote)]],0)),Input_APM!F389))</f>
        <v/>
      </c>
      <c r="M389" s="171" t="str">
        <f t="shared" si="29"/>
        <v/>
      </c>
      <c r="N389" s="172" t="str">
        <f t="shared" si="30"/>
        <v/>
      </c>
      <c r="O389" s="172" t="str">
        <f t="shared" si="31"/>
        <v/>
      </c>
    </row>
    <row r="390" spans="5:15">
      <c r="E390" s="298"/>
      <c r="K390" s="171" t="str">
        <f t="shared" si="28"/>
        <v/>
      </c>
      <c r="L390" s="171" t="str">
        <f>IF(E390="","",IF(COUNTIFS(Table2[[#All],[De (Lote)]],Input_APM!F390)&gt;0,INDEX(Table2[[#All],[Para (Ticker Daniel)]],MATCH(Input_APM!F390,Table2[[#All],[De (Lote)]],0)),Input_APM!F390))</f>
        <v/>
      </c>
      <c r="M390" s="171" t="str">
        <f t="shared" si="29"/>
        <v/>
      </c>
      <c r="N390" s="172" t="str">
        <f t="shared" si="30"/>
        <v/>
      </c>
      <c r="O390" s="172" t="str">
        <f t="shared" si="31"/>
        <v/>
      </c>
    </row>
    <row r="391" spans="5:15">
      <c r="E391" s="298"/>
      <c r="K391" s="171" t="str">
        <f t="shared" si="28"/>
        <v/>
      </c>
      <c r="L391" s="171" t="str">
        <f>IF(E391="","",IF(COUNTIFS(Table2[[#All],[De (Lote)]],Input_APM!F391)&gt;0,INDEX(Table2[[#All],[Para (Ticker Daniel)]],MATCH(Input_APM!F391,Table2[[#All],[De (Lote)]],0)),Input_APM!F391))</f>
        <v/>
      </c>
      <c r="M391" s="171" t="str">
        <f t="shared" si="29"/>
        <v/>
      </c>
      <c r="N391" s="172" t="str">
        <f t="shared" si="30"/>
        <v/>
      </c>
      <c r="O391" s="172" t="str">
        <f t="shared" si="31"/>
        <v/>
      </c>
    </row>
    <row r="392" spans="5:15">
      <c r="E392" s="298"/>
      <c r="K392" s="171" t="str">
        <f t="shared" si="28"/>
        <v/>
      </c>
      <c r="L392" s="171" t="str">
        <f>IF(E392="","",IF(COUNTIFS(Table2[[#All],[De (Lote)]],Input_APM!F392)&gt;0,INDEX(Table2[[#All],[Para (Ticker Daniel)]],MATCH(Input_APM!F392,Table2[[#All],[De (Lote)]],0)),Input_APM!F392))</f>
        <v/>
      </c>
      <c r="M392" s="171" t="str">
        <f t="shared" si="29"/>
        <v/>
      </c>
      <c r="N392" s="172" t="str">
        <f t="shared" si="30"/>
        <v/>
      </c>
      <c r="O392" s="172" t="str">
        <f t="shared" si="31"/>
        <v/>
      </c>
    </row>
    <row r="393" spans="5:15">
      <c r="E393" s="298"/>
      <c r="K393" s="171" t="str">
        <f t="shared" si="28"/>
        <v/>
      </c>
      <c r="L393" s="171" t="str">
        <f>IF(E393="","",IF(COUNTIFS(Table2[[#All],[De (Lote)]],Input_APM!F393)&gt;0,INDEX(Table2[[#All],[Para (Ticker Daniel)]],MATCH(Input_APM!F393,Table2[[#All],[De (Lote)]],0)),Input_APM!F393))</f>
        <v/>
      </c>
      <c r="M393" s="171" t="str">
        <f t="shared" si="29"/>
        <v/>
      </c>
      <c r="N393" s="172" t="str">
        <f t="shared" si="30"/>
        <v/>
      </c>
      <c r="O393" s="172" t="str">
        <f t="shared" si="31"/>
        <v/>
      </c>
    </row>
    <row r="394" spans="5:15">
      <c r="E394" s="298"/>
      <c r="K394" s="171" t="str">
        <f t="shared" si="28"/>
        <v/>
      </c>
      <c r="L394" s="171" t="str">
        <f>IF(E394="","",IF(COUNTIFS(Table2[[#All],[De (Lote)]],Input_APM!F394)&gt;0,INDEX(Table2[[#All],[Para (Ticker Daniel)]],MATCH(Input_APM!F394,Table2[[#All],[De (Lote)]],0)),Input_APM!F394))</f>
        <v/>
      </c>
      <c r="M394" s="171" t="str">
        <f t="shared" si="29"/>
        <v/>
      </c>
      <c r="N394" s="172" t="str">
        <f t="shared" si="30"/>
        <v/>
      </c>
      <c r="O394" s="172" t="str">
        <f t="shared" si="31"/>
        <v/>
      </c>
    </row>
    <row r="395" spans="5:15">
      <c r="E395" s="298"/>
      <c r="K395" s="171" t="str">
        <f t="shared" si="28"/>
        <v/>
      </c>
      <c r="L395" s="171" t="str">
        <f>IF(E395="","",IF(COUNTIFS(Table2[[#All],[De (Lote)]],Input_APM!F395)&gt;0,INDEX(Table2[[#All],[Para (Ticker Daniel)]],MATCH(Input_APM!F395,Table2[[#All],[De (Lote)]],0)),Input_APM!F395))</f>
        <v/>
      </c>
      <c r="M395" s="171" t="str">
        <f t="shared" si="29"/>
        <v/>
      </c>
      <c r="N395" s="172" t="str">
        <f t="shared" si="30"/>
        <v/>
      </c>
      <c r="O395" s="172" t="str">
        <f t="shared" si="31"/>
        <v/>
      </c>
    </row>
    <row r="396" spans="5:15">
      <c r="E396" s="298"/>
      <c r="K396" s="171" t="str">
        <f t="shared" si="28"/>
        <v/>
      </c>
      <c r="L396" s="171" t="str">
        <f>IF(E396="","",IF(COUNTIFS(Table2[[#All],[De (Lote)]],Input_APM!F396)&gt;0,INDEX(Table2[[#All],[Para (Ticker Daniel)]],MATCH(Input_APM!F396,Table2[[#All],[De (Lote)]],0)),Input_APM!F396))</f>
        <v/>
      </c>
      <c r="M396" s="171" t="str">
        <f t="shared" si="29"/>
        <v/>
      </c>
      <c r="N396" s="172" t="str">
        <f t="shared" si="30"/>
        <v/>
      </c>
      <c r="O396" s="172" t="str">
        <f t="shared" si="31"/>
        <v/>
      </c>
    </row>
    <row r="397" spans="5:15">
      <c r="E397" s="298"/>
      <c r="K397" s="171" t="str">
        <f>IF(E397="","",E397)</f>
        <v/>
      </c>
      <c r="L397" s="171" t="str">
        <f>IF(E397="","",IF(COUNTIFS(Table2[[#All],[De (Lote)]],Input_APM!F397)&gt;0,INDEX(Table2[[#All],[Para (Ticker Daniel)]],MATCH(Input_APM!F397,Table2[[#All],[De (Lote)]],0)),Input_APM!F397))</f>
        <v/>
      </c>
      <c r="M397" s="171" t="str">
        <f>IF(E397="","",G397)</f>
        <v/>
      </c>
      <c r="N397" s="172" t="str">
        <f>IF(E397="","",H397)</f>
        <v/>
      </c>
      <c r="O397" s="172" t="str">
        <f>IF(E397="","",I397)</f>
        <v/>
      </c>
    </row>
    <row r="398" spans="5:15">
      <c r="E398" s="298"/>
    </row>
    <row r="399" spans="5:15">
      <c r="E399" s="298"/>
    </row>
    <row r="400" spans="5:15">
      <c r="E400" s="298"/>
    </row>
    <row r="401" spans="5:5">
      <c r="E401" s="298"/>
    </row>
    <row r="402" spans="5:5">
      <c r="E402" s="298"/>
    </row>
    <row r="403" spans="5:5">
      <c r="E403" s="298"/>
    </row>
    <row r="404" spans="5:5">
      <c r="E404" s="298"/>
    </row>
    <row r="405" spans="5:5">
      <c r="E405" s="298"/>
    </row>
    <row r="406" spans="5:5">
      <c r="E406" s="298"/>
    </row>
    <row r="407" spans="5:5">
      <c r="E407" s="298"/>
    </row>
    <row r="408" spans="5:5">
      <c r="E408" s="298"/>
    </row>
    <row r="409" spans="5:5">
      <c r="E409" s="298"/>
    </row>
    <row r="410" spans="5:5">
      <c r="E410" s="298"/>
    </row>
    <row r="411" spans="5:5">
      <c r="E411" s="298"/>
    </row>
    <row r="412" spans="5:5">
      <c r="E412" s="298"/>
    </row>
    <row r="413" spans="5:5">
      <c r="E413" s="298"/>
    </row>
    <row r="414" spans="5:5">
      <c r="E414" s="298"/>
    </row>
    <row r="415" spans="5:5">
      <c r="E415" s="298"/>
    </row>
    <row r="416" spans="5:5">
      <c r="E416" s="298"/>
    </row>
    <row r="417" spans="5:5">
      <c r="E417" s="298"/>
    </row>
    <row r="418" spans="5:5">
      <c r="E418" s="298"/>
    </row>
    <row r="419" spans="5:5">
      <c r="E419" s="298"/>
    </row>
    <row r="420" spans="5:5">
      <c r="E420" s="298"/>
    </row>
    <row r="421" spans="5:5">
      <c r="E421" s="298"/>
    </row>
    <row r="422" spans="5:5">
      <c r="E422" s="298"/>
    </row>
    <row r="423" spans="5:5">
      <c r="E423" s="298"/>
    </row>
    <row r="424" spans="5:5">
      <c r="E424" s="298"/>
    </row>
    <row r="425" spans="5:5">
      <c r="E425" s="298"/>
    </row>
    <row r="426" spans="5:5">
      <c r="E426" s="298"/>
    </row>
    <row r="427" spans="5:5">
      <c r="E427" s="298"/>
    </row>
    <row r="428" spans="5:5">
      <c r="E428" s="298"/>
    </row>
    <row r="429" spans="5:5">
      <c r="E429" s="298"/>
    </row>
    <row r="430" spans="5:5">
      <c r="E430" s="298"/>
    </row>
    <row r="431" spans="5:5">
      <c r="E431" s="298"/>
    </row>
    <row r="432" spans="5:5">
      <c r="E432" s="298"/>
    </row>
    <row r="433" spans="5:5">
      <c r="E433" s="298"/>
    </row>
    <row r="434" spans="5:5">
      <c r="E434" s="298"/>
    </row>
    <row r="435" spans="5:5">
      <c r="E435" s="298"/>
    </row>
    <row r="436" spans="5:5">
      <c r="E436" s="298"/>
    </row>
    <row r="437" spans="5:5">
      <c r="E437" s="298"/>
    </row>
    <row r="438" spans="5:5">
      <c r="E438" s="298"/>
    </row>
    <row r="439" spans="5:5">
      <c r="E439" s="298"/>
    </row>
    <row r="440" spans="5:5">
      <c r="E440" s="298"/>
    </row>
    <row r="441" spans="5:5">
      <c r="E441" s="298"/>
    </row>
    <row r="442" spans="5:5">
      <c r="E442" s="298"/>
    </row>
    <row r="443" spans="5:5">
      <c r="E443" s="298"/>
    </row>
    <row r="444" spans="5:5">
      <c r="E444" s="298"/>
    </row>
    <row r="445" spans="5:5">
      <c r="E445" s="298"/>
    </row>
    <row r="446" spans="5:5">
      <c r="E446" s="298"/>
    </row>
    <row r="447" spans="5:5">
      <c r="E447" s="298"/>
    </row>
    <row r="448" spans="5:5">
      <c r="E448" s="298"/>
    </row>
    <row r="449" spans="5:5">
      <c r="E449" s="298"/>
    </row>
    <row r="450" spans="5:5">
      <c r="E450" s="298"/>
    </row>
    <row r="451" spans="5:5">
      <c r="E451" s="298"/>
    </row>
    <row r="452" spans="5:5">
      <c r="E452" s="298"/>
    </row>
    <row r="453" spans="5:5">
      <c r="E453" s="298"/>
    </row>
    <row r="454" spans="5:5">
      <c r="E454" s="298"/>
    </row>
    <row r="455" spans="5:5">
      <c r="E455" s="298"/>
    </row>
    <row r="456" spans="5:5">
      <c r="E456" s="298"/>
    </row>
    <row r="457" spans="5:5">
      <c r="E457" s="298"/>
    </row>
    <row r="458" spans="5:5">
      <c r="E458" s="298"/>
    </row>
    <row r="459" spans="5:5">
      <c r="E459" s="298"/>
    </row>
    <row r="460" spans="5:5">
      <c r="E460" s="298"/>
    </row>
    <row r="461" spans="5:5">
      <c r="E461" s="298"/>
    </row>
    <row r="462" spans="5:5">
      <c r="E462" s="298"/>
    </row>
    <row r="463" spans="5:5">
      <c r="E463" s="298"/>
    </row>
    <row r="464" spans="5:5">
      <c r="E464" s="298"/>
    </row>
    <row r="465" spans="5:5">
      <c r="E465" s="298"/>
    </row>
    <row r="466" spans="5:5">
      <c r="E466" s="298"/>
    </row>
    <row r="467" spans="5:5">
      <c r="E467" s="298"/>
    </row>
    <row r="468" spans="5:5">
      <c r="E468" s="298"/>
    </row>
    <row r="469" spans="5:5">
      <c r="E469" s="298"/>
    </row>
    <row r="470" spans="5:5">
      <c r="E470" s="298"/>
    </row>
    <row r="471" spans="5:5">
      <c r="E471" s="298"/>
    </row>
    <row r="472" spans="5:5">
      <c r="E472" s="298"/>
    </row>
    <row r="473" spans="5:5">
      <c r="E473" s="298"/>
    </row>
    <row r="474" spans="5:5">
      <c r="E474" s="298"/>
    </row>
    <row r="475" spans="5:5">
      <c r="E475" s="298"/>
    </row>
    <row r="476" spans="5:5">
      <c r="E476" s="298"/>
    </row>
    <row r="477" spans="5:5">
      <c r="E477" s="298"/>
    </row>
    <row r="478" spans="5:5">
      <c r="E478" s="298"/>
    </row>
    <row r="479" spans="5:5">
      <c r="E479" s="298"/>
    </row>
    <row r="480" spans="5:5">
      <c r="E480" s="298"/>
    </row>
    <row r="481" spans="5:5">
      <c r="E481" s="298"/>
    </row>
    <row r="482" spans="5:5">
      <c r="E482" s="298"/>
    </row>
    <row r="483" spans="5:5">
      <c r="E483" s="298"/>
    </row>
    <row r="484" spans="5:5">
      <c r="E484" s="298"/>
    </row>
    <row r="485" spans="5:5">
      <c r="E485" s="298"/>
    </row>
    <row r="486" spans="5:5">
      <c r="E486" s="298"/>
    </row>
    <row r="487" spans="5:5">
      <c r="E487" s="298"/>
    </row>
    <row r="488" spans="5:5">
      <c r="E488" s="298"/>
    </row>
    <row r="489" spans="5:5">
      <c r="E489" s="298"/>
    </row>
    <row r="490" spans="5:5">
      <c r="E490" s="298"/>
    </row>
    <row r="491" spans="5:5">
      <c r="E491" s="298"/>
    </row>
    <row r="492" spans="5:5">
      <c r="E492" s="298"/>
    </row>
    <row r="493" spans="5:5">
      <c r="E493" s="298"/>
    </row>
    <row r="494" spans="5:5">
      <c r="E494" s="298"/>
    </row>
    <row r="495" spans="5:5">
      <c r="E495" s="298"/>
    </row>
    <row r="496" spans="5:5">
      <c r="E496" s="298"/>
    </row>
    <row r="497" spans="5:5">
      <c r="E497" s="298"/>
    </row>
    <row r="498" spans="5:5">
      <c r="E498" s="298"/>
    </row>
    <row r="499" spans="5:5">
      <c r="E499" s="298"/>
    </row>
    <row r="500" spans="5:5">
      <c r="E500" s="298"/>
    </row>
    <row r="501" spans="5:5">
      <c r="E501" s="298"/>
    </row>
    <row r="502" spans="5:5">
      <c r="E502" s="298"/>
    </row>
    <row r="503" spans="5:5">
      <c r="E503" s="298"/>
    </row>
    <row r="504" spans="5:5">
      <c r="E504" s="298"/>
    </row>
    <row r="505" spans="5:5">
      <c r="E505" s="298"/>
    </row>
    <row r="506" spans="5:5">
      <c r="E506" s="298"/>
    </row>
    <row r="507" spans="5:5">
      <c r="E507" s="298"/>
    </row>
    <row r="508" spans="5:5">
      <c r="E508" s="298"/>
    </row>
    <row r="509" spans="5:5">
      <c r="E509" s="298"/>
    </row>
    <row r="510" spans="5:5">
      <c r="E510" s="298"/>
    </row>
    <row r="511" spans="5:5">
      <c r="E511" s="298"/>
    </row>
    <row r="512" spans="5:5">
      <c r="E512" s="298"/>
    </row>
    <row r="513" spans="5:5">
      <c r="E513" s="298"/>
    </row>
    <row r="514" spans="5:5">
      <c r="E514" s="298"/>
    </row>
    <row r="515" spans="5:5">
      <c r="E515" s="298"/>
    </row>
    <row r="516" spans="5:5">
      <c r="E516" s="298"/>
    </row>
    <row r="517" spans="5:5">
      <c r="E517" s="298"/>
    </row>
    <row r="518" spans="5:5">
      <c r="E518" s="298"/>
    </row>
    <row r="519" spans="5:5">
      <c r="E519" s="298"/>
    </row>
    <row r="520" spans="5:5">
      <c r="E520" s="298"/>
    </row>
    <row r="521" spans="5:5">
      <c r="E521" s="298"/>
    </row>
    <row r="522" spans="5:5">
      <c r="E522" s="298"/>
    </row>
    <row r="523" spans="5:5">
      <c r="E523" s="298"/>
    </row>
    <row r="524" spans="5:5">
      <c r="E524" s="298"/>
    </row>
    <row r="525" spans="5:5">
      <c r="E525" s="298"/>
    </row>
    <row r="526" spans="5:5">
      <c r="E526" s="298"/>
    </row>
    <row r="527" spans="5:5">
      <c r="E527" s="298"/>
    </row>
    <row r="528" spans="5:5">
      <c r="E528" s="298"/>
    </row>
    <row r="529" spans="5:5">
      <c r="E529" s="298"/>
    </row>
    <row r="530" spans="5:5">
      <c r="E530" s="298"/>
    </row>
    <row r="531" spans="5:5">
      <c r="E531" s="298"/>
    </row>
    <row r="532" spans="5:5">
      <c r="E532" s="298"/>
    </row>
    <row r="533" spans="5:5">
      <c r="E533" s="298"/>
    </row>
    <row r="534" spans="5:5">
      <c r="E534" s="298"/>
    </row>
    <row r="535" spans="5:5">
      <c r="E535" s="298"/>
    </row>
    <row r="536" spans="5:5">
      <c r="E536" s="298"/>
    </row>
    <row r="537" spans="5:5">
      <c r="E537" s="298"/>
    </row>
    <row r="538" spans="5:5">
      <c r="E538" s="298"/>
    </row>
    <row r="539" spans="5:5">
      <c r="E539" s="298"/>
    </row>
    <row r="540" spans="5:5">
      <c r="E540" s="298"/>
    </row>
    <row r="541" spans="5:5">
      <c r="E541" s="298"/>
    </row>
    <row r="542" spans="5:5">
      <c r="E542" s="298"/>
    </row>
    <row r="543" spans="5:5">
      <c r="E543" s="298"/>
    </row>
    <row r="544" spans="5:5">
      <c r="E544" s="298"/>
    </row>
    <row r="545" spans="5:5">
      <c r="E545" s="298"/>
    </row>
    <row r="546" spans="5:5">
      <c r="E546" s="298"/>
    </row>
    <row r="547" spans="5:5">
      <c r="E547" s="298"/>
    </row>
    <row r="548" spans="5:5">
      <c r="E548" s="298"/>
    </row>
    <row r="549" spans="5:5">
      <c r="E549" s="298"/>
    </row>
    <row r="550" spans="5:5">
      <c r="E550" s="298"/>
    </row>
    <row r="551" spans="5:5">
      <c r="E551" s="298"/>
    </row>
    <row r="552" spans="5:5">
      <c r="E552" s="298"/>
    </row>
    <row r="553" spans="5:5">
      <c r="E553" s="298"/>
    </row>
    <row r="554" spans="5:5">
      <c r="E554" s="298"/>
    </row>
    <row r="555" spans="5:5">
      <c r="E555" s="298"/>
    </row>
    <row r="556" spans="5:5">
      <c r="E556" s="298"/>
    </row>
    <row r="557" spans="5:5">
      <c r="E557" s="298"/>
    </row>
    <row r="558" spans="5:5">
      <c r="E558" s="298"/>
    </row>
    <row r="559" spans="5:5">
      <c r="E559" s="298"/>
    </row>
    <row r="560" spans="5:5">
      <c r="E560" s="298"/>
    </row>
    <row r="561" spans="5:5">
      <c r="E561" s="298"/>
    </row>
    <row r="562" spans="5:5">
      <c r="E562" s="298"/>
    </row>
    <row r="563" spans="5:5">
      <c r="E563" s="298"/>
    </row>
    <row r="564" spans="5:5">
      <c r="E564" s="298"/>
    </row>
    <row r="565" spans="5:5">
      <c r="E565" s="298"/>
    </row>
    <row r="566" spans="5:5">
      <c r="E566" s="298"/>
    </row>
    <row r="567" spans="5:5">
      <c r="E567" s="298"/>
    </row>
    <row r="568" spans="5:5">
      <c r="E568" s="298"/>
    </row>
    <row r="569" spans="5:5">
      <c r="E569" s="298"/>
    </row>
    <row r="570" spans="5:5">
      <c r="E570" s="298"/>
    </row>
    <row r="571" spans="5:5">
      <c r="E571" s="298"/>
    </row>
    <row r="572" spans="5:5">
      <c r="E572" s="298"/>
    </row>
    <row r="573" spans="5:5">
      <c r="E573" s="298"/>
    </row>
    <row r="574" spans="5:5">
      <c r="E574" s="298"/>
    </row>
    <row r="575" spans="5:5">
      <c r="E575" s="298"/>
    </row>
    <row r="576" spans="5:5">
      <c r="E576" s="298"/>
    </row>
    <row r="577" spans="5:5">
      <c r="E577" s="298"/>
    </row>
    <row r="578" spans="5:5">
      <c r="E578" s="298"/>
    </row>
    <row r="579" spans="5:5">
      <c r="E579" s="298"/>
    </row>
    <row r="580" spans="5:5">
      <c r="E580" s="298"/>
    </row>
  </sheetData>
  <autoFilter ref="K1:O397" xr:uid="{F0D72072-B23C-439A-8B65-10BB2C0A9065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importar_one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104775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1FAB9-6DAE-485A-9690-3972D872F626}">
  <sheetPr codeName="Sheet21">
    <tabColor theme="5" tint="0.79998168889431442"/>
  </sheetPr>
  <dimension ref="E1:O512"/>
  <sheetViews>
    <sheetView showGridLines="0" zoomScale="90" zoomScaleNormal="90" workbookViewId="0">
      <selection activeCell="E1" sqref="E1:I84"/>
    </sheetView>
  </sheetViews>
  <sheetFormatPr defaultColWidth="9.140625" defaultRowHeight="12.75" outlineLevelCol="1"/>
  <cols>
    <col min="1" max="4" width="9.140625" style="170"/>
    <col min="5" max="5" width="31.7109375" style="170" bestFit="1" customWidth="1" outlineLevel="1"/>
    <col min="6" max="6" width="45.5703125" style="170" bestFit="1" customWidth="1" outlineLevel="1"/>
    <col min="7" max="7" width="24.42578125" style="170" customWidth="1" outlineLevel="1"/>
    <col min="8" max="8" width="14" style="170" bestFit="1" customWidth="1" outlineLevel="1"/>
    <col min="9" max="9" width="13.28515625" style="170" bestFit="1" customWidth="1" outlineLevel="1"/>
    <col min="10" max="10" width="9.140625" style="170"/>
    <col min="11" max="11" width="30.5703125" style="170" bestFit="1" customWidth="1"/>
    <col min="12" max="12" width="41.42578125" style="170" bestFit="1" customWidth="1"/>
    <col min="13" max="13" width="24" style="170" bestFit="1" customWidth="1"/>
    <col min="14" max="14" width="10.42578125" style="170" bestFit="1" customWidth="1"/>
    <col min="15" max="15" width="10.85546875" style="170" bestFit="1" customWidth="1"/>
    <col min="16" max="16384" width="9.140625" style="170"/>
  </cols>
  <sheetData>
    <row r="1" spans="11:15">
      <c r="K1" s="185" t="s">
        <v>240</v>
      </c>
      <c r="L1" s="185" t="s">
        <v>118</v>
      </c>
      <c r="M1" s="185" t="s">
        <v>241</v>
      </c>
      <c r="N1" s="185" t="s">
        <v>221</v>
      </c>
      <c r="O1" s="185" t="s">
        <v>242</v>
      </c>
    </row>
    <row r="2" spans="11:15">
      <c r="K2" s="171" t="str">
        <f>IF(E2="","",E2)</f>
        <v/>
      </c>
      <c r="L2" s="171" t="str">
        <f>IF(E2="","",IF(COUNTIFS(Table2[[#All],[De (Lote)]],'Input_APM (Zenith)'!F2)&gt;0,INDEX(Table2[[#All],[Para (Ticker Daniel)]],MATCH('Input_APM (Zenith)'!F2,Table2[[#All],[De (Lote)]],0)),'Input_APM (Zenith)'!F2))</f>
        <v/>
      </c>
      <c r="M2" s="171" t="str">
        <f>IF(E2="","",G2)</f>
        <v/>
      </c>
      <c r="N2" s="172" t="str">
        <f>IF(E2="","",H2)</f>
        <v/>
      </c>
      <c r="O2" s="172" t="str">
        <f>IF(E2="","",I2)</f>
        <v/>
      </c>
    </row>
    <row r="3" spans="11:15">
      <c r="K3" s="171" t="str">
        <f t="shared" ref="K3:K66" si="0">IF(E3="","",E3)</f>
        <v/>
      </c>
      <c r="L3" s="171" t="str">
        <f>IF(E3="","",IF(COUNTIFS(Table2[[#All],[De (Lote)]],'Input_APM (Zenith)'!F3)&gt;0,INDEX(Table2[[#All],[Para (Ticker Daniel)]],MATCH('Input_APM (Zenith)'!F3,Table2[[#All],[De (Lote)]],0)),'Input_APM (Zenith)'!F3))</f>
        <v/>
      </c>
      <c r="M3" s="171" t="str">
        <f t="shared" ref="M3:M66" si="1">IF(E3="","",G3)</f>
        <v/>
      </c>
      <c r="N3" s="172" t="str">
        <f t="shared" ref="N3:N66" si="2">IF(E3="","",H3)</f>
        <v/>
      </c>
      <c r="O3" s="172" t="str">
        <f t="shared" ref="O3:O66" si="3">IF(E3="","",I3)</f>
        <v/>
      </c>
    </row>
    <row r="4" spans="11:15">
      <c r="K4" s="171" t="str">
        <f t="shared" si="0"/>
        <v/>
      </c>
      <c r="L4" s="171" t="str">
        <f>IF(E4="","",IF(COUNTIFS(Table2[[#All],[De (Lote)]],'Input_APM (Zenith)'!F4)&gt;0,INDEX(Table2[[#All],[Para (Ticker Daniel)]],MATCH('Input_APM (Zenith)'!F4,Table2[[#All],[De (Lote)]],0)),'Input_APM (Zenith)'!F4))</f>
        <v/>
      </c>
      <c r="M4" s="171" t="str">
        <f t="shared" si="1"/>
        <v/>
      </c>
      <c r="N4" s="172" t="str">
        <f t="shared" si="2"/>
        <v/>
      </c>
      <c r="O4" s="172" t="str">
        <f t="shared" si="3"/>
        <v/>
      </c>
    </row>
    <row r="5" spans="11:15">
      <c r="K5" s="171" t="str">
        <f t="shared" si="0"/>
        <v/>
      </c>
      <c r="L5" s="171" t="str">
        <f>IF(E5="","",IF(COUNTIFS(Table2[[#All],[De (Lote)]],'Input_APM (Zenith)'!F5)&gt;0,INDEX(Table2[[#All],[Para (Ticker Daniel)]],MATCH('Input_APM (Zenith)'!F5,Table2[[#All],[De (Lote)]],0)),'Input_APM (Zenith)'!F5))</f>
        <v/>
      </c>
      <c r="M5" s="171" t="str">
        <f t="shared" si="1"/>
        <v/>
      </c>
      <c r="N5" s="172" t="str">
        <f t="shared" si="2"/>
        <v/>
      </c>
      <c r="O5" s="172" t="str">
        <f t="shared" si="3"/>
        <v/>
      </c>
    </row>
    <row r="6" spans="11:15">
      <c r="K6" s="171" t="str">
        <f t="shared" si="0"/>
        <v/>
      </c>
      <c r="L6" s="171" t="str">
        <f>IF(E6="","",IF(COUNTIFS(Table2[[#All],[De (Lote)]],'Input_APM (Zenith)'!F6)&gt;0,INDEX(Table2[[#All],[Para (Ticker Daniel)]],MATCH('Input_APM (Zenith)'!F6,Table2[[#All],[De (Lote)]],0)),'Input_APM (Zenith)'!F6))</f>
        <v/>
      </c>
      <c r="M6" s="171" t="str">
        <f t="shared" si="1"/>
        <v/>
      </c>
      <c r="N6" s="172" t="str">
        <f t="shared" si="2"/>
        <v/>
      </c>
      <c r="O6" s="172" t="str">
        <f t="shared" si="3"/>
        <v/>
      </c>
    </row>
    <row r="7" spans="11:15">
      <c r="K7" s="171" t="str">
        <f t="shared" si="0"/>
        <v/>
      </c>
      <c r="L7" s="171" t="str">
        <f>IF(E7="","",IF(COUNTIFS(Table2[[#All],[De (Lote)]],'Input_APM (Zenith)'!F7)&gt;0,INDEX(Table2[[#All],[Para (Ticker Daniel)]],MATCH('Input_APM (Zenith)'!F7,Table2[[#All],[De (Lote)]],0)),'Input_APM (Zenith)'!F7))</f>
        <v/>
      </c>
      <c r="M7" s="171" t="str">
        <f t="shared" si="1"/>
        <v/>
      </c>
      <c r="N7" s="172" t="str">
        <f t="shared" si="2"/>
        <v/>
      </c>
      <c r="O7" s="172" t="str">
        <f t="shared" si="3"/>
        <v/>
      </c>
    </row>
    <row r="8" spans="11:15">
      <c r="K8" s="171" t="str">
        <f t="shared" si="0"/>
        <v/>
      </c>
      <c r="L8" s="171" t="str">
        <f>IF(E8="","",IF(COUNTIFS(Table2[[#All],[De (Lote)]],'Input_APM (Zenith)'!F8)&gt;0,INDEX(Table2[[#All],[Para (Ticker Daniel)]],MATCH('Input_APM (Zenith)'!F8,Table2[[#All],[De (Lote)]],0)),'Input_APM (Zenith)'!F8))</f>
        <v/>
      </c>
      <c r="M8" s="171" t="str">
        <f t="shared" si="1"/>
        <v/>
      </c>
      <c r="N8" s="172" t="str">
        <f t="shared" si="2"/>
        <v/>
      </c>
      <c r="O8" s="172" t="str">
        <f t="shared" si="3"/>
        <v/>
      </c>
    </row>
    <row r="9" spans="11:15">
      <c r="K9" s="171" t="str">
        <f t="shared" si="0"/>
        <v/>
      </c>
      <c r="L9" s="171" t="str">
        <f>IF(E9="","",IF(COUNTIFS(Table2[[#All],[De (Lote)]],'Input_APM (Zenith)'!F9)&gt;0,INDEX(Table2[[#All],[Para (Ticker Daniel)]],MATCH('Input_APM (Zenith)'!F9,Table2[[#All],[De (Lote)]],0)),'Input_APM (Zenith)'!F9))</f>
        <v/>
      </c>
      <c r="M9" s="171" t="str">
        <f t="shared" si="1"/>
        <v/>
      </c>
      <c r="N9" s="172" t="str">
        <f t="shared" si="2"/>
        <v/>
      </c>
      <c r="O9" s="172" t="str">
        <f t="shared" si="3"/>
        <v/>
      </c>
    </row>
    <row r="10" spans="11:15">
      <c r="K10" s="171" t="str">
        <f t="shared" si="0"/>
        <v/>
      </c>
      <c r="L10" s="171" t="str">
        <f>IF(E10="","",IF(COUNTIFS(Table2[[#All],[De (Lote)]],'Input_APM (Zenith)'!F10)&gt;0,INDEX(Table2[[#All],[Para (Ticker Daniel)]],MATCH('Input_APM (Zenith)'!F10,Table2[[#All],[De (Lote)]],0)),'Input_APM (Zenith)'!F10))</f>
        <v/>
      </c>
      <c r="M10" s="171" t="str">
        <f t="shared" si="1"/>
        <v/>
      </c>
      <c r="N10" s="172" t="str">
        <f t="shared" si="2"/>
        <v/>
      </c>
      <c r="O10" s="172" t="str">
        <f t="shared" si="3"/>
        <v/>
      </c>
    </row>
    <row r="11" spans="11:15">
      <c r="K11" s="171" t="str">
        <f t="shared" si="0"/>
        <v/>
      </c>
      <c r="L11" s="171" t="str">
        <f>IF(E11="","",IF(COUNTIFS(Table2[[#All],[De (Lote)]],'Input_APM (Zenith)'!F11)&gt;0,INDEX(Table2[[#All],[Para (Ticker Daniel)]],MATCH('Input_APM (Zenith)'!F11,Table2[[#All],[De (Lote)]],0)),'Input_APM (Zenith)'!F11))</f>
        <v/>
      </c>
      <c r="M11" s="171" t="str">
        <f t="shared" si="1"/>
        <v/>
      </c>
      <c r="N11" s="172" t="str">
        <f t="shared" si="2"/>
        <v/>
      </c>
      <c r="O11" s="172" t="str">
        <f t="shared" si="3"/>
        <v/>
      </c>
    </row>
    <row r="12" spans="11:15">
      <c r="K12" s="171" t="str">
        <f t="shared" si="0"/>
        <v/>
      </c>
      <c r="L12" s="171" t="str">
        <f>IF(E12="","",IF(COUNTIFS(Table2[[#All],[De (Lote)]],'Input_APM (Zenith)'!F12)&gt;0,INDEX(Table2[[#All],[Para (Ticker Daniel)]],MATCH('Input_APM (Zenith)'!F12,Table2[[#All],[De (Lote)]],0)),'Input_APM (Zenith)'!F12))</f>
        <v/>
      </c>
      <c r="M12" s="171" t="str">
        <f t="shared" si="1"/>
        <v/>
      </c>
      <c r="N12" s="172" t="str">
        <f t="shared" si="2"/>
        <v/>
      </c>
      <c r="O12" s="172" t="str">
        <f t="shared" si="3"/>
        <v/>
      </c>
    </row>
    <row r="13" spans="11:15">
      <c r="K13" s="171" t="str">
        <f t="shared" si="0"/>
        <v/>
      </c>
      <c r="L13" s="171" t="str">
        <f>IF(E13="","",IF(COUNTIFS(Table2[[#All],[De (Lote)]],'Input_APM (Zenith)'!F13)&gt;0,INDEX(Table2[[#All],[Para (Ticker Daniel)]],MATCH('Input_APM (Zenith)'!F13,Table2[[#All],[De (Lote)]],0)),'Input_APM (Zenith)'!F13))</f>
        <v/>
      </c>
      <c r="M13" s="171" t="str">
        <f t="shared" si="1"/>
        <v/>
      </c>
      <c r="N13" s="172" t="str">
        <f t="shared" si="2"/>
        <v/>
      </c>
      <c r="O13" s="172" t="str">
        <f t="shared" si="3"/>
        <v/>
      </c>
    </row>
    <row r="14" spans="11:15">
      <c r="K14" s="171" t="str">
        <f t="shared" si="0"/>
        <v/>
      </c>
      <c r="L14" s="171" t="str">
        <f>IF(E14="","",IF(COUNTIFS(Table2[[#All],[De (Lote)]],'Input_APM (Zenith)'!F14)&gt;0,INDEX(Table2[[#All],[Para (Ticker Daniel)]],MATCH('Input_APM (Zenith)'!F14,Table2[[#All],[De (Lote)]],0)),'Input_APM (Zenith)'!F14))</f>
        <v/>
      </c>
      <c r="M14" s="171" t="str">
        <f t="shared" si="1"/>
        <v/>
      </c>
      <c r="N14" s="172" t="str">
        <f t="shared" si="2"/>
        <v/>
      </c>
      <c r="O14" s="172" t="str">
        <f t="shared" si="3"/>
        <v/>
      </c>
    </row>
    <row r="15" spans="11:15">
      <c r="K15" s="171" t="str">
        <f t="shared" si="0"/>
        <v/>
      </c>
      <c r="L15" s="171" t="str">
        <f>IF(E15="","",IF(COUNTIFS(Table2[[#All],[De (Lote)]],'Input_APM (Zenith)'!F15)&gt;0,INDEX(Table2[[#All],[Para (Ticker Daniel)]],MATCH('Input_APM (Zenith)'!F15,Table2[[#All],[De (Lote)]],0)),'Input_APM (Zenith)'!F15))</f>
        <v/>
      </c>
      <c r="M15" s="171" t="str">
        <f t="shared" si="1"/>
        <v/>
      </c>
      <c r="N15" s="172" t="str">
        <f t="shared" si="2"/>
        <v/>
      </c>
      <c r="O15" s="172" t="str">
        <f t="shared" si="3"/>
        <v/>
      </c>
    </row>
    <row r="16" spans="11:15">
      <c r="K16" s="171" t="str">
        <f t="shared" si="0"/>
        <v/>
      </c>
      <c r="L16" s="171" t="str">
        <f>IF(E16="","",IF(COUNTIFS(Table2[[#All],[De (Lote)]],'Input_APM (Zenith)'!F16)&gt;0,INDEX(Table2[[#All],[Para (Ticker Daniel)]],MATCH('Input_APM (Zenith)'!F16,Table2[[#All],[De (Lote)]],0)),'Input_APM (Zenith)'!F16))</f>
        <v/>
      </c>
      <c r="M16" s="171" t="str">
        <f t="shared" si="1"/>
        <v/>
      </c>
      <c r="N16" s="172" t="str">
        <f t="shared" si="2"/>
        <v/>
      </c>
      <c r="O16" s="172" t="str">
        <f t="shared" si="3"/>
        <v/>
      </c>
    </row>
    <row r="17" spans="11:15">
      <c r="K17" s="171" t="str">
        <f t="shared" si="0"/>
        <v/>
      </c>
      <c r="L17" s="171" t="str">
        <f>IF(E17="","",IF(COUNTIFS(Table2[[#All],[De (Lote)]],'Input_APM (Zenith)'!F17)&gt;0,INDEX(Table2[[#All],[Para (Ticker Daniel)]],MATCH('Input_APM (Zenith)'!F17,Table2[[#All],[De (Lote)]],0)),'Input_APM (Zenith)'!F17))</f>
        <v/>
      </c>
      <c r="M17" s="171" t="str">
        <f t="shared" si="1"/>
        <v/>
      </c>
      <c r="N17" s="172" t="str">
        <f t="shared" si="2"/>
        <v/>
      </c>
      <c r="O17" s="172" t="str">
        <f t="shared" si="3"/>
        <v/>
      </c>
    </row>
    <row r="18" spans="11:15">
      <c r="K18" s="171" t="str">
        <f t="shared" si="0"/>
        <v/>
      </c>
      <c r="L18" s="171" t="str">
        <f>IF(E18="","",IF(COUNTIFS(Table2[[#All],[De (Lote)]],'Input_APM (Zenith)'!F18)&gt;0,INDEX(Table2[[#All],[Para (Ticker Daniel)]],MATCH('Input_APM (Zenith)'!F18,Table2[[#All],[De (Lote)]],0)),'Input_APM (Zenith)'!F18))</f>
        <v/>
      </c>
      <c r="M18" s="171" t="str">
        <f t="shared" si="1"/>
        <v/>
      </c>
      <c r="N18" s="172" t="str">
        <f t="shared" si="2"/>
        <v/>
      </c>
      <c r="O18" s="172" t="str">
        <f t="shared" si="3"/>
        <v/>
      </c>
    </row>
    <row r="19" spans="11:15">
      <c r="K19" s="171" t="str">
        <f t="shared" si="0"/>
        <v/>
      </c>
      <c r="L19" s="171" t="str">
        <f>IF(E19="","",IF(COUNTIFS(Table2[[#All],[De (Lote)]],'Input_APM (Zenith)'!F19)&gt;0,INDEX(Table2[[#All],[Para (Ticker Daniel)]],MATCH('Input_APM (Zenith)'!F19,Table2[[#All],[De (Lote)]],0)),'Input_APM (Zenith)'!F19))</f>
        <v/>
      </c>
      <c r="M19" s="171" t="str">
        <f t="shared" si="1"/>
        <v/>
      </c>
      <c r="N19" s="172" t="str">
        <f t="shared" si="2"/>
        <v/>
      </c>
      <c r="O19" s="172" t="str">
        <f t="shared" si="3"/>
        <v/>
      </c>
    </row>
    <row r="20" spans="11:15">
      <c r="K20" s="171" t="str">
        <f t="shared" si="0"/>
        <v/>
      </c>
      <c r="L20" s="171" t="str">
        <f>IF(E20="","",IF(COUNTIFS(Table2[[#All],[De (Lote)]],'Input_APM (Zenith)'!F20)&gt;0,INDEX(Table2[[#All],[Para (Ticker Daniel)]],MATCH('Input_APM (Zenith)'!F20,Table2[[#All],[De (Lote)]],0)),'Input_APM (Zenith)'!F20))</f>
        <v/>
      </c>
      <c r="M20" s="171" t="str">
        <f t="shared" si="1"/>
        <v/>
      </c>
      <c r="N20" s="172" t="str">
        <f t="shared" si="2"/>
        <v/>
      </c>
      <c r="O20" s="172" t="str">
        <f t="shared" si="3"/>
        <v/>
      </c>
    </row>
    <row r="21" spans="11:15">
      <c r="K21" s="171" t="str">
        <f t="shared" si="0"/>
        <v/>
      </c>
      <c r="L21" s="171" t="str">
        <f>IF(E21="","",IF(COUNTIFS(Table2[[#All],[De (Lote)]],'Input_APM (Zenith)'!F21)&gt;0,INDEX(Table2[[#All],[Para (Ticker Daniel)]],MATCH('Input_APM (Zenith)'!F21,Table2[[#All],[De (Lote)]],0)),'Input_APM (Zenith)'!F21))</f>
        <v/>
      </c>
      <c r="M21" s="171" t="str">
        <f t="shared" si="1"/>
        <v/>
      </c>
      <c r="N21" s="172" t="str">
        <f t="shared" si="2"/>
        <v/>
      </c>
      <c r="O21" s="172" t="str">
        <f t="shared" si="3"/>
        <v/>
      </c>
    </row>
    <row r="22" spans="11:15">
      <c r="K22" s="171" t="str">
        <f t="shared" si="0"/>
        <v/>
      </c>
      <c r="L22" s="171" t="str">
        <f>IF(E22="","",IF(COUNTIFS(Table2[[#All],[De (Lote)]],'Input_APM (Zenith)'!F22)&gt;0,INDEX(Table2[[#All],[Para (Ticker Daniel)]],MATCH('Input_APM (Zenith)'!F22,Table2[[#All],[De (Lote)]],0)),'Input_APM (Zenith)'!F22))</f>
        <v/>
      </c>
      <c r="M22" s="171" t="str">
        <f t="shared" si="1"/>
        <v/>
      </c>
      <c r="N22" s="172" t="str">
        <f t="shared" si="2"/>
        <v/>
      </c>
      <c r="O22" s="172" t="str">
        <f t="shared" si="3"/>
        <v/>
      </c>
    </row>
    <row r="23" spans="11:15">
      <c r="K23" s="171" t="str">
        <f t="shared" si="0"/>
        <v/>
      </c>
      <c r="L23" s="171" t="str">
        <f>IF(E23="","",IF(COUNTIFS(Table2[[#All],[De (Lote)]],'Input_APM (Zenith)'!F23)&gt;0,INDEX(Table2[[#All],[Para (Ticker Daniel)]],MATCH('Input_APM (Zenith)'!F23,Table2[[#All],[De (Lote)]],0)),'Input_APM (Zenith)'!F23))</f>
        <v/>
      </c>
      <c r="M23" s="171" t="str">
        <f t="shared" si="1"/>
        <v/>
      </c>
      <c r="N23" s="172" t="str">
        <f t="shared" si="2"/>
        <v/>
      </c>
      <c r="O23" s="172" t="str">
        <f t="shared" si="3"/>
        <v/>
      </c>
    </row>
    <row r="24" spans="11:15">
      <c r="K24" s="171" t="str">
        <f t="shared" si="0"/>
        <v/>
      </c>
      <c r="L24" s="171" t="str">
        <f>IF(E24="","",IF(COUNTIFS(Table2[[#All],[De (Lote)]],'Input_APM (Zenith)'!F24)&gt;0,INDEX(Table2[[#All],[Para (Ticker Daniel)]],MATCH('Input_APM (Zenith)'!F24,Table2[[#All],[De (Lote)]],0)),'Input_APM (Zenith)'!F24))</f>
        <v/>
      </c>
      <c r="M24" s="171" t="str">
        <f t="shared" si="1"/>
        <v/>
      </c>
      <c r="N24" s="172" t="str">
        <f t="shared" si="2"/>
        <v/>
      </c>
      <c r="O24" s="172" t="str">
        <f t="shared" si="3"/>
        <v/>
      </c>
    </row>
    <row r="25" spans="11:15">
      <c r="K25" s="171" t="str">
        <f t="shared" si="0"/>
        <v/>
      </c>
      <c r="L25" s="171" t="str">
        <f>IF(E25="","",IF(COUNTIFS(Table2[[#All],[De (Lote)]],'Input_APM (Zenith)'!F25)&gt;0,INDEX(Table2[[#All],[Para (Ticker Daniel)]],MATCH('Input_APM (Zenith)'!F25,Table2[[#All],[De (Lote)]],0)),'Input_APM (Zenith)'!F25))</f>
        <v/>
      </c>
      <c r="M25" s="171" t="str">
        <f t="shared" si="1"/>
        <v/>
      </c>
      <c r="N25" s="172" t="str">
        <f t="shared" si="2"/>
        <v/>
      </c>
      <c r="O25" s="172" t="str">
        <f t="shared" si="3"/>
        <v/>
      </c>
    </row>
    <row r="26" spans="11:15">
      <c r="K26" s="171" t="str">
        <f t="shared" si="0"/>
        <v/>
      </c>
      <c r="L26" s="171" t="str">
        <f>IF(E26="","",IF(COUNTIFS(Table2[[#All],[De (Lote)]],'Input_APM (Zenith)'!F26)&gt;0,INDEX(Table2[[#All],[Para (Ticker Daniel)]],MATCH('Input_APM (Zenith)'!F26,Table2[[#All],[De (Lote)]],0)),'Input_APM (Zenith)'!F26))</f>
        <v/>
      </c>
      <c r="M26" s="171" t="str">
        <f t="shared" si="1"/>
        <v/>
      </c>
      <c r="N26" s="172" t="str">
        <f t="shared" si="2"/>
        <v/>
      </c>
      <c r="O26" s="172" t="str">
        <f t="shared" si="3"/>
        <v/>
      </c>
    </row>
    <row r="27" spans="11:15">
      <c r="K27" s="171" t="str">
        <f t="shared" si="0"/>
        <v/>
      </c>
      <c r="L27" s="171" t="str">
        <f>IF(E27="","",IF(COUNTIFS(Table2[[#All],[De (Lote)]],'Input_APM (Zenith)'!F27)&gt;0,INDEX(Table2[[#All],[Para (Ticker Daniel)]],MATCH('Input_APM (Zenith)'!F27,Table2[[#All],[De (Lote)]],0)),'Input_APM (Zenith)'!F27))</f>
        <v/>
      </c>
      <c r="M27" s="171" t="str">
        <f t="shared" si="1"/>
        <v/>
      </c>
      <c r="N27" s="172" t="str">
        <f t="shared" si="2"/>
        <v/>
      </c>
      <c r="O27" s="172" t="str">
        <f t="shared" si="3"/>
        <v/>
      </c>
    </row>
    <row r="28" spans="11:15">
      <c r="K28" s="171" t="str">
        <f t="shared" si="0"/>
        <v/>
      </c>
      <c r="L28" s="171" t="str">
        <f>IF(E28="","",IF(COUNTIFS(Table2[[#All],[De (Lote)]],'Input_APM (Zenith)'!F28)&gt;0,INDEX(Table2[[#All],[Para (Ticker Daniel)]],MATCH('Input_APM (Zenith)'!F28,Table2[[#All],[De (Lote)]],0)),'Input_APM (Zenith)'!F28))</f>
        <v/>
      </c>
      <c r="M28" s="171" t="str">
        <f t="shared" si="1"/>
        <v/>
      </c>
      <c r="N28" s="172" t="str">
        <f t="shared" si="2"/>
        <v/>
      </c>
      <c r="O28" s="172" t="str">
        <f t="shared" si="3"/>
        <v/>
      </c>
    </row>
    <row r="29" spans="11:15">
      <c r="K29" s="171" t="str">
        <f t="shared" si="0"/>
        <v/>
      </c>
      <c r="L29" s="171" t="str">
        <f>IF(E29="","",IF(COUNTIFS(Table2[[#All],[De (Lote)]],'Input_APM (Zenith)'!F29)&gt;0,INDEX(Table2[[#All],[Para (Ticker Daniel)]],MATCH('Input_APM (Zenith)'!F29,Table2[[#All],[De (Lote)]],0)),'Input_APM (Zenith)'!F29))</f>
        <v/>
      </c>
      <c r="M29" s="171" t="str">
        <f t="shared" si="1"/>
        <v/>
      </c>
      <c r="N29" s="172" t="str">
        <f t="shared" si="2"/>
        <v/>
      </c>
      <c r="O29" s="172" t="str">
        <f t="shared" si="3"/>
        <v/>
      </c>
    </row>
    <row r="30" spans="11:15">
      <c r="K30" s="171" t="str">
        <f t="shared" si="0"/>
        <v/>
      </c>
      <c r="L30" s="171" t="str">
        <f>IF(E30="","",IF(COUNTIFS(Table2[[#All],[De (Lote)]],'Input_APM (Zenith)'!F30)&gt;0,INDEX(Table2[[#All],[Para (Ticker Daniel)]],MATCH('Input_APM (Zenith)'!F30,Table2[[#All],[De (Lote)]],0)),'Input_APM (Zenith)'!F30))</f>
        <v/>
      </c>
      <c r="M30" s="171" t="str">
        <f t="shared" si="1"/>
        <v/>
      </c>
      <c r="N30" s="172" t="str">
        <f t="shared" si="2"/>
        <v/>
      </c>
      <c r="O30" s="172" t="str">
        <f t="shared" si="3"/>
        <v/>
      </c>
    </row>
    <row r="31" spans="11:15">
      <c r="K31" s="171" t="str">
        <f t="shared" si="0"/>
        <v/>
      </c>
      <c r="L31" s="171" t="str">
        <f>IF(E31="","",IF(COUNTIFS(Table2[[#All],[De (Lote)]],'Input_APM (Zenith)'!F31)&gt;0,INDEX(Table2[[#All],[Para (Ticker Daniel)]],MATCH('Input_APM (Zenith)'!F31,Table2[[#All],[De (Lote)]],0)),'Input_APM (Zenith)'!F31))</f>
        <v/>
      </c>
      <c r="M31" s="171" t="str">
        <f t="shared" si="1"/>
        <v/>
      </c>
      <c r="N31" s="172" t="str">
        <f t="shared" si="2"/>
        <v/>
      </c>
      <c r="O31" s="172" t="str">
        <f t="shared" si="3"/>
        <v/>
      </c>
    </row>
    <row r="32" spans="11:15">
      <c r="K32" s="171" t="str">
        <f t="shared" si="0"/>
        <v/>
      </c>
      <c r="L32" s="171" t="str">
        <f>IF(E32="","",IF(COUNTIFS(Table2[[#All],[De (Lote)]],'Input_APM (Zenith)'!F32)&gt;0,INDEX(Table2[[#All],[Para (Ticker Daniel)]],MATCH('Input_APM (Zenith)'!F32,Table2[[#All],[De (Lote)]],0)),'Input_APM (Zenith)'!F32))</f>
        <v/>
      </c>
      <c r="M32" s="171" t="str">
        <f t="shared" si="1"/>
        <v/>
      </c>
      <c r="N32" s="172" t="str">
        <f t="shared" si="2"/>
        <v/>
      </c>
      <c r="O32" s="172" t="str">
        <f t="shared" si="3"/>
        <v/>
      </c>
    </row>
    <row r="33" spans="11:15">
      <c r="K33" s="171" t="str">
        <f t="shared" si="0"/>
        <v/>
      </c>
      <c r="L33" s="171" t="str">
        <f>IF(E33="","",IF(COUNTIFS(Table2[[#All],[De (Lote)]],'Input_APM (Zenith)'!F33)&gt;0,INDEX(Table2[[#All],[Para (Ticker Daniel)]],MATCH('Input_APM (Zenith)'!F33,Table2[[#All],[De (Lote)]],0)),'Input_APM (Zenith)'!F33))</f>
        <v/>
      </c>
      <c r="M33" s="171" t="str">
        <f t="shared" si="1"/>
        <v/>
      </c>
      <c r="N33" s="172" t="str">
        <f t="shared" si="2"/>
        <v/>
      </c>
      <c r="O33" s="172" t="str">
        <f t="shared" si="3"/>
        <v/>
      </c>
    </row>
    <row r="34" spans="11:15">
      <c r="K34" s="171" t="str">
        <f t="shared" si="0"/>
        <v/>
      </c>
      <c r="L34" s="171" t="str">
        <f>IF(E34="","",IF(COUNTIFS(Table2[[#All],[De (Lote)]],'Input_APM (Zenith)'!F34)&gt;0,INDEX(Table2[[#All],[Para (Ticker Daniel)]],MATCH('Input_APM (Zenith)'!F34,Table2[[#All],[De (Lote)]],0)),'Input_APM (Zenith)'!F34))</f>
        <v/>
      </c>
      <c r="M34" s="171" t="str">
        <f t="shared" si="1"/>
        <v/>
      </c>
      <c r="N34" s="172" t="str">
        <f t="shared" si="2"/>
        <v/>
      </c>
      <c r="O34" s="172" t="str">
        <f t="shared" si="3"/>
        <v/>
      </c>
    </row>
    <row r="35" spans="11:15">
      <c r="K35" s="171" t="str">
        <f t="shared" si="0"/>
        <v/>
      </c>
      <c r="L35" s="171" t="str">
        <f>IF(E35="","",IF(COUNTIFS(Table2[[#All],[De (Lote)]],'Input_APM (Zenith)'!F35)&gt;0,INDEX(Table2[[#All],[Para (Ticker Daniel)]],MATCH('Input_APM (Zenith)'!F35,Table2[[#All],[De (Lote)]],0)),'Input_APM (Zenith)'!F35))</f>
        <v/>
      </c>
      <c r="M35" s="171" t="str">
        <f t="shared" si="1"/>
        <v/>
      </c>
      <c r="N35" s="172" t="str">
        <f t="shared" si="2"/>
        <v/>
      </c>
      <c r="O35" s="172" t="str">
        <f t="shared" si="3"/>
        <v/>
      </c>
    </row>
    <row r="36" spans="11:15">
      <c r="K36" s="171" t="str">
        <f t="shared" si="0"/>
        <v/>
      </c>
      <c r="L36" s="171" t="str">
        <f>IF(E36="","",IF(COUNTIFS(Table2[[#All],[De (Lote)]],'Input_APM (Zenith)'!F36)&gt;0,INDEX(Table2[[#All],[Para (Ticker Daniel)]],MATCH('Input_APM (Zenith)'!F36,Table2[[#All],[De (Lote)]],0)),'Input_APM (Zenith)'!F36))</f>
        <v/>
      </c>
      <c r="M36" s="171" t="str">
        <f t="shared" si="1"/>
        <v/>
      </c>
      <c r="N36" s="172" t="str">
        <f t="shared" si="2"/>
        <v/>
      </c>
      <c r="O36" s="172" t="str">
        <f t="shared" si="3"/>
        <v/>
      </c>
    </row>
    <row r="37" spans="11:15">
      <c r="K37" s="171" t="str">
        <f t="shared" si="0"/>
        <v/>
      </c>
      <c r="L37" s="171" t="str">
        <f>IF(E37="","",IF(COUNTIFS(Table2[[#All],[De (Lote)]],'Input_APM (Zenith)'!F37)&gt;0,INDEX(Table2[[#All],[Para (Ticker Daniel)]],MATCH('Input_APM (Zenith)'!F37,Table2[[#All],[De (Lote)]],0)),'Input_APM (Zenith)'!F37))</f>
        <v/>
      </c>
      <c r="M37" s="171" t="str">
        <f t="shared" si="1"/>
        <v/>
      </c>
      <c r="N37" s="172" t="str">
        <f t="shared" si="2"/>
        <v/>
      </c>
      <c r="O37" s="172" t="str">
        <f t="shared" si="3"/>
        <v/>
      </c>
    </row>
    <row r="38" spans="11:15">
      <c r="K38" s="171" t="str">
        <f t="shared" si="0"/>
        <v/>
      </c>
      <c r="L38" s="171" t="str">
        <f>IF(E38="","",IF(COUNTIFS(Table2[[#All],[De (Lote)]],'Input_APM (Zenith)'!F38)&gt;0,INDEX(Table2[[#All],[Para (Ticker Daniel)]],MATCH('Input_APM (Zenith)'!F38,Table2[[#All],[De (Lote)]],0)),'Input_APM (Zenith)'!F38))</f>
        <v/>
      </c>
      <c r="M38" s="171" t="str">
        <f t="shared" si="1"/>
        <v/>
      </c>
      <c r="N38" s="172" t="str">
        <f t="shared" si="2"/>
        <v/>
      </c>
      <c r="O38" s="172" t="str">
        <f t="shared" si="3"/>
        <v/>
      </c>
    </row>
    <row r="39" spans="11:15">
      <c r="K39" s="171" t="str">
        <f t="shared" si="0"/>
        <v/>
      </c>
      <c r="L39" s="171" t="str">
        <f>IF(E39="","",IF(COUNTIFS(Table2[[#All],[De (Lote)]],'Input_APM (Zenith)'!F39)&gt;0,INDEX(Table2[[#All],[Para (Ticker Daniel)]],MATCH('Input_APM (Zenith)'!F39,Table2[[#All],[De (Lote)]],0)),'Input_APM (Zenith)'!F39))</f>
        <v/>
      </c>
      <c r="M39" s="171" t="str">
        <f t="shared" si="1"/>
        <v/>
      </c>
      <c r="N39" s="172" t="str">
        <f t="shared" si="2"/>
        <v/>
      </c>
      <c r="O39" s="172" t="str">
        <f t="shared" si="3"/>
        <v/>
      </c>
    </row>
    <row r="40" spans="11:15">
      <c r="K40" s="171" t="str">
        <f t="shared" si="0"/>
        <v/>
      </c>
      <c r="L40" s="171" t="str">
        <f>IF(E40="","",IF(COUNTIFS(Table2[[#All],[De (Lote)]],'Input_APM (Zenith)'!F40)&gt;0,INDEX(Table2[[#All],[Para (Ticker Daniel)]],MATCH('Input_APM (Zenith)'!F40,Table2[[#All],[De (Lote)]],0)),'Input_APM (Zenith)'!F40))</f>
        <v/>
      </c>
      <c r="M40" s="171" t="str">
        <f t="shared" si="1"/>
        <v/>
      </c>
      <c r="N40" s="172" t="str">
        <f t="shared" si="2"/>
        <v/>
      </c>
      <c r="O40" s="172" t="str">
        <f t="shared" si="3"/>
        <v/>
      </c>
    </row>
    <row r="41" spans="11:15">
      <c r="K41" s="171" t="str">
        <f t="shared" si="0"/>
        <v/>
      </c>
      <c r="L41" s="171" t="str">
        <f>IF(E41="","",IF(COUNTIFS(Table2[[#All],[De (Lote)]],'Input_APM (Zenith)'!F41)&gt;0,INDEX(Table2[[#All],[Para (Ticker Daniel)]],MATCH('Input_APM (Zenith)'!F41,Table2[[#All],[De (Lote)]],0)),'Input_APM (Zenith)'!F41))</f>
        <v/>
      </c>
      <c r="M41" s="171" t="str">
        <f t="shared" si="1"/>
        <v/>
      </c>
      <c r="N41" s="172" t="str">
        <f t="shared" si="2"/>
        <v/>
      </c>
      <c r="O41" s="172" t="str">
        <f t="shared" si="3"/>
        <v/>
      </c>
    </row>
    <row r="42" spans="11:15">
      <c r="K42" s="171" t="str">
        <f t="shared" si="0"/>
        <v/>
      </c>
      <c r="L42" s="171" t="str">
        <f>IF(E42="","",IF(COUNTIFS(Table2[[#All],[De (Lote)]],'Input_APM (Zenith)'!F42)&gt;0,INDEX(Table2[[#All],[Para (Ticker Daniel)]],MATCH('Input_APM (Zenith)'!F42,Table2[[#All],[De (Lote)]],0)),'Input_APM (Zenith)'!F42))</f>
        <v/>
      </c>
      <c r="M42" s="171" t="str">
        <f t="shared" si="1"/>
        <v/>
      </c>
      <c r="N42" s="172" t="str">
        <f t="shared" si="2"/>
        <v/>
      </c>
      <c r="O42" s="172" t="str">
        <f t="shared" si="3"/>
        <v/>
      </c>
    </row>
    <row r="43" spans="11:15">
      <c r="K43" s="171" t="str">
        <f t="shared" si="0"/>
        <v/>
      </c>
      <c r="L43" s="171" t="str">
        <f>IF(E43="","",IF(COUNTIFS(Table2[[#All],[De (Lote)]],'Input_APM (Zenith)'!F43)&gt;0,INDEX(Table2[[#All],[Para (Ticker Daniel)]],MATCH('Input_APM (Zenith)'!F43,Table2[[#All],[De (Lote)]],0)),'Input_APM (Zenith)'!F43))</f>
        <v/>
      </c>
      <c r="M43" s="171" t="str">
        <f t="shared" si="1"/>
        <v/>
      </c>
      <c r="N43" s="172" t="str">
        <f t="shared" si="2"/>
        <v/>
      </c>
      <c r="O43" s="172" t="str">
        <f t="shared" si="3"/>
        <v/>
      </c>
    </row>
    <row r="44" spans="11:15">
      <c r="K44" s="171" t="str">
        <f t="shared" si="0"/>
        <v/>
      </c>
      <c r="L44" s="171" t="str">
        <f>IF(E44="","",IF(COUNTIFS(Table2[[#All],[De (Lote)]],'Input_APM (Zenith)'!F44)&gt;0,INDEX(Table2[[#All],[Para (Ticker Daniel)]],MATCH('Input_APM (Zenith)'!F44,Table2[[#All],[De (Lote)]],0)),'Input_APM (Zenith)'!F44))</f>
        <v/>
      </c>
      <c r="M44" s="171" t="str">
        <f t="shared" si="1"/>
        <v/>
      </c>
      <c r="N44" s="172" t="str">
        <f t="shared" si="2"/>
        <v/>
      </c>
      <c r="O44" s="172" t="str">
        <f t="shared" si="3"/>
        <v/>
      </c>
    </row>
    <row r="45" spans="11:15">
      <c r="K45" s="171" t="str">
        <f t="shared" si="0"/>
        <v/>
      </c>
      <c r="L45" s="171" t="str">
        <f>IF(E45="","",IF(COUNTIFS(Table2[[#All],[De (Lote)]],'Input_APM (Zenith)'!F45)&gt;0,INDEX(Table2[[#All],[Para (Ticker Daniel)]],MATCH('Input_APM (Zenith)'!F45,Table2[[#All],[De (Lote)]],0)),'Input_APM (Zenith)'!F45))</f>
        <v/>
      </c>
      <c r="M45" s="171" t="str">
        <f t="shared" si="1"/>
        <v/>
      </c>
      <c r="N45" s="172" t="str">
        <f t="shared" si="2"/>
        <v/>
      </c>
      <c r="O45" s="172" t="str">
        <f t="shared" si="3"/>
        <v/>
      </c>
    </row>
    <row r="46" spans="11:15">
      <c r="K46" s="171" t="str">
        <f t="shared" si="0"/>
        <v/>
      </c>
      <c r="L46" s="171" t="str">
        <f>IF(E46="","",IF(COUNTIFS(Table2[[#All],[De (Lote)]],'Input_APM (Zenith)'!F46)&gt;0,INDEX(Table2[[#All],[Para (Ticker Daniel)]],MATCH('Input_APM (Zenith)'!F46,Table2[[#All],[De (Lote)]],0)),'Input_APM (Zenith)'!F46))</f>
        <v/>
      </c>
      <c r="M46" s="171" t="str">
        <f t="shared" si="1"/>
        <v/>
      </c>
      <c r="N46" s="172" t="str">
        <f t="shared" si="2"/>
        <v/>
      </c>
      <c r="O46" s="172" t="str">
        <f t="shared" si="3"/>
        <v/>
      </c>
    </row>
    <row r="47" spans="11:15">
      <c r="K47" s="171" t="str">
        <f t="shared" si="0"/>
        <v/>
      </c>
      <c r="L47" s="171" t="str">
        <f>IF(E47="","",IF(COUNTIFS(Table2[[#All],[De (Lote)]],'Input_APM (Zenith)'!F47)&gt;0,INDEX(Table2[[#All],[Para (Ticker Daniel)]],MATCH('Input_APM (Zenith)'!F47,Table2[[#All],[De (Lote)]],0)),'Input_APM (Zenith)'!F47))</f>
        <v/>
      </c>
      <c r="M47" s="171" t="str">
        <f t="shared" si="1"/>
        <v/>
      </c>
      <c r="N47" s="172" t="str">
        <f t="shared" si="2"/>
        <v/>
      </c>
      <c r="O47" s="172" t="str">
        <f t="shared" si="3"/>
        <v/>
      </c>
    </row>
    <row r="48" spans="11:15">
      <c r="K48" s="171" t="str">
        <f t="shared" si="0"/>
        <v/>
      </c>
      <c r="L48" s="171" t="str">
        <f>IF(E48="","",IF(COUNTIFS(Table2[[#All],[De (Lote)]],'Input_APM (Zenith)'!F48)&gt;0,INDEX(Table2[[#All],[Para (Ticker Daniel)]],MATCH('Input_APM (Zenith)'!F48,Table2[[#All],[De (Lote)]],0)),'Input_APM (Zenith)'!F48))</f>
        <v/>
      </c>
      <c r="M48" s="171" t="str">
        <f t="shared" si="1"/>
        <v/>
      </c>
      <c r="N48" s="172" t="str">
        <f t="shared" si="2"/>
        <v/>
      </c>
      <c r="O48" s="172" t="str">
        <f t="shared" si="3"/>
        <v/>
      </c>
    </row>
    <row r="49" spans="11:15">
      <c r="K49" s="171" t="str">
        <f t="shared" si="0"/>
        <v/>
      </c>
      <c r="L49" s="171" t="str">
        <f>IF(E49="","",IF(COUNTIFS(Table2[[#All],[De (Lote)]],'Input_APM (Zenith)'!F49)&gt;0,INDEX(Table2[[#All],[Para (Ticker Daniel)]],MATCH('Input_APM (Zenith)'!F49,Table2[[#All],[De (Lote)]],0)),'Input_APM (Zenith)'!F49))</f>
        <v/>
      </c>
      <c r="M49" s="171" t="str">
        <f t="shared" si="1"/>
        <v/>
      </c>
      <c r="N49" s="172" t="str">
        <f t="shared" si="2"/>
        <v/>
      </c>
      <c r="O49" s="172" t="str">
        <f t="shared" si="3"/>
        <v/>
      </c>
    </row>
    <row r="50" spans="11:15">
      <c r="K50" s="171" t="str">
        <f t="shared" si="0"/>
        <v/>
      </c>
      <c r="L50" s="171" t="str">
        <f>IF(E50="","",IF(COUNTIFS(Table2[[#All],[De (Lote)]],'Input_APM (Zenith)'!F50)&gt;0,INDEX(Table2[[#All],[Para (Ticker Daniel)]],MATCH('Input_APM (Zenith)'!F50,Table2[[#All],[De (Lote)]],0)),'Input_APM (Zenith)'!F50))</f>
        <v/>
      </c>
      <c r="M50" s="171" t="str">
        <f t="shared" si="1"/>
        <v/>
      </c>
      <c r="N50" s="172" t="str">
        <f t="shared" si="2"/>
        <v/>
      </c>
      <c r="O50" s="172" t="str">
        <f t="shared" si="3"/>
        <v/>
      </c>
    </row>
    <row r="51" spans="11:15">
      <c r="K51" s="171" t="str">
        <f t="shared" si="0"/>
        <v/>
      </c>
      <c r="L51" s="171" t="str">
        <f>IF(E51="","",IF(COUNTIFS(Table2[[#All],[De (Lote)]],'Input_APM (Zenith)'!F51)&gt;0,INDEX(Table2[[#All],[Para (Ticker Daniel)]],MATCH('Input_APM (Zenith)'!F51,Table2[[#All],[De (Lote)]],0)),'Input_APM (Zenith)'!F51))</f>
        <v/>
      </c>
      <c r="M51" s="171" t="str">
        <f t="shared" si="1"/>
        <v/>
      </c>
      <c r="N51" s="172" t="str">
        <f t="shared" si="2"/>
        <v/>
      </c>
      <c r="O51" s="172" t="str">
        <f t="shared" si="3"/>
        <v/>
      </c>
    </row>
    <row r="52" spans="11:15">
      <c r="K52" s="171" t="str">
        <f t="shared" si="0"/>
        <v/>
      </c>
      <c r="L52" s="171" t="str">
        <f>IF(E52="","",IF(COUNTIFS(Table2[[#All],[De (Lote)]],'Input_APM (Zenith)'!F52)&gt;0,INDEX(Table2[[#All],[Para (Ticker Daniel)]],MATCH('Input_APM (Zenith)'!F52,Table2[[#All],[De (Lote)]],0)),'Input_APM (Zenith)'!F52))</f>
        <v/>
      </c>
      <c r="M52" s="171" t="str">
        <f t="shared" si="1"/>
        <v/>
      </c>
      <c r="N52" s="172" t="str">
        <f t="shared" si="2"/>
        <v/>
      </c>
      <c r="O52" s="172" t="str">
        <f t="shared" si="3"/>
        <v/>
      </c>
    </row>
    <row r="53" spans="11:15">
      <c r="K53" s="171" t="str">
        <f t="shared" si="0"/>
        <v/>
      </c>
      <c r="L53" s="171" t="str">
        <f>IF(E53="","",IF(COUNTIFS(Table2[[#All],[De (Lote)]],'Input_APM (Zenith)'!F53)&gt;0,INDEX(Table2[[#All],[Para (Ticker Daniel)]],MATCH('Input_APM (Zenith)'!F53,Table2[[#All],[De (Lote)]],0)),'Input_APM (Zenith)'!F53))</f>
        <v/>
      </c>
      <c r="M53" s="171" t="str">
        <f t="shared" si="1"/>
        <v/>
      </c>
      <c r="N53" s="172" t="str">
        <f t="shared" si="2"/>
        <v/>
      </c>
      <c r="O53" s="172" t="str">
        <f t="shared" si="3"/>
        <v/>
      </c>
    </row>
    <row r="54" spans="11:15">
      <c r="K54" s="171" t="str">
        <f t="shared" si="0"/>
        <v/>
      </c>
      <c r="L54" s="171" t="str">
        <f>IF(E54="","",IF(COUNTIFS(Table2[[#All],[De (Lote)]],'Input_APM (Zenith)'!F54)&gt;0,INDEX(Table2[[#All],[Para (Ticker Daniel)]],MATCH('Input_APM (Zenith)'!F54,Table2[[#All],[De (Lote)]],0)),'Input_APM (Zenith)'!F54))</f>
        <v/>
      </c>
      <c r="M54" s="171" t="str">
        <f t="shared" si="1"/>
        <v/>
      </c>
      <c r="N54" s="172" t="str">
        <f t="shared" si="2"/>
        <v/>
      </c>
      <c r="O54" s="172" t="str">
        <f t="shared" si="3"/>
        <v/>
      </c>
    </row>
    <row r="55" spans="11:15">
      <c r="K55" s="171" t="str">
        <f t="shared" si="0"/>
        <v/>
      </c>
      <c r="L55" s="171" t="str">
        <f>IF(E55="","",IF(COUNTIFS(Table2[[#All],[De (Lote)]],'Input_APM (Zenith)'!F55)&gt;0,INDEX(Table2[[#All],[Para (Ticker Daniel)]],MATCH('Input_APM (Zenith)'!F55,Table2[[#All],[De (Lote)]],0)),'Input_APM (Zenith)'!F55))</f>
        <v/>
      </c>
      <c r="M55" s="171" t="str">
        <f t="shared" si="1"/>
        <v/>
      </c>
      <c r="N55" s="172" t="str">
        <f t="shared" si="2"/>
        <v/>
      </c>
      <c r="O55" s="172" t="str">
        <f t="shared" si="3"/>
        <v/>
      </c>
    </row>
    <row r="56" spans="11:15">
      <c r="K56" s="171" t="str">
        <f t="shared" si="0"/>
        <v/>
      </c>
      <c r="L56" s="171" t="str">
        <f>IF(E56="","",IF(COUNTIFS(Table2[[#All],[De (Lote)]],'Input_APM (Zenith)'!F56)&gt;0,INDEX(Table2[[#All],[Para (Ticker Daniel)]],MATCH('Input_APM (Zenith)'!F56,Table2[[#All],[De (Lote)]],0)),'Input_APM (Zenith)'!F56))</f>
        <v/>
      </c>
      <c r="M56" s="171" t="str">
        <f t="shared" si="1"/>
        <v/>
      </c>
      <c r="N56" s="172" t="str">
        <f t="shared" si="2"/>
        <v/>
      </c>
      <c r="O56" s="172" t="str">
        <f t="shared" si="3"/>
        <v/>
      </c>
    </row>
    <row r="57" spans="11:15">
      <c r="K57" s="171" t="str">
        <f t="shared" si="0"/>
        <v/>
      </c>
      <c r="L57" s="171" t="str">
        <f>IF(E57="","",IF(COUNTIFS(Table2[[#All],[De (Lote)]],'Input_APM (Zenith)'!F57)&gt;0,INDEX(Table2[[#All],[Para (Ticker Daniel)]],MATCH('Input_APM (Zenith)'!F57,Table2[[#All],[De (Lote)]],0)),'Input_APM (Zenith)'!F57))</f>
        <v/>
      </c>
      <c r="M57" s="171" t="str">
        <f t="shared" si="1"/>
        <v/>
      </c>
      <c r="N57" s="172" t="str">
        <f t="shared" si="2"/>
        <v/>
      </c>
      <c r="O57" s="172" t="str">
        <f t="shared" si="3"/>
        <v/>
      </c>
    </row>
    <row r="58" spans="11:15">
      <c r="K58" s="171" t="str">
        <f t="shared" si="0"/>
        <v/>
      </c>
      <c r="L58" s="171" t="str">
        <f>IF(E58="","",IF(COUNTIFS(Table2[[#All],[De (Lote)]],'Input_APM (Zenith)'!F58)&gt;0,INDEX(Table2[[#All],[Para (Ticker Daniel)]],MATCH('Input_APM (Zenith)'!F58,Table2[[#All],[De (Lote)]],0)),'Input_APM (Zenith)'!F58))</f>
        <v/>
      </c>
      <c r="M58" s="171" t="str">
        <f t="shared" si="1"/>
        <v/>
      </c>
      <c r="N58" s="172" t="str">
        <f t="shared" si="2"/>
        <v/>
      </c>
      <c r="O58" s="172" t="str">
        <f t="shared" si="3"/>
        <v/>
      </c>
    </row>
    <row r="59" spans="11:15">
      <c r="K59" s="171" t="str">
        <f t="shared" si="0"/>
        <v/>
      </c>
      <c r="L59" s="171" t="str">
        <f>IF(E59="","",IF(COUNTIFS(Table2[[#All],[De (Lote)]],'Input_APM (Zenith)'!F59)&gt;0,INDEX(Table2[[#All],[Para (Ticker Daniel)]],MATCH('Input_APM (Zenith)'!F59,Table2[[#All],[De (Lote)]],0)),'Input_APM (Zenith)'!F59))</f>
        <v/>
      </c>
      <c r="M59" s="171" t="str">
        <f t="shared" si="1"/>
        <v/>
      </c>
      <c r="N59" s="172" t="str">
        <f t="shared" si="2"/>
        <v/>
      </c>
      <c r="O59" s="172" t="str">
        <f t="shared" si="3"/>
        <v/>
      </c>
    </row>
    <row r="60" spans="11:15">
      <c r="K60" s="171" t="str">
        <f t="shared" si="0"/>
        <v/>
      </c>
      <c r="L60" s="171" t="str">
        <f>IF(E60="","",IF(COUNTIFS(Table2[[#All],[De (Lote)]],'Input_APM (Zenith)'!F60)&gt;0,INDEX(Table2[[#All],[Para (Ticker Daniel)]],MATCH('Input_APM (Zenith)'!F60,Table2[[#All],[De (Lote)]],0)),'Input_APM (Zenith)'!F60))</f>
        <v/>
      </c>
      <c r="M60" s="171" t="str">
        <f t="shared" si="1"/>
        <v/>
      </c>
      <c r="N60" s="172" t="str">
        <f t="shared" si="2"/>
        <v/>
      </c>
      <c r="O60" s="172" t="str">
        <f t="shared" si="3"/>
        <v/>
      </c>
    </row>
    <row r="61" spans="11:15">
      <c r="K61" s="171" t="str">
        <f t="shared" si="0"/>
        <v/>
      </c>
      <c r="L61" s="171" t="str">
        <f>IF(E61="","",IF(COUNTIFS(Table2[[#All],[De (Lote)]],'Input_APM (Zenith)'!F61)&gt;0,INDEX(Table2[[#All],[Para (Ticker Daniel)]],MATCH('Input_APM (Zenith)'!F61,Table2[[#All],[De (Lote)]],0)),'Input_APM (Zenith)'!F61))</f>
        <v/>
      </c>
      <c r="M61" s="171" t="str">
        <f t="shared" si="1"/>
        <v/>
      </c>
      <c r="N61" s="172" t="str">
        <f t="shared" si="2"/>
        <v/>
      </c>
      <c r="O61" s="172" t="str">
        <f t="shared" si="3"/>
        <v/>
      </c>
    </row>
    <row r="62" spans="11:15">
      <c r="K62" s="171" t="str">
        <f t="shared" si="0"/>
        <v/>
      </c>
      <c r="L62" s="171" t="str">
        <f>IF(E62="","",IF(COUNTIFS(Table2[[#All],[De (Lote)]],'Input_APM (Zenith)'!F62)&gt;0,INDEX(Table2[[#All],[Para (Ticker Daniel)]],MATCH('Input_APM (Zenith)'!F62,Table2[[#All],[De (Lote)]],0)),'Input_APM (Zenith)'!F62))</f>
        <v/>
      </c>
      <c r="M62" s="171" t="str">
        <f t="shared" si="1"/>
        <v/>
      </c>
      <c r="N62" s="172" t="str">
        <f t="shared" si="2"/>
        <v/>
      </c>
      <c r="O62" s="172" t="str">
        <f t="shared" si="3"/>
        <v/>
      </c>
    </row>
    <row r="63" spans="11:15">
      <c r="K63" s="171" t="str">
        <f t="shared" si="0"/>
        <v/>
      </c>
      <c r="L63" s="171" t="str">
        <f>IF(E63="","",IF(COUNTIFS(Table2[[#All],[De (Lote)]],'Input_APM (Zenith)'!F63)&gt;0,INDEX(Table2[[#All],[Para (Ticker Daniel)]],MATCH('Input_APM (Zenith)'!F63,Table2[[#All],[De (Lote)]],0)),'Input_APM (Zenith)'!F63))</f>
        <v/>
      </c>
      <c r="M63" s="171" t="str">
        <f t="shared" si="1"/>
        <v/>
      </c>
      <c r="N63" s="172" t="str">
        <f t="shared" si="2"/>
        <v/>
      </c>
      <c r="O63" s="172" t="str">
        <f t="shared" si="3"/>
        <v/>
      </c>
    </row>
    <row r="64" spans="11:15">
      <c r="K64" s="171" t="str">
        <f t="shared" si="0"/>
        <v/>
      </c>
      <c r="L64" s="171" t="str">
        <f>IF(E64="","",IF(COUNTIFS(Table2[[#All],[De (Lote)]],'Input_APM (Zenith)'!F64)&gt;0,INDEX(Table2[[#All],[Para (Ticker Daniel)]],MATCH('Input_APM (Zenith)'!F64,Table2[[#All],[De (Lote)]],0)),'Input_APM (Zenith)'!F64))</f>
        <v/>
      </c>
      <c r="M64" s="171" t="str">
        <f t="shared" si="1"/>
        <v/>
      </c>
      <c r="N64" s="172" t="str">
        <f t="shared" si="2"/>
        <v/>
      </c>
      <c r="O64" s="172" t="str">
        <f t="shared" si="3"/>
        <v/>
      </c>
    </row>
    <row r="65" spans="11:15">
      <c r="K65" s="171" t="str">
        <f t="shared" si="0"/>
        <v/>
      </c>
      <c r="L65" s="171" t="str">
        <f>IF(E65="","",IF(COUNTIFS(Table2[[#All],[De (Lote)]],'Input_APM (Zenith)'!F65)&gt;0,INDEX(Table2[[#All],[Para (Ticker Daniel)]],MATCH('Input_APM (Zenith)'!F65,Table2[[#All],[De (Lote)]],0)),'Input_APM (Zenith)'!F65))</f>
        <v/>
      </c>
      <c r="M65" s="171" t="str">
        <f t="shared" si="1"/>
        <v/>
      </c>
      <c r="N65" s="172" t="str">
        <f t="shared" si="2"/>
        <v/>
      </c>
      <c r="O65" s="172" t="str">
        <f t="shared" si="3"/>
        <v/>
      </c>
    </row>
    <row r="66" spans="11:15">
      <c r="K66" s="171" t="str">
        <f t="shared" si="0"/>
        <v/>
      </c>
      <c r="L66" s="171" t="str">
        <f>IF(E66="","",IF(COUNTIFS(Table2[[#All],[De (Lote)]],'Input_APM (Zenith)'!F66)&gt;0,INDEX(Table2[[#All],[Para (Ticker Daniel)]],MATCH('Input_APM (Zenith)'!F66,Table2[[#All],[De (Lote)]],0)),'Input_APM (Zenith)'!F66))</f>
        <v/>
      </c>
      <c r="M66" s="171" t="str">
        <f t="shared" si="1"/>
        <v/>
      </c>
      <c r="N66" s="172" t="str">
        <f t="shared" si="2"/>
        <v/>
      </c>
      <c r="O66" s="172" t="str">
        <f t="shared" si="3"/>
        <v/>
      </c>
    </row>
    <row r="67" spans="11:15">
      <c r="K67" s="171" t="str">
        <f t="shared" ref="K67:K130" si="4">IF(E67="","",E67)</f>
        <v/>
      </c>
      <c r="L67" s="171" t="str">
        <f>IF(E67="","",IF(COUNTIFS(Table2[[#All],[De (Lote)]],'Input_APM (Zenith)'!F67)&gt;0,INDEX(Table2[[#All],[Para (Ticker Daniel)]],MATCH('Input_APM (Zenith)'!F67,Table2[[#All],[De (Lote)]],0)),'Input_APM (Zenith)'!F67))</f>
        <v/>
      </c>
      <c r="M67" s="171" t="str">
        <f t="shared" ref="M67:M130" si="5">IF(E67="","",G67)</f>
        <v/>
      </c>
      <c r="N67" s="172" t="str">
        <f t="shared" ref="N67:N130" si="6">IF(E67="","",H67)</f>
        <v/>
      </c>
      <c r="O67" s="172" t="str">
        <f t="shared" ref="O67:O130" si="7">IF(E67="","",I67)</f>
        <v/>
      </c>
    </row>
    <row r="68" spans="11:15">
      <c r="K68" s="171" t="str">
        <f t="shared" si="4"/>
        <v/>
      </c>
      <c r="L68" s="171" t="str">
        <f>IF(E68="","",IF(COUNTIFS(Table2[[#All],[De (Lote)]],'Input_APM (Zenith)'!F68)&gt;0,INDEX(Table2[[#All],[Para (Ticker Daniel)]],MATCH('Input_APM (Zenith)'!F68,Table2[[#All],[De (Lote)]],0)),'Input_APM (Zenith)'!F68))</f>
        <v/>
      </c>
      <c r="M68" s="171" t="str">
        <f t="shared" si="5"/>
        <v/>
      </c>
      <c r="N68" s="172" t="str">
        <f t="shared" si="6"/>
        <v/>
      </c>
      <c r="O68" s="172" t="str">
        <f t="shared" si="7"/>
        <v/>
      </c>
    </row>
    <row r="69" spans="11:15">
      <c r="K69" s="171" t="str">
        <f t="shared" si="4"/>
        <v/>
      </c>
      <c r="L69" s="171" t="str">
        <f>IF(E69="","",IF(COUNTIFS(Table2[[#All],[De (Lote)]],'Input_APM (Zenith)'!F69)&gt;0,INDEX(Table2[[#All],[Para (Ticker Daniel)]],MATCH('Input_APM (Zenith)'!F69,Table2[[#All],[De (Lote)]],0)),'Input_APM (Zenith)'!F69))</f>
        <v/>
      </c>
      <c r="M69" s="171" t="str">
        <f t="shared" si="5"/>
        <v/>
      </c>
      <c r="N69" s="172" t="str">
        <f t="shared" si="6"/>
        <v/>
      </c>
      <c r="O69" s="172" t="str">
        <f t="shared" si="7"/>
        <v/>
      </c>
    </row>
    <row r="70" spans="11:15">
      <c r="K70" s="171" t="str">
        <f t="shared" si="4"/>
        <v/>
      </c>
      <c r="L70" s="171" t="str">
        <f>IF(E70="","",IF(COUNTIFS(Table2[[#All],[De (Lote)]],'Input_APM (Zenith)'!F70)&gt;0,INDEX(Table2[[#All],[Para (Ticker Daniel)]],MATCH('Input_APM (Zenith)'!F70,Table2[[#All],[De (Lote)]],0)),'Input_APM (Zenith)'!F70))</f>
        <v/>
      </c>
      <c r="M70" s="171" t="str">
        <f t="shared" si="5"/>
        <v/>
      </c>
      <c r="N70" s="172" t="str">
        <f t="shared" si="6"/>
        <v/>
      </c>
      <c r="O70" s="172" t="str">
        <f t="shared" si="7"/>
        <v/>
      </c>
    </row>
    <row r="71" spans="11:15">
      <c r="K71" s="171" t="str">
        <f t="shared" si="4"/>
        <v/>
      </c>
      <c r="L71" s="171" t="str">
        <f>IF(E71="","",IF(COUNTIFS(Table2[[#All],[De (Lote)]],'Input_APM (Zenith)'!F71)&gt;0,INDEX(Table2[[#All],[Para (Ticker Daniel)]],MATCH('Input_APM (Zenith)'!F71,Table2[[#All],[De (Lote)]],0)),'Input_APM (Zenith)'!F71))</f>
        <v/>
      </c>
      <c r="M71" s="171" t="str">
        <f t="shared" si="5"/>
        <v/>
      </c>
      <c r="N71" s="172" t="str">
        <f t="shared" si="6"/>
        <v/>
      </c>
      <c r="O71" s="172" t="str">
        <f t="shared" si="7"/>
        <v/>
      </c>
    </row>
    <row r="72" spans="11:15">
      <c r="K72" s="171" t="str">
        <f t="shared" si="4"/>
        <v/>
      </c>
      <c r="L72" s="171" t="str">
        <f>IF(E72="","",IF(COUNTIFS(Table2[[#All],[De (Lote)]],'Input_APM (Zenith)'!F72)&gt;0,INDEX(Table2[[#All],[Para (Ticker Daniel)]],MATCH('Input_APM (Zenith)'!F72,Table2[[#All],[De (Lote)]],0)),'Input_APM (Zenith)'!F72))</f>
        <v/>
      </c>
      <c r="M72" s="171" t="str">
        <f t="shared" si="5"/>
        <v/>
      </c>
      <c r="N72" s="172" t="str">
        <f t="shared" si="6"/>
        <v/>
      </c>
      <c r="O72" s="172" t="str">
        <f t="shared" si="7"/>
        <v/>
      </c>
    </row>
    <row r="73" spans="11:15">
      <c r="K73" s="171" t="str">
        <f t="shared" si="4"/>
        <v/>
      </c>
      <c r="L73" s="171" t="str">
        <f>IF(E73="","",IF(COUNTIFS(Table2[[#All],[De (Lote)]],'Input_APM (Zenith)'!F73)&gt;0,INDEX(Table2[[#All],[Para (Ticker Daniel)]],MATCH('Input_APM (Zenith)'!F73,Table2[[#All],[De (Lote)]],0)),'Input_APM (Zenith)'!F73))</f>
        <v/>
      </c>
      <c r="M73" s="171" t="str">
        <f t="shared" si="5"/>
        <v/>
      </c>
      <c r="N73" s="172" t="str">
        <f t="shared" si="6"/>
        <v/>
      </c>
      <c r="O73" s="172" t="str">
        <f t="shared" si="7"/>
        <v/>
      </c>
    </row>
    <row r="74" spans="11:15">
      <c r="K74" s="171" t="str">
        <f t="shared" si="4"/>
        <v/>
      </c>
      <c r="L74" s="171" t="str">
        <f>IF(E74="","",IF(COUNTIFS(Table2[[#All],[De (Lote)]],'Input_APM (Zenith)'!F74)&gt;0,INDEX(Table2[[#All],[Para (Ticker Daniel)]],MATCH('Input_APM (Zenith)'!F74,Table2[[#All],[De (Lote)]],0)),'Input_APM (Zenith)'!F74))</f>
        <v/>
      </c>
      <c r="M74" s="171" t="str">
        <f t="shared" si="5"/>
        <v/>
      </c>
      <c r="N74" s="172" t="str">
        <f t="shared" si="6"/>
        <v/>
      </c>
      <c r="O74" s="172" t="str">
        <f t="shared" si="7"/>
        <v/>
      </c>
    </row>
    <row r="75" spans="11:15">
      <c r="K75" s="171" t="str">
        <f t="shared" si="4"/>
        <v/>
      </c>
      <c r="L75" s="171" t="str">
        <f>IF(E75="","",IF(COUNTIFS(Table2[[#All],[De (Lote)]],'Input_APM (Zenith)'!F75)&gt;0,INDEX(Table2[[#All],[Para (Ticker Daniel)]],MATCH('Input_APM (Zenith)'!F75,Table2[[#All],[De (Lote)]],0)),'Input_APM (Zenith)'!F75))</f>
        <v/>
      </c>
      <c r="M75" s="171" t="str">
        <f t="shared" si="5"/>
        <v/>
      </c>
      <c r="N75" s="172" t="str">
        <f t="shared" si="6"/>
        <v/>
      </c>
      <c r="O75" s="172" t="str">
        <f t="shared" si="7"/>
        <v/>
      </c>
    </row>
    <row r="76" spans="11:15">
      <c r="K76" s="171" t="str">
        <f t="shared" si="4"/>
        <v/>
      </c>
      <c r="L76" s="171" t="str">
        <f>IF(E76="","",IF(COUNTIFS(Table2[[#All],[De (Lote)]],'Input_APM (Zenith)'!F76)&gt;0,INDEX(Table2[[#All],[Para (Ticker Daniel)]],MATCH('Input_APM (Zenith)'!F76,Table2[[#All],[De (Lote)]],0)),'Input_APM (Zenith)'!F76))</f>
        <v/>
      </c>
      <c r="M76" s="171" t="str">
        <f t="shared" si="5"/>
        <v/>
      </c>
      <c r="N76" s="172" t="str">
        <f t="shared" si="6"/>
        <v/>
      </c>
      <c r="O76" s="172" t="str">
        <f t="shared" si="7"/>
        <v/>
      </c>
    </row>
    <row r="77" spans="11:15">
      <c r="K77" s="171" t="str">
        <f t="shared" si="4"/>
        <v/>
      </c>
      <c r="L77" s="171" t="str">
        <f>IF(E77="","",IF(COUNTIFS(Table2[[#All],[De (Lote)]],'Input_APM (Zenith)'!F77)&gt;0,INDEX(Table2[[#All],[Para (Ticker Daniel)]],MATCH('Input_APM (Zenith)'!F77,Table2[[#All],[De (Lote)]],0)),'Input_APM (Zenith)'!F77))</f>
        <v/>
      </c>
      <c r="M77" s="171" t="str">
        <f t="shared" si="5"/>
        <v/>
      </c>
      <c r="N77" s="172" t="str">
        <f t="shared" si="6"/>
        <v/>
      </c>
      <c r="O77" s="172" t="str">
        <f t="shared" si="7"/>
        <v/>
      </c>
    </row>
    <row r="78" spans="11:15">
      <c r="K78" s="171" t="str">
        <f t="shared" si="4"/>
        <v/>
      </c>
      <c r="L78" s="171" t="str">
        <f>IF(E78="","",IF(COUNTIFS(Table2[[#All],[De (Lote)]],'Input_APM (Zenith)'!F78)&gt;0,INDEX(Table2[[#All],[Para (Ticker Daniel)]],MATCH('Input_APM (Zenith)'!F78,Table2[[#All],[De (Lote)]],0)),'Input_APM (Zenith)'!F78))</f>
        <v/>
      </c>
      <c r="M78" s="171" t="str">
        <f t="shared" si="5"/>
        <v/>
      </c>
      <c r="N78" s="172" t="str">
        <f t="shared" si="6"/>
        <v/>
      </c>
      <c r="O78" s="172" t="str">
        <f t="shared" si="7"/>
        <v/>
      </c>
    </row>
    <row r="79" spans="11:15">
      <c r="K79" s="171" t="str">
        <f t="shared" si="4"/>
        <v/>
      </c>
      <c r="L79" s="171" t="str">
        <f>IF(E79="","",IF(COUNTIFS(Table2[[#All],[De (Lote)]],'Input_APM (Zenith)'!F79)&gt;0,INDEX(Table2[[#All],[Para (Ticker Daniel)]],MATCH('Input_APM (Zenith)'!F79,Table2[[#All],[De (Lote)]],0)),'Input_APM (Zenith)'!F79))</f>
        <v/>
      </c>
      <c r="M79" s="171" t="str">
        <f t="shared" si="5"/>
        <v/>
      </c>
      <c r="N79" s="172" t="str">
        <f t="shared" si="6"/>
        <v/>
      </c>
      <c r="O79" s="172" t="str">
        <f t="shared" si="7"/>
        <v/>
      </c>
    </row>
    <row r="80" spans="11:15">
      <c r="K80" s="171" t="str">
        <f t="shared" si="4"/>
        <v/>
      </c>
      <c r="L80" s="171" t="str">
        <f>IF(E80="","",IF(COUNTIFS(Table2[[#All],[De (Lote)]],'Input_APM (Zenith)'!F80)&gt;0,INDEX(Table2[[#All],[Para (Ticker Daniel)]],MATCH('Input_APM (Zenith)'!F80,Table2[[#All],[De (Lote)]],0)),'Input_APM (Zenith)'!F80))</f>
        <v/>
      </c>
      <c r="M80" s="171" t="str">
        <f t="shared" si="5"/>
        <v/>
      </c>
      <c r="N80" s="172" t="str">
        <f t="shared" si="6"/>
        <v/>
      </c>
      <c r="O80" s="172" t="str">
        <f t="shared" si="7"/>
        <v/>
      </c>
    </row>
    <row r="81" spans="8:15">
      <c r="K81" s="171" t="str">
        <f t="shared" si="4"/>
        <v/>
      </c>
      <c r="L81" s="171" t="str">
        <f>IF(E81="","",IF(COUNTIFS(Table2[[#All],[De (Lote)]],'Input_APM (Zenith)'!F81)&gt;0,INDEX(Table2[[#All],[Para (Ticker Daniel)]],MATCH('Input_APM (Zenith)'!F81,Table2[[#All],[De (Lote)]],0)),'Input_APM (Zenith)'!F81))</f>
        <v/>
      </c>
      <c r="M81" s="171" t="str">
        <f t="shared" si="5"/>
        <v/>
      </c>
      <c r="N81" s="172" t="str">
        <f t="shared" si="6"/>
        <v/>
      </c>
      <c r="O81" s="172" t="str">
        <f t="shared" si="7"/>
        <v/>
      </c>
    </row>
    <row r="82" spans="8:15">
      <c r="K82" s="171" t="str">
        <f t="shared" si="4"/>
        <v/>
      </c>
      <c r="L82" s="171" t="str">
        <f>IF(E82="","",IF(COUNTIFS(Table2[[#All],[De (Lote)]],'Input_APM (Zenith)'!F82)&gt;0,INDEX(Table2[[#All],[Para (Ticker Daniel)]],MATCH('Input_APM (Zenith)'!F82,Table2[[#All],[De (Lote)]],0)),'Input_APM (Zenith)'!F82))</f>
        <v/>
      </c>
      <c r="M82" s="171" t="str">
        <f t="shared" si="5"/>
        <v/>
      </c>
      <c r="N82" s="172" t="str">
        <f t="shared" si="6"/>
        <v/>
      </c>
      <c r="O82" s="172" t="str">
        <f t="shared" si="7"/>
        <v/>
      </c>
    </row>
    <row r="83" spans="8:15">
      <c r="K83" s="171" t="str">
        <f t="shared" si="4"/>
        <v/>
      </c>
      <c r="L83" s="171" t="str">
        <f>IF(E83="","",IF(COUNTIFS(Table2[[#All],[De (Lote)]],'Input_APM (Zenith)'!F83)&gt;0,INDEX(Table2[[#All],[Para (Ticker Daniel)]],MATCH('Input_APM (Zenith)'!F83,Table2[[#All],[De (Lote)]],0)),'Input_APM (Zenith)'!F83))</f>
        <v/>
      </c>
      <c r="M83" s="171" t="str">
        <f t="shared" si="5"/>
        <v/>
      </c>
      <c r="N83" s="172" t="str">
        <f t="shared" si="6"/>
        <v/>
      </c>
      <c r="O83" s="172" t="str">
        <f t="shared" si="7"/>
        <v/>
      </c>
    </row>
    <row r="84" spans="8:15">
      <c r="K84" s="171" t="str">
        <f t="shared" si="4"/>
        <v/>
      </c>
      <c r="L84" s="171" t="str">
        <f>IF(E84="","",IF(COUNTIFS(Table2[[#All],[De (Lote)]],'Input_APM (Zenith)'!F84)&gt;0,INDEX(Table2[[#All],[Para (Ticker Daniel)]],MATCH('Input_APM (Zenith)'!F84,Table2[[#All],[De (Lote)]],0)),'Input_APM (Zenith)'!F84))</f>
        <v/>
      </c>
      <c r="M84" s="171" t="str">
        <f t="shared" si="5"/>
        <v/>
      </c>
      <c r="N84" s="172" t="str">
        <f t="shared" si="6"/>
        <v/>
      </c>
      <c r="O84" s="172" t="str">
        <f t="shared" si="7"/>
        <v/>
      </c>
    </row>
    <row r="85" spans="8:15">
      <c r="K85" s="171" t="str">
        <f t="shared" si="4"/>
        <v/>
      </c>
      <c r="L85" s="171" t="str">
        <f>IF(E85="","",IF(COUNTIFS(Table2[[#All],[De (Lote)]],'Input_APM (Zenith)'!F85)&gt;0,INDEX(Table2[[#All],[Para (Ticker Daniel)]],MATCH('Input_APM (Zenith)'!F85,Table2[[#All],[De (Lote)]],0)),'Input_APM (Zenith)'!F85))</f>
        <v/>
      </c>
      <c r="M85" s="171" t="str">
        <f t="shared" si="5"/>
        <v/>
      </c>
      <c r="N85" s="172" t="str">
        <f t="shared" si="6"/>
        <v/>
      </c>
      <c r="O85" s="172" t="str">
        <f t="shared" si="7"/>
        <v/>
      </c>
    </row>
    <row r="86" spans="8:15">
      <c r="K86" s="171" t="str">
        <f t="shared" si="4"/>
        <v/>
      </c>
      <c r="L86" s="171" t="str">
        <f>IF(E86="","",IF(COUNTIFS(Table2[[#All],[De (Lote)]],'Input_APM (Zenith)'!F86)&gt;0,INDEX(Table2[[#All],[Para (Ticker Daniel)]],MATCH('Input_APM (Zenith)'!F86,Table2[[#All],[De (Lote)]],0)),'Input_APM (Zenith)'!F86))</f>
        <v/>
      </c>
      <c r="M86" s="171" t="str">
        <f t="shared" si="5"/>
        <v/>
      </c>
      <c r="N86" s="172" t="str">
        <f t="shared" si="6"/>
        <v/>
      </c>
      <c r="O86" s="172" t="str">
        <f t="shared" si="7"/>
        <v/>
      </c>
    </row>
    <row r="87" spans="8:15">
      <c r="K87" s="171" t="str">
        <f t="shared" si="4"/>
        <v/>
      </c>
      <c r="L87" s="171" t="str">
        <f>IF(E87="","",IF(COUNTIFS(Table2[[#All],[De (Lote)]],'Input_APM (Zenith)'!F87)&gt;0,INDEX(Table2[[#All],[Para (Ticker Daniel)]],MATCH('Input_APM (Zenith)'!F87,Table2[[#All],[De (Lote)]],0)),'Input_APM (Zenith)'!F87))</f>
        <v/>
      </c>
      <c r="M87" s="171" t="str">
        <f t="shared" si="5"/>
        <v/>
      </c>
      <c r="N87" s="172" t="str">
        <f t="shared" si="6"/>
        <v/>
      </c>
      <c r="O87" s="172" t="str">
        <f t="shared" si="7"/>
        <v/>
      </c>
    </row>
    <row r="88" spans="8:15">
      <c r="K88" s="171" t="str">
        <f t="shared" si="4"/>
        <v/>
      </c>
      <c r="L88" s="171" t="str">
        <f>IF(E88="","",IF(COUNTIFS(Table2[[#All],[De (Lote)]],'Input_APM (Zenith)'!F88)&gt;0,INDEX(Table2[[#All],[Para (Ticker Daniel)]],MATCH('Input_APM (Zenith)'!F88,Table2[[#All],[De (Lote)]],0)),'Input_APM (Zenith)'!F88))</f>
        <v/>
      </c>
      <c r="M88" s="171" t="str">
        <f t="shared" si="5"/>
        <v/>
      </c>
      <c r="N88" s="172" t="str">
        <f t="shared" si="6"/>
        <v/>
      </c>
      <c r="O88" s="172" t="str">
        <f t="shared" si="7"/>
        <v/>
      </c>
    </row>
    <row r="89" spans="8:15">
      <c r="K89" s="171" t="str">
        <f t="shared" si="4"/>
        <v/>
      </c>
      <c r="L89" s="171" t="str">
        <f>IF(E89="","",IF(COUNTIFS(Table2[[#All],[De (Lote)]],'Input_APM (Zenith)'!F89)&gt;0,INDEX(Table2[[#All],[Para (Ticker Daniel)]],MATCH('Input_APM (Zenith)'!F89,Table2[[#All],[De (Lote)]],0)),'Input_APM (Zenith)'!F89))</f>
        <v/>
      </c>
      <c r="M89" s="171" t="str">
        <f t="shared" si="5"/>
        <v/>
      </c>
      <c r="N89" s="172" t="str">
        <f t="shared" si="6"/>
        <v/>
      </c>
      <c r="O89" s="172" t="str">
        <f t="shared" si="7"/>
        <v/>
      </c>
    </row>
    <row r="90" spans="8:15">
      <c r="K90" s="171" t="str">
        <f t="shared" si="4"/>
        <v/>
      </c>
      <c r="L90" s="171" t="str">
        <f>IF(E90="","",IF(COUNTIFS(Table2[[#All],[De (Lote)]],'Input_APM (Zenith)'!F90)&gt;0,INDEX(Table2[[#All],[Para (Ticker Daniel)]],MATCH('Input_APM (Zenith)'!F90,Table2[[#All],[De (Lote)]],0)),'Input_APM (Zenith)'!F90))</f>
        <v/>
      </c>
      <c r="M90" s="171" t="str">
        <f t="shared" si="5"/>
        <v/>
      </c>
      <c r="N90" s="172" t="str">
        <f t="shared" si="6"/>
        <v/>
      </c>
      <c r="O90" s="172" t="str">
        <f t="shared" si="7"/>
        <v/>
      </c>
    </row>
    <row r="91" spans="8:15">
      <c r="K91" s="171" t="str">
        <f t="shared" si="4"/>
        <v/>
      </c>
      <c r="L91" s="171" t="str">
        <f>IF(E91="","",IF(COUNTIFS(Table2[[#All],[De (Lote)]],'Input_APM (Zenith)'!F91)&gt;0,INDEX(Table2[[#All],[Para (Ticker Daniel)]],MATCH('Input_APM (Zenith)'!F91,Table2[[#All],[De (Lote)]],0)),'Input_APM (Zenith)'!F91))</f>
        <v/>
      </c>
      <c r="M91" s="171" t="str">
        <f t="shared" si="5"/>
        <v/>
      </c>
      <c r="N91" s="172" t="str">
        <f t="shared" si="6"/>
        <v/>
      </c>
      <c r="O91" s="172" t="str">
        <f t="shared" si="7"/>
        <v/>
      </c>
    </row>
    <row r="92" spans="8:15">
      <c r="K92" s="171" t="str">
        <f t="shared" si="4"/>
        <v/>
      </c>
      <c r="L92" s="171" t="str">
        <f>IF(E92="","",IF(COUNTIFS(Table2[[#All],[De (Lote)]],'Input_APM (Zenith)'!F92)&gt;0,INDEX(Table2[[#All],[Para (Ticker Daniel)]],MATCH('Input_APM (Zenith)'!F92,Table2[[#All],[De (Lote)]],0)),'Input_APM (Zenith)'!F92))</f>
        <v/>
      </c>
      <c r="M92" s="171" t="str">
        <f t="shared" si="5"/>
        <v/>
      </c>
      <c r="N92" s="172" t="str">
        <f t="shared" si="6"/>
        <v/>
      </c>
      <c r="O92" s="172" t="str">
        <f t="shared" si="7"/>
        <v/>
      </c>
    </row>
    <row r="93" spans="8:15">
      <c r="H93" s="180"/>
      <c r="K93" s="171" t="str">
        <f t="shared" si="4"/>
        <v/>
      </c>
      <c r="L93" s="171" t="str">
        <f>IF(E93="","",IF(COUNTIFS(Table2[[#All],[De (Lote)]],'Input_APM (Zenith)'!F93)&gt;0,INDEX(Table2[[#All],[Para (Ticker Daniel)]],MATCH('Input_APM (Zenith)'!F93,Table2[[#All],[De (Lote)]],0)),'Input_APM (Zenith)'!F93))</f>
        <v/>
      </c>
      <c r="M93" s="171" t="str">
        <f t="shared" si="5"/>
        <v/>
      </c>
      <c r="N93" s="172" t="str">
        <f t="shared" si="6"/>
        <v/>
      </c>
      <c r="O93" s="172" t="str">
        <f t="shared" si="7"/>
        <v/>
      </c>
    </row>
    <row r="94" spans="8:15">
      <c r="H94" s="180"/>
      <c r="K94" s="171" t="str">
        <f t="shared" si="4"/>
        <v/>
      </c>
      <c r="L94" s="171" t="str">
        <f>IF(E94="","",IF(COUNTIFS(Table2[[#All],[De (Lote)]],'Input_APM (Zenith)'!F94)&gt;0,INDEX(Table2[[#All],[Para (Ticker Daniel)]],MATCH('Input_APM (Zenith)'!F94,Table2[[#All],[De (Lote)]],0)),'Input_APM (Zenith)'!F94))</f>
        <v/>
      </c>
      <c r="M94" s="171" t="str">
        <f t="shared" si="5"/>
        <v/>
      </c>
      <c r="N94" s="172" t="str">
        <f t="shared" si="6"/>
        <v/>
      </c>
      <c r="O94" s="172" t="str">
        <f t="shared" si="7"/>
        <v/>
      </c>
    </row>
    <row r="95" spans="8:15">
      <c r="K95" s="171" t="str">
        <f t="shared" si="4"/>
        <v/>
      </c>
      <c r="L95" s="171" t="str">
        <f>IF(E95="","",IF(COUNTIFS(Table2[[#All],[De (Lote)]],'Input_APM (Zenith)'!F95)&gt;0,INDEX(Table2[[#All],[Para (Ticker Daniel)]],MATCH('Input_APM (Zenith)'!F95,Table2[[#All],[De (Lote)]],0)),'Input_APM (Zenith)'!F95))</f>
        <v/>
      </c>
      <c r="M95" s="171" t="str">
        <f t="shared" si="5"/>
        <v/>
      </c>
      <c r="N95" s="172" t="str">
        <f t="shared" si="6"/>
        <v/>
      </c>
      <c r="O95" s="172" t="str">
        <f t="shared" si="7"/>
        <v/>
      </c>
    </row>
    <row r="96" spans="8:15">
      <c r="K96" s="171" t="str">
        <f t="shared" si="4"/>
        <v/>
      </c>
      <c r="L96" s="171" t="str">
        <f>IF(E96="","",IF(COUNTIFS(Table2[[#All],[De (Lote)]],'Input_APM (Zenith)'!F96)&gt;0,INDEX(Table2[[#All],[Para (Ticker Daniel)]],MATCH('Input_APM (Zenith)'!F96,Table2[[#All],[De (Lote)]],0)),'Input_APM (Zenith)'!F96))</f>
        <v/>
      </c>
      <c r="M96" s="171" t="str">
        <f t="shared" si="5"/>
        <v/>
      </c>
      <c r="N96" s="172" t="str">
        <f t="shared" si="6"/>
        <v/>
      </c>
      <c r="O96" s="172" t="str">
        <f t="shared" si="7"/>
        <v/>
      </c>
    </row>
    <row r="97" spans="11:15">
      <c r="K97" s="171" t="str">
        <f t="shared" si="4"/>
        <v/>
      </c>
      <c r="L97" s="171" t="str">
        <f>IF(E97="","",IF(COUNTIFS(Table2[[#All],[De (Lote)]],'Input_APM (Zenith)'!F97)&gt;0,INDEX(Table2[[#All],[Para (Ticker Daniel)]],MATCH('Input_APM (Zenith)'!F97,Table2[[#All],[De (Lote)]],0)),'Input_APM (Zenith)'!F97))</f>
        <v/>
      </c>
      <c r="M97" s="171" t="str">
        <f t="shared" si="5"/>
        <v/>
      </c>
      <c r="N97" s="172" t="str">
        <f t="shared" si="6"/>
        <v/>
      </c>
      <c r="O97" s="172" t="str">
        <f t="shared" si="7"/>
        <v/>
      </c>
    </row>
    <row r="98" spans="11:15">
      <c r="K98" s="171" t="str">
        <f t="shared" si="4"/>
        <v/>
      </c>
      <c r="L98" s="171" t="str">
        <f>IF(E98="","",IF(COUNTIFS(Table2[[#All],[De (Lote)]],'Input_APM (Zenith)'!F98)&gt;0,INDEX(Table2[[#All],[Para (Ticker Daniel)]],MATCH('Input_APM (Zenith)'!F98,Table2[[#All],[De (Lote)]],0)),'Input_APM (Zenith)'!F98))</f>
        <v/>
      </c>
      <c r="M98" s="171" t="str">
        <f t="shared" si="5"/>
        <v/>
      </c>
      <c r="N98" s="172" t="str">
        <f t="shared" si="6"/>
        <v/>
      </c>
      <c r="O98" s="172" t="str">
        <f t="shared" si="7"/>
        <v/>
      </c>
    </row>
    <row r="99" spans="11:15">
      <c r="K99" s="171" t="str">
        <f t="shared" si="4"/>
        <v/>
      </c>
      <c r="L99" s="171" t="str">
        <f>IF(E99="","",IF(COUNTIFS(Table2[[#All],[De (Lote)]],'Input_APM (Zenith)'!F99)&gt;0,INDEX(Table2[[#All],[Para (Ticker Daniel)]],MATCH('Input_APM (Zenith)'!F99,Table2[[#All],[De (Lote)]],0)),'Input_APM (Zenith)'!F99))</f>
        <v/>
      </c>
      <c r="M99" s="171" t="str">
        <f t="shared" si="5"/>
        <v/>
      </c>
      <c r="N99" s="172" t="str">
        <f t="shared" si="6"/>
        <v/>
      </c>
      <c r="O99" s="172" t="str">
        <f t="shared" si="7"/>
        <v/>
      </c>
    </row>
    <row r="100" spans="11:15">
      <c r="K100" s="171" t="str">
        <f t="shared" si="4"/>
        <v/>
      </c>
      <c r="L100" s="171" t="str">
        <f>IF(E100="","",IF(COUNTIFS(Table2[[#All],[De (Lote)]],'Input_APM (Zenith)'!F100)&gt;0,INDEX(Table2[[#All],[Para (Ticker Daniel)]],MATCH('Input_APM (Zenith)'!F100,Table2[[#All],[De (Lote)]],0)),'Input_APM (Zenith)'!F100))</f>
        <v/>
      </c>
      <c r="M100" s="171" t="str">
        <f t="shared" si="5"/>
        <v/>
      </c>
      <c r="N100" s="172" t="str">
        <f t="shared" si="6"/>
        <v/>
      </c>
      <c r="O100" s="172" t="str">
        <f t="shared" si="7"/>
        <v/>
      </c>
    </row>
    <row r="101" spans="11:15">
      <c r="K101" s="171" t="str">
        <f t="shared" si="4"/>
        <v/>
      </c>
      <c r="L101" s="171" t="str">
        <f>IF(E101="","",IF(COUNTIFS(Table2[[#All],[De (Lote)]],'Input_APM (Zenith)'!F101)&gt;0,INDEX(Table2[[#All],[Para (Ticker Daniel)]],MATCH('Input_APM (Zenith)'!F101,Table2[[#All],[De (Lote)]],0)),'Input_APM (Zenith)'!F101))</f>
        <v/>
      </c>
      <c r="M101" s="171" t="str">
        <f t="shared" si="5"/>
        <v/>
      </c>
      <c r="N101" s="172" t="str">
        <f t="shared" si="6"/>
        <v/>
      </c>
      <c r="O101" s="172" t="str">
        <f t="shared" si="7"/>
        <v/>
      </c>
    </row>
    <row r="102" spans="11:15">
      <c r="K102" s="171" t="str">
        <f t="shared" si="4"/>
        <v/>
      </c>
      <c r="L102" s="171" t="str">
        <f>IF(E102="","",IF(COUNTIFS(Table2[[#All],[De (Lote)]],'Input_APM (Zenith)'!F102)&gt;0,INDEX(Table2[[#All],[Para (Ticker Daniel)]],MATCH('Input_APM (Zenith)'!F102,Table2[[#All],[De (Lote)]],0)),'Input_APM (Zenith)'!F102))</f>
        <v/>
      </c>
      <c r="M102" s="171" t="str">
        <f t="shared" si="5"/>
        <v/>
      </c>
      <c r="N102" s="172" t="str">
        <f t="shared" si="6"/>
        <v/>
      </c>
      <c r="O102" s="172" t="str">
        <f t="shared" si="7"/>
        <v/>
      </c>
    </row>
    <row r="103" spans="11:15">
      <c r="K103" s="171" t="str">
        <f t="shared" si="4"/>
        <v/>
      </c>
      <c r="L103" s="171" t="str">
        <f>IF(E103="","",IF(COUNTIFS(Table2[[#All],[De (Lote)]],'Input_APM (Zenith)'!F103)&gt;0,INDEX(Table2[[#All],[Para (Ticker Daniel)]],MATCH('Input_APM (Zenith)'!F103,Table2[[#All],[De (Lote)]],0)),'Input_APM (Zenith)'!F103))</f>
        <v/>
      </c>
      <c r="M103" s="171" t="str">
        <f t="shared" si="5"/>
        <v/>
      </c>
      <c r="N103" s="172" t="str">
        <f t="shared" si="6"/>
        <v/>
      </c>
      <c r="O103" s="172" t="str">
        <f t="shared" si="7"/>
        <v/>
      </c>
    </row>
    <row r="104" spans="11:15">
      <c r="K104" s="171" t="str">
        <f t="shared" si="4"/>
        <v/>
      </c>
      <c r="L104" s="171" t="str">
        <f>IF(E104="","",IF(COUNTIFS(Table2[[#All],[De (Lote)]],'Input_APM (Zenith)'!F104)&gt;0,INDEX(Table2[[#All],[Para (Ticker Daniel)]],MATCH('Input_APM (Zenith)'!F104,Table2[[#All],[De (Lote)]],0)),'Input_APM (Zenith)'!F104))</f>
        <v/>
      </c>
      <c r="M104" s="171" t="str">
        <f t="shared" si="5"/>
        <v/>
      </c>
      <c r="N104" s="172" t="str">
        <f t="shared" si="6"/>
        <v/>
      </c>
      <c r="O104" s="172" t="str">
        <f t="shared" si="7"/>
        <v/>
      </c>
    </row>
    <row r="105" spans="11:15">
      <c r="K105" s="171" t="str">
        <f t="shared" si="4"/>
        <v/>
      </c>
      <c r="L105" s="171" t="str">
        <f>IF(E105="","",IF(COUNTIFS(Table2[[#All],[De (Lote)]],'Input_APM (Zenith)'!F105)&gt;0,INDEX(Table2[[#All],[Para (Ticker Daniel)]],MATCH('Input_APM (Zenith)'!F105,Table2[[#All],[De (Lote)]],0)),'Input_APM (Zenith)'!F105))</f>
        <v/>
      </c>
      <c r="M105" s="171" t="str">
        <f t="shared" si="5"/>
        <v/>
      </c>
      <c r="N105" s="172" t="str">
        <f t="shared" si="6"/>
        <v/>
      </c>
      <c r="O105" s="172" t="str">
        <f t="shared" si="7"/>
        <v/>
      </c>
    </row>
    <row r="106" spans="11:15">
      <c r="K106" s="171" t="str">
        <f t="shared" si="4"/>
        <v/>
      </c>
      <c r="L106" s="171" t="str">
        <f>IF(E106="","",IF(COUNTIFS(Table2[[#All],[De (Lote)]],'Input_APM (Zenith)'!F106)&gt;0,INDEX(Table2[[#All],[Para (Ticker Daniel)]],MATCH('Input_APM (Zenith)'!F106,Table2[[#All],[De (Lote)]],0)),'Input_APM (Zenith)'!F106))</f>
        <v/>
      </c>
      <c r="M106" s="171" t="str">
        <f t="shared" si="5"/>
        <v/>
      </c>
      <c r="N106" s="172" t="str">
        <f t="shared" si="6"/>
        <v/>
      </c>
      <c r="O106" s="172" t="str">
        <f t="shared" si="7"/>
        <v/>
      </c>
    </row>
    <row r="107" spans="11:15">
      <c r="K107" s="171" t="str">
        <f t="shared" si="4"/>
        <v/>
      </c>
      <c r="L107" s="171" t="str">
        <f>IF(E107="","",IF(COUNTIFS(Table2[[#All],[De (Lote)]],'Input_APM (Zenith)'!F107)&gt;0,INDEX(Table2[[#All],[Para (Ticker Daniel)]],MATCH('Input_APM (Zenith)'!F107,Table2[[#All],[De (Lote)]],0)),'Input_APM (Zenith)'!F107))</f>
        <v/>
      </c>
      <c r="M107" s="171" t="str">
        <f t="shared" si="5"/>
        <v/>
      </c>
      <c r="N107" s="172" t="str">
        <f t="shared" si="6"/>
        <v/>
      </c>
      <c r="O107" s="172" t="str">
        <f t="shared" si="7"/>
        <v/>
      </c>
    </row>
    <row r="108" spans="11:15">
      <c r="K108" s="171" t="str">
        <f t="shared" si="4"/>
        <v/>
      </c>
      <c r="L108" s="171" t="str">
        <f>IF(E108="","",IF(COUNTIFS(Table2[[#All],[De (Lote)]],'Input_APM (Zenith)'!F108)&gt;0,INDEX(Table2[[#All],[Para (Ticker Daniel)]],MATCH('Input_APM (Zenith)'!F108,Table2[[#All],[De (Lote)]],0)),'Input_APM (Zenith)'!F108))</f>
        <v/>
      </c>
      <c r="M108" s="171" t="str">
        <f t="shared" si="5"/>
        <v/>
      </c>
      <c r="N108" s="172" t="str">
        <f t="shared" si="6"/>
        <v/>
      </c>
      <c r="O108" s="172" t="str">
        <f t="shared" si="7"/>
        <v/>
      </c>
    </row>
    <row r="109" spans="11:15">
      <c r="K109" s="171" t="str">
        <f t="shared" si="4"/>
        <v/>
      </c>
      <c r="L109" s="171" t="str">
        <f>IF(E109="","",IF(COUNTIFS(Table2[[#All],[De (Lote)]],'Input_APM (Zenith)'!F109)&gt;0,INDEX(Table2[[#All],[Para (Ticker Daniel)]],MATCH('Input_APM (Zenith)'!F109,Table2[[#All],[De (Lote)]],0)),'Input_APM (Zenith)'!F109))</f>
        <v/>
      </c>
      <c r="M109" s="171" t="str">
        <f t="shared" si="5"/>
        <v/>
      </c>
      <c r="N109" s="172" t="str">
        <f t="shared" si="6"/>
        <v/>
      </c>
      <c r="O109" s="172" t="str">
        <f t="shared" si="7"/>
        <v/>
      </c>
    </row>
    <row r="110" spans="11:15">
      <c r="K110" s="171" t="str">
        <f t="shared" si="4"/>
        <v/>
      </c>
      <c r="L110" s="171" t="str">
        <f>IF(E110="","",IF(COUNTIFS(Table2[[#All],[De (Lote)]],'Input_APM (Zenith)'!F110)&gt;0,INDEX(Table2[[#All],[Para (Ticker Daniel)]],MATCH('Input_APM (Zenith)'!F110,Table2[[#All],[De (Lote)]],0)),'Input_APM (Zenith)'!F110))</f>
        <v/>
      </c>
      <c r="M110" s="171" t="str">
        <f t="shared" si="5"/>
        <v/>
      </c>
      <c r="N110" s="172" t="str">
        <f t="shared" si="6"/>
        <v/>
      </c>
      <c r="O110" s="172" t="str">
        <f t="shared" si="7"/>
        <v/>
      </c>
    </row>
    <row r="111" spans="11:15">
      <c r="K111" s="171" t="str">
        <f t="shared" si="4"/>
        <v/>
      </c>
      <c r="L111" s="171" t="str">
        <f>IF(E111="","",IF(COUNTIFS(Table2[[#All],[De (Lote)]],'Input_APM (Zenith)'!F111)&gt;0,INDEX(Table2[[#All],[Para (Ticker Daniel)]],MATCH('Input_APM (Zenith)'!F111,Table2[[#All],[De (Lote)]],0)),'Input_APM (Zenith)'!F111))</f>
        <v/>
      </c>
      <c r="M111" s="171" t="str">
        <f t="shared" si="5"/>
        <v/>
      </c>
      <c r="N111" s="172" t="str">
        <f t="shared" si="6"/>
        <v/>
      </c>
      <c r="O111" s="172" t="str">
        <f t="shared" si="7"/>
        <v/>
      </c>
    </row>
    <row r="112" spans="11:15">
      <c r="K112" s="171" t="str">
        <f t="shared" si="4"/>
        <v/>
      </c>
      <c r="L112" s="171" t="str">
        <f>IF(E112="","",IF(COUNTIFS(Table2[[#All],[De (Lote)]],'Input_APM (Zenith)'!F112)&gt;0,INDEX(Table2[[#All],[Para (Ticker Daniel)]],MATCH('Input_APM (Zenith)'!F112,Table2[[#All],[De (Lote)]],0)),'Input_APM (Zenith)'!F112))</f>
        <v/>
      </c>
      <c r="M112" s="171" t="str">
        <f t="shared" si="5"/>
        <v/>
      </c>
      <c r="N112" s="172" t="str">
        <f t="shared" si="6"/>
        <v/>
      </c>
      <c r="O112" s="172" t="str">
        <f t="shared" si="7"/>
        <v/>
      </c>
    </row>
    <row r="113" spans="11:15">
      <c r="K113" s="171" t="str">
        <f t="shared" si="4"/>
        <v/>
      </c>
      <c r="L113" s="171" t="str">
        <f>IF(E113="","",IF(COUNTIFS(Table2[[#All],[De (Lote)]],'Input_APM (Zenith)'!F113)&gt;0,INDEX(Table2[[#All],[Para (Ticker Daniel)]],MATCH('Input_APM (Zenith)'!F113,Table2[[#All],[De (Lote)]],0)),'Input_APM (Zenith)'!F113))</f>
        <v/>
      </c>
      <c r="M113" s="171" t="str">
        <f t="shared" si="5"/>
        <v/>
      </c>
      <c r="N113" s="172" t="str">
        <f t="shared" si="6"/>
        <v/>
      </c>
      <c r="O113" s="172" t="str">
        <f t="shared" si="7"/>
        <v/>
      </c>
    </row>
    <row r="114" spans="11:15">
      <c r="K114" s="171" t="str">
        <f t="shared" si="4"/>
        <v/>
      </c>
      <c r="L114" s="171" t="str">
        <f>IF(E114="","",IF(COUNTIFS(Table2[[#All],[De (Lote)]],'Input_APM (Zenith)'!F114)&gt;0,INDEX(Table2[[#All],[Para (Ticker Daniel)]],MATCH('Input_APM (Zenith)'!F114,Table2[[#All],[De (Lote)]],0)),'Input_APM (Zenith)'!F114))</f>
        <v/>
      </c>
      <c r="M114" s="171" t="str">
        <f t="shared" si="5"/>
        <v/>
      </c>
      <c r="N114" s="172" t="str">
        <f t="shared" si="6"/>
        <v/>
      </c>
      <c r="O114" s="172" t="str">
        <f t="shared" si="7"/>
        <v/>
      </c>
    </row>
    <row r="115" spans="11:15">
      <c r="K115" s="171" t="str">
        <f t="shared" si="4"/>
        <v/>
      </c>
      <c r="L115" s="171" t="str">
        <f>IF(E115="","",IF(COUNTIFS(Table2[[#All],[De (Lote)]],'Input_APM (Zenith)'!F115)&gt;0,INDEX(Table2[[#All],[Para (Ticker Daniel)]],MATCH('Input_APM (Zenith)'!F115,Table2[[#All],[De (Lote)]],0)),'Input_APM (Zenith)'!F115))</f>
        <v/>
      </c>
      <c r="M115" s="171" t="str">
        <f t="shared" si="5"/>
        <v/>
      </c>
      <c r="N115" s="172" t="str">
        <f t="shared" si="6"/>
        <v/>
      </c>
      <c r="O115" s="172" t="str">
        <f t="shared" si="7"/>
        <v/>
      </c>
    </row>
    <row r="116" spans="11:15">
      <c r="K116" s="171" t="str">
        <f t="shared" si="4"/>
        <v/>
      </c>
      <c r="L116" s="171" t="str">
        <f>IF(E116="","",IF(COUNTIFS(Table2[[#All],[De (Lote)]],'Input_APM (Zenith)'!F116)&gt;0,INDEX(Table2[[#All],[Para (Ticker Daniel)]],MATCH('Input_APM (Zenith)'!F116,Table2[[#All],[De (Lote)]],0)),'Input_APM (Zenith)'!F116))</f>
        <v/>
      </c>
      <c r="M116" s="171" t="str">
        <f t="shared" si="5"/>
        <v/>
      </c>
      <c r="N116" s="172" t="str">
        <f t="shared" si="6"/>
        <v/>
      </c>
      <c r="O116" s="172" t="str">
        <f t="shared" si="7"/>
        <v/>
      </c>
    </row>
    <row r="117" spans="11:15">
      <c r="K117" s="171" t="str">
        <f t="shared" si="4"/>
        <v/>
      </c>
      <c r="L117" s="171" t="str">
        <f>IF(E117="","",IF(COUNTIFS(Table2[[#All],[De (Lote)]],'Input_APM (Zenith)'!F117)&gt;0,INDEX(Table2[[#All],[Para (Ticker Daniel)]],MATCH('Input_APM (Zenith)'!F117,Table2[[#All],[De (Lote)]],0)),'Input_APM (Zenith)'!F117))</f>
        <v/>
      </c>
      <c r="M117" s="171" t="str">
        <f t="shared" si="5"/>
        <v/>
      </c>
      <c r="N117" s="172" t="str">
        <f t="shared" si="6"/>
        <v/>
      </c>
      <c r="O117" s="172" t="str">
        <f t="shared" si="7"/>
        <v/>
      </c>
    </row>
    <row r="118" spans="11:15">
      <c r="K118" s="171" t="str">
        <f t="shared" si="4"/>
        <v/>
      </c>
      <c r="L118" s="171" t="str">
        <f>IF(E118="","",IF(COUNTIFS(Table2[[#All],[De (Lote)]],'Input_APM (Zenith)'!F118)&gt;0,INDEX(Table2[[#All],[Para (Ticker Daniel)]],MATCH('Input_APM (Zenith)'!F118,Table2[[#All],[De (Lote)]],0)),'Input_APM (Zenith)'!F118))</f>
        <v/>
      </c>
      <c r="M118" s="171" t="str">
        <f t="shared" si="5"/>
        <v/>
      </c>
      <c r="N118" s="172" t="str">
        <f t="shared" si="6"/>
        <v/>
      </c>
      <c r="O118" s="172" t="str">
        <f t="shared" si="7"/>
        <v/>
      </c>
    </row>
    <row r="119" spans="11:15">
      <c r="K119" s="171" t="str">
        <f t="shared" si="4"/>
        <v/>
      </c>
      <c r="L119" s="171" t="str">
        <f>IF(E119="","",IF(COUNTIFS(Table2[[#All],[De (Lote)]],'Input_APM (Zenith)'!F119)&gt;0,INDEX(Table2[[#All],[Para (Ticker Daniel)]],MATCH('Input_APM (Zenith)'!F119,Table2[[#All],[De (Lote)]],0)),'Input_APM (Zenith)'!F119))</f>
        <v/>
      </c>
      <c r="M119" s="171" t="str">
        <f t="shared" si="5"/>
        <v/>
      </c>
      <c r="N119" s="172" t="str">
        <f t="shared" si="6"/>
        <v/>
      </c>
      <c r="O119" s="172" t="str">
        <f t="shared" si="7"/>
        <v/>
      </c>
    </row>
    <row r="120" spans="11:15">
      <c r="K120" s="171" t="str">
        <f t="shared" si="4"/>
        <v/>
      </c>
      <c r="L120" s="171" t="str">
        <f>IF(E120="","",IF(COUNTIFS(Table2[[#All],[De (Lote)]],'Input_APM (Zenith)'!F120)&gt;0,INDEX(Table2[[#All],[Para (Ticker Daniel)]],MATCH('Input_APM (Zenith)'!F120,Table2[[#All],[De (Lote)]],0)),'Input_APM (Zenith)'!F120))</f>
        <v/>
      </c>
      <c r="M120" s="171" t="str">
        <f t="shared" si="5"/>
        <v/>
      </c>
      <c r="N120" s="172" t="str">
        <f t="shared" si="6"/>
        <v/>
      </c>
      <c r="O120" s="172" t="str">
        <f t="shared" si="7"/>
        <v/>
      </c>
    </row>
    <row r="121" spans="11:15">
      <c r="K121" s="171" t="str">
        <f t="shared" si="4"/>
        <v/>
      </c>
      <c r="L121" s="171" t="str">
        <f>IF(E121="","",IF(COUNTIFS(Table2[[#All],[De (Lote)]],'Input_APM (Zenith)'!F121)&gt;0,INDEX(Table2[[#All],[Para (Ticker Daniel)]],MATCH('Input_APM (Zenith)'!F121,Table2[[#All],[De (Lote)]],0)),'Input_APM (Zenith)'!F121))</f>
        <v/>
      </c>
      <c r="M121" s="171" t="str">
        <f t="shared" si="5"/>
        <v/>
      </c>
      <c r="N121" s="172" t="str">
        <f t="shared" si="6"/>
        <v/>
      </c>
      <c r="O121" s="172" t="str">
        <f t="shared" si="7"/>
        <v/>
      </c>
    </row>
    <row r="122" spans="11:15">
      <c r="K122" s="171" t="str">
        <f t="shared" si="4"/>
        <v/>
      </c>
      <c r="L122" s="171" t="str">
        <f>IF(E122="","",IF(COUNTIFS(Table2[[#All],[De (Lote)]],'Input_APM (Zenith)'!F122)&gt;0,INDEX(Table2[[#All],[Para (Ticker Daniel)]],MATCH('Input_APM (Zenith)'!F122,Table2[[#All],[De (Lote)]],0)),'Input_APM (Zenith)'!F122))</f>
        <v/>
      </c>
      <c r="M122" s="171" t="str">
        <f t="shared" si="5"/>
        <v/>
      </c>
      <c r="N122" s="172" t="str">
        <f t="shared" si="6"/>
        <v/>
      </c>
      <c r="O122" s="172" t="str">
        <f t="shared" si="7"/>
        <v/>
      </c>
    </row>
    <row r="123" spans="11:15">
      <c r="K123" s="171" t="str">
        <f t="shared" si="4"/>
        <v/>
      </c>
      <c r="L123" s="171" t="str">
        <f>IF(E123="","",IF(COUNTIFS(Table2[[#All],[De (Lote)]],'Input_APM (Zenith)'!F123)&gt;0,INDEX(Table2[[#All],[Para (Ticker Daniel)]],MATCH('Input_APM (Zenith)'!F123,Table2[[#All],[De (Lote)]],0)),'Input_APM (Zenith)'!F123))</f>
        <v/>
      </c>
      <c r="M123" s="171" t="str">
        <f t="shared" si="5"/>
        <v/>
      </c>
      <c r="N123" s="172" t="str">
        <f t="shared" si="6"/>
        <v/>
      </c>
      <c r="O123" s="172" t="str">
        <f t="shared" si="7"/>
        <v/>
      </c>
    </row>
    <row r="124" spans="11:15">
      <c r="K124" s="171" t="str">
        <f t="shared" si="4"/>
        <v/>
      </c>
      <c r="L124" s="171" t="str">
        <f>IF(E124="","",IF(COUNTIFS(Table2[[#All],[De (Lote)]],'Input_APM (Zenith)'!F124)&gt;0,INDEX(Table2[[#All],[Para (Ticker Daniel)]],MATCH('Input_APM (Zenith)'!F124,Table2[[#All],[De (Lote)]],0)),'Input_APM (Zenith)'!F124))</f>
        <v/>
      </c>
      <c r="M124" s="171" t="str">
        <f t="shared" si="5"/>
        <v/>
      </c>
      <c r="N124" s="172" t="str">
        <f t="shared" si="6"/>
        <v/>
      </c>
      <c r="O124" s="172" t="str">
        <f t="shared" si="7"/>
        <v/>
      </c>
    </row>
    <row r="125" spans="11:15">
      <c r="K125" s="171" t="str">
        <f t="shared" si="4"/>
        <v/>
      </c>
      <c r="L125" s="171" t="str">
        <f>IF(E125="","",IF(COUNTIFS(Table2[[#All],[De (Lote)]],'Input_APM (Zenith)'!F125)&gt;0,INDEX(Table2[[#All],[Para (Ticker Daniel)]],MATCH('Input_APM (Zenith)'!F125,Table2[[#All],[De (Lote)]],0)),'Input_APM (Zenith)'!F125))</f>
        <v/>
      </c>
      <c r="M125" s="171" t="str">
        <f t="shared" si="5"/>
        <v/>
      </c>
      <c r="N125" s="172" t="str">
        <f t="shared" si="6"/>
        <v/>
      </c>
      <c r="O125" s="172" t="str">
        <f t="shared" si="7"/>
        <v/>
      </c>
    </row>
    <row r="126" spans="11:15">
      <c r="K126" s="171" t="str">
        <f t="shared" si="4"/>
        <v/>
      </c>
      <c r="L126" s="171" t="str">
        <f>IF(E126="","",IF(COUNTIFS(Table2[[#All],[De (Lote)]],'Input_APM (Zenith)'!F126)&gt;0,INDEX(Table2[[#All],[Para (Ticker Daniel)]],MATCH('Input_APM (Zenith)'!F126,Table2[[#All],[De (Lote)]],0)),'Input_APM (Zenith)'!F126))</f>
        <v/>
      </c>
      <c r="M126" s="171" t="str">
        <f t="shared" si="5"/>
        <v/>
      </c>
      <c r="N126" s="172" t="str">
        <f t="shared" si="6"/>
        <v/>
      </c>
      <c r="O126" s="172" t="str">
        <f t="shared" si="7"/>
        <v/>
      </c>
    </row>
    <row r="127" spans="11:15">
      <c r="K127" s="171" t="str">
        <f t="shared" si="4"/>
        <v/>
      </c>
      <c r="L127" s="171" t="str">
        <f>IF(E127="","",IF(COUNTIFS(Table2[[#All],[De (Lote)]],'Input_APM (Zenith)'!F127)&gt;0,INDEX(Table2[[#All],[Para (Ticker Daniel)]],MATCH('Input_APM (Zenith)'!F127,Table2[[#All],[De (Lote)]],0)),'Input_APM (Zenith)'!F127))</f>
        <v/>
      </c>
      <c r="M127" s="171" t="str">
        <f t="shared" si="5"/>
        <v/>
      </c>
      <c r="N127" s="172" t="str">
        <f t="shared" si="6"/>
        <v/>
      </c>
      <c r="O127" s="172" t="str">
        <f t="shared" si="7"/>
        <v/>
      </c>
    </row>
    <row r="128" spans="11:15">
      <c r="K128" s="171" t="str">
        <f t="shared" si="4"/>
        <v/>
      </c>
      <c r="L128" s="171" t="str">
        <f>IF(E128="","",IF(COUNTIFS(Table2[[#All],[De (Lote)]],'Input_APM (Zenith)'!F128)&gt;0,INDEX(Table2[[#All],[Para (Ticker Daniel)]],MATCH('Input_APM (Zenith)'!F128,Table2[[#All],[De (Lote)]],0)),'Input_APM (Zenith)'!F128))</f>
        <v/>
      </c>
      <c r="M128" s="171" t="str">
        <f t="shared" si="5"/>
        <v/>
      </c>
      <c r="N128" s="172" t="str">
        <f t="shared" si="6"/>
        <v/>
      </c>
      <c r="O128" s="172" t="str">
        <f t="shared" si="7"/>
        <v/>
      </c>
    </row>
    <row r="129" spans="11:15">
      <c r="K129" s="171" t="str">
        <f t="shared" si="4"/>
        <v/>
      </c>
      <c r="L129" s="171" t="str">
        <f>IF(E129="","",IF(COUNTIFS(Table2[[#All],[De (Lote)]],'Input_APM (Zenith)'!F129)&gt;0,INDEX(Table2[[#All],[Para (Ticker Daniel)]],MATCH('Input_APM (Zenith)'!F129,Table2[[#All],[De (Lote)]],0)),'Input_APM (Zenith)'!F129))</f>
        <v/>
      </c>
      <c r="M129" s="171" t="str">
        <f t="shared" si="5"/>
        <v/>
      </c>
      <c r="N129" s="172" t="str">
        <f t="shared" si="6"/>
        <v/>
      </c>
      <c r="O129" s="172" t="str">
        <f t="shared" si="7"/>
        <v/>
      </c>
    </row>
    <row r="130" spans="11:15">
      <c r="K130" s="171" t="str">
        <f t="shared" si="4"/>
        <v/>
      </c>
      <c r="L130" s="171" t="str">
        <f>IF(E130="","",IF(COUNTIFS(Table2[[#All],[De (Lote)]],'Input_APM (Zenith)'!F130)&gt;0,INDEX(Table2[[#All],[Para (Ticker Daniel)]],MATCH('Input_APM (Zenith)'!F130,Table2[[#All],[De (Lote)]],0)),'Input_APM (Zenith)'!F130))</f>
        <v/>
      </c>
      <c r="M130" s="171" t="str">
        <f t="shared" si="5"/>
        <v/>
      </c>
      <c r="N130" s="172" t="str">
        <f t="shared" si="6"/>
        <v/>
      </c>
      <c r="O130" s="172" t="str">
        <f t="shared" si="7"/>
        <v/>
      </c>
    </row>
    <row r="131" spans="11:15">
      <c r="K131" s="171" t="str">
        <f t="shared" ref="K131:K148" si="8">IF(E131="","",E131)</f>
        <v/>
      </c>
      <c r="L131" s="171" t="str">
        <f>IF(E131="","",IF(COUNTIFS(Table2[[#All],[De (Lote)]],'Input_APM (Zenith)'!F131)&gt;0,INDEX(Table2[[#All],[Para (Ticker Daniel)]],MATCH('Input_APM (Zenith)'!F131,Table2[[#All],[De (Lote)]],0)),'Input_APM (Zenith)'!F131))</f>
        <v/>
      </c>
      <c r="M131" s="171" t="str">
        <f t="shared" ref="M131:M148" si="9">IF(E131="","",G131)</f>
        <v/>
      </c>
      <c r="N131" s="172" t="str">
        <f t="shared" ref="N131:N148" si="10">IF(E131="","",H131)</f>
        <v/>
      </c>
      <c r="O131" s="172" t="str">
        <f t="shared" ref="O131:O148" si="11">IF(E131="","",I131)</f>
        <v/>
      </c>
    </row>
    <row r="132" spans="11:15">
      <c r="K132" s="171" t="str">
        <f t="shared" si="8"/>
        <v/>
      </c>
      <c r="L132" s="171" t="str">
        <f>IF(E132="","",IF(COUNTIFS(Table2[[#All],[De (Lote)]],'Input_APM (Zenith)'!F132)&gt;0,INDEX(Table2[[#All],[Para (Ticker Daniel)]],MATCH('Input_APM (Zenith)'!F132,Table2[[#All],[De (Lote)]],0)),'Input_APM (Zenith)'!F132))</f>
        <v/>
      </c>
      <c r="M132" s="171" t="str">
        <f t="shared" si="9"/>
        <v/>
      </c>
      <c r="N132" s="172" t="str">
        <f t="shared" si="10"/>
        <v/>
      </c>
      <c r="O132" s="172" t="str">
        <f t="shared" si="11"/>
        <v/>
      </c>
    </row>
    <row r="133" spans="11:15">
      <c r="K133" s="171" t="str">
        <f t="shared" si="8"/>
        <v/>
      </c>
      <c r="L133" s="171" t="str">
        <f>IF(E133="","",IF(COUNTIFS(Table2[[#All],[De (Lote)]],'Input_APM (Zenith)'!F133)&gt;0,INDEX(Table2[[#All],[Para (Ticker Daniel)]],MATCH('Input_APM (Zenith)'!F133,Table2[[#All],[De (Lote)]],0)),'Input_APM (Zenith)'!F133))</f>
        <v/>
      </c>
      <c r="M133" s="171" t="str">
        <f t="shared" si="9"/>
        <v/>
      </c>
      <c r="N133" s="172" t="str">
        <f t="shared" si="10"/>
        <v/>
      </c>
      <c r="O133" s="172" t="str">
        <f t="shared" si="11"/>
        <v/>
      </c>
    </row>
    <row r="134" spans="11:15">
      <c r="K134" s="171" t="str">
        <f t="shared" si="8"/>
        <v/>
      </c>
      <c r="L134" s="171" t="str">
        <f>IF(E134="","",IF(COUNTIFS(Table2[[#All],[De (Lote)]],'Input_APM (Zenith)'!F134)&gt;0,INDEX(Table2[[#All],[Para (Ticker Daniel)]],MATCH('Input_APM (Zenith)'!F134,Table2[[#All],[De (Lote)]],0)),'Input_APM (Zenith)'!F134))</f>
        <v/>
      </c>
      <c r="M134" s="171" t="str">
        <f t="shared" si="9"/>
        <v/>
      </c>
      <c r="N134" s="172" t="str">
        <f t="shared" si="10"/>
        <v/>
      </c>
      <c r="O134" s="172" t="str">
        <f t="shared" si="11"/>
        <v/>
      </c>
    </row>
    <row r="135" spans="11:15">
      <c r="K135" s="171" t="str">
        <f t="shared" si="8"/>
        <v/>
      </c>
      <c r="L135" s="171" t="str">
        <f>IF(E135="","",IF(COUNTIFS(Table2[[#All],[De (Lote)]],'Input_APM (Zenith)'!F135)&gt;0,INDEX(Table2[[#All],[Para (Ticker Daniel)]],MATCH('Input_APM (Zenith)'!F135,Table2[[#All],[De (Lote)]],0)),'Input_APM (Zenith)'!F135))</f>
        <v/>
      </c>
      <c r="M135" s="171" t="str">
        <f t="shared" si="9"/>
        <v/>
      </c>
      <c r="N135" s="172" t="str">
        <f t="shared" si="10"/>
        <v/>
      </c>
      <c r="O135" s="172" t="str">
        <f t="shared" si="11"/>
        <v/>
      </c>
    </row>
    <row r="136" spans="11:15">
      <c r="K136" s="171" t="str">
        <f t="shared" si="8"/>
        <v/>
      </c>
      <c r="L136" s="171" t="str">
        <f>IF(E136="","",IF(COUNTIFS(Table2[[#All],[De (Lote)]],'Input_APM (Zenith)'!F136)&gt;0,INDEX(Table2[[#All],[Para (Ticker Daniel)]],MATCH('Input_APM (Zenith)'!F136,Table2[[#All],[De (Lote)]],0)),'Input_APM (Zenith)'!F136))</f>
        <v/>
      </c>
      <c r="M136" s="171" t="str">
        <f t="shared" si="9"/>
        <v/>
      </c>
      <c r="N136" s="172" t="str">
        <f t="shared" si="10"/>
        <v/>
      </c>
      <c r="O136" s="172" t="str">
        <f t="shared" si="11"/>
        <v/>
      </c>
    </row>
    <row r="137" spans="11:15">
      <c r="K137" s="171" t="str">
        <f t="shared" si="8"/>
        <v/>
      </c>
      <c r="L137" s="171" t="str">
        <f>IF(E137="","",IF(COUNTIFS(Table2[[#All],[De (Lote)]],'Input_APM (Zenith)'!F137)&gt;0,INDEX(Table2[[#All],[Para (Ticker Daniel)]],MATCH('Input_APM (Zenith)'!F137,Table2[[#All],[De (Lote)]],0)),'Input_APM (Zenith)'!F137))</f>
        <v/>
      </c>
      <c r="M137" s="171" t="str">
        <f t="shared" si="9"/>
        <v/>
      </c>
      <c r="N137" s="172" t="str">
        <f t="shared" si="10"/>
        <v/>
      </c>
      <c r="O137" s="172" t="str">
        <f t="shared" si="11"/>
        <v/>
      </c>
    </row>
    <row r="138" spans="11:15">
      <c r="K138" s="171" t="str">
        <f t="shared" si="8"/>
        <v/>
      </c>
      <c r="L138" s="171" t="str">
        <f>IF(E138="","",IF(COUNTIFS(Table2[[#All],[De (Lote)]],'Input_APM (Zenith)'!F138)&gt;0,INDEX(Table2[[#All],[Para (Ticker Daniel)]],MATCH('Input_APM (Zenith)'!F138,Table2[[#All],[De (Lote)]],0)),'Input_APM (Zenith)'!F138))</f>
        <v/>
      </c>
      <c r="M138" s="171" t="str">
        <f t="shared" si="9"/>
        <v/>
      </c>
      <c r="N138" s="172" t="str">
        <f t="shared" si="10"/>
        <v/>
      </c>
      <c r="O138" s="172" t="str">
        <f t="shared" si="11"/>
        <v/>
      </c>
    </row>
    <row r="139" spans="11:15">
      <c r="K139" s="171" t="str">
        <f t="shared" si="8"/>
        <v/>
      </c>
      <c r="L139" s="171" t="str">
        <f>IF(E139="","",IF(COUNTIFS(Table2[[#All],[De (Lote)]],'Input_APM (Zenith)'!F139)&gt;0,INDEX(Table2[[#All],[Para (Ticker Daniel)]],MATCH('Input_APM (Zenith)'!F139,Table2[[#All],[De (Lote)]],0)),'Input_APM (Zenith)'!F139))</f>
        <v/>
      </c>
      <c r="M139" s="171" t="str">
        <f t="shared" si="9"/>
        <v/>
      </c>
      <c r="N139" s="172" t="str">
        <f t="shared" si="10"/>
        <v/>
      </c>
      <c r="O139" s="172" t="str">
        <f t="shared" si="11"/>
        <v/>
      </c>
    </row>
    <row r="140" spans="11:15">
      <c r="K140" s="171" t="str">
        <f t="shared" si="8"/>
        <v/>
      </c>
      <c r="L140" s="171" t="str">
        <f>IF(E140="","",IF(COUNTIFS(Table2[[#All],[De (Lote)]],'Input_APM (Zenith)'!F140)&gt;0,INDEX(Table2[[#All],[Para (Ticker Daniel)]],MATCH('Input_APM (Zenith)'!F140,Table2[[#All],[De (Lote)]],0)),'Input_APM (Zenith)'!F140))</f>
        <v/>
      </c>
      <c r="M140" s="171" t="str">
        <f t="shared" si="9"/>
        <v/>
      </c>
      <c r="N140" s="172" t="str">
        <f t="shared" si="10"/>
        <v/>
      </c>
      <c r="O140" s="172" t="str">
        <f t="shared" si="11"/>
        <v/>
      </c>
    </row>
    <row r="141" spans="11:15">
      <c r="K141" s="171" t="str">
        <f t="shared" si="8"/>
        <v/>
      </c>
      <c r="L141" s="171" t="str">
        <f>IF(E141="","",IF(COUNTIFS(Table2[[#All],[De (Lote)]],'Input_APM (Zenith)'!F141)&gt;0,INDEX(Table2[[#All],[Para (Ticker Daniel)]],MATCH('Input_APM (Zenith)'!F141,Table2[[#All],[De (Lote)]],0)),'Input_APM (Zenith)'!F141))</f>
        <v/>
      </c>
      <c r="M141" s="171" t="str">
        <f t="shared" si="9"/>
        <v/>
      </c>
      <c r="N141" s="172" t="str">
        <f t="shared" si="10"/>
        <v/>
      </c>
      <c r="O141" s="172" t="str">
        <f t="shared" si="11"/>
        <v/>
      </c>
    </row>
    <row r="142" spans="11:15">
      <c r="K142" s="171" t="str">
        <f t="shared" si="8"/>
        <v/>
      </c>
      <c r="L142" s="171" t="str">
        <f>IF(E142="","",IF(COUNTIFS(Table2[[#All],[De (Lote)]],'Input_APM (Zenith)'!F142)&gt;0,INDEX(Table2[[#All],[Para (Ticker Daniel)]],MATCH('Input_APM (Zenith)'!F142,Table2[[#All],[De (Lote)]],0)),'Input_APM (Zenith)'!F142))</f>
        <v/>
      </c>
      <c r="M142" s="171" t="str">
        <f t="shared" si="9"/>
        <v/>
      </c>
      <c r="N142" s="172" t="str">
        <f t="shared" si="10"/>
        <v/>
      </c>
      <c r="O142" s="172" t="str">
        <f t="shared" si="11"/>
        <v/>
      </c>
    </row>
    <row r="143" spans="11:15">
      <c r="K143" s="171" t="str">
        <f t="shared" si="8"/>
        <v/>
      </c>
      <c r="L143" s="171" t="str">
        <f>IF(E143="","",IF(COUNTIFS(Table2[[#All],[De (Lote)]],'Input_APM (Zenith)'!F143)&gt;0,INDEX(Table2[[#All],[Para (Ticker Daniel)]],MATCH('Input_APM (Zenith)'!F143,Table2[[#All],[De (Lote)]],0)),'Input_APM (Zenith)'!F143))</f>
        <v/>
      </c>
      <c r="M143" s="171" t="str">
        <f t="shared" si="9"/>
        <v/>
      </c>
      <c r="N143" s="172" t="str">
        <f t="shared" si="10"/>
        <v/>
      </c>
      <c r="O143" s="172" t="str">
        <f t="shared" si="11"/>
        <v/>
      </c>
    </row>
    <row r="144" spans="11:15">
      <c r="K144" s="171" t="str">
        <f t="shared" si="8"/>
        <v/>
      </c>
      <c r="L144" s="171" t="str">
        <f>IF(E144="","",IF(COUNTIFS(Table2[[#All],[De (Lote)]],'Input_APM (Zenith)'!F144)&gt;0,INDEX(Table2[[#All],[Para (Ticker Daniel)]],MATCH('Input_APM (Zenith)'!F144,Table2[[#All],[De (Lote)]],0)),'Input_APM (Zenith)'!F144))</f>
        <v/>
      </c>
      <c r="M144" s="171" t="str">
        <f t="shared" si="9"/>
        <v/>
      </c>
      <c r="N144" s="172" t="str">
        <f t="shared" si="10"/>
        <v/>
      </c>
      <c r="O144" s="172" t="str">
        <f t="shared" si="11"/>
        <v/>
      </c>
    </row>
    <row r="145" spans="11:15">
      <c r="K145" s="171" t="str">
        <f t="shared" si="8"/>
        <v/>
      </c>
      <c r="L145" s="171" t="str">
        <f>IF(E145="","",IF(COUNTIFS(Table2[[#All],[De (Lote)]],'Input_APM (Zenith)'!F145)&gt;0,INDEX(Table2[[#All],[Para (Ticker Daniel)]],MATCH('Input_APM (Zenith)'!F145,Table2[[#All],[De (Lote)]],0)),'Input_APM (Zenith)'!F145))</f>
        <v/>
      </c>
      <c r="M145" s="171" t="str">
        <f t="shared" si="9"/>
        <v/>
      </c>
      <c r="N145" s="172" t="str">
        <f t="shared" si="10"/>
        <v/>
      </c>
      <c r="O145" s="172" t="str">
        <f t="shared" si="11"/>
        <v/>
      </c>
    </row>
    <row r="146" spans="11:15">
      <c r="K146" s="171" t="str">
        <f t="shared" si="8"/>
        <v/>
      </c>
      <c r="L146" s="171" t="str">
        <f>IF(E146="","",IF(COUNTIFS(Table2[[#All],[De (Lote)]],'Input_APM (Zenith)'!F146)&gt;0,INDEX(Table2[[#All],[Para (Ticker Daniel)]],MATCH('Input_APM (Zenith)'!F146,Table2[[#All],[De (Lote)]],0)),'Input_APM (Zenith)'!F146))</f>
        <v/>
      </c>
      <c r="M146" s="171" t="str">
        <f t="shared" si="9"/>
        <v/>
      </c>
      <c r="N146" s="172" t="str">
        <f t="shared" si="10"/>
        <v/>
      </c>
      <c r="O146" s="172" t="str">
        <f t="shared" si="11"/>
        <v/>
      </c>
    </row>
    <row r="147" spans="11:15">
      <c r="K147" s="171" t="str">
        <f t="shared" si="8"/>
        <v/>
      </c>
      <c r="L147" s="171" t="str">
        <f>IF(E147="","",IF(COUNTIFS(Table2[[#All],[De (Lote)]],'Input_APM (Zenith)'!F147)&gt;0,INDEX(Table2[[#All],[Para (Ticker Daniel)]],MATCH('Input_APM (Zenith)'!F147,Table2[[#All],[De (Lote)]],0)),'Input_APM (Zenith)'!F147))</f>
        <v/>
      </c>
      <c r="M147" s="171" t="str">
        <f t="shared" si="9"/>
        <v/>
      </c>
      <c r="N147" s="172" t="str">
        <f t="shared" si="10"/>
        <v/>
      </c>
      <c r="O147" s="172" t="str">
        <f t="shared" si="11"/>
        <v/>
      </c>
    </row>
    <row r="148" spans="11:15">
      <c r="K148" s="171" t="str">
        <f t="shared" si="8"/>
        <v/>
      </c>
      <c r="L148" s="171" t="str">
        <f>IF(E148="","",IF(COUNTIFS(Table2[[#All],[De (Lote)]],'Input_APM (Zenith)'!F148)&gt;0,INDEX(Table2[[#All],[Para (Ticker Daniel)]],MATCH('Input_APM (Zenith)'!F148,Table2[[#All],[De (Lote)]],0)),'Input_APM (Zenith)'!F148))</f>
        <v/>
      </c>
      <c r="M148" s="171" t="str">
        <f t="shared" si="9"/>
        <v/>
      </c>
      <c r="N148" s="172" t="str">
        <f t="shared" si="10"/>
        <v/>
      </c>
      <c r="O148" s="172" t="str">
        <f t="shared" si="11"/>
        <v/>
      </c>
    </row>
    <row r="149" spans="11:15">
      <c r="K149" s="171" t="str">
        <f t="shared" ref="K149:K156" si="12">IF(E149="","",E149)</f>
        <v/>
      </c>
      <c r="L149" s="171" t="str">
        <f>IF(E149="","",IF(COUNTIFS(Table2[[#All],[De (Lote)]],'Input_APM (Zenith)'!F149)&gt;0,INDEX(Table2[[#All],[Para (Ticker Daniel)]],MATCH('Input_APM (Zenith)'!F149,Table2[[#All],[De (Lote)]],0)),'Input_APM (Zenith)'!F149))</f>
        <v/>
      </c>
      <c r="M149" s="171" t="str">
        <f t="shared" ref="M149:M156" si="13">IF(E149="","",G149)</f>
        <v/>
      </c>
      <c r="N149" s="172" t="str">
        <f t="shared" ref="N149:N156" si="14">IF(E149="","",H149)</f>
        <v/>
      </c>
      <c r="O149" s="172" t="str">
        <f t="shared" ref="O149:O156" si="15">IF(E149="","",I149)</f>
        <v/>
      </c>
    </row>
    <row r="150" spans="11:15">
      <c r="K150" s="171" t="str">
        <f t="shared" si="12"/>
        <v/>
      </c>
      <c r="L150" s="171" t="str">
        <f>IF(E150="","",IF(COUNTIFS(Table2[[#All],[De (Lote)]],'Input_APM (Zenith)'!F150)&gt;0,INDEX(Table2[[#All],[Para (Ticker Daniel)]],MATCH('Input_APM (Zenith)'!F150,Table2[[#All],[De (Lote)]],0)),'Input_APM (Zenith)'!F150))</f>
        <v/>
      </c>
      <c r="M150" s="171" t="str">
        <f t="shared" si="13"/>
        <v/>
      </c>
      <c r="N150" s="172" t="str">
        <f t="shared" si="14"/>
        <v/>
      </c>
      <c r="O150" s="172" t="str">
        <f t="shared" si="15"/>
        <v/>
      </c>
    </row>
    <row r="151" spans="11:15">
      <c r="K151" s="171" t="str">
        <f t="shared" si="12"/>
        <v/>
      </c>
      <c r="L151" s="171" t="str">
        <f>IF(E151="","",IF(COUNTIFS(Table2[[#All],[De (Lote)]],'Input_APM (Zenith)'!F151)&gt;0,INDEX(Table2[[#All],[Para (Ticker Daniel)]],MATCH('Input_APM (Zenith)'!F151,Table2[[#All],[De (Lote)]],0)),'Input_APM (Zenith)'!F151))</f>
        <v/>
      </c>
      <c r="M151" s="171" t="str">
        <f t="shared" si="13"/>
        <v/>
      </c>
      <c r="N151" s="172" t="str">
        <f t="shared" si="14"/>
        <v/>
      </c>
      <c r="O151" s="172" t="str">
        <f t="shared" si="15"/>
        <v/>
      </c>
    </row>
    <row r="152" spans="11:15">
      <c r="K152" s="171" t="str">
        <f t="shared" si="12"/>
        <v/>
      </c>
      <c r="L152" s="171" t="str">
        <f>IF(E152="","",IF(COUNTIFS(Table2[[#All],[De (Lote)]],'Input_APM (Zenith)'!F152)&gt;0,INDEX(Table2[[#All],[Para (Ticker Daniel)]],MATCH('Input_APM (Zenith)'!F152,Table2[[#All],[De (Lote)]],0)),'Input_APM (Zenith)'!F152))</f>
        <v/>
      </c>
      <c r="M152" s="171" t="str">
        <f t="shared" si="13"/>
        <v/>
      </c>
      <c r="N152" s="172" t="str">
        <f t="shared" si="14"/>
        <v/>
      </c>
      <c r="O152" s="172" t="str">
        <f t="shared" si="15"/>
        <v/>
      </c>
    </row>
    <row r="153" spans="11:15">
      <c r="K153" s="171" t="str">
        <f t="shared" si="12"/>
        <v/>
      </c>
      <c r="L153" s="171" t="str">
        <f>IF(E153="","",IF(COUNTIFS(Table2[[#All],[De (Lote)]],'Input_APM (Zenith)'!F153)&gt;0,INDEX(Table2[[#All],[Para (Ticker Daniel)]],MATCH('Input_APM (Zenith)'!F153,Table2[[#All],[De (Lote)]],0)),'Input_APM (Zenith)'!F153))</f>
        <v/>
      </c>
      <c r="M153" s="171" t="str">
        <f t="shared" si="13"/>
        <v/>
      </c>
      <c r="N153" s="172" t="str">
        <f t="shared" si="14"/>
        <v/>
      </c>
      <c r="O153" s="172" t="str">
        <f t="shared" si="15"/>
        <v/>
      </c>
    </row>
    <row r="154" spans="11:15">
      <c r="K154" s="171" t="str">
        <f t="shared" si="12"/>
        <v/>
      </c>
      <c r="L154" s="171" t="str">
        <f>IF(E154="","",IF(COUNTIFS(Table2[[#All],[De (Lote)]],'Input_APM (Zenith)'!F154)&gt;0,INDEX(Table2[[#All],[Para (Ticker Daniel)]],MATCH('Input_APM (Zenith)'!F154,Table2[[#All],[De (Lote)]],0)),'Input_APM (Zenith)'!F154))</f>
        <v/>
      </c>
      <c r="M154" s="171" t="str">
        <f t="shared" si="13"/>
        <v/>
      </c>
      <c r="N154" s="172" t="str">
        <f t="shared" si="14"/>
        <v/>
      </c>
      <c r="O154" s="172" t="str">
        <f t="shared" si="15"/>
        <v/>
      </c>
    </row>
    <row r="155" spans="11:15">
      <c r="K155" s="171" t="str">
        <f t="shared" si="12"/>
        <v/>
      </c>
      <c r="L155" s="171" t="str">
        <f>IF(E155="","",IF(COUNTIFS(Table2[[#All],[De (Lote)]],'Input_APM (Zenith)'!F155)&gt;0,INDEX(Table2[[#All],[Para (Ticker Daniel)]],MATCH('Input_APM (Zenith)'!F155,Table2[[#All],[De (Lote)]],0)),'Input_APM (Zenith)'!F155))</f>
        <v/>
      </c>
      <c r="M155" s="171" t="str">
        <f t="shared" si="13"/>
        <v/>
      </c>
      <c r="N155" s="172" t="str">
        <f t="shared" si="14"/>
        <v/>
      </c>
      <c r="O155" s="172" t="str">
        <f t="shared" si="15"/>
        <v/>
      </c>
    </row>
    <row r="156" spans="11:15">
      <c r="K156" s="171" t="str">
        <f t="shared" si="12"/>
        <v/>
      </c>
      <c r="L156" s="171" t="str">
        <f>IF(E156="","",IF(COUNTIFS(Table2[[#All],[De (Lote)]],'Input_APM (Zenith)'!F156)&gt;0,INDEX(Table2[[#All],[Para (Ticker Daniel)]],MATCH('Input_APM (Zenith)'!F156,Table2[[#All],[De (Lote)]],0)),'Input_APM (Zenith)'!F156))</f>
        <v/>
      </c>
      <c r="M156" s="171" t="str">
        <f t="shared" si="13"/>
        <v/>
      </c>
      <c r="N156" s="172" t="str">
        <f t="shared" si="14"/>
        <v/>
      </c>
      <c r="O156" s="172" t="str">
        <f t="shared" si="15"/>
        <v/>
      </c>
    </row>
    <row r="157" spans="11:15">
      <c r="K157" s="171" t="str">
        <f>IF(E157="","",E157)</f>
        <v/>
      </c>
      <c r="L157" s="171" t="str">
        <f>IF(E157="","",IF(COUNTIFS(Table2[[#All],[De (Lote)]],'Input_APM (Zenith)'!F157)&gt;0,INDEX(Table2[[#All],[Para (Ticker Daniel)]],MATCH('Input_APM (Zenith)'!F157,Table2[[#All],[De (Lote)]],0)),'Input_APM (Zenith)'!F157))</f>
        <v/>
      </c>
      <c r="M157" s="171" t="str">
        <f>IF(E157="","",G157)</f>
        <v/>
      </c>
      <c r="N157" s="172" t="str">
        <f>IF(E157="","",H157)</f>
        <v/>
      </c>
      <c r="O157" s="172" t="str">
        <f>IF(E157="","",I157)</f>
        <v/>
      </c>
    </row>
    <row r="158" spans="11:15">
      <c r="K158" s="171" t="str">
        <f>IF(E158="","",E158)</f>
        <v/>
      </c>
      <c r="L158" s="171" t="str">
        <f>IF(E158="","",IF(COUNTIFS(Table2[[#All],[De (Lote)]],'Input_APM (Zenith)'!F158)&gt;0,INDEX(Table2[[#All],[Para (Ticker Daniel)]],MATCH('Input_APM (Zenith)'!F158,Table2[[#All],[De (Lote)]],0)),'Input_APM (Zenith)'!F158))</f>
        <v/>
      </c>
      <c r="M158" s="171" t="str">
        <f>IF(E158="","",G158)</f>
        <v/>
      </c>
      <c r="N158" s="172" t="str">
        <f>IF(E158="","",H158)</f>
        <v/>
      </c>
      <c r="O158" s="172" t="str">
        <f>IF(E158="","",I158)</f>
        <v/>
      </c>
    </row>
    <row r="159" spans="11:15">
      <c r="K159" s="171" t="str">
        <f>IF(E159="","",E159)</f>
        <v/>
      </c>
      <c r="L159" s="171" t="str">
        <f>IF(E159="","",IF(COUNTIFS(Table2[[#All],[De (Lote)]],'Input_APM (Zenith)'!F159)&gt;0,INDEX(Table2[[#All],[Para (Ticker Daniel)]],MATCH('Input_APM (Zenith)'!F159,Table2[[#All],[De (Lote)]],0)),'Input_APM (Zenith)'!F159))</f>
        <v/>
      </c>
      <c r="M159" s="171" t="str">
        <f>IF(E159="","",G159)</f>
        <v/>
      </c>
      <c r="N159" s="172" t="str">
        <f>IF(E159="","",H159)</f>
        <v/>
      </c>
      <c r="O159" s="172" t="str">
        <f>IF(E159="","",I159)</f>
        <v/>
      </c>
    </row>
    <row r="160" spans="11:15">
      <c r="K160" s="171" t="str">
        <f>IF(E160="","",E160)</f>
        <v/>
      </c>
      <c r="L160" s="171" t="str">
        <f>IF(E160="","",IF(COUNTIFS(Table2[[#All],[De (Lote)]],'Input_APM (Zenith)'!F160)&gt;0,INDEX(Table2[[#All],[Para (Ticker Daniel)]],MATCH('Input_APM (Zenith)'!F160,Table2[[#All],[De (Lote)]],0)),'Input_APM (Zenith)'!F160))</f>
        <v/>
      </c>
      <c r="M160" s="171" t="str">
        <f>IF(E160="","",G160)</f>
        <v/>
      </c>
      <c r="N160" s="172" t="str">
        <f>IF(E160="","",H160)</f>
        <v/>
      </c>
      <c r="O160" s="172" t="str">
        <f>IF(E160="","",I160)</f>
        <v/>
      </c>
    </row>
    <row r="161" spans="11:15">
      <c r="K161" s="171" t="str">
        <f>IF(E161="","",E161)</f>
        <v/>
      </c>
      <c r="L161" s="171" t="str">
        <f>IF(E161="","",IF(COUNTIFS(Table2[[#All],[De (Lote)]],'Input_APM (Zenith)'!F161)&gt;0,INDEX(Table2[[#All],[Para (Ticker Daniel)]],MATCH('Input_APM (Zenith)'!F161,Table2[[#All],[De (Lote)]],0)),'Input_APM (Zenith)'!F161))</f>
        <v/>
      </c>
      <c r="M161" s="171" t="str">
        <f>IF(E161="","",G161)</f>
        <v/>
      </c>
      <c r="N161" s="172" t="str">
        <f>IF(E161="","",H161)</f>
        <v/>
      </c>
      <c r="O161" s="172" t="str">
        <f>IF(E161="","",I161)</f>
        <v/>
      </c>
    </row>
    <row r="162" spans="11:15">
      <c r="K162" s="171" t="str">
        <f t="shared" ref="K162:K183" si="16">IF(E162="","",E162)</f>
        <v/>
      </c>
      <c r="L162" s="171" t="str">
        <f>IF(E162="","",IF(COUNTIFS(Table2[[#All],[De (Lote)]],'Input_APM (Zenith)'!F162)&gt;0,INDEX(Table2[[#All],[Para (Ticker Daniel)]],MATCH('Input_APM (Zenith)'!F162,Table2[[#All],[De (Lote)]],0)),'Input_APM (Zenith)'!F162))</f>
        <v/>
      </c>
      <c r="M162" s="171" t="str">
        <f t="shared" ref="M162:M183" si="17">IF(E162="","",G162)</f>
        <v/>
      </c>
      <c r="N162" s="172" t="str">
        <f t="shared" ref="N162:N183" si="18">IF(E162="","",H162)</f>
        <v/>
      </c>
      <c r="O162" s="172" t="str">
        <f t="shared" ref="O162:O183" si="19">IF(E162="","",I162)</f>
        <v/>
      </c>
    </row>
    <row r="163" spans="11:15">
      <c r="K163" s="171" t="str">
        <f t="shared" si="16"/>
        <v/>
      </c>
      <c r="L163" s="171" t="str">
        <f>IF(E163="","",IF(COUNTIFS(Table2[[#All],[De (Lote)]],'Input_APM (Zenith)'!F163)&gt;0,INDEX(Table2[[#All],[Para (Ticker Daniel)]],MATCH('Input_APM (Zenith)'!F163,Table2[[#All],[De (Lote)]],0)),'Input_APM (Zenith)'!F163))</f>
        <v/>
      </c>
      <c r="M163" s="171" t="str">
        <f t="shared" si="17"/>
        <v/>
      </c>
      <c r="N163" s="172" t="str">
        <f t="shared" si="18"/>
        <v/>
      </c>
      <c r="O163" s="172" t="str">
        <f t="shared" si="19"/>
        <v/>
      </c>
    </row>
    <row r="164" spans="11:15">
      <c r="K164" s="171" t="str">
        <f t="shared" si="16"/>
        <v/>
      </c>
      <c r="L164" s="171" t="str">
        <f>IF(E164="","",IF(COUNTIFS(Table2[[#All],[De (Lote)]],'Input_APM (Zenith)'!F164)&gt;0,INDEX(Table2[[#All],[Para (Ticker Daniel)]],MATCH('Input_APM (Zenith)'!F164,Table2[[#All],[De (Lote)]],0)),'Input_APM (Zenith)'!F164))</f>
        <v/>
      </c>
      <c r="M164" s="171" t="str">
        <f t="shared" si="17"/>
        <v/>
      </c>
      <c r="N164" s="172" t="str">
        <f t="shared" si="18"/>
        <v/>
      </c>
      <c r="O164" s="172" t="str">
        <f t="shared" si="19"/>
        <v/>
      </c>
    </row>
    <row r="165" spans="11:15">
      <c r="K165" s="171" t="str">
        <f t="shared" si="16"/>
        <v/>
      </c>
      <c r="L165" s="171" t="str">
        <f>IF(E165="","",IF(COUNTIFS(Table2[[#All],[De (Lote)]],'Input_APM (Zenith)'!F165)&gt;0,INDEX(Table2[[#All],[Para (Ticker Daniel)]],MATCH('Input_APM (Zenith)'!F165,Table2[[#All],[De (Lote)]],0)),'Input_APM (Zenith)'!F165))</f>
        <v/>
      </c>
      <c r="M165" s="171" t="str">
        <f t="shared" si="17"/>
        <v/>
      </c>
      <c r="N165" s="172" t="str">
        <f t="shared" si="18"/>
        <v/>
      </c>
      <c r="O165" s="172" t="str">
        <f t="shared" si="19"/>
        <v/>
      </c>
    </row>
    <row r="166" spans="11:15">
      <c r="K166" s="171" t="str">
        <f t="shared" si="16"/>
        <v/>
      </c>
      <c r="L166" s="171" t="str">
        <f>IF(E166="","",IF(COUNTIFS(Table2[[#All],[De (Lote)]],'Input_APM (Zenith)'!F166)&gt;0,INDEX(Table2[[#All],[Para (Ticker Daniel)]],MATCH('Input_APM (Zenith)'!F166,Table2[[#All],[De (Lote)]],0)),'Input_APM (Zenith)'!F166))</f>
        <v/>
      </c>
      <c r="M166" s="171" t="str">
        <f t="shared" si="17"/>
        <v/>
      </c>
      <c r="N166" s="172" t="str">
        <f t="shared" si="18"/>
        <v/>
      </c>
      <c r="O166" s="172" t="str">
        <f t="shared" si="19"/>
        <v/>
      </c>
    </row>
    <row r="167" spans="11:15">
      <c r="K167" s="171" t="str">
        <f t="shared" si="16"/>
        <v/>
      </c>
      <c r="L167" s="171" t="str">
        <f>IF(E167="","",IF(COUNTIFS(Table2[[#All],[De (Lote)]],'Input_APM (Zenith)'!F167)&gt;0,INDEX(Table2[[#All],[Para (Ticker Daniel)]],MATCH('Input_APM (Zenith)'!F167,Table2[[#All],[De (Lote)]],0)),'Input_APM (Zenith)'!F167))</f>
        <v/>
      </c>
      <c r="M167" s="171" t="str">
        <f t="shared" si="17"/>
        <v/>
      </c>
      <c r="N167" s="172" t="str">
        <f t="shared" si="18"/>
        <v/>
      </c>
      <c r="O167" s="172" t="str">
        <f t="shared" si="19"/>
        <v/>
      </c>
    </row>
    <row r="168" spans="11:15">
      <c r="K168" s="171" t="str">
        <f t="shared" si="16"/>
        <v/>
      </c>
      <c r="L168" s="171" t="str">
        <f>IF(E168="","",IF(COUNTIFS(Table2[[#All],[De (Lote)]],'Input_APM (Zenith)'!F168)&gt;0,INDEX(Table2[[#All],[Para (Ticker Daniel)]],MATCH('Input_APM (Zenith)'!F168,Table2[[#All],[De (Lote)]],0)),'Input_APM (Zenith)'!F168))</f>
        <v/>
      </c>
      <c r="M168" s="171" t="str">
        <f t="shared" si="17"/>
        <v/>
      </c>
      <c r="N168" s="172" t="str">
        <f t="shared" si="18"/>
        <v/>
      </c>
      <c r="O168" s="172" t="str">
        <f t="shared" si="19"/>
        <v/>
      </c>
    </row>
    <row r="169" spans="11:15">
      <c r="K169" s="171" t="str">
        <f t="shared" si="16"/>
        <v/>
      </c>
      <c r="L169" s="171" t="str">
        <f>IF(E169="","",IF(COUNTIFS(Table2[[#All],[De (Lote)]],'Input_APM (Zenith)'!F169)&gt;0,INDEX(Table2[[#All],[Para (Ticker Daniel)]],MATCH('Input_APM (Zenith)'!F169,Table2[[#All],[De (Lote)]],0)),'Input_APM (Zenith)'!F169))</f>
        <v/>
      </c>
      <c r="M169" s="171" t="str">
        <f t="shared" si="17"/>
        <v/>
      </c>
      <c r="N169" s="172" t="str">
        <f t="shared" si="18"/>
        <v/>
      </c>
      <c r="O169" s="172" t="str">
        <f t="shared" si="19"/>
        <v/>
      </c>
    </row>
    <row r="170" spans="11:15">
      <c r="K170" s="171" t="str">
        <f t="shared" si="16"/>
        <v/>
      </c>
      <c r="L170" s="171" t="str">
        <f>IF(E170="","",IF(COUNTIFS(Table2[[#All],[De (Lote)]],'Input_APM (Zenith)'!F170)&gt;0,INDEX(Table2[[#All],[Para (Ticker Daniel)]],MATCH('Input_APM (Zenith)'!F170,Table2[[#All],[De (Lote)]],0)),'Input_APM (Zenith)'!F170))</f>
        <v/>
      </c>
      <c r="M170" s="171" t="str">
        <f t="shared" si="17"/>
        <v/>
      </c>
      <c r="N170" s="172" t="str">
        <f t="shared" si="18"/>
        <v/>
      </c>
      <c r="O170" s="172" t="str">
        <f t="shared" si="19"/>
        <v/>
      </c>
    </row>
    <row r="171" spans="11:15">
      <c r="K171" s="171" t="str">
        <f t="shared" si="16"/>
        <v/>
      </c>
      <c r="L171" s="171" t="str">
        <f>IF(E171="","",IF(COUNTIFS(Table2[[#All],[De (Lote)]],'Input_APM (Zenith)'!F171)&gt;0,INDEX(Table2[[#All],[Para (Ticker Daniel)]],MATCH('Input_APM (Zenith)'!F171,Table2[[#All],[De (Lote)]],0)),'Input_APM (Zenith)'!F171))</f>
        <v/>
      </c>
      <c r="M171" s="171" t="str">
        <f t="shared" si="17"/>
        <v/>
      </c>
      <c r="N171" s="172" t="str">
        <f t="shared" si="18"/>
        <v/>
      </c>
      <c r="O171" s="172" t="str">
        <f t="shared" si="19"/>
        <v/>
      </c>
    </row>
    <row r="172" spans="11:15">
      <c r="K172" s="171" t="str">
        <f t="shared" si="16"/>
        <v/>
      </c>
      <c r="L172" s="171" t="str">
        <f>IF(E172="","",IF(COUNTIFS(Table2[[#All],[De (Lote)]],'Input_APM (Zenith)'!F172)&gt;0,INDEX(Table2[[#All],[Para (Ticker Daniel)]],MATCH('Input_APM (Zenith)'!F172,Table2[[#All],[De (Lote)]],0)),'Input_APM (Zenith)'!F172))</f>
        <v/>
      </c>
      <c r="M172" s="171" t="str">
        <f t="shared" si="17"/>
        <v/>
      </c>
      <c r="N172" s="172" t="str">
        <f t="shared" si="18"/>
        <v/>
      </c>
      <c r="O172" s="172" t="str">
        <f t="shared" si="19"/>
        <v/>
      </c>
    </row>
    <row r="173" spans="11:15">
      <c r="K173" s="171" t="str">
        <f t="shared" si="16"/>
        <v/>
      </c>
      <c r="L173" s="171" t="str">
        <f>IF(E173="","",IF(COUNTIFS(Table2[[#All],[De (Lote)]],'Input_APM (Zenith)'!F173)&gt;0,INDEX(Table2[[#All],[Para (Ticker Daniel)]],MATCH('Input_APM (Zenith)'!F173,Table2[[#All],[De (Lote)]],0)),'Input_APM (Zenith)'!F173))</f>
        <v/>
      </c>
      <c r="M173" s="171" t="str">
        <f t="shared" si="17"/>
        <v/>
      </c>
      <c r="N173" s="172" t="str">
        <f t="shared" si="18"/>
        <v/>
      </c>
      <c r="O173" s="172" t="str">
        <f t="shared" si="19"/>
        <v/>
      </c>
    </row>
    <row r="174" spans="11:15">
      <c r="K174" s="171" t="str">
        <f t="shared" si="16"/>
        <v/>
      </c>
      <c r="L174" s="171" t="str">
        <f>IF(E174="","",IF(COUNTIFS(Table2[[#All],[De (Lote)]],'Input_APM (Zenith)'!F174)&gt;0,INDEX(Table2[[#All],[Para (Ticker Daniel)]],MATCH('Input_APM (Zenith)'!F174,Table2[[#All],[De (Lote)]],0)),'Input_APM (Zenith)'!F174))</f>
        <v/>
      </c>
      <c r="M174" s="171" t="str">
        <f t="shared" si="17"/>
        <v/>
      </c>
      <c r="N174" s="172" t="str">
        <f t="shared" si="18"/>
        <v/>
      </c>
      <c r="O174" s="172" t="str">
        <f t="shared" si="19"/>
        <v/>
      </c>
    </row>
    <row r="175" spans="11:15">
      <c r="K175" s="171" t="str">
        <f t="shared" si="16"/>
        <v/>
      </c>
      <c r="L175" s="171" t="str">
        <f>IF(E175="","",IF(COUNTIFS(Table2[[#All],[De (Lote)]],'Input_APM (Zenith)'!F175)&gt;0,INDEX(Table2[[#All],[Para (Ticker Daniel)]],MATCH('Input_APM (Zenith)'!F175,Table2[[#All],[De (Lote)]],0)),'Input_APM (Zenith)'!F175))</f>
        <v/>
      </c>
      <c r="M175" s="171" t="str">
        <f t="shared" si="17"/>
        <v/>
      </c>
      <c r="N175" s="172" t="str">
        <f t="shared" si="18"/>
        <v/>
      </c>
      <c r="O175" s="172" t="str">
        <f t="shared" si="19"/>
        <v/>
      </c>
    </row>
    <row r="176" spans="11:15">
      <c r="K176" s="171" t="str">
        <f t="shared" si="16"/>
        <v/>
      </c>
      <c r="L176" s="171" t="str">
        <f>IF(E176="","",IF(COUNTIFS(Table2[[#All],[De (Lote)]],'Input_APM (Zenith)'!F176)&gt;0,INDEX(Table2[[#All],[Para (Ticker Daniel)]],MATCH('Input_APM (Zenith)'!F176,Table2[[#All],[De (Lote)]],0)),'Input_APM (Zenith)'!F176))</f>
        <v/>
      </c>
      <c r="M176" s="171" t="str">
        <f t="shared" si="17"/>
        <v/>
      </c>
      <c r="N176" s="172" t="str">
        <f t="shared" si="18"/>
        <v/>
      </c>
      <c r="O176" s="172" t="str">
        <f t="shared" si="19"/>
        <v/>
      </c>
    </row>
    <row r="177" spans="11:15">
      <c r="K177" s="171" t="str">
        <f t="shared" si="16"/>
        <v/>
      </c>
      <c r="L177" s="171" t="str">
        <f>IF(E177="","",IF(COUNTIFS(Table2[[#All],[De (Lote)]],'Input_APM (Zenith)'!F177)&gt;0,INDEX(Table2[[#All],[Para (Ticker Daniel)]],MATCH('Input_APM (Zenith)'!F177,Table2[[#All],[De (Lote)]],0)),'Input_APM (Zenith)'!F177))</f>
        <v/>
      </c>
      <c r="M177" s="171" t="str">
        <f t="shared" si="17"/>
        <v/>
      </c>
      <c r="N177" s="172" t="str">
        <f t="shared" si="18"/>
        <v/>
      </c>
      <c r="O177" s="172" t="str">
        <f t="shared" si="19"/>
        <v/>
      </c>
    </row>
    <row r="178" spans="11:15">
      <c r="K178" s="171" t="str">
        <f t="shared" si="16"/>
        <v/>
      </c>
      <c r="L178" s="171" t="str">
        <f>IF(E178="","",IF(COUNTIFS(Table2[[#All],[De (Lote)]],'Input_APM (Zenith)'!F178)&gt;0,INDEX(Table2[[#All],[Para (Ticker Daniel)]],MATCH('Input_APM (Zenith)'!F178,Table2[[#All],[De (Lote)]],0)),'Input_APM (Zenith)'!F178))</f>
        <v/>
      </c>
      <c r="M178" s="171" t="str">
        <f t="shared" si="17"/>
        <v/>
      </c>
      <c r="N178" s="172" t="str">
        <f t="shared" si="18"/>
        <v/>
      </c>
      <c r="O178" s="172" t="str">
        <f t="shared" si="19"/>
        <v/>
      </c>
    </row>
    <row r="179" spans="11:15">
      <c r="K179" s="171" t="str">
        <f t="shared" si="16"/>
        <v/>
      </c>
      <c r="L179" s="171" t="str">
        <f>IF(E179="","",IF(COUNTIFS(Table2[[#All],[De (Lote)]],'Input_APM (Zenith)'!F179)&gt;0,INDEX(Table2[[#All],[Para (Ticker Daniel)]],MATCH('Input_APM (Zenith)'!F179,Table2[[#All],[De (Lote)]],0)),'Input_APM (Zenith)'!F179))</f>
        <v/>
      </c>
      <c r="M179" s="171" t="str">
        <f t="shared" si="17"/>
        <v/>
      </c>
      <c r="N179" s="172" t="str">
        <f t="shared" si="18"/>
        <v/>
      </c>
      <c r="O179" s="172" t="str">
        <f t="shared" si="19"/>
        <v/>
      </c>
    </row>
    <row r="180" spans="11:15">
      <c r="K180" s="171" t="str">
        <f t="shared" si="16"/>
        <v/>
      </c>
      <c r="L180" s="171" t="str">
        <f>IF(E180="","",IF(COUNTIFS(Table2[[#All],[De (Lote)]],'Input_APM (Zenith)'!F180)&gt;0,INDEX(Table2[[#All],[Para (Ticker Daniel)]],MATCH('Input_APM (Zenith)'!F180,Table2[[#All],[De (Lote)]],0)),'Input_APM (Zenith)'!F180))</f>
        <v/>
      </c>
      <c r="M180" s="171" t="str">
        <f t="shared" si="17"/>
        <v/>
      </c>
      <c r="N180" s="172" t="str">
        <f t="shared" si="18"/>
        <v/>
      </c>
      <c r="O180" s="172" t="str">
        <f t="shared" si="19"/>
        <v/>
      </c>
    </row>
    <row r="181" spans="11:15">
      <c r="K181" s="171" t="str">
        <f t="shared" si="16"/>
        <v/>
      </c>
      <c r="L181" s="171" t="str">
        <f>IF(E181="","",IF(COUNTIFS(Table2[[#All],[De (Lote)]],'Input_APM (Zenith)'!F181)&gt;0,INDEX(Table2[[#All],[Para (Ticker Daniel)]],MATCH('Input_APM (Zenith)'!F181,Table2[[#All],[De (Lote)]],0)),'Input_APM (Zenith)'!F181))</f>
        <v/>
      </c>
      <c r="M181" s="171" t="str">
        <f t="shared" si="17"/>
        <v/>
      </c>
      <c r="N181" s="172" t="str">
        <f t="shared" si="18"/>
        <v/>
      </c>
      <c r="O181" s="172" t="str">
        <f t="shared" si="19"/>
        <v/>
      </c>
    </row>
    <row r="182" spans="11:15">
      <c r="K182" s="171" t="str">
        <f t="shared" si="16"/>
        <v/>
      </c>
      <c r="L182" s="171" t="str">
        <f>IF(E182="","",IF(COUNTIFS(Table2[[#All],[De (Lote)]],'Input_APM (Zenith)'!F182)&gt;0,INDEX(Table2[[#All],[Para (Ticker Daniel)]],MATCH('Input_APM (Zenith)'!F182,Table2[[#All],[De (Lote)]],0)),'Input_APM (Zenith)'!F182))</f>
        <v/>
      </c>
      <c r="M182" s="171" t="str">
        <f t="shared" si="17"/>
        <v/>
      </c>
      <c r="N182" s="172" t="str">
        <f t="shared" si="18"/>
        <v/>
      </c>
      <c r="O182" s="172" t="str">
        <f t="shared" si="19"/>
        <v/>
      </c>
    </row>
    <row r="183" spans="11:15">
      <c r="K183" s="171" t="str">
        <f t="shared" si="16"/>
        <v/>
      </c>
      <c r="L183" s="171" t="str">
        <f>IF(E183="","",IF(COUNTIFS(Table2[[#All],[De (Lote)]],'Input_APM (Zenith)'!F183)&gt;0,INDEX(Table2[[#All],[Para (Ticker Daniel)]],MATCH('Input_APM (Zenith)'!F183,Table2[[#All],[De (Lote)]],0)),'Input_APM (Zenith)'!F183))</f>
        <v/>
      </c>
      <c r="M183" s="171" t="str">
        <f t="shared" si="17"/>
        <v/>
      </c>
      <c r="N183" s="172" t="str">
        <f t="shared" si="18"/>
        <v/>
      </c>
      <c r="O183" s="172" t="str">
        <f t="shared" si="19"/>
        <v/>
      </c>
    </row>
    <row r="184" spans="11:15">
      <c r="K184" s="171" t="str">
        <f>IF(E184="","",E184)</f>
        <v/>
      </c>
      <c r="L184" s="171" t="str">
        <f>IF(E184="","",IF(COUNTIFS(Table2[[#All],[De (Lote)]],'Input_APM (Zenith)'!F184)&gt;0,INDEX(Table2[[#All],[Para (Ticker Daniel)]],MATCH('Input_APM (Zenith)'!F184,Table2[[#All],[De (Lote)]],0)),'Input_APM (Zenith)'!F184))</f>
        <v/>
      </c>
      <c r="M184" s="171" t="str">
        <f>IF(E184="","",G184)</f>
        <v/>
      </c>
      <c r="N184" s="172" t="str">
        <f>IF(E184="","",H184)</f>
        <v/>
      </c>
      <c r="O184" s="172" t="str">
        <f>IF(E184="","",I184)</f>
        <v/>
      </c>
    </row>
    <row r="185" spans="11:15">
      <c r="K185" s="171" t="str">
        <f>IF(E185="","",E185)</f>
        <v/>
      </c>
      <c r="L185" s="171" t="str">
        <f>IF(E185="","",IF(COUNTIFS(Table2[[#All],[De (Lote)]],'Input_APM (Zenith)'!F185)&gt;0,INDEX(Table2[[#All],[Para (Ticker Daniel)]],MATCH('Input_APM (Zenith)'!F185,Table2[[#All],[De (Lote)]],0)),'Input_APM (Zenith)'!F185))</f>
        <v/>
      </c>
      <c r="M185" s="171" t="str">
        <f>IF(E185="","",G185)</f>
        <v/>
      </c>
      <c r="N185" s="172" t="str">
        <f>IF(E185="","",H185)</f>
        <v/>
      </c>
      <c r="O185" s="172" t="str">
        <f>IF(E185="","",I185)</f>
        <v/>
      </c>
    </row>
    <row r="186" spans="11:15">
      <c r="K186" s="171" t="str">
        <f>IF(E186="","",E186)</f>
        <v/>
      </c>
      <c r="L186" s="171" t="str">
        <f>IF(E186="","",IF(COUNTIFS(Table2[[#All],[De (Lote)]],'Input_APM (Zenith)'!F186)&gt;0,INDEX(Table2[[#All],[Para (Ticker Daniel)]],MATCH('Input_APM (Zenith)'!F186,Table2[[#All],[De (Lote)]],0)),'Input_APM (Zenith)'!F186))</f>
        <v/>
      </c>
      <c r="M186" s="171" t="str">
        <f>IF(E186="","",G186)</f>
        <v/>
      </c>
      <c r="N186" s="172" t="str">
        <f>IF(E186="","",H186)</f>
        <v/>
      </c>
      <c r="O186" s="172" t="str">
        <f>IF(E186="","",I186)</f>
        <v/>
      </c>
    </row>
    <row r="187" spans="11:15">
      <c r="K187" s="171" t="str">
        <f>IF(E187="","",E187)</f>
        <v/>
      </c>
      <c r="L187" s="171" t="str">
        <f>IF(E187="","",IF(COUNTIFS(Table2[[#All],[De (Lote)]],'Input_APM (Zenith)'!F187)&gt;0,INDEX(Table2[[#All],[Para (Ticker Daniel)]],MATCH('Input_APM (Zenith)'!F187,Table2[[#All],[De (Lote)]],0)),'Input_APM (Zenith)'!F187))</f>
        <v/>
      </c>
      <c r="M187" s="171" t="str">
        <f>IF(E187="","",G187)</f>
        <v/>
      </c>
      <c r="N187" s="172" t="str">
        <f>IF(E187="","",H187)</f>
        <v/>
      </c>
      <c r="O187" s="172" t="str">
        <f>IF(E187="","",I187)</f>
        <v/>
      </c>
    </row>
    <row r="188" spans="11:15">
      <c r="K188" s="171" t="str">
        <f t="shared" ref="K188:K199" si="20">IF(E188="","",E188)</f>
        <v/>
      </c>
      <c r="L188" s="171" t="str">
        <f>IF(E188="","",IF(COUNTIFS(Table2[[#All],[De (Lote)]],'Input_APM (Zenith)'!F188)&gt;0,INDEX(Table2[[#All],[Para (Ticker Daniel)]],MATCH('Input_APM (Zenith)'!F188,Table2[[#All],[De (Lote)]],0)),'Input_APM (Zenith)'!F188))</f>
        <v/>
      </c>
      <c r="M188" s="171" t="str">
        <f t="shared" ref="M188:M199" si="21">IF(E188="","",G188)</f>
        <v/>
      </c>
      <c r="N188" s="172" t="str">
        <f t="shared" ref="N188:N199" si="22">IF(E188="","",H188)</f>
        <v/>
      </c>
      <c r="O188" s="172" t="str">
        <f t="shared" ref="O188:O199" si="23">IF(E188="","",I188)</f>
        <v/>
      </c>
    </row>
    <row r="189" spans="11:15">
      <c r="K189" s="171" t="str">
        <f t="shared" si="20"/>
        <v/>
      </c>
      <c r="L189" s="171" t="str">
        <f>IF(E189="","",IF(COUNTIFS(Table2[[#All],[De (Lote)]],'Input_APM (Zenith)'!F189)&gt;0,INDEX(Table2[[#All],[Para (Ticker Daniel)]],MATCH('Input_APM (Zenith)'!F189,Table2[[#All],[De (Lote)]],0)),'Input_APM (Zenith)'!F189))</f>
        <v/>
      </c>
      <c r="M189" s="171" t="str">
        <f t="shared" si="21"/>
        <v/>
      </c>
      <c r="N189" s="172" t="str">
        <f t="shared" si="22"/>
        <v/>
      </c>
      <c r="O189" s="172" t="str">
        <f t="shared" si="23"/>
        <v/>
      </c>
    </row>
    <row r="190" spans="11:15">
      <c r="K190" s="171" t="str">
        <f t="shared" si="20"/>
        <v/>
      </c>
      <c r="L190" s="171" t="str">
        <f>IF(E190="","",IF(COUNTIFS(Table2[[#All],[De (Lote)]],'Input_APM (Zenith)'!F190)&gt;0,INDEX(Table2[[#All],[Para (Ticker Daniel)]],MATCH('Input_APM (Zenith)'!F190,Table2[[#All],[De (Lote)]],0)),'Input_APM (Zenith)'!F190))</f>
        <v/>
      </c>
      <c r="M190" s="171" t="str">
        <f t="shared" si="21"/>
        <v/>
      </c>
      <c r="N190" s="172" t="str">
        <f t="shared" si="22"/>
        <v/>
      </c>
      <c r="O190" s="172" t="str">
        <f t="shared" si="23"/>
        <v/>
      </c>
    </row>
    <row r="191" spans="11:15">
      <c r="K191" s="171" t="str">
        <f t="shared" si="20"/>
        <v/>
      </c>
      <c r="L191" s="171" t="str">
        <f>IF(E191="","",IF(COUNTIFS(Table2[[#All],[De (Lote)]],'Input_APM (Zenith)'!F191)&gt;0,INDEX(Table2[[#All],[Para (Ticker Daniel)]],MATCH('Input_APM (Zenith)'!F191,Table2[[#All],[De (Lote)]],0)),'Input_APM (Zenith)'!F191))</f>
        <v/>
      </c>
      <c r="M191" s="171" t="str">
        <f t="shared" si="21"/>
        <v/>
      </c>
      <c r="N191" s="172" t="str">
        <f t="shared" si="22"/>
        <v/>
      </c>
      <c r="O191" s="172" t="str">
        <f t="shared" si="23"/>
        <v/>
      </c>
    </row>
    <row r="192" spans="11:15">
      <c r="K192" s="171" t="str">
        <f t="shared" si="20"/>
        <v/>
      </c>
      <c r="L192" s="171" t="str">
        <f>IF(E192="","",IF(COUNTIFS(Table2[[#All],[De (Lote)]],'Input_APM (Zenith)'!F192)&gt;0,INDEX(Table2[[#All],[Para (Ticker Daniel)]],MATCH('Input_APM (Zenith)'!F192,Table2[[#All],[De (Lote)]],0)),'Input_APM (Zenith)'!F192))</f>
        <v/>
      </c>
      <c r="M192" s="171" t="str">
        <f t="shared" si="21"/>
        <v/>
      </c>
      <c r="N192" s="172" t="str">
        <f t="shared" si="22"/>
        <v/>
      </c>
      <c r="O192" s="172" t="str">
        <f t="shared" si="23"/>
        <v/>
      </c>
    </row>
    <row r="193" spans="11:15">
      <c r="K193" s="171" t="str">
        <f t="shared" si="20"/>
        <v/>
      </c>
      <c r="L193" s="171" t="str">
        <f>IF(E193="","",IF(COUNTIFS(Table2[[#All],[De (Lote)]],'Input_APM (Zenith)'!F193)&gt;0,INDEX(Table2[[#All],[Para (Ticker Daniel)]],MATCH('Input_APM (Zenith)'!F193,Table2[[#All],[De (Lote)]],0)),'Input_APM (Zenith)'!F193))</f>
        <v/>
      </c>
      <c r="M193" s="171" t="str">
        <f t="shared" si="21"/>
        <v/>
      </c>
      <c r="N193" s="172" t="str">
        <f t="shared" si="22"/>
        <v/>
      </c>
      <c r="O193" s="172" t="str">
        <f t="shared" si="23"/>
        <v/>
      </c>
    </row>
    <row r="194" spans="11:15">
      <c r="K194" s="171" t="str">
        <f t="shared" si="20"/>
        <v/>
      </c>
      <c r="L194" s="171" t="str">
        <f>IF(E194="","",IF(COUNTIFS(Table2[[#All],[De (Lote)]],'Input_APM (Zenith)'!F194)&gt;0,INDEX(Table2[[#All],[Para (Ticker Daniel)]],MATCH('Input_APM (Zenith)'!F194,Table2[[#All],[De (Lote)]],0)),'Input_APM (Zenith)'!F194))</f>
        <v/>
      </c>
      <c r="M194" s="171" t="str">
        <f t="shared" si="21"/>
        <v/>
      </c>
      <c r="N194" s="172" t="str">
        <f t="shared" si="22"/>
        <v/>
      </c>
      <c r="O194" s="172" t="str">
        <f t="shared" si="23"/>
        <v/>
      </c>
    </row>
    <row r="195" spans="11:15">
      <c r="K195" s="171" t="str">
        <f t="shared" si="20"/>
        <v/>
      </c>
      <c r="L195" s="171" t="str">
        <f>IF(E195="","",IF(COUNTIFS(Table2[[#All],[De (Lote)]],'Input_APM (Zenith)'!F195)&gt;0,INDEX(Table2[[#All],[Para (Ticker Daniel)]],MATCH('Input_APM (Zenith)'!F195,Table2[[#All],[De (Lote)]],0)),'Input_APM (Zenith)'!F195))</f>
        <v/>
      </c>
      <c r="M195" s="171" t="str">
        <f t="shared" si="21"/>
        <v/>
      </c>
      <c r="N195" s="172" t="str">
        <f t="shared" si="22"/>
        <v/>
      </c>
      <c r="O195" s="172" t="str">
        <f t="shared" si="23"/>
        <v/>
      </c>
    </row>
    <row r="196" spans="11:15">
      <c r="K196" s="171" t="str">
        <f t="shared" si="20"/>
        <v/>
      </c>
      <c r="L196" s="171" t="str">
        <f>IF(E196="","",IF(COUNTIFS(Table2[[#All],[De (Lote)]],'Input_APM (Zenith)'!F196)&gt;0,INDEX(Table2[[#All],[Para (Ticker Daniel)]],MATCH('Input_APM (Zenith)'!F196,Table2[[#All],[De (Lote)]],0)),'Input_APM (Zenith)'!F196))</f>
        <v/>
      </c>
      <c r="M196" s="171" t="str">
        <f t="shared" si="21"/>
        <v/>
      </c>
      <c r="N196" s="172" t="str">
        <f t="shared" si="22"/>
        <v/>
      </c>
      <c r="O196" s="172" t="str">
        <f t="shared" si="23"/>
        <v/>
      </c>
    </row>
    <row r="197" spans="11:15">
      <c r="K197" s="171" t="str">
        <f t="shared" si="20"/>
        <v/>
      </c>
      <c r="L197" s="171" t="str">
        <f>IF(E197="","",IF(COUNTIFS(Table2[[#All],[De (Lote)]],'Input_APM (Zenith)'!F197)&gt;0,INDEX(Table2[[#All],[Para (Ticker Daniel)]],MATCH('Input_APM (Zenith)'!F197,Table2[[#All],[De (Lote)]],0)),'Input_APM (Zenith)'!F197))</f>
        <v/>
      </c>
      <c r="M197" s="171" t="str">
        <f t="shared" si="21"/>
        <v/>
      </c>
      <c r="N197" s="172" t="str">
        <f t="shared" si="22"/>
        <v/>
      </c>
      <c r="O197" s="172" t="str">
        <f t="shared" si="23"/>
        <v/>
      </c>
    </row>
    <row r="198" spans="11:15">
      <c r="K198" s="171" t="str">
        <f t="shared" si="20"/>
        <v/>
      </c>
      <c r="L198" s="171" t="str">
        <f>IF(E198="","",IF(COUNTIFS(Table2[[#All],[De (Lote)]],'Input_APM (Zenith)'!F198)&gt;0,INDEX(Table2[[#All],[Para (Ticker Daniel)]],MATCH('Input_APM (Zenith)'!F198,Table2[[#All],[De (Lote)]],0)),'Input_APM (Zenith)'!F198))</f>
        <v/>
      </c>
      <c r="M198" s="171" t="str">
        <f t="shared" si="21"/>
        <v/>
      </c>
      <c r="N198" s="172" t="str">
        <f t="shared" si="22"/>
        <v/>
      </c>
      <c r="O198" s="172" t="str">
        <f t="shared" si="23"/>
        <v/>
      </c>
    </row>
    <row r="199" spans="11:15">
      <c r="K199" s="171" t="str">
        <f t="shared" si="20"/>
        <v/>
      </c>
      <c r="L199" s="171" t="str">
        <f>IF(E199="","",IF(COUNTIFS(Table2[[#All],[De (Lote)]],'Input_APM (Zenith)'!F199)&gt;0,INDEX(Table2[[#All],[Para (Ticker Daniel)]],MATCH('Input_APM (Zenith)'!F199,Table2[[#All],[De (Lote)]],0)),'Input_APM (Zenith)'!F199))</f>
        <v/>
      </c>
      <c r="M199" s="171" t="str">
        <f t="shared" si="21"/>
        <v/>
      </c>
      <c r="N199" s="172" t="str">
        <f t="shared" si="22"/>
        <v/>
      </c>
      <c r="O199" s="172" t="str">
        <f t="shared" si="23"/>
        <v/>
      </c>
    </row>
    <row r="200" spans="11:15">
      <c r="K200" s="171" t="str">
        <f t="shared" ref="K200:K212" si="24">IF(E200="","",E200)</f>
        <v/>
      </c>
      <c r="L200" s="171" t="str">
        <f>IF(E200="","",IF(COUNTIFS(Table2[[#All],[De (Lote)]],'Input_APM (Zenith)'!F200)&gt;0,INDEX(Table2[[#All],[Para (Ticker Daniel)]],MATCH('Input_APM (Zenith)'!F200,Table2[[#All],[De (Lote)]],0)),'Input_APM (Zenith)'!F200))</f>
        <v/>
      </c>
      <c r="M200" s="171" t="str">
        <f t="shared" ref="M200:M212" si="25">IF(E200="","",G200)</f>
        <v/>
      </c>
      <c r="N200" s="172" t="str">
        <f t="shared" ref="N200:N212" si="26">IF(E200="","",H200)</f>
        <v/>
      </c>
      <c r="O200" s="172" t="str">
        <f t="shared" ref="O200:O212" si="27">IF(E200="","",I200)</f>
        <v/>
      </c>
    </row>
    <row r="201" spans="11:15">
      <c r="K201" s="171" t="str">
        <f t="shared" si="24"/>
        <v/>
      </c>
      <c r="L201" s="171" t="str">
        <f>IF(E201="","",IF(COUNTIFS(Table2[[#All],[De (Lote)]],'Input_APM (Zenith)'!F201)&gt;0,INDEX(Table2[[#All],[Para (Ticker Daniel)]],MATCH('Input_APM (Zenith)'!F201,Table2[[#All],[De (Lote)]],0)),'Input_APM (Zenith)'!F201))</f>
        <v/>
      </c>
      <c r="M201" s="171" t="str">
        <f t="shared" si="25"/>
        <v/>
      </c>
      <c r="N201" s="172" t="str">
        <f t="shared" si="26"/>
        <v/>
      </c>
      <c r="O201" s="172" t="str">
        <f t="shared" si="27"/>
        <v/>
      </c>
    </row>
    <row r="202" spans="11:15">
      <c r="K202" s="171" t="str">
        <f t="shared" si="24"/>
        <v/>
      </c>
      <c r="L202" s="171" t="str">
        <f>IF(E202="","",IF(COUNTIFS(Table2[[#All],[De (Lote)]],'Input_APM (Zenith)'!F202)&gt;0,INDEX(Table2[[#All],[Para (Ticker Daniel)]],MATCH('Input_APM (Zenith)'!F202,Table2[[#All],[De (Lote)]],0)),'Input_APM (Zenith)'!F202))</f>
        <v/>
      </c>
      <c r="M202" s="171" t="str">
        <f t="shared" si="25"/>
        <v/>
      </c>
      <c r="N202" s="172" t="str">
        <f t="shared" si="26"/>
        <v/>
      </c>
      <c r="O202" s="172" t="str">
        <f t="shared" si="27"/>
        <v/>
      </c>
    </row>
    <row r="203" spans="11:15">
      <c r="K203" s="171" t="str">
        <f t="shared" si="24"/>
        <v/>
      </c>
      <c r="L203" s="171" t="str">
        <f>IF(E203="","",IF(COUNTIFS(Table2[[#All],[De (Lote)]],'Input_APM (Zenith)'!F203)&gt;0,INDEX(Table2[[#All],[Para (Ticker Daniel)]],MATCH('Input_APM (Zenith)'!F203,Table2[[#All],[De (Lote)]],0)),'Input_APM (Zenith)'!F203))</f>
        <v/>
      </c>
      <c r="M203" s="171" t="str">
        <f t="shared" si="25"/>
        <v/>
      </c>
      <c r="N203" s="172" t="str">
        <f t="shared" si="26"/>
        <v/>
      </c>
      <c r="O203" s="172" t="str">
        <f t="shared" si="27"/>
        <v/>
      </c>
    </row>
    <row r="204" spans="11:15">
      <c r="K204" s="171" t="str">
        <f t="shared" si="24"/>
        <v/>
      </c>
      <c r="L204" s="171" t="str">
        <f>IF(E204="","",IF(COUNTIFS(Table2[[#All],[De (Lote)]],'Input_APM (Zenith)'!F204)&gt;0,INDEX(Table2[[#All],[Para (Ticker Daniel)]],MATCH('Input_APM (Zenith)'!F204,Table2[[#All],[De (Lote)]],0)),'Input_APM (Zenith)'!F204))</f>
        <v/>
      </c>
      <c r="M204" s="171" t="str">
        <f t="shared" si="25"/>
        <v/>
      </c>
      <c r="N204" s="172" t="str">
        <f t="shared" si="26"/>
        <v/>
      </c>
      <c r="O204" s="172" t="str">
        <f t="shared" si="27"/>
        <v/>
      </c>
    </row>
    <row r="205" spans="11:15">
      <c r="K205" s="171" t="str">
        <f t="shared" si="24"/>
        <v/>
      </c>
      <c r="L205" s="171" t="str">
        <f>IF(E205="","",IF(COUNTIFS(Table2[[#All],[De (Lote)]],'Input_APM (Zenith)'!F205)&gt;0,INDEX(Table2[[#All],[Para (Ticker Daniel)]],MATCH('Input_APM (Zenith)'!F205,Table2[[#All],[De (Lote)]],0)),'Input_APM (Zenith)'!F205))</f>
        <v/>
      </c>
      <c r="M205" s="171" t="str">
        <f t="shared" si="25"/>
        <v/>
      </c>
      <c r="N205" s="172" t="str">
        <f t="shared" si="26"/>
        <v/>
      </c>
      <c r="O205" s="172" t="str">
        <f t="shared" si="27"/>
        <v/>
      </c>
    </row>
    <row r="206" spans="11:15">
      <c r="K206" s="171" t="str">
        <f t="shared" si="24"/>
        <v/>
      </c>
      <c r="L206" s="171" t="str">
        <f>IF(E206="","",IF(COUNTIFS(Table2[[#All],[De (Lote)]],'Input_APM (Zenith)'!F206)&gt;0,INDEX(Table2[[#All],[Para (Ticker Daniel)]],MATCH('Input_APM (Zenith)'!F206,Table2[[#All],[De (Lote)]],0)),'Input_APM (Zenith)'!F206))</f>
        <v/>
      </c>
      <c r="M206" s="171" t="str">
        <f t="shared" si="25"/>
        <v/>
      </c>
      <c r="N206" s="172" t="str">
        <f t="shared" si="26"/>
        <v/>
      </c>
      <c r="O206" s="172" t="str">
        <f t="shared" si="27"/>
        <v/>
      </c>
    </row>
    <row r="207" spans="11:15">
      <c r="K207" s="171" t="str">
        <f t="shared" si="24"/>
        <v/>
      </c>
      <c r="L207" s="171" t="str">
        <f>IF(E207="","",IF(COUNTIFS(Table2[[#All],[De (Lote)]],'Input_APM (Zenith)'!F207)&gt;0,INDEX(Table2[[#All],[Para (Ticker Daniel)]],MATCH('Input_APM (Zenith)'!F207,Table2[[#All],[De (Lote)]],0)),'Input_APM (Zenith)'!F207))</f>
        <v/>
      </c>
      <c r="M207" s="171" t="str">
        <f t="shared" si="25"/>
        <v/>
      </c>
      <c r="N207" s="172" t="str">
        <f t="shared" si="26"/>
        <v/>
      </c>
      <c r="O207" s="172" t="str">
        <f t="shared" si="27"/>
        <v/>
      </c>
    </row>
    <row r="208" spans="11:15">
      <c r="K208" s="171" t="str">
        <f t="shared" si="24"/>
        <v/>
      </c>
      <c r="L208" s="171" t="str">
        <f>IF(E208="","",IF(COUNTIFS(Table2[[#All],[De (Lote)]],'Input_APM (Zenith)'!F208)&gt;0,INDEX(Table2[[#All],[Para (Ticker Daniel)]],MATCH('Input_APM (Zenith)'!F208,Table2[[#All],[De (Lote)]],0)),'Input_APM (Zenith)'!F208))</f>
        <v/>
      </c>
      <c r="M208" s="171" t="str">
        <f t="shared" si="25"/>
        <v/>
      </c>
      <c r="N208" s="172" t="str">
        <f t="shared" si="26"/>
        <v/>
      </c>
      <c r="O208" s="172" t="str">
        <f t="shared" si="27"/>
        <v/>
      </c>
    </row>
    <row r="209" spans="8:15">
      <c r="K209" s="171" t="str">
        <f t="shared" si="24"/>
        <v/>
      </c>
      <c r="L209" s="171" t="str">
        <f>IF(E209="","",IF(COUNTIFS(Table2[[#All],[De (Lote)]],'Input_APM (Zenith)'!F209)&gt;0,INDEX(Table2[[#All],[Para (Ticker Daniel)]],MATCH('Input_APM (Zenith)'!F209,Table2[[#All],[De (Lote)]],0)),'Input_APM (Zenith)'!F209))</f>
        <v/>
      </c>
      <c r="M209" s="171" t="str">
        <f t="shared" si="25"/>
        <v/>
      </c>
      <c r="N209" s="172" t="str">
        <f t="shared" si="26"/>
        <v/>
      </c>
      <c r="O209" s="172" t="str">
        <f t="shared" si="27"/>
        <v/>
      </c>
    </row>
    <row r="210" spans="8:15">
      <c r="K210" s="171" t="str">
        <f t="shared" si="24"/>
        <v/>
      </c>
      <c r="L210" s="171" t="str">
        <f>IF(E210="","",IF(COUNTIFS(Table2[[#All],[De (Lote)]],'Input_APM (Zenith)'!F210)&gt;0,INDEX(Table2[[#All],[Para (Ticker Daniel)]],MATCH('Input_APM (Zenith)'!F210,Table2[[#All],[De (Lote)]],0)),'Input_APM (Zenith)'!F210))</f>
        <v/>
      </c>
      <c r="M210" s="171" t="str">
        <f t="shared" si="25"/>
        <v/>
      </c>
      <c r="N210" s="172" t="str">
        <f t="shared" si="26"/>
        <v/>
      </c>
      <c r="O210" s="172" t="str">
        <f t="shared" si="27"/>
        <v/>
      </c>
    </row>
    <row r="211" spans="8:15">
      <c r="H211" s="180"/>
      <c r="K211" s="171" t="str">
        <f t="shared" si="24"/>
        <v/>
      </c>
      <c r="L211" s="171" t="str">
        <f>IF(E211="","",IF(COUNTIFS(Table2[[#All],[De (Lote)]],'Input_APM (Zenith)'!F211)&gt;0,INDEX(Table2[[#All],[Para (Ticker Daniel)]],MATCH('Input_APM (Zenith)'!F211,Table2[[#All],[De (Lote)]],0)),'Input_APM (Zenith)'!F211))</f>
        <v/>
      </c>
      <c r="M211" s="171" t="str">
        <f t="shared" si="25"/>
        <v/>
      </c>
      <c r="N211" s="172" t="str">
        <f t="shared" si="26"/>
        <v/>
      </c>
      <c r="O211" s="172" t="str">
        <f t="shared" si="27"/>
        <v/>
      </c>
    </row>
    <row r="212" spans="8:15">
      <c r="H212" s="180"/>
      <c r="K212" s="171" t="str">
        <f t="shared" si="24"/>
        <v/>
      </c>
      <c r="L212" s="171" t="str">
        <f>IF(E212="","",IF(COUNTIFS(Table2[[#All],[De (Lote)]],'Input_APM (Zenith)'!F212)&gt;0,INDEX(Table2[[#All],[Para (Ticker Daniel)]],MATCH('Input_APM (Zenith)'!F212,Table2[[#All],[De (Lote)]],0)),'Input_APM (Zenith)'!F212))</f>
        <v/>
      </c>
      <c r="M212" s="171" t="str">
        <f t="shared" si="25"/>
        <v/>
      </c>
      <c r="N212" s="172" t="str">
        <f t="shared" si="26"/>
        <v/>
      </c>
      <c r="O212" s="172" t="str">
        <f t="shared" si="27"/>
        <v/>
      </c>
    </row>
    <row r="213" spans="8:15">
      <c r="H213" s="180"/>
      <c r="K213" s="171" t="str">
        <f t="shared" ref="K213:K219" si="28">IF(E213="","",E213)</f>
        <v/>
      </c>
      <c r="L213" s="171" t="str">
        <f>IF(E213="","",IF(COUNTIFS(Table2[[#All],[De (Lote)]],'Input_APM (Zenith)'!F213)&gt;0,INDEX(Table2[[#All],[Para (Ticker Daniel)]],MATCH('Input_APM (Zenith)'!F213,Table2[[#All],[De (Lote)]],0)),'Input_APM (Zenith)'!F213))</f>
        <v/>
      </c>
      <c r="M213" s="171" t="str">
        <f t="shared" ref="M213:M219" si="29">IF(E213="","",G213)</f>
        <v/>
      </c>
      <c r="N213" s="172" t="str">
        <f t="shared" ref="N213:N219" si="30">IF(E213="","",H213)</f>
        <v/>
      </c>
      <c r="O213" s="172" t="str">
        <f t="shared" ref="O213:O219" si="31">IF(E213="","",I213)</f>
        <v/>
      </c>
    </row>
    <row r="214" spans="8:15">
      <c r="H214" s="180"/>
      <c r="K214" s="171" t="str">
        <f t="shared" si="28"/>
        <v/>
      </c>
      <c r="L214" s="171" t="str">
        <f>IF(E214="","",IF(COUNTIFS(Table2[[#All],[De (Lote)]],'Input_APM (Zenith)'!F214)&gt;0,INDEX(Table2[[#All],[Para (Ticker Daniel)]],MATCH('Input_APM (Zenith)'!F214,Table2[[#All],[De (Lote)]],0)),'Input_APM (Zenith)'!F214))</f>
        <v/>
      </c>
      <c r="M214" s="171" t="str">
        <f t="shared" si="29"/>
        <v/>
      </c>
      <c r="N214" s="172" t="str">
        <f t="shared" si="30"/>
        <v/>
      </c>
      <c r="O214" s="172" t="str">
        <f t="shared" si="31"/>
        <v/>
      </c>
    </row>
    <row r="215" spans="8:15">
      <c r="H215" s="180"/>
      <c r="K215" s="171" t="str">
        <f t="shared" si="28"/>
        <v/>
      </c>
      <c r="L215" s="171" t="str">
        <f>IF(E215="","",IF(COUNTIFS(Table2[[#All],[De (Lote)]],'Input_APM (Zenith)'!F215)&gt;0,INDEX(Table2[[#All],[Para (Ticker Daniel)]],MATCH('Input_APM (Zenith)'!F215,Table2[[#All],[De (Lote)]],0)),'Input_APM (Zenith)'!F215))</f>
        <v/>
      </c>
      <c r="M215" s="171" t="str">
        <f t="shared" si="29"/>
        <v/>
      </c>
      <c r="N215" s="172" t="str">
        <f t="shared" si="30"/>
        <v/>
      </c>
      <c r="O215" s="172" t="str">
        <f t="shared" si="31"/>
        <v/>
      </c>
    </row>
    <row r="216" spans="8:15">
      <c r="H216" s="180"/>
      <c r="K216" s="171" t="str">
        <f t="shared" si="28"/>
        <v/>
      </c>
      <c r="L216" s="171" t="str">
        <f>IF(E216="","",IF(COUNTIFS(Table2[[#All],[De (Lote)]],'Input_APM (Zenith)'!F216)&gt;0,INDEX(Table2[[#All],[Para (Ticker Daniel)]],MATCH('Input_APM (Zenith)'!F216,Table2[[#All],[De (Lote)]],0)),'Input_APM (Zenith)'!F216))</f>
        <v/>
      </c>
      <c r="M216" s="171" t="str">
        <f t="shared" si="29"/>
        <v/>
      </c>
      <c r="N216" s="172" t="str">
        <f t="shared" si="30"/>
        <v/>
      </c>
      <c r="O216" s="172" t="str">
        <f t="shared" si="31"/>
        <v/>
      </c>
    </row>
    <row r="217" spans="8:15">
      <c r="H217" s="180"/>
      <c r="K217" s="171" t="str">
        <f t="shared" si="28"/>
        <v/>
      </c>
      <c r="L217" s="171" t="str">
        <f>IF(E217="","",IF(COUNTIFS(Table2[[#All],[De (Lote)]],'Input_APM (Zenith)'!F217)&gt;0,INDEX(Table2[[#All],[Para (Ticker Daniel)]],MATCH('Input_APM (Zenith)'!F217,Table2[[#All],[De (Lote)]],0)),'Input_APM (Zenith)'!F217))</f>
        <v/>
      </c>
      <c r="M217" s="171" t="str">
        <f t="shared" si="29"/>
        <v/>
      </c>
      <c r="N217" s="172" t="str">
        <f t="shared" si="30"/>
        <v/>
      </c>
      <c r="O217" s="172" t="str">
        <f t="shared" si="31"/>
        <v/>
      </c>
    </row>
    <row r="218" spans="8:15">
      <c r="H218" s="180"/>
      <c r="K218" s="171" t="str">
        <f t="shared" si="28"/>
        <v/>
      </c>
      <c r="L218" s="171" t="str">
        <f>IF(E218="","",IF(COUNTIFS(Table2[[#All],[De (Lote)]],'Input_APM (Zenith)'!F218)&gt;0,INDEX(Table2[[#All],[Para (Ticker Daniel)]],MATCH('Input_APM (Zenith)'!F218,Table2[[#All],[De (Lote)]],0)),'Input_APM (Zenith)'!F218))</f>
        <v/>
      </c>
      <c r="M218" s="171" t="str">
        <f t="shared" si="29"/>
        <v/>
      </c>
      <c r="N218" s="172" t="str">
        <f t="shared" si="30"/>
        <v/>
      </c>
      <c r="O218" s="172" t="str">
        <f t="shared" si="31"/>
        <v/>
      </c>
    </row>
    <row r="219" spans="8:15">
      <c r="K219" s="171" t="str">
        <f t="shared" si="28"/>
        <v/>
      </c>
      <c r="L219" s="171" t="str">
        <f>IF(E219="","",IF(COUNTIFS(Table2[[#All],[De (Lote)]],'Input_APM (Zenith)'!F219)&gt;0,INDEX(Table2[[#All],[Para (Ticker Daniel)]],MATCH('Input_APM (Zenith)'!F219,Table2[[#All],[De (Lote)]],0)),'Input_APM (Zenith)'!F219))</f>
        <v/>
      </c>
      <c r="M219" s="171" t="str">
        <f t="shared" si="29"/>
        <v/>
      </c>
      <c r="N219" s="172" t="str">
        <f t="shared" si="30"/>
        <v/>
      </c>
      <c r="O219" s="172" t="str">
        <f t="shared" si="31"/>
        <v/>
      </c>
    </row>
    <row r="220" spans="8:15">
      <c r="K220" s="171" t="str">
        <f>IF(E220="","",E220)</f>
        <v/>
      </c>
      <c r="L220" s="171" t="str">
        <f>IF(E220="","",IF(COUNTIFS(Table2[[#All],[De (Lote)]],'Input_APM (Zenith)'!F220)&gt;0,INDEX(Table2[[#All],[Para (Ticker Daniel)]],MATCH('Input_APM (Zenith)'!F220,Table2[[#All],[De (Lote)]],0)),'Input_APM (Zenith)'!F220))</f>
        <v/>
      </c>
      <c r="M220" s="171" t="str">
        <f>IF(E220="","",G220)</f>
        <v/>
      </c>
      <c r="N220" s="172" t="str">
        <f>IF(E220="","",H220)</f>
        <v/>
      </c>
      <c r="O220" s="172" t="str">
        <f>IF(E220="","",I220)</f>
        <v/>
      </c>
    </row>
    <row r="221" spans="8:15">
      <c r="K221" s="171" t="str">
        <f>IF(E221="","",E221)</f>
        <v/>
      </c>
      <c r="L221" s="171" t="str">
        <f>IF(E221="","",IF(COUNTIFS(Table2[[#All],[De (Lote)]],'Input_APM (Zenith)'!F221)&gt;0,INDEX(Table2[[#All],[Para (Ticker Daniel)]],MATCH('Input_APM (Zenith)'!F221,Table2[[#All],[De (Lote)]],0)),'Input_APM (Zenith)'!F221))</f>
        <v/>
      </c>
      <c r="M221" s="171" t="str">
        <f>IF(E221="","",G221)</f>
        <v/>
      </c>
      <c r="N221" s="172" t="str">
        <f>IF(E221="","",H221)</f>
        <v/>
      </c>
      <c r="O221" s="172" t="str">
        <f>IF(E221="","",I221)</f>
        <v/>
      </c>
    </row>
    <row r="222" spans="8:15">
      <c r="K222" s="171" t="str">
        <f t="shared" ref="K222:K261" si="32">IF(E222="","",E222)</f>
        <v/>
      </c>
      <c r="L222" s="171" t="str">
        <f>IF(E222="","",IF(COUNTIFS(Table2[[#All],[De (Lote)]],'Input_APM (Zenith)'!F222)&gt;0,INDEX(Table2[[#All],[Para (Ticker Daniel)]],MATCH('Input_APM (Zenith)'!F222,Table2[[#All],[De (Lote)]],0)),'Input_APM (Zenith)'!F222))</f>
        <v/>
      </c>
      <c r="M222" s="171" t="str">
        <f t="shared" ref="M222:M261" si="33">IF(E222="","",G222)</f>
        <v/>
      </c>
      <c r="N222" s="172" t="str">
        <f t="shared" ref="N222:N261" si="34">IF(E222="","",H222)</f>
        <v/>
      </c>
      <c r="O222" s="172" t="str">
        <f t="shared" ref="O222:O261" si="35">IF(E222="","",I222)</f>
        <v/>
      </c>
    </row>
    <row r="223" spans="8:15">
      <c r="K223" s="171" t="str">
        <f t="shared" si="32"/>
        <v/>
      </c>
      <c r="L223" s="171" t="str">
        <f>IF(E223="","",IF(COUNTIFS(Table2[[#All],[De (Lote)]],'Input_APM (Zenith)'!F223)&gt;0,INDEX(Table2[[#All],[Para (Ticker Daniel)]],MATCH('Input_APM (Zenith)'!F223,Table2[[#All],[De (Lote)]],0)),'Input_APM (Zenith)'!F223))</f>
        <v/>
      </c>
      <c r="M223" s="171" t="str">
        <f t="shared" si="33"/>
        <v/>
      </c>
      <c r="N223" s="172" t="str">
        <f t="shared" si="34"/>
        <v/>
      </c>
      <c r="O223" s="172" t="str">
        <f t="shared" si="35"/>
        <v/>
      </c>
    </row>
    <row r="224" spans="8:15">
      <c r="K224" s="171" t="str">
        <f t="shared" si="32"/>
        <v/>
      </c>
      <c r="L224" s="171" t="str">
        <f>IF(E224="","",IF(COUNTIFS(Table2[[#All],[De (Lote)]],'Input_APM (Zenith)'!F224)&gt;0,INDEX(Table2[[#All],[Para (Ticker Daniel)]],MATCH('Input_APM (Zenith)'!F224,Table2[[#All],[De (Lote)]],0)),'Input_APM (Zenith)'!F224))</f>
        <v/>
      </c>
      <c r="M224" s="171" t="str">
        <f t="shared" si="33"/>
        <v/>
      </c>
      <c r="N224" s="172" t="str">
        <f t="shared" si="34"/>
        <v/>
      </c>
      <c r="O224" s="172" t="str">
        <f t="shared" si="35"/>
        <v/>
      </c>
    </row>
    <row r="225" spans="11:15">
      <c r="K225" s="171" t="str">
        <f t="shared" si="32"/>
        <v/>
      </c>
      <c r="L225" s="171" t="str">
        <f>IF(E225="","",IF(COUNTIFS(Table2[[#All],[De (Lote)]],'Input_APM (Zenith)'!F225)&gt;0,INDEX(Table2[[#All],[Para (Ticker Daniel)]],MATCH('Input_APM (Zenith)'!F225,Table2[[#All],[De (Lote)]],0)),'Input_APM (Zenith)'!F225))</f>
        <v/>
      </c>
      <c r="M225" s="171" t="str">
        <f t="shared" si="33"/>
        <v/>
      </c>
      <c r="N225" s="172" t="str">
        <f t="shared" si="34"/>
        <v/>
      </c>
      <c r="O225" s="172" t="str">
        <f t="shared" si="35"/>
        <v/>
      </c>
    </row>
    <row r="226" spans="11:15">
      <c r="K226" s="171" t="str">
        <f t="shared" si="32"/>
        <v/>
      </c>
      <c r="L226" s="171" t="str">
        <f>IF(E226="","",IF(COUNTIFS(Table2[[#All],[De (Lote)]],'Input_APM (Zenith)'!F226)&gt;0,INDEX(Table2[[#All],[Para (Ticker Daniel)]],MATCH('Input_APM (Zenith)'!F226,Table2[[#All],[De (Lote)]],0)),'Input_APM (Zenith)'!F226))</f>
        <v/>
      </c>
      <c r="M226" s="171" t="str">
        <f t="shared" si="33"/>
        <v/>
      </c>
      <c r="N226" s="172" t="str">
        <f t="shared" si="34"/>
        <v/>
      </c>
      <c r="O226" s="172" t="str">
        <f t="shared" si="35"/>
        <v/>
      </c>
    </row>
    <row r="227" spans="11:15">
      <c r="K227" s="171" t="str">
        <f t="shared" si="32"/>
        <v/>
      </c>
      <c r="L227" s="171" t="str">
        <f>IF(E227="","",IF(COUNTIFS(Table2[[#All],[De (Lote)]],'Input_APM (Zenith)'!F227)&gt;0,INDEX(Table2[[#All],[Para (Ticker Daniel)]],MATCH('Input_APM (Zenith)'!F227,Table2[[#All],[De (Lote)]],0)),'Input_APM (Zenith)'!F227))</f>
        <v/>
      </c>
      <c r="M227" s="171" t="str">
        <f t="shared" si="33"/>
        <v/>
      </c>
      <c r="N227" s="172" t="str">
        <f t="shared" si="34"/>
        <v/>
      </c>
      <c r="O227" s="172" t="str">
        <f t="shared" si="35"/>
        <v/>
      </c>
    </row>
    <row r="228" spans="11:15">
      <c r="K228" s="171" t="str">
        <f t="shared" si="32"/>
        <v/>
      </c>
      <c r="L228" s="171" t="str">
        <f>IF(E228="","",IF(COUNTIFS(Table2[[#All],[De (Lote)]],'Input_APM (Zenith)'!F228)&gt;0,INDEX(Table2[[#All],[Para (Ticker Daniel)]],MATCH('Input_APM (Zenith)'!F228,Table2[[#All],[De (Lote)]],0)),'Input_APM (Zenith)'!F228))</f>
        <v/>
      </c>
      <c r="M228" s="171" t="str">
        <f t="shared" si="33"/>
        <v/>
      </c>
      <c r="N228" s="172" t="str">
        <f t="shared" si="34"/>
        <v/>
      </c>
      <c r="O228" s="172" t="str">
        <f t="shared" si="35"/>
        <v/>
      </c>
    </row>
    <row r="229" spans="11:15">
      <c r="K229" s="171" t="str">
        <f t="shared" si="32"/>
        <v/>
      </c>
      <c r="L229" s="171" t="str">
        <f>IF(E229="","",IF(COUNTIFS(Table2[[#All],[De (Lote)]],'Input_APM (Zenith)'!F229)&gt;0,INDEX(Table2[[#All],[Para (Ticker Daniel)]],MATCH('Input_APM (Zenith)'!F229,Table2[[#All],[De (Lote)]],0)),'Input_APM (Zenith)'!F229))</f>
        <v/>
      </c>
      <c r="M229" s="171" t="str">
        <f t="shared" si="33"/>
        <v/>
      </c>
      <c r="N229" s="172" t="str">
        <f t="shared" si="34"/>
        <v/>
      </c>
      <c r="O229" s="172" t="str">
        <f t="shared" si="35"/>
        <v/>
      </c>
    </row>
    <row r="230" spans="11:15">
      <c r="K230" s="171" t="str">
        <f t="shared" si="32"/>
        <v/>
      </c>
      <c r="L230" s="171" t="str">
        <f>IF(E230="","",IF(COUNTIFS(Table2[[#All],[De (Lote)]],'Input_APM (Zenith)'!F230)&gt;0,INDEX(Table2[[#All],[Para (Ticker Daniel)]],MATCH('Input_APM (Zenith)'!F230,Table2[[#All],[De (Lote)]],0)),'Input_APM (Zenith)'!F230))</f>
        <v/>
      </c>
      <c r="M230" s="171" t="str">
        <f t="shared" si="33"/>
        <v/>
      </c>
      <c r="N230" s="172" t="str">
        <f t="shared" si="34"/>
        <v/>
      </c>
      <c r="O230" s="172" t="str">
        <f t="shared" si="35"/>
        <v/>
      </c>
    </row>
    <row r="231" spans="11:15">
      <c r="K231" s="171" t="str">
        <f t="shared" si="32"/>
        <v/>
      </c>
      <c r="L231" s="171" t="str">
        <f>IF(E231="","",IF(COUNTIFS(Table2[[#All],[De (Lote)]],'Input_APM (Zenith)'!F231)&gt;0,INDEX(Table2[[#All],[Para (Ticker Daniel)]],MATCH('Input_APM (Zenith)'!F231,Table2[[#All],[De (Lote)]],0)),'Input_APM (Zenith)'!F231))</f>
        <v/>
      </c>
      <c r="M231" s="171" t="str">
        <f t="shared" si="33"/>
        <v/>
      </c>
      <c r="N231" s="172" t="str">
        <f t="shared" si="34"/>
        <v/>
      </c>
      <c r="O231" s="172" t="str">
        <f t="shared" si="35"/>
        <v/>
      </c>
    </row>
    <row r="232" spans="11:15">
      <c r="K232" s="171" t="str">
        <f t="shared" si="32"/>
        <v/>
      </c>
      <c r="L232" s="171" t="str">
        <f>IF(E232="","",IF(COUNTIFS(Table2[[#All],[De (Lote)]],'Input_APM (Zenith)'!F232)&gt;0,INDEX(Table2[[#All],[Para (Ticker Daniel)]],MATCH('Input_APM (Zenith)'!F232,Table2[[#All],[De (Lote)]],0)),'Input_APM (Zenith)'!F232))</f>
        <v/>
      </c>
      <c r="M232" s="171" t="str">
        <f t="shared" si="33"/>
        <v/>
      </c>
      <c r="N232" s="172" t="str">
        <f t="shared" si="34"/>
        <v/>
      </c>
      <c r="O232" s="172" t="str">
        <f t="shared" si="35"/>
        <v/>
      </c>
    </row>
    <row r="233" spans="11:15">
      <c r="K233" s="171" t="str">
        <f t="shared" si="32"/>
        <v/>
      </c>
      <c r="L233" s="171" t="str">
        <f>IF(E233="","",IF(COUNTIFS(Table2[[#All],[De (Lote)]],'Input_APM (Zenith)'!F233)&gt;0,INDEX(Table2[[#All],[Para (Ticker Daniel)]],MATCH('Input_APM (Zenith)'!F233,Table2[[#All],[De (Lote)]],0)),'Input_APM (Zenith)'!F233))</f>
        <v/>
      </c>
      <c r="M233" s="171" t="str">
        <f t="shared" si="33"/>
        <v/>
      </c>
      <c r="N233" s="172" t="str">
        <f t="shared" si="34"/>
        <v/>
      </c>
      <c r="O233" s="172" t="str">
        <f t="shared" si="35"/>
        <v/>
      </c>
    </row>
    <row r="234" spans="11:15">
      <c r="K234" s="171" t="str">
        <f t="shared" si="32"/>
        <v/>
      </c>
      <c r="L234" s="171" t="str">
        <f>IF(E234="","",IF(COUNTIFS(Table2[[#All],[De (Lote)]],'Input_APM (Zenith)'!F234)&gt;0,INDEX(Table2[[#All],[Para (Ticker Daniel)]],MATCH('Input_APM (Zenith)'!F234,Table2[[#All],[De (Lote)]],0)),'Input_APM (Zenith)'!F234))</f>
        <v/>
      </c>
      <c r="M234" s="171" t="str">
        <f t="shared" si="33"/>
        <v/>
      </c>
      <c r="N234" s="172" t="str">
        <f t="shared" si="34"/>
        <v/>
      </c>
      <c r="O234" s="172" t="str">
        <f t="shared" si="35"/>
        <v/>
      </c>
    </row>
    <row r="235" spans="11:15">
      <c r="K235" s="171" t="str">
        <f t="shared" si="32"/>
        <v/>
      </c>
      <c r="L235" s="171" t="str">
        <f>IF(E235="","",IF(COUNTIFS(Table2[[#All],[De (Lote)]],'Input_APM (Zenith)'!F235)&gt;0,INDEX(Table2[[#All],[Para (Ticker Daniel)]],MATCH('Input_APM (Zenith)'!F235,Table2[[#All],[De (Lote)]],0)),'Input_APM (Zenith)'!F235))</f>
        <v/>
      </c>
      <c r="M235" s="171" t="str">
        <f t="shared" si="33"/>
        <v/>
      </c>
      <c r="N235" s="172" t="str">
        <f t="shared" si="34"/>
        <v/>
      </c>
      <c r="O235" s="172" t="str">
        <f t="shared" si="35"/>
        <v/>
      </c>
    </row>
    <row r="236" spans="11:15">
      <c r="K236" s="171" t="str">
        <f t="shared" si="32"/>
        <v/>
      </c>
      <c r="L236" s="171" t="str">
        <f>IF(E236="","",IF(COUNTIFS(Table2[[#All],[De (Lote)]],'Input_APM (Zenith)'!F236)&gt;0,INDEX(Table2[[#All],[Para (Ticker Daniel)]],MATCH('Input_APM (Zenith)'!F236,Table2[[#All],[De (Lote)]],0)),'Input_APM (Zenith)'!F236))</f>
        <v/>
      </c>
      <c r="M236" s="171" t="str">
        <f t="shared" si="33"/>
        <v/>
      </c>
      <c r="N236" s="172" t="str">
        <f t="shared" si="34"/>
        <v/>
      </c>
      <c r="O236" s="172" t="str">
        <f t="shared" si="35"/>
        <v/>
      </c>
    </row>
    <row r="237" spans="11:15">
      <c r="K237" s="171" t="str">
        <f t="shared" si="32"/>
        <v/>
      </c>
      <c r="L237" s="171" t="str">
        <f>IF(E237="","",IF(COUNTIFS(Table2[[#All],[De (Lote)]],'Input_APM (Zenith)'!F237)&gt;0,INDEX(Table2[[#All],[Para (Ticker Daniel)]],MATCH('Input_APM (Zenith)'!F237,Table2[[#All],[De (Lote)]],0)),'Input_APM (Zenith)'!F237))</f>
        <v/>
      </c>
      <c r="M237" s="171" t="str">
        <f t="shared" si="33"/>
        <v/>
      </c>
      <c r="N237" s="172" t="str">
        <f t="shared" si="34"/>
        <v/>
      </c>
      <c r="O237" s="172" t="str">
        <f t="shared" si="35"/>
        <v/>
      </c>
    </row>
    <row r="238" spans="11:15">
      <c r="K238" s="171" t="str">
        <f t="shared" si="32"/>
        <v/>
      </c>
      <c r="L238" s="171" t="str">
        <f>IF(E238="","",IF(COUNTIFS(Table2[[#All],[De (Lote)]],'Input_APM (Zenith)'!F238)&gt;0,INDEX(Table2[[#All],[Para (Ticker Daniel)]],MATCH('Input_APM (Zenith)'!F238,Table2[[#All],[De (Lote)]],0)),'Input_APM (Zenith)'!F238))</f>
        <v/>
      </c>
      <c r="M238" s="171" t="str">
        <f t="shared" si="33"/>
        <v/>
      </c>
      <c r="N238" s="172" t="str">
        <f t="shared" si="34"/>
        <v/>
      </c>
      <c r="O238" s="172" t="str">
        <f t="shared" si="35"/>
        <v/>
      </c>
    </row>
    <row r="239" spans="11:15">
      <c r="K239" s="171" t="str">
        <f t="shared" si="32"/>
        <v/>
      </c>
      <c r="L239" s="171" t="str">
        <f>IF(E239="","",IF(COUNTIFS(Table2[[#All],[De (Lote)]],'Input_APM (Zenith)'!F239)&gt;0,INDEX(Table2[[#All],[Para (Ticker Daniel)]],MATCH('Input_APM (Zenith)'!F239,Table2[[#All],[De (Lote)]],0)),'Input_APM (Zenith)'!F239))</f>
        <v/>
      </c>
      <c r="M239" s="171" t="str">
        <f t="shared" si="33"/>
        <v/>
      </c>
      <c r="N239" s="172" t="str">
        <f t="shared" si="34"/>
        <v/>
      </c>
      <c r="O239" s="172" t="str">
        <f t="shared" si="35"/>
        <v/>
      </c>
    </row>
    <row r="240" spans="11:15">
      <c r="K240" s="171" t="str">
        <f t="shared" si="32"/>
        <v/>
      </c>
      <c r="L240" s="171" t="str">
        <f>IF(E240="","",IF(COUNTIFS(Table2[[#All],[De (Lote)]],'Input_APM (Zenith)'!F240)&gt;0,INDEX(Table2[[#All],[Para (Ticker Daniel)]],MATCH('Input_APM (Zenith)'!F240,Table2[[#All],[De (Lote)]],0)),'Input_APM (Zenith)'!F240))</f>
        <v/>
      </c>
      <c r="M240" s="171" t="str">
        <f t="shared" si="33"/>
        <v/>
      </c>
      <c r="N240" s="172" t="str">
        <f t="shared" si="34"/>
        <v/>
      </c>
      <c r="O240" s="172" t="str">
        <f t="shared" si="35"/>
        <v/>
      </c>
    </row>
    <row r="241" spans="11:15">
      <c r="K241" s="171" t="str">
        <f t="shared" si="32"/>
        <v/>
      </c>
      <c r="L241" s="171" t="str">
        <f>IF(E241="","",IF(COUNTIFS(Table2[[#All],[De (Lote)]],'Input_APM (Zenith)'!F241)&gt;0,INDEX(Table2[[#All],[Para (Ticker Daniel)]],MATCH('Input_APM (Zenith)'!F241,Table2[[#All],[De (Lote)]],0)),'Input_APM (Zenith)'!F241))</f>
        <v/>
      </c>
      <c r="M241" s="171" t="str">
        <f t="shared" si="33"/>
        <v/>
      </c>
      <c r="N241" s="172" t="str">
        <f t="shared" si="34"/>
        <v/>
      </c>
      <c r="O241" s="172" t="str">
        <f t="shared" si="35"/>
        <v/>
      </c>
    </row>
    <row r="242" spans="11:15">
      <c r="K242" s="171" t="str">
        <f t="shared" si="32"/>
        <v/>
      </c>
      <c r="L242" s="171" t="str">
        <f>IF(E242="","",IF(COUNTIFS(Table2[[#All],[De (Lote)]],'Input_APM (Zenith)'!F242)&gt;0,INDEX(Table2[[#All],[Para (Ticker Daniel)]],MATCH('Input_APM (Zenith)'!F242,Table2[[#All],[De (Lote)]],0)),'Input_APM (Zenith)'!F242))</f>
        <v/>
      </c>
      <c r="M242" s="171" t="str">
        <f t="shared" si="33"/>
        <v/>
      </c>
      <c r="N242" s="172" t="str">
        <f t="shared" si="34"/>
        <v/>
      </c>
      <c r="O242" s="172" t="str">
        <f t="shared" si="35"/>
        <v/>
      </c>
    </row>
    <row r="243" spans="11:15">
      <c r="K243" s="171" t="str">
        <f t="shared" si="32"/>
        <v/>
      </c>
      <c r="L243" s="171" t="str">
        <f>IF(E243="","",IF(COUNTIFS(Table2[[#All],[De (Lote)]],'Input_APM (Zenith)'!F243)&gt;0,INDEX(Table2[[#All],[Para (Ticker Daniel)]],MATCH('Input_APM (Zenith)'!F243,Table2[[#All],[De (Lote)]],0)),'Input_APM (Zenith)'!F243))</f>
        <v/>
      </c>
      <c r="M243" s="171" t="str">
        <f t="shared" si="33"/>
        <v/>
      </c>
      <c r="N243" s="172" t="str">
        <f t="shared" si="34"/>
        <v/>
      </c>
      <c r="O243" s="172" t="str">
        <f t="shared" si="35"/>
        <v/>
      </c>
    </row>
    <row r="244" spans="11:15">
      <c r="K244" s="171" t="str">
        <f t="shared" si="32"/>
        <v/>
      </c>
      <c r="L244" s="171" t="str">
        <f>IF(E244="","",IF(COUNTIFS(Table2[[#All],[De (Lote)]],'Input_APM (Zenith)'!F244)&gt;0,INDEX(Table2[[#All],[Para (Ticker Daniel)]],MATCH('Input_APM (Zenith)'!F244,Table2[[#All],[De (Lote)]],0)),'Input_APM (Zenith)'!F244))</f>
        <v/>
      </c>
      <c r="M244" s="171" t="str">
        <f t="shared" si="33"/>
        <v/>
      </c>
      <c r="N244" s="172" t="str">
        <f t="shared" si="34"/>
        <v/>
      </c>
      <c r="O244" s="172" t="str">
        <f t="shared" si="35"/>
        <v/>
      </c>
    </row>
    <row r="245" spans="11:15">
      <c r="K245" s="171" t="str">
        <f t="shared" si="32"/>
        <v/>
      </c>
      <c r="L245" s="171" t="str">
        <f>IF(E245="","",IF(COUNTIFS(Table2[[#All],[De (Lote)]],'Input_APM (Zenith)'!F245)&gt;0,INDEX(Table2[[#All],[Para (Ticker Daniel)]],MATCH('Input_APM (Zenith)'!F245,Table2[[#All],[De (Lote)]],0)),'Input_APM (Zenith)'!F245))</f>
        <v/>
      </c>
      <c r="M245" s="171" t="str">
        <f t="shared" si="33"/>
        <v/>
      </c>
      <c r="N245" s="172" t="str">
        <f t="shared" si="34"/>
        <v/>
      </c>
      <c r="O245" s="172" t="str">
        <f t="shared" si="35"/>
        <v/>
      </c>
    </row>
    <row r="246" spans="11:15">
      <c r="K246" s="171" t="str">
        <f t="shared" si="32"/>
        <v/>
      </c>
      <c r="L246" s="171" t="str">
        <f>IF(E246="","",IF(COUNTIFS(Table2[[#All],[De (Lote)]],'Input_APM (Zenith)'!F246)&gt;0,INDEX(Table2[[#All],[Para (Ticker Daniel)]],MATCH('Input_APM (Zenith)'!F246,Table2[[#All],[De (Lote)]],0)),'Input_APM (Zenith)'!F246))</f>
        <v/>
      </c>
      <c r="M246" s="171" t="str">
        <f t="shared" si="33"/>
        <v/>
      </c>
      <c r="N246" s="172" t="str">
        <f t="shared" si="34"/>
        <v/>
      </c>
      <c r="O246" s="172" t="str">
        <f t="shared" si="35"/>
        <v/>
      </c>
    </row>
    <row r="247" spans="11:15">
      <c r="K247" s="171" t="str">
        <f t="shared" si="32"/>
        <v/>
      </c>
      <c r="L247" s="171" t="str">
        <f>IF(E247="","",IF(COUNTIFS(Table2[[#All],[De (Lote)]],'Input_APM (Zenith)'!F247)&gt;0,INDEX(Table2[[#All],[Para (Ticker Daniel)]],MATCH('Input_APM (Zenith)'!F247,Table2[[#All],[De (Lote)]],0)),'Input_APM (Zenith)'!F247))</f>
        <v/>
      </c>
      <c r="M247" s="171" t="str">
        <f t="shared" si="33"/>
        <v/>
      </c>
      <c r="N247" s="172" t="str">
        <f t="shared" si="34"/>
        <v/>
      </c>
      <c r="O247" s="172" t="str">
        <f t="shared" si="35"/>
        <v/>
      </c>
    </row>
    <row r="248" spans="11:15">
      <c r="K248" s="171" t="str">
        <f t="shared" si="32"/>
        <v/>
      </c>
      <c r="L248" s="171" t="str">
        <f>IF(E248="","",IF(COUNTIFS(Table2[[#All],[De (Lote)]],'Input_APM (Zenith)'!F248)&gt;0,INDEX(Table2[[#All],[Para (Ticker Daniel)]],MATCH('Input_APM (Zenith)'!F248,Table2[[#All],[De (Lote)]],0)),'Input_APM (Zenith)'!F248))</f>
        <v/>
      </c>
      <c r="M248" s="171" t="str">
        <f t="shared" si="33"/>
        <v/>
      </c>
      <c r="N248" s="172" t="str">
        <f t="shared" si="34"/>
        <v/>
      </c>
      <c r="O248" s="172" t="str">
        <f t="shared" si="35"/>
        <v/>
      </c>
    </row>
    <row r="249" spans="11:15">
      <c r="K249" s="171" t="str">
        <f t="shared" si="32"/>
        <v/>
      </c>
      <c r="L249" s="171" t="str">
        <f>IF(E249="","",IF(COUNTIFS(Table2[[#All],[De (Lote)]],'Input_APM (Zenith)'!F249)&gt;0,INDEX(Table2[[#All],[Para (Ticker Daniel)]],MATCH('Input_APM (Zenith)'!F249,Table2[[#All],[De (Lote)]],0)),'Input_APM (Zenith)'!F249))</f>
        <v/>
      </c>
      <c r="M249" s="171" t="str">
        <f t="shared" si="33"/>
        <v/>
      </c>
      <c r="N249" s="172" t="str">
        <f t="shared" si="34"/>
        <v/>
      </c>
      <c r="O249" s="172" t="str">
        <f t="shared" si="35"/>
        <v/>
      </c>
    </row>
    <row r="250" spans="11:15">
      <c r="K250" s="171" t="str">
        <f t="shared" si="32"/>
        <v/>
      </c>
      <c r="L250" s="171" t="str">
        <f>IF(E250="","",IF(COUNTIFS(Table2[[#All],[De (Lote)]],'Input_APM (Zenith)'!F250)&gt;0,INDEX(Table2[[#All],[Para (Ticker Daniel)]],MATCH('Input_APM (Zenith)'!F250,Table2[[#All],[De (Lote)]],0)),'Input_APM (Zenith)'!F250))</f>
        <v/>
      </c>
      <c r="M250" s="171" t="str">
        <f t="shared" si="33"/>
        <v/>
      </c>
      <c r="N250" s="172" t="str">
        <f t="shared" si="34"/>
        <v/>
      </c>
      <c r="O250" s="172" t="str">
        <f t="shared" si="35"/>
        <v/>
      </c>
    </row>
    <row r="251" spans="11:15">
      <c r="K251" s="171" t="str">
        <f t="shared" si="32"/>
        <v/>
      </c>
      <c r="L251" s="171" t="str">
        <f>IF(E251="","",IF(COUNTIFS(Table2[[#All],[De (Lote)]],'Input_APM (Zenith)'!F251)&gt;0,INDEX(Table2[[#All],[Para (Ticker Daniel)]],MATCH('Input_APM (Zenith)'!F251,Table2[[#All],[De (Lote)]],0)),'Input_APM (Zenith)'!F251))</f>
        <v/>
      </c>
      <c r="M251" s="171" t="str">
        <f t="shared" si="33"/>
        <v/>
      </c>
      <c r="N251" s="172" t="str">
        <f t="shared" si="34"/>
        <v/>
      </c>
      <c r="O251" s="172" t="str">
        <f t="shared" si="35"/>
        <v/>
      </c>
    </row>
    <row r="252" spans="11:15">
      <c r="K252" s="171" t="str">
        <f t="shared" si="32"/>
        <v/>
      </c>
      <c r="L252" s="171" t="str">
        <f>IF(E252="","",IF(COUNTIFS(Table2[[#All],[De (Lote)]],'Input_APM (Zenith)'!F252)&gt;0,INDEX(Table2[[#All],[Para (Ticker Daniel)]],MATCH('Input_APM (Zenith)'!F252,Table2[[#All],[De (Lote)]],0)),'Input_APM (Zenith)'!F252))</f>
        <v/>
      </c>
      <c r="M252" s="171" t="str">
        <f t="shared" si="33"/>
        <v/>
      </c>
      <c r="N252" s="172" t="str">
        <f t="shared" si="34"/>
        <v/>
      </c>
      <c r="O252" s="172" t="str">
        <f t="shared" si="35"/>
        <v/>
      </c>
    </row>
    <row r="253" spans="11:15">
      <c r="K253" s="171" t="str">
        <f t="shared" si="32"/>
        <v/>
      </c>
      <c r="L253" s="171" t="str">
        <f>IF(E253="","",IF(COUNTIFS(Table2[[#All],[De (Lote)]],'Input_APM (Zenith)'!F253)&gt;0,INDEX(Table2[[#All],[Para (Ticker Daniel)]],MATCH('Input_APM (Zenith)'!F253,Table2[[#All],[De (Lote)]],0)),'Input_APM (Zenith)'!F253))</f>
        <v/>
      </c>
      <c r="M253" s="171" t="str">
        <f t="shared" si="33"/>
        <v/>
      </c>
      <c r="N253" s="172" t="str">
        <f t="shared" si="34"/>
        <v/>
      </c>
      <c r="O253" s="172" t="str">
        <f t="shared" si="35"/>
        <v/>
      </c>
    </row>
    <row r="254" spans="11:15">
      <c r="K254" s="171" t="str">
        <f t="shared" si="32"/>
        <v/>
      </c>
      <c r="L254" s="171" t="str">
        <f>IF(E254="","",IF(COUNTIFS(Table2[[#All],[De (Lote)]],'Input_APM (Zenith)'!F254)&gt;0,INDEX(Table2[[#All],[Para (Ticker Daniel)]],MATCH('Input_APM (Zenith)'!F254,Table2[[#All],[De (Lote)]],0)),'Input_APM (Zenith)'!F254))</f>
        <v/>
      </c>
      <c r="M254" s="171" t="str">
        <f t="shared" si="33"/>
        <v/>
      </c>
      <c r="N254" s="172" t="str">
        <f t="shared" si="34"/>
        <v/>
      </c>
      <c r="O254" s="172" t="str">
        <f t="shared" si="35"/>
        <v/>
      </c>
    </row>
    <row r="255" spans="11:15">
      <c r="K255" s="171" t="str">
        <f t="shared" si="32"/>
        <v/>
      </c>
      <c r="L255" s="171" t="str">
        <f>IF(E255="","",IF(COUNTIFS(Table2[[#All],[De (Lote)]],'Input_APM (Zenith)'!F255)&gt;0,INDEX(Table2[[#All],[Para (Ticker Daniel)]],MATCH('Input_APM (Zenith)'!F255,Table2[[#All],[De (Lote)]],0)),'Input_APM (Zenith)'!F255))</f>
        <v/>
      </c>
      <c r="M255" s="171" t="str">
        <f t="shared" si="33"/>
        <v/>
      </c>
      <c r="N255" s="172" t="str">
        <f t="shared" si="34"/>
        <v/>
      </c>
      <c r="O255" s="172" t="str">
        <f t="shared" si="35"/>
        <v/>
      </c>
    </row>
    <row r="256" spans="11:15">
      <c r="K256" s="171" t="str">
        <f t="shared" si="32"/>
        <v/>
      </c>
      <c r="L256" s="171" t="str">
        <f>IF(E256="","",IF(COUNTIFS(Table2[[#All],[De (Lote)]],'Input_APM (Zenith)'!F256)&gt;0,INDEX(Table2[[#All],[Para (Ticker Daniel)]],MATCH('Input_APM (Zenith)'!F256,Table2[[#All],[De (Lote)]],0)),'Input_APM (Zenith)'!F256))</f>
        <v/>
      </c>
      <c r="M256" s="171" t="str">
        <f t="shared" si="33"/>
        <v/>
      </c>
      <c r="N256" s="172" t="str">
        <f t="shared" si="34"/>
        <v/>
      </c>
      <c r="O256" s="172" t="str">
        <f t="shared" si="35"/>
        <v/>
      </c>
    </row>
    <row r="257" spans="11:15">
      <c r="K257" s="171" t="str">
        <f t="shared" si="32"/>
        <v/>
      </c>
      <c r="L257" s="171" t="str">
        <f>IF(E257="","",IF(COUNTIFS(Table2[[#All],[De (Lote)]],'Input_APM (Zenith)'!F257)&gt;0,INDEX(Table2[[#All],[Para (Ticker Daniel)]],MATCH('Input_APM (Zenith)'!F257,Table2[[#All],[De (Lote)]],0)),'Input_APM (Zenith)'!F257))</f>
        <v/>
      </c>
      <c r="M257" s="171" t="str">
        <f t="shared" si="33"/>
        <v/>
      </c>
      <c r="N257" s="172" t="str">
        <f t="shared" si="34"/>
        <v/>
      </c>
      <c r="O257" s="172" t="str">
        <f t="shared" si="35"/>
        <v/>
      </c>
    </row>
    <row r="258" spans="11:15">
      <c r="K258" s="171" t="str">
        <f t="shared" si="32"/>
        <v/>
      </c>
      <c r="L258" s="171" t="str">
        <f>IF(E258="","",IF(COUNTIFS(Table2[[#All],[De (Lote)]],'Input_APM (Zenith)'!F258)&gt;0,INDEX(Table2[[#All],[Para (Ticker Daniel)]],MATCH('Input_APM (Zenith)'!F258,Table2[[#All],[De (Lote)]],0)),'Input_APM (Zenith)'!F258))</f>
        <v/>
      </c>
      <c r="M258" s="171" t="str">
        <f t="shared" si="33"/>
        <v/>
      </c>
      <c r="N258" s="172" t="str">
        <f t="shared" si="34"/>
        <v/>
      </c>
      <c r="O258" s="172" t="str">
        <f t="shared" si="35"/>
        <v/>
      </c>
    </row>
    <row r="259" spans="11:15">
      <c r="K259" s="171" t="str">
        <f t="shared" si="32"/>
        <v/>
      </c>
      <c r="L259" s="171" t="str">
        <f>IF(E259="","",IF(COUNTIFS(Table2[[#All],[De (Lote)]],'Input_APM (Zenith)'!F259)&gt;0,INDEX(Table2[[#All],[Para (Ticker Daniel)]],MATCH('Input_APM (Zenith)'!F259,Table2[[#All],[De (Lote)]],0)),'Input_APM (Zenith)'!F259))</f>
        <v/>
      </c>
      <c r="M259" s="171" t="str">
        <f t="shared" si="33"/>
        <v/>
      </c>
      <c r="N259" s="172" t="str">
        <f t="shared" si="34"/>
        <v/>
      </c>
      <c r="O259" s="172" t="str">
        <f t="shared" si="35"/>
        <v/>
      </c>
    </row>
    <row r="260" spans="11:15">
      <c r="K260" s="171" t="str">
        <f t="shared" si="32"/>
        <v/>
      </c>
      <c r="L260" s="171" t="str">
        <f>IF(E260="","",IF(COUNTIFS(Table2[[#All],[De (Lote)]],'Input_APM (Zenith)'!F260)&gt;0,INDEX(Table2[[#All],[Para (Ticker Daniel)]],MATCH('Input_APM (Zenith)'!F260,Table2[[#All],[De (Lote)]],0)),'Input_APM (Zenith)'!F260))</f>
        <v/>
      </c>
      <c r="M260" s="171" t="str">
        <f t="shared" si="33"/>
        <v/>
      </c>
      <c r="N260" s="172" t="str">
        <f t="shared" si="34"/>
        <v/>
      </c>
      <c r="O260" s="172" t="str">
        <f t="shared" si="35"/>
        <v/>
      </c>
    </row>
    <row r="261" spans="11:15">
      <c r="K261" s="171" t="str">
        <f t="shared" si="32"/>
        <v/>
      </c>
      <c r="L261" s="171" t="str">
        <f>IF(E261="","",IF(COUNTIFS(Table2[[#All],[De (Lote)]],'Input_APM (Zenith)'!F261)&gt;0,INDEX(Table2[[#All],[Para (Ticker Daniel)]],MATCH('Input_APM (Zenith)'!F261,Table2[[#All],[De (Lote)]],0)),'Input_APM (Zenith)'!F261))</f>
        <v/>
      </c>
      <c r="M261" s="171" t="str">
        <f t="shared" si="33"/>
        <v/>
      </c>
      <c r="N261" s="172" t="str">
        <f t="shared" si="34"/>
        <v/>
      </c>
      <c r="O261" s="172" t="str">
        <f t="shared" si="35"/>
        <v/>
      </c>
    </row>
    <row r="262" spans="11:15">
      <c r="K262" s="171" t="str">
        <f t="shared" ref="K262:K267" si="36">IF(E262="","",E262)</f>
        <v/>
      </c>
      <c r="L262" s="171" t="str">
        <f>IF(E262="","",IF(COUNTIFS(Table2[[#All],[De (Lote)]],'Input_APM (Zenith)'!F262)&gt;0,INDEX(Table2[[#All],[Para (Ticker Daniel)]],MATCH('Input_APM (Zenith)'!F262,Table2[[#All],[De (Lote)]],0)),'Input_APM (Zenith)'!F262))</f>
        <v/>
      </c>
      <c r="M262" s="171" t="str">
        <f t="shared" ref="M262:M267" si="37">IF(E262="","",G262)</f>
        <v/>
      </c>
      <c r="N262" s="172" t="str">
        <f t="shared" ref="N262:N267" si="38">IF(E262="","",H262)</f>
        <v/>
      </c>
      <c r="O262" s="172" t="str">
        <f t="shared" ref="O262:O267" si="39">IF(E262="","",I262)</f>
        <v/>
      </c>
    </row>
    <row r="263" spans="11:15">
      <c r="K263" s="171" t="str">
        <f t="shared" si="36"/>
        <v/>
      </c>
      <c r="L263" s="171" t="str">
        <f>IF(E263="","",IF(COUNTIFS(Table2[[#All],[De (Lote)]],'Input_APM (Zenith)'!F263)&gt;0,INDEX(Table2[[#All],[Para (Ticker Daniel)]],MATCH('Input_APM (Zenith)'!F263,Table2[[#All],[De (Lote)]],0)),'Input_APM (Zenith)'!F263))</f>
        <v/>
      </c>
      <c r="M263" s="171" t="str">
        <f t="shared" si="37"/>
        <v/>
      </c>
      <c r="N263" s="172" t="str">
        <f t="shared" si="38"/>
        <v/>
      </c>
      <c r="O263" s="172" t="str">
        <f t="shared" si="39"/>
        <v/>
      </c>
    </row>
    <row r="264" spans="11:15">
      <c r="K264" s="171" t="str">
        <f t="shared" si="36"/>
        <v/>
      </c>
      <c r="L264" s="171" t="str">
        <f>IF(E264="","",IF(COUNTIFS(Table2[[#All],[De (Lote)]],'Input_APM (Zenith)'!F264)&gt;0,INDEX(Table2[[#All],[Para (Ticker Daniel)]],MATCH('Input_APM (Zenith)'!F264,Table2[[#All],[De (Lote)]],0)),'Input_APM (Zenith)'!F264))</f>
        <v/>
      </c>
      <c r="M264" s="171" t="str">
        <f t="shared" si="37"/>
        <v/>
      </c>
      <c r="N264" s="172" t="str">
        <f t="shared" si="38"/>
        <v/>
      </c>
      <c r="O264" s="172" t="str">
        <f t="shared" si="39"/>
        <v/>
      </c>
    </row>
    <row r="265" spans="11:15">
      <c r="K265" s="171" t="str">
        <f t="shared" si="36"/>
        <v/>
      </c>
      <c r="L265" s="171" t="str">
        <f>IF(E265="","",IF(COUNTIFS(Table2[[#All],[De (Lote)]],'Input_APM (Zenith)'!F265)&gt;0,INDEX(Table2[[#All],[Para (Ticker Daniel)]],MATCH('Input_APM (Zenith)'!F265,Table2[[#All],[De (Lote)]],0)),'Input_APM (Zenith)'!F265))</f>
        <v/>
      </c>
      <c r="M265" s="171" t="str">
        <f t="shared" si="37"/>
        <v/>
      </c>
      <c r="N265" s="172" t="str">
        <f t="shared" si="38"/>
        <v/>
      </c>
      <c r="O265" s="172" t="str">
        <f t="shared" si="39"/>
        <v/>
      </c>
    </row>
    <row r="266" spans="11:15">
      <c r="K266" s="171" t="str">
        <f t="shared" si="36"/>
        <v/>
      </c>
      <c r="L266" s="171" t="str">
        <f>IF(E266="","",IF(COUNTIFS(Table2[[#All],[De (Lote)]],'Input_APM (Zenith)'!F266)&gt;0,INDEX(Table2[[#All],[Para (Ticker Daniel)]],MATCH('Input_APM (Zenith)'!F266,Table2[[#All],[De (Lote)]],0)),'Input_APM (Zenith)'!F266))</f>
        <v/>
      </c>
      <c r="M266" s="171" t="str">
        <f t="shared" si="37"/>
        <v/>
      </c>
      <c r="N266" s="172" t="str">
        <f t="shared" si="38"/>
        <v/>
      </c>
      <c r="O266" s="172" t="str">
        <f t="shared" si="39"/>
        <v/>
      </c>
    </row>
    <row r="267" spans="11:15">
      <c r="K267" s="171" t="str">
        <f t="shared" si="36"/>
        <v/>
      </c>
      <c r="L267" s="171" t="str">
        <f>IF(E267="","",IF(COUNTIFS(Table2[[#All],[De (Lote)]],'Input_APM (Zenith)'!F267)&gt;0,INDEX(Table2[[#All],[Para (Ticker Daniel)]],MATCH('Input_APM (Zenith)'!F267,Table2[[#All],[De (Lote)]],0)),'Input_APM (Zenith)'!F267))</f>
        <v/>
      </c>
      <c r="M267" s="171" t="str">
        <f t="shared" si="37"/>
        <v/>
      </c>
      <c r="N267" s="172" t="str">
        <f t="shared" si="38"/>
        <v/>
      </c>
      <c r="O267" s="172" t="str">
        <f t="shared" si="39"/>
        <v/>
      </c>
    </row>
    <row r="268" spans="11:15">
      <c r="K268" s="171" t="str">
        <f t="shared" ref="K268:K293" si="40">IF(E268="","",E268)</f>
        <v/>
      </c>
      <c r="L268" s="171" t="str">
        <f>IF(E268="","",IF(COUNTIFS(Table2[[#All],[De (Lote)]],'Input_APM (Zenith)'!F268)&gt;0,INDEX(Table2[[#All],[Para (Ticker Daniel)]],MATCH('Input_APM (Zenith)'!F268,Table2[[#All],[De (Lote)]],0)),'Input_APM (Zenith)'!F268))</f>
        <v/>
      </c>
      <c r="M268" s="171" t="str">
        <f t="shared" ref="M268:M293" si="41">IF(E268="","",G268)</f>
        <v/>
      </c>
      <c r="N268" s="172" t="str">
        <f t="shared" ref="N268:N293" si="42">IF(E268="","",H268)</f>
        <v/>
      </c>
      <c r="O268" s="172" t="str">
        <f t="shared" ref="O268:O293" si="43">IF(E268="","",I268)</f>
        <v/>
      </c>
    </row>
    <row r="269" spans="11:15">
      <c r="K269" s="171" t="str">
        <f t="shared" si="40"/>
        <v/>
      </c>
      <c r="L269" s="171" t="str">
        <f>IF(E269="","",IF(COUNTIFS(Table2[[#All],[De (Lote)]],'Input_APM (Zenith)'!F269)&gt;0,INDEX(Table2[[#All],[Para (Ticker Daniel)]],MATCH('Input_APM (Zenith)'!F269,Table2[[#All],[De (Lote)]],0)),'Input_APM (Zenith)'!F269))</f>
        <v/>
      </c>
      <c r="M269" s="171" t="str">
        <f t="shared" si="41"/>
        <v/>
      </c>
      <c r="N269" s="172" t="str">
        <f t="shared" si="42"/>
        <v/>
      </c>
      <c r="O269" s="172" t="str">
        <f t="shared" si="43"/>
        <v/>
      </c>
    </row>
    <row r="270" spans="11:15">
      <c r="K270" s="171" t="str">
        <f t="shared" si="40"/>
        <v/>
      </c>
      <c r="L270" s="171" t="str">
        <f>IF(E270="","",IF(COUNTIFS(Table2[[#All],[De (Lote)]],'Input_APM (Zenith)'!F270)&gt;0,INDEX(Table2[[#All],[Para (Ticker Daniel)]],MATCH('Input_APM (Zenith)'!F270,Table2[[#All],[De (Lote)]],0)),'Input_APM (Zenith)'!F270))</f>
        <v/>
      </c>
      <c r="M270" s="171" t="str">
        <f t="shared" si="41"/>
        <v/>
      </c>
      <c r="N270" s="172" t="str">
        <f t="shared" si="42"/>
        <v/>
      </c>
      <c r="O270" s="172" t="str">
        <f t="shared" si="43"/>
        <v/>
      </c>
    </row>
    <row r="271" spans="11:15">
      <c r="K271" s="171" t="str">
        <f t="shared" si="40"/>
        <v/>
      </c>
      <c r="L271" s="171" t="str">
        <f>IF(E271="","",IF(COUNTIFS(Table2[[#All],[De (Lote)]],'Input_APM (Zenith)'!F271)&gt;0,INDEX(Table2[[#All],[Para (Ticker Daniel)]],MATCH('Input_APM (Zenith)'!F271,Table2[[#All],[De (Lote)]],0)),'Input_APM (Zenith)'!F271))</f>
        <v/>
      </c>
      <c r="M271" s="171" t="str">
        <f t="shared" si="41"/>
        <v/>
      </c>
      <c r="N271" s="172" t="str">
        <f t="shared" si="42"/>
        <v/>
      </c>
      <c r="O271" s="172" t="str">
        <f t="shared" si="43"/>
        <v/>
      </c>
    </row>
    <row r="272" spans="11:15">
      <c r="K272" s="171" t="str">
        <f t="shared" si="40"/>
        <v/>
      </c>
      <c r="L272" s="171" t="str">
        <f>IF(E272="","",IF(COUNTIFS(Table2[[#All],[De (Lote)]],'Input_APM (Zenith)'!F272)&gt;0,INDEX(Table2[[#All],[Para (Ticker Daniel)]],MATCH('Input_APM (Zenith)'!F272,Table2[[#All],[De (Lote)]],0)),'Input_APM (Zenith)'!F272))</f>
        <v/>
      </c>
      <c r="M272" s="171" t="str">
        <f t="shared" si="41"/>
        <v/>
      </c>
      <c r="N272" s="172" t="str">
        <f t="shared" si="42"/>
        <v/>
      </c>
      <c r="O272" s="172" t="str">
        <f t="shared" si="43"/>
        <v/>
      </c>
    </row>
    <row r="273" spans="11:15">
      <c r="K273" s="171" t="str">
        <f t="shared" si="40"/>
        <v/>
      </c>
      <c r="L273" s="171" t="str">
        <f>IF(E273="","",IF(COUNTIFS(Table2[[#All],[De (Lote)]],'Input_APM (Zenith)'!F273)&gt;0,INDEX(Table2[[#All],[Para (Ticker Daniel)]],MATCH('Input_APM (Zenith)'!F273,Table2[[#All],[De (Lote)]],0)),'Input_APM (Zenith)'!F273))</f>
        <v/>
      </c>
      <c r="M273" s="171" t="str">
        <f t="shared" si="41"/>
        <v/>
      </c>
      <c r="N273" s="172" t="str">
        <f t="shared" si="42"/>
        <v/>
      </c>
      <c r="O273" s="172" t="str">
        <f t="shared" si="43"/>
        <v/>
      </c>
    </row>
    <row r="274" spans="11:15">
      <c r="K274" s="171" t="str">
        <f t="shared" si="40"/>
        <v/>
      </c>
      <c r="L274" s="171" t="str">
        <f>IF(E274="","",IF(COUNTIFS(Table2[[#All],[De (Lote)]],'Input_APM (Zenith)'!F274)&gt;0,INDEX(Table2[[#All],[Para (Ticker Daniel)]],MATCH('Input_APM (Zenith)'!F274,Table2[[#All],[De (Lote)]],0)),'Input_APM (Zenith)'!F274))</f>
        <v/>
      </c>
      <c r="M274" s="171" t="str">
        <f t="shared" si="41"/>
        <v/>
      </c>
      <c r="N274" s="172" t="str">
        <f t="shared" si="42"/>
        <v/>
      </c>
      <c r="O274" s="172" t="str">
        <f t="shared" si="43"/>
        <v/>
      </c>
    </row>
    <row r="275" spans="11:15">
      <c r="K275" s="171" t="str">
        <f t="shared" si="40"/>
        <v/>
      </c>
      <c r="L275" s="171" t="str">
        <f>IF(E275="","",IF(COUNTIFS(Table2[[#All],[De (Lote)]],'Input_APM (Zenith)'!F275)&gt;0,INDEX(Table2[[#All],[Para (Ticker Daniel)]],MATCH('Input_APM (Zenith)'!F275,Table2[[#All],[De (Lote)]],0)),'Input_APM (Zenith)'!F275))</f>
        <v/>
      </c>
      <c r="M275" s="171" t="str">
        <f t="shared" si="41"/>
        <v/>
      </c>
      <c r="N275" s="172" t="str">
        <f t="shared" si="42"/>
        <v/>
      </c>
      <c r="O275" s="172" t="str">
        <f t="shared" si="43"/>
        <v/>
      </c>
    </row>
    <row r="276" spans="11:15">
      <c r="K276" s="171" t="str">
        <f t="shared" si="40"/>
        <v/>
      </c>
      <c r="L276" s="171" t="str">
        <f>IF(E276="","",IF(COUNTIFS(Table2[[#All],[De (Lote)]],'Input_APM (Zenith)'!F276)&gt;0,INDEX(Table2[[#All],[Para (Ticker Daniel)]],MATCH('Input_APM (Zenith)'!F276,Table2[[#All],[De (Lote)]],0)),'Input_APM (Zenith)'!F276))</f>
        <v/>
      </c>
      <c r="M276" s="171" t="str">
        <f t="shared" si="41"/>
        <v/>
      </c>
      <c r="N276" s="172" t="str">
        <f t="shared" si="42"/>
        <v/>
      </c>
      <c r="O276" s="172" t="str">
        <f t="shared" si="43"/>
        <v/>
      </c>
    </row>
    <row r="277" spans="11:15">
      <c r="K277" s="171" t="str">
        <f t="shared" si="40"/>
        <v/>
      </c>
      <c r="L277" s="171" t="str">
        <f>IF(E277="","",IF(COUNTIFS(Table2[[#All],[De (Lote)]],'Input_APM (Zenith)'!F277)&gt;0,INDEX(Table2[[#All],[Para (Ticker Daniel)]],MATCH('Input_APM (Zenith)'!F277,Table2[[#All],[De (Lote)]],0)),'Input_APM (Zenith)'!F277))</f>
        <v/>
      </c>
      <c r="M277" s="171" t="str">
        <f t="shared" si="41"/>
        <v/>
      </c>
      <c r="N277" s="172" t="str">
        <f t="shared" si="42"/>
        <v/>
      </c>
      <c r="O277" s="172" t="str">
        <f t="shared" si="43"/>
        <v/>
      </c>
    </row>
    <row r="278" spans="11:15">
      <c r="K278" s="171" t="str">
        <f t="shared" si="40"/>
        <v/>
      </c>
      <c r="L278" s="171" t="str">
        <f>IF(E278="","",IF(COUNTIFS(Table2[[#All],[De (Lote)]],'Input_APM (Zenith)'!F278)&gt;0,INDEX(Table2[[#All],[Para (Ticker Daniel)]],MATCH('Input_APM (Zenith)'!F278,Table2[[#All],[De (Lote)]],0)),'Input_APM (Zenith)'!F278))</f>
        <v/>
      </c>
      <c r="M278" s="171" t="str">
        <f t="shared" si="41"/>
        <v/>
      </c>
      <c r="N278" s="172" t="str">
        <f t="shared" si="42"/>
        <v/>
      </c>
      <c r="O278" s="172" t="str">
        <f t="shared" si="43"/>
        <v/>
      </c>
    </row>
    <row r="279" spans="11:15">
      <c r="K279" s="171" t="str">
        <f t="shared" si="40"/>
        <v/>
      </c>
      <c r="L279" s="171" t="str">
        <f>IF(E279="","",IF(COUNTIFS(Table2[[#All],[De (Lote)]],'Input_APM (Zenith)'!F279)&gt;0,INDEX(Table2[[#All],[Para (Ticker Daniel)]],MATCH('Input_APM (Zenith)'!F279,Table2[[#All],[De (Lote)]],0)),'Input_APM (Zenith)'!F279))</f>
        <v/>
      </c>
      <c r="M279" s="171" t="str">
        <f t="shared" si="41"/>
        <v/>
      </c>
      <c r="N279" s="172" t="str">
        <f t="shared" si="42"/>
        <v/>
      </c>
      <c r="O279" s="172" t="str">
        <f t="shared" si="43"/>
        <v/>
      </c>
    </row>
    <row r="280" spans="11:15">
      <c r="K280" s="171" t="str">
        <f t="shared" si="40"/>
        <v/>
      </c>
      <c r="L280" s="171" t="str">
        <f>IF(E280="","",IF(COUNTIFS(Table2[[#All],[De (Lote)]],'Input_APM (Zenith)'!F280)&gt;0,INDEX(Table2[[#All],[Para (Ticker Daniel)]],MATCH('Input_APM (Zenith)'!F280,Table2[[#All],[De (Lote)]],0)),'Input_APM (Zenith)'!F280))</f>
        <v/>
      </c>
      <c r="M280" s="171" t="str">
        <f t="shared" si="41"/>
        <v/>
      </c>
      <c r="N280" s="172" t="str">
        <f t="shared" si="42"/>
        <v/>
      </c>
      <c r="O280" s="172" t="str">
        <f t="shared" si="43"/>
        <v/>
      </c>
    </row>
    <row r="281" spans="11:15">
      <c r="K281" s="171" t="str">
        <f t="shared" si="40"/>
        <v/>
      </c>
      <c r="L281" s="171" t="str">
        <f>IF(E281="","",IF(COUNTIFS(Table2[[#All],[De (Lote)]],'Input_APM (Zenith)'!F281)&gt;0,INDEX(Table2[[#All],[Para (Ticker Daniel)]],MATCH('Input_APM (Zenith)'!F281,Table2[[#All],[De (Lote)]],0)),'Input_APM (Zenith)'!F281))</f>
        <v/>
      </c>
      <c r="M281" s="171" t="str">
        <f t="shared" si="41"/>
        <v/>
      </c>
      <c r="N281" s="172" t="str">
        <f t="shared" si="42"/>
        <v/>
      </c>
      <c r="O281" s="172" t="str">
        <f t="shared" si="43"/>
        <v/>
      </c>
    </row>
    <row r="282" spans="11:15">
      <c r="K282" s="171" t="str">
        <f t="shared" si="40"/>
        <v/>
      </c>
      <c r="L282" s="171" t="str">
        <f>IF(E282="","",IF(COUNTIFS(Table2[[#All],[De (Lote)]],'Input_APM (Zenith)'!F282)&gt;0,INDEX(Table2[[#All],[Para (Ticker Daniel)]],MATCH('Input_APM (Zenith)'!F282,Table2[[#All],[De (Lote)]],0)),'Input_APM (Zenith)'!F282))</f>
        <v/>
      </c>
      <c r="M282" s="171" t="str">
        <f t="shared" si="41"/>
        <v/>
      </c>
      <c r="N282" s="172" t="str">
        <f t="shared" si="42"/>
        <v/>
      </c>
      <c r="O282" s="172" t="str">
        <f t="shared" si="43"/>
        <v/>
      </c>
    </row>
    <row r="283" spans="11:15">
      <c r="K283" s="171" t="str">
        <f t="shared" si="40"/>
        <v/>
      </c>
      <c r="L283" s="171" t="str">
        <f>IF(E283="","",IF(COUNTIFS(Table2[[#All],[De (Lote)]],'Input_APM (Zenith)'!F283)&gt;0,INDEX(Table2[[#All],[Para (Ticker Daniel)]],MATCH('Input_APM (Zenith)'!F283,Table2[[#All],[De (Lote)]],0)),'Input_APM (Zenith)'!F283))</f>
        <v/>
      </c>
      <c r="M283" s="171" t="str">
        <f t="shared" si="41"/>
        <v/>
      </c>
      <c r="N283" s="172" t="str">
        <f t="shared" si="42"/>
        <v/>
      </c>
      <c r="O283" s="172" t="str">
        <f t="shared" si="43"/>
        <v/>
      </c>
    </row>
    <row r="284" spans="11:15">
      <c r="K284" s="171" t="str">
        <f t="shared" si="40"/>
        <v/>
      </c>
      <c r="L284" s="171" t="str">
        <f>IF(E284="","",IF(COUNTIFS(Table2[[#All],[De (Lote)]],'Input_APM (Zenith)'!F284)&gt;0,INDEX(Table2[[#All],[Para (Ticker Daniel)]],MATCH('Input_APM (Zenith)'!F284,Table2[[#All],[De (Lote)]],0)),'Input_APM (Zenith)'!F284))</f>
        <v/>
      </c>
      <c r="M284" s="171" t="str">
        <f t="shared" si="41"/>
        <v/>
      </c>
      <c r="N284" s="172" t="str">
        <f t="shared" si="42"/>
        <v/>
      </c>
      <c r="O284" s="172" t="str">
        <f t="shared" si="43"/>
        <v/>
      </c>
    </row>
    <row r="285" spans="11:15">
      <c r="K285" s="171" t="str">
        <f t="shared" si="40"/>
        <v/>
      </c>
      <c r="L285" s="171" t="str">
        <f>IF(E285="","",IF(COUNTIFS(Table2[[#All],[De (Lote)]],'Input_APM (Zenith)'!F285)&gt;0,INDEX(Table2[[#All],[Para (Ticker Daniel)]],MATCH('Input_APM (Zenith)'!F285,Table2[[#All],[De (Lote)]],0)),'Input_APM (Zenith)'!F285))</f>
        <v/>
      </c>
      <c r="M285" s="171" t="str">
        <f t="shared" si="41"/>
        <v/>
      </c>
      <c r="N285" s="172" t="str">
        <f t="shared" si="42"/>
        <v/>
      </c>
      <c r="O285" s="172" t="str">
        <f t="shared" si="43"/>
        <v/>
      </c>
    </row>
    <row r="286" spans="11:15">
      <c r="K286" s="171" t="str">
        <f t="shared" si="40"/>
        <v/>
      </c>
      <c r="L286" s="171" t="str">
        <f>IF(E286="","",IF(COUNTIFS(Table2[[#All],[De (Lote)]],'Input_APM (Zenith)'!F286)&gt;0,INDEX(Table2[[#All],[Para (Ticker Daniel)]],MATCH('Input_APM (Zenith)'!F286,Table2[[#All],[De (Lote)]],0)),'Input_APM (Zenith)'!F286))</f>
        <v/>
      </c>
      <c r="M286" s="171" t="str">
        <f t="shared" si="41"/>
        <v/>
      </c>
      <c r="N286" s="172" t="str">
        <f t="shared" si="42"/>
        <v/>
      </c>
      <c r="O286" s="172" t="str">
        <f t="shared" si="43"/>
        <v/>
      </c>
    </row>
    <row r="287" spans="11:15">
      <c r="K287" s="171" t="str">
        <f t="shared" si="40"/>
        <v/>
      </c>
      <c r="L287" s="171" t="str">
        <f>IF(E287="","",IF(COUNTIFS(Table2[[#All],[De (Lote)]],'Input_APM (Zenith)'!F287)&gt;0,INDEX(Table2[[#All],[Para (Ticker Daniel)]],MATCH('Input_APM (Zenith)'!F287,Table2[[#All],[De (Lote)]],0)),'Input_APM (Zenith)'!F287))</f>
        <v/>
      </c>
      <c r="M287" s="171" t="str">
        <f t="shared" si="41"/>
        <v/>
      </c>
      <c r="N287" s="172" t="str">
        <f t="shared" si="42"/>
        <v/>
      </c>
      <c r="O287" s="172" t="str">
        <f t="shared" si="43"/>
        <v/>
      </c>
    </row>
    <row r="288" spans="11:15">
      <c r="K288" s="171" t="str">
        <f t="shared" si="40"/>
        <v/>
      </c>
      <c r="L288" s="171" t="str">
        <f>IF(E288="","",IF(COUNTIFS(Table2[[#All],[De (Lote)]],'Input_APM (Zenith)'!F288)&gt;0,INDEX(Table2[[#All],[Para (Ticker Daniel)]],MATCH('Input_APM (Zenith)'!F288,Table2[[#All],[De (Lote)]],0)),'Input_APM (Zenith)'!F288))</f>
        <v/>
      </c>
      <c r="M288" s="171" t="str">
        <f t="shared" si="41"/>
        <v/>
      </c>
      <c r="N288" s="172" t="str">
        <f t="shared" si="42"/>
        <v/>
      </c>
      <c r="O288" s="172" t="str">
        <f t="shared" si="43"/>
        <v/>
      </c>
    </row>
    <row r="289" spans="11:15">
      <c r="K289" s="171" t="str">
        <f t="shared" si="40"/>
        <v/>
      </c>
      <c r="L289" s="171" t="str">
        <f>IF(E289="","",IF(COUNTIFS(Table2[[#All],[De (Lote)]],'Input_APM (Zenith)'!F289)&gt;0,INDEX(Table2[[#All],[Para (Ticker Daniel)]],MATCH('Input_APM (Zenith)'!F289,Table2[[#All],[De (Lote)]],0)),'Input_APM (Zenith)'!F289))</f>
        <v/>
      </c>
      <c r="M289" s="171" t="str">
        <f t="shared" si="41"/>
        <v/>
      </c>
      <c r="N289" s="172" t="str">
        <f t="shared" si="42"/>
        <v/>
      </c>
      <c r="O289" s="172" t="str">
        <f t="shared" si="43"/>
        <v/>
      </c>
    </row>
    <row r="290" spans="11:15">
      <c r="K290" s="171" t="str">
        <f t="shared" si="40"/>
        <v/>
      </c>
      <c r="L290" s="171" t="str">
        <f>IF(E290="","",IF(COUNTIFS(Table2[[#All],[De (Lote)]],'Input_APM (Zenith)'!F290)&gt;0,INDEX(Table2[[#All],[Para (Ticker Daniel)]],MATCH('Input_APM (Zenith)'!F290,Table2[[#All],[De (Lote)]],0)),'Input_APM (Zenith)'!F290))</f>
        <v/>
      </c>
      <c r="M290" s="171" t="str">
        <f t="shared" si="41"/>
        <v/>
      </c>
      <c r="N290" s="172" t="str">
        <f t="shared" si="42"/>
        <v/>
      </c>
      <c r="O290" s="172" t="str">
        <f t="shared" si="43"/>
        <v/>
      </c>
    </row>
    <row r="291" spans="11:15">
      <c r="K291" s="171" t="str">
        <f t="shared" si="40"/>
        <v/>
      </c>
      <c r="L291" s="171" t="str">
        <f>IF(E291="","",IF(COUNTIFS(Table2[[#All],[De (Lote)]],'Input_APM (Zenith)'!F291)&gt;0,INDEX(Table2[[#All],[Para (Ticker Daniel)]],MATCH('Input_APM (Zenith)'!F291,Table2[[#All],[De (Lote)]],0)),'Input_APM (Zenith)'!F291))</f>
        <v/>
      </c>
      <c r="M291" s="171" t="str">
        <f t="shared" si="41"/>
        <v/>
      </c>
      <c r="N291" s="172" t="str">
        <f t="shared" si="42"/>
        <v/>
      </c>
      <c r="O291" s="172" t="str">
        <f t="shared" si="43"/>
        <v/>
      </c>
    </row>
    <row r="292" spans="11:15">
      <c r="K292" s="171" t="str">
        <f t="shared" si="40"/>
        <v/>
      </c>
      <c r="L292" s="171" t="str">
        <f>IF(E292="","",IF(COUNTIFS(Table2[[#All],[De (Lote)]],'Input_APM (Zenith)'!F292)&gt;0,INDEX(Table2[[#All],[Para (Ticker Daniel)]],MATCH('Input_APM (Zenith)'!F292,Table2[[#All],[De (Lote)]],0)),'Input_APM (Zenith)'!F292))</f>
        <v/>
      </c>
      <c r="M292" s="171" t="str">
        <f t="shared" si="41"/>
        <v/>
      </c>
      <c r="N292" s="172" t="str">
        <f t="shared" si="42"/>
        <v/>
      </c>
      <c r="O292" s="172" t="str">
        <f t="shared" si="43"/>
        <v/>
      </c>
    </row>
    <row r="293" spans="11:15">
      <c r="K293" s="171" t="str">
        <f t="shared" si="40"/>
        <v/>
      </c>
      <c r="L293" s="171" t="str">
        <f>IF(E293="","",IF(COUNTIFS(Table2[[#All],[De (Lote)]],'Input_APM (Zenith)'!F293)&gt;0,INDEX(Table2[[#All],[Para (Ticker Daniel)]],MATCH('Input_APM (Zenith)'!F293,Table2[[#All],[De (Lote)]],0)),'Input_APM (Zenith)'!F293))</f>
        <v/>
      </c>
      <c r="M293" s="171" t="str">
        <f t="shared" si="41"/>
        <v/>
      </c>
      <c r="N293" s="172" t="str">
        <f t="shared" si="42"/>
        <v/>
      </c>
      <c r="O293" s="172" t="str">
        <f t="shared" si="43"/>
        <v/>
      </c>
    </row>
    <row r="294" spans="11:15">
      <c r="K294" s="171" t="str">
        <f t="shared" ref="K294:K357" si="44">IF(E294="","",E294)</f>
        <v/>
      </c>
      <c r="L294" s="171" t="str">
        <f>IF(E294="","",IF(COUNTIFS(Table2[[#All],[De (Lote)]],'Input_APM (Zenith)'!F294)&gt;0,INDEX(Table2[[#All],[Para (Ticker Daniel)]],MATCH('Input_APM (Zenith)'!F294,Table2[[#All],[De (Lote)]],0)),'Input_APM (Zenith)'!F294))</f>
        <v/>
      </c>
      <c r="M294" s="171" t="str">
        <f t="shared" ref="M294:M357" si="45">IF(E294="","",G294)</f>
        <v/>
      </c>
      <c r="N294" s="172" t="str">
        <f t="shared" ref="N294:N357" si="46">IF(E294="","",H294)</f>
        <v/>
      </c>
      <c r="O294" s="172" t="str">
        <f t="shared" ref="O294:O357" si="47">IF(E294="","",I294)</f>
        <v/>
      </c>
    </row>
    <row r="295" spans="11:15">
      <c r="K295" s="171" t="str">
        <f t="shared" si="44"/>
        <v/>
      </c>
      <c r="L295" s="171" t="str">
        <f>IF(E295="","",IF(COUNTIFS(Table2[[#All],[De (Lote)]],'Input_APM (Zenith)'!F295)&gt;0,INDEX(Table2[[#All],[Para (Ticker Daniel)]],MATCH('Input_APM (Zenith)'!F295,Table2[[#All],[De (Lote)]],0)),'Input_APM (Zenith)'!F295))</f>
        <v/>
      </c>
      <c r="M295" s="171" t="str">
        <f t="shared" si="45"/>
        <v/>
      </c>
      <c r="N295" s="172" t="str">
        <f t="shared" si="46"/>
        <v/>
      </c>
      <c r="O295" s="172" t="str">
        <f t="shared" si="47"/>
        <v/>
      </c>
    </row>
    <row r="296" spans="11:15">
      <c r="K296" s="171" t="str">
        <f t="shared" si="44"/>
        <v/>
      </c>
      <c r="L296" s="171" t="str">
        <f>IF(E296="","",IF(COUNTIFS(Table2[[#All],[De (Lote)]],'Input_APM (Zenith)'!F296)&gt;0,INDEX(Table2[[#All],[Para (Ticker Daniel)]],MATCH('Input_APM (Zenith)'!F296,Table2[[#All],[De (Lote)]],0)),'Input_APM (Zenith)'!F296))</f>
        <v/>
      </c>
      <c r="M296" s="171" t="str">
        <f t="shared" si="45"/>
        <v/>
      </c>
      <c r="N296" s="172" t="str">
        <f t="shared" si="46"/>
        <v/>
      </c>
      <c r="O296" s="172" t="str">
        <f t="shared" si="47"/>
        <v/>
      </c>
    </row>
    <row r="297" spans="11:15">
      <c r="K297" s="171" t="str">
        <f t="shared" si="44"/>
        <v/>
      </c>
      <c r="L297" s="171" t="str">
        <f>IF(E297="","",IF(COUNTIFS(Table2[[#All],[De (Lote)]],'Input_APM (Zenith)'!F297)&gt;0,INDEX(Table2[[#All],[Para (Ticker Daniel)]],MATCH('Input_APM (Zenith)'!F297,Table2[[#All],[De (Lote)]],0)),'Input_APM (Zenith)'!F297))</f>
        <v/>
      </c>
      <c r="M297" s="171" t="str">
        <f t="shared" si="45"/>
        <v/>
      </c>
      <c r="N297" s="172" t="str">
        <f t="shared" si="46"/>
        <v/>
      </c>
      <c r="O297" s="172" t="str">
        <f t="shared" si="47"/>
        <v/>
      </c>
    </row>
    <row r="298" spans="11:15">
      <c r="K298" s="171" t="str">
        <f t="shared" si="44"/>
        <v/>
      </c>
      <c r="L298" s="171" t="str">
        <f>IF(E298="","",IF(COUNTIFS(Table2[[#All],[De (Lote)]],'Input_APM (Zenith)'!F298)&gt;0,INDEX(Table2[[#All],[Para (Ticker Daniel)]],MATCH('Input_APM (Zenith)'!F298,Table2[[#All],[De (Lote)]],0)),'Input_APM (Zenith)'!F298))</f>
        <v/>
      </c>
      <c r="M298" s="171" t="str">
        <f t="shared" si="45"/>
        <v/>
      </c>
      <c r="N298" s="172" t="str">
        <f t="shared" si="46"/>
        <v/>
      </c>
      <c r="O298" s="172" t="str">
        <f t="shared" si="47"/>
        <v/>
      </c>
    </row>
    <row r="299" spans="11:15">
      <c r="K299" s="171" t="str">
        <f t="shared" si="44"/>
        <v/>
      </c>
      <c r="L299" s="171" t="str">
        <f>IF(E299="","",IF(COUNTIFS(Table2[[#All],[De (Lote)]],'Input_APM (Zenith)'!F299)&gt;0,INDEX(Table2[[#All],[Para (Ticker Daniel)]],MATCH('Input_APM (Zenith)'!F299,Table2[[#All],[De (Lote)]],0)),'Input_APM (Zenith)'!F299))</f>
        <v/>
      </c>
      <c r="M299" s="171" t="str">
        <f t="shared" si="45"/>
        <v/>
      </c>
      <c r="N299" s="172" t="str">
        <f t="shared" si="46"/>
        <v/>
      </c>
      <c r="O299" s="172" t="str">
        <f t="shared" si="47"/>
        <v/>
      </c>
    </row>
    <row r="300" spans="11:15">
      <c r="K300" s="171" t="str">
        <f t="shared" si="44"/>
        <v/>
      </c>
      <c r="L300" s="171" t="str">
        <f>IF(E300="","",IF(COUNTIFS(Table2[[#All],[De (Lote)]],'Input_APM (Zenith)'!F300)&gt;0,INDEX(Table2[[#All],[Para (Ticker Daniel)]],MATCH('Input_APM (Zenith)'!F300,Table2[[#All],[De (Lote)]],0)),'Input_APM (Zenith)'!F300))</f>
        <v/>
      </c>
      <c r="M300" s="171" t="str">
        <f t="shared" si="45"/>
        <v/>
      </c>
      <c r="N300" s="172" t="str">
        <f t="shared" si="46"/>
        <v/>
      </c>
      <c r="O300" s="172" t="str">
        <f t="shared" si="47"/>
        <v/>
      </c>
    </row>
    <row r="301" spans="11:15">
      <c r="K301" s="171" t="str">
        <f t="shared" si="44"/>
        <v/>
      </c>
      <c r="L301" s="171" t="str">
        <f>IF(E301="","",IF(COUNTIFS(Table2[[#All],[De (Lote)]],'Input_APM (Zenith)'!F301)&gt;0,INDEX(Table2[[#All],[Para (Ticker Daniel)]],MATCH('Input_APM (Zenith)'!F301,Table2[[#All],[De (Lote)]],0)),'Input_APM (Zenith)'!F301))</f>
        <v/>
      </c>
      <c r="M301" s="171" t="str">
        <f t="shared" si="45"/>
        <v/>
      </c>
      <c r="N301" s="172" t="str">
        <f t="shared" si="46"/>
        <v/>
      </c>
      <c r="O301" s="172" t="str">
        <f t="shared" si="47"/>
        <v/>
      </c>
    </row>
    <row r="302" spans="11:15">
      <c r="K302" s="171" t="str">
        <f t="shared" si="44"/>
        <v/>
      </c>
      <c r="L302" s="171" t="str">
        <f>IF(E302="","",IF(COUNTIFS(Table2[[#All],[De (Lote)]],'Input_APM (Zenith)'!F302)&gt;0,INDEX(Table2[[#All],[Para (Ticker Daniel)]],MATCH('Input_APM (Zenith)'!F302,Table2[[#All],[De (Lote)]],0)),'Input_APM (Zenith)'!F302))</f>
        <v/>
      </c>
      <c r="M302" s="171" t="str">
        <f t="shared" si="45"/>
        <v/>
      </c>
      <c r="N302" s="172" t="str">
        <f t="shared" si="46"/>
        <v/>
      </c>
      <c r="O302" s="172" t="str">
        <f t="shared" si="47"/>
        <v/>
      </c>
    </row>
    <row r="303" spans="11:15">
      <c r="K303" s="171" t="str">
        <f t="shared" si="44"/>
        <v/>
      </c>
      <c r="L303" s="171" t="str">
        <f>IF(E303="","",IF(COUNTIFS(Table2[[#All],[De (Lote)]],'Input_APM (Zenith)'!F303)&gt;0,INDEX(Table2[[#All],[Para (Ticker Daniel)]],MATCH('Input_APM (Zenith)'!F303,Table2[[#All],[De (Lote)]],0)),'Input_APM (Zenith)'!F303))</f>
        <v/>
      </c>
      <c r="M303" s="171" t="str">
        <f t="shared" si="45"/>
        <v/>
      </c>
      <c r="N303" s="172" t="str">
        <f t="shared" si="46"/>
        <v/>
      </c>
      <c r="O303" s="172" t="str">
        <f t="shared" si="47"/>
        <v/>
      </c>
    </row>
    <row r="304" spans="11:15">
      <c r="K304" s="171" t="str">
        <f t="shared" si="44"/>
        <v/>
      </c>
      <c r="L304" s="171" t="str">
        <f>IF(E304="","",IF(COUNTIFS(Table2[[#All],[De (Lote)]],'Input_APM (Zenith)'!F304)&gt;0,INDEX(Table2[[#All],[Para (Ticker Daniel)]],MATCH('Input_APM (Zenith)'!F304,Table2[[#All],[De (Lote)]],0)),'Input_APM (Zenith)'!F304))</f>
        <v/>
      </c>
      <c r="M304" s="171" t="str">
        <f t="shared" si="45"/>
        <v/>
      </c>
      <c r="N304" s="172" t="str">
        <f t="shared" si="46"/>
        <v/>
      </c>
      <c r="O304" s="172" t="str">
        <f t="shared" si="47"/>
        <v/>
      </c>
    </row>
    <row r="305" spans="11:15">
      <c r="K305" s="171" t="str">
        <f t="shared" si="44"/>
        <v/>
      </c>
      <c r="L305" s="171" t="str">
        <f>IF(E305="","",IF(COUNTIFS(Table2[[#All],[De (Lote)]],'Input_APM (Zenith)'!F305)&gt;0,INDEX(Table2[[#All],[Para (Ticker Daniel)]],MATCH('Input_APM (Zenith)'!F305,Table2[[#All],[De (Lote)]],0)),'Input_APM (Zenith)'!F305))</f>
        <v/>
      </c>
      <c r="M305" s="171" t="str">
        <f t="shared" si="45"/>
        <v/>
      </c>
      <c r="N305" s="172" t="str">
        <f t="shared" si="46"/>
        <v/>
      </c>
      <c r="O305" s="172" t="str">
        <f t="shared" si="47"/>
        <v/>
      </c>
    </row>
    <row r="306" spans="11:15">
      <c r="K306" s="171" t="str">
        <f t="shared" si="44"/>
        <v/>
      </c>
      <c r="L306" s="171" t="str">
        <f>IF(E306="","",IF(COUNTIFS(Table2[[#All],[De (Lote)]],'Input_APM (Zenith)'!F306)&gt;0,INDEX(Table2[[#All],[Para (Ticker Daniel)]],MATCH('Input_APM (Zenith)'!F306,Table2[[#All],[De (Lote)]],0)),'Input_APM (Zenith)'!F306))</f>
        <v/>
      </c>
      <c r="M306" s="171" t="str">
        <f t="shared" si="45"/>
        <v/>
      </c>
      <c r="N306" s="172" t="str">
        <f t="shared" si="46"/>
        <v/>
      </c>
      <c r="O306" s="172" t="str">
        <f t="shared" si="47"/>
        <v/>
      </c>
    </row>
    <row r="307" spans="11:15">
      <c r="K307" s="171" t="str">
        <f t="shared" si="44"/>
        <v/>
      </c>
      <c r="L307" s="171" t="str">
        <f>IF(E307="","",IF(COUNTIFS(Table2[[#All],[De (Lote)]],'Input_APM (Zenith)'!F307)&gt;0,INDEX(Table2[[#All],[Para (Ticker Daniel)]],MATCH('Input_APM (Zenith)'!F307,Table2[[#All],[De (Lote)]],0)),'Input_APM (Zenith)'!F307))</f>
        <v/>
      </c>
      <c r="M307" s="171" t="str">
        <f t="shared" si="45"/>
        <v/>
      </c>
      <c r="N307" s="172" t="str">
        <f t="shared" si="46"/>
        <v/>
      </c>
      <c r="O307" s="172" t="str">
        <f t="shared" si="47"/>
        <v/>
      </c>
    </row>
    <row r="308" spans="11:15">
      <c r="K308" s="171" t="str">
        <f t="shared" si="44"/>
        <v/>
      </c>
      <c r="L308" s="171" t="str">
        <f>IF(E308="","",IF(COUNTIFS(Table2[[#All],[De (Lote)]],'Input_APM (Zenith)'!F308)&gt;0,INDEX(Table2[[#All],[Para (Ticker Daniel)]],MATCH('Input_APM (Zenith)'!F308,Table2[[#All],[De (Lote)]],0)),'Input_APM (Zenith)'!F308))</f>
        <v/>
      </c>
      <c r="M308" s="171" t="str">
        <f t="shared" si="45"/>
        <v/>
      </c>
      <c r="N308" s="172" t="str">
        <f t="shared" si="46"/>
        <v/>
      </c>
      <c r="O308" s="172" t="str">
        <f t="shared" si="47"/>
        <v/>
      </c>
    </row>
    <row r="309" spans="11:15">
      <c r="K309" s="171" t="str">
        <f t="shared" si="44"/>
        <v/>
      </c>
      <c r="L309" s="171" t="str">
        <f>IF(E309="","",IF(COUNTIFS(Table2[[#All],[De (Lote)]],'Input_APM (Zenith)'!F309)&gt;0,INDEX(Table2[[#All],[Para (Ticker Daniel)]],MATCH('Input_APM (Zenith)'!F309,Table2[[#All],[De (Lote)]],0)),'Input_APM (Zenith)'!F309))</f>
        <v/>
      </c>
      <c r="M309" s="171" t="str">
        <f t="shared" si="45"/>
        <v/>
      </c>
      <c r="N309" s="172" t="str">
        <f t="shared" si="46"/>
        <v/>
      </c>
      <c r="O309" s="172" t="str">
        <f t="shared" si="47"/>
        <v/>
      </c>
    </row>
    <row r="310" spans="11:15">
      <c r="K310" s="171" t="str">
        <f t="shared" si="44"/>
        <v/>
      </c>
      <c r="L310" s="171" t="str">
        <f>IF(E310="","",IF(COUNTIFS(Table2[[#All],[De (Lote)]],'Input_APM (Zenith)'!F310)&gt;0,INDEX(Table2[[#All],[Para (Ticker Daniel)]],MATCH('Input_APM (Zenith)'!F310,Table2[[#All],[De (Lote)]],0)),'Input_APM (Zenith)'!F310))</f>
        <v/>
      </c>
      <c r="M310" s="171" t="str">
        <f t="shared" si="45"/>
        <v/>
      </c>
      <c r="N310" s="172" t="str">
        <f t="shared" si="46"/>
        <v/>
      </c>
      <c r="O310" s="172" t="str">
        <f t="shared" si="47"/>
        <v/>
      </c>
    </row>
    <row r="311" spans="11:15">
      <c r="K311" s="171" t="str">
        <f t="shared" si="44"/>
        <v/>
      </c>
      <c r="L311" s="171" t="str">
        <f>IF(E311="","",IF(COUNTIFS(Table2[[#All],[De (Lote)]],'Input_APM (Zenith)'!F311)&gt;0,INDEX(Table2[[#All],[Para (Ticker Daniel)]],MATCH('Input_APM (Zenith)'!F311,Table2[[#All],[De (Lote)]],0)),'Input_APM (Zenith)'!F311))</f>
        <v/>
      </c>
      <c r="M311" s="171" t="str">
        <f t="shared" si="45"/>
        <v/>
      </c>
      <c r="N311" s="172" t="str">
        <f t="shared" si="46"/>
        <v/>
      </c>
      <c r="O311" s="172" t="str">
        <f t="shared" si="47"/>
        <v/>
      </c>
    </row>
    <row r="312" spans="11:15">
      <c r="K312" s="171" t="str">
        <f t="shared" si="44"/>
        <v/>
      </c>
      <c r="L312" s="171" t="str">
        <f>IF(E312="","",IF(COUNTIFS(Table2[[#All],[De (Lote)]],'Input_APM (Zenith)'!F312)&gt;0,INDEX(Table2[[#All],[Para (Ticker Daniel)]],MATCH('Input_APM (Zenith)'!F312,Table2[[#All],[De (Lote)]],0)),'Input_APM (Zenith)'!F312))</f>
        <v/>
      </c>
      <c r="M312" s="171" t="str">
        <f t="shared" si="45"/>
        <v/>
      </c>
      <c r="N312" s="172" t="str">
        <f t="shared" si="46"/>
        <v/>
      </c>
      <c r="O312" s="172" t="str">
        <f t="shared" si="47"/>
        <v/>
      </c>
    </row>
    <row r="313" spans="11:15">
      <c r="K313" s="171" t="str">
        <f t="shared" si="44"/>
        <v/>
      </c>
      <c r="L313" s="171" t="str">
        <f>IF(E313="","",IF(COUNTIFS(Table2[[#All],[De (Lote)]],'Input_APM (Zenith)'!F313)&gt;0,INDEX(Table2[[#All],[Para (Ticker Daniel)]],MATCH('Input_APM (Zenith)'!F313,Table2[[#All],[De (Lote)]],0)),'Input_APM (Zenith)'!F313))</f>
        <v/>
      </c>
      <c r="M313" s="171" t="str">
        <f t="shared" si="45"/>
        <v/>
      </c>
      <c r="N313" s="172" t="str">
        <f t="shared" si="46"/>
        <v/>
      </c>
      <c r="O313" s="172" t="str">
        <f t="shared" si="47"/>
        <v/>
      </c>
    </row>
    <row r="314" spans="11:15">
      <c r="K314" s="171" t="str">
        <f t="shared" si="44"/>
        <v/>
      </c>
      <c r="L314" s="171" t="str">
        <f>IF(E314="","",IF(COUNTIFS(Table2[[#All],[De (Lote)]],'Input_APM (Zenith)'!F314)&gt;0,INDEX(Table2[[#All],[Para (Ticker Daniel)]],MATCH('Input_APM (Zenith)'!F314,Table2[[#All],[De (Lote)]],0)),'Input_APM (Zenith)'!F314))</f>
        <v/>
      </c>
      <c r="M314" s="171" t="str">
        <f t="shared" si="45"/>
        <v/>
      </c>
      <c r="N314" s="172" t="str">
        <f t="shared" si="46"/>
        <v/>
      </c>
      <c r="O314" s="172" t="str">
        <f t="shared" si="47"/>
        <v/>
      </c>
    </row>
    <row r="315" spans="11:15">
      <c r="K315" s="171" t="str">
        <f t="shared" si="44"/>
        <v/>
      </c>
      <c r="L315" s="171" t="str">
        <f>IF(E315="","",IF(COUNTIFS(Table2[[#All],[De (Lote)]],'Input_APM (Zenith)'!F315)&gt;0,INDEX(Table2[[#All],[Para (Ticker Daniel)]],MATCH('Input_APM (Zenith)'!F315,Table2[[#All],[De (Lote)]],0)),'Input_APM (Zenith)'!F315))</f>
        <v/>
      </c>
      <c r="M315" s="171" t="str">
        <f t="shared" si="45"/>
        <v/>
      </c>
      <c r="N315" s="172" t="str">
        <f t="shared" si="46"/>
        <v/>
      </c>
      <c r="O315" s="172" t="str">
        <f t="shared" si="47"/>
        <v/>
      </c>
    </row>
    <row r="316" spans="11:15">
      <c r="K316" s="171" t="str">
        <f t="shared" si="44"/>
        <v/>
      </c>
      <c r="L316" s="171" t="str">
        <f>IF(E316="","",IF(COUNTIFS(Table2[[#All],[De (Lote)]],'Input_APM (Zenith)'!F316)&gt;0,INDEX(Table2[[#All],[Para (Ticker Daniel)]],MATCH('Input_APM (Zenith)'!F316,Table2[[#All],[De (Lote)]],0)),'Input_APM (Zenith)'!F316))</f>
        <v/>
      </c>
      <c r="M316" s="171" t="str">
        <f t="shared" si="45"/>
        <v/>
      </c>
      <c r="N316" s="172" t="str">
        <f t="shared" si="46"/>
        <v/>
      </c>
      <c r="O316" s="172" t="str">
        <f t="shared" si="47"/>
        <v/>
      </c>
    </row>
    <row r="317" spans="11:15">
      <c r="K317" s="171" t="str">
        <f t="shared" si="44"/>
        <v/>
      </c>
      <c r="L317" s="171" t="str">
        <f>IF(E317="","",IF(COUNTIFS(Table2[[#All],[De (Lote)]],'Input_APM (Zenith)'!F317)&gt;0,INDEX(Table2[[#All],[Para (Ticker Daniel)]],MATCH('Input_APM (Zenith)'!F317,Table2[[#All],[De (Lote)]],0)),'Input_APM (Zenith)'!F317))</f>
        <v/>
      </c>
      <c r="M317" s="171" t="str">
        <f t="shared" si="45"/>
        <v/>
      </c>
      <c r="N317" s="172" t="str">
        <f t="shared" si="46"/>
        <v/>
      </c>
      <c r="O317" s="172" t="str">
        <f t="shared" si="47"/>
        <v/>
      </c>
    </row>
    <row r="318" spans="11:15">
      <c r="K318" s="171" t="str">
        <f t="shared" si="44"/>
        <v/>
      </c>
      <c r="L318" s="171" t="str">
        <f>IF(E318="","",IF(COUNTIFS(Table2[[#All],[De (Lote)]],'Input_APM (Zenith)'!F318)&gt;0,INDEX(Table2[[#All],[Para (Ticker Daniel)]],MATCH('Input_APM (Zenith)'!F318,Table2[[#All],[De (Lote)]],0)),'Input_APM (Zenith)'!F318))</f>
        <v/>
      </c>
      <c r="M318" s="171" t="str">
        <f t="shared" si="45"/>
        <v/>
      </c>
      <c r="N318" s="172" t="str">
        <f t="shared" si="46"/>
        <v/>
      </c>
      <c r="O318" s="172" t="str">
        <f t="shared" si="47"/>
        <v/>
      </c>
    </row>
    <row r="319" spans="11:15">
      <c r="K319" s="171" t="str">
        <f t="shared" si="44"/>
        <v/>
      </c>
      <c r="L319" s="171" t="str">
        <f>IF(E319="","",IF(COUNTIFS(Table2[[#All],[De (Lote)]],'Input_APM (Zenith)'!F319)&gt;0,INDEX(Table2[[#All],[Para (Ticker Daniel)]],MATCH('Input_APM (Zenith)'!F319,Table2[[#All],[De (Lote)]],0)),'Input_APM (Zenith)'!F319))</f>
        <v/>
      </c>
      <c r="M319" s="171" t="str">
        <f t="shared" si="45"/>
        <v/>
      </c>
      <c r="N319" s="172" t="str">
        <f t="shared" si="46"/>
        <v/>
      </c>
      <c r="O319" s="172" t="str">
        <f t="shared" si="47"/>
        <v/>
      </c>
    </row>
    <row r="320" spans="11:15">
      <c r="K320" s="171" t="str">
        <f t="shared" si="44"/>
        <v/>
      </c>
      <c r="L320" s="171" t="str">
        <f>IF(E320="","",IF(COUNTIFS(Table2[[#All],[De (Lote)]],'Input_APM (Zenith)'!F320)&gt;0,INDEX(Table2[[#All],[Para (Ticker Daniel)]],MATCH('Input_APM (Zenith)'!F320,Table2[[#All],[De (Lote)]],0)),'Input_APM (Zenith)'!F320))</f>
        <v/>
      </c>
      <c r="M320" s="171" t="str">
        <f t="shared" si="45"/>
        <v/>
      </c>
      <c r="N320" s="172" t="str">
        <f t="shared" si="46"/>
        <v/>
      </c>
      <c r="O320" s="172" t="str">
        <f t="shared" si="47"/>
        <v/>
      </c>
    </row>
    <row r="321" spans="11:15">
      <c r="K321" s="171" t="str">
        <f t="shared" si="44"/>
        <v/>
      </c>
      <c r="L321" s="171" t="str">
        <f>IF(E321="","",IF(COUNTIFS(Table2[[#All],[De (Lote)]],'Input_APM (Zenith)'!F321)&gt;0,INDEX(Table2[[#All],[Para (Ticker Daniel)]],MATCH('Input_APM (Zenith)'!F321,Table2[[#All],[De (Lote)]],0)),'Input_APM (Zenith)'!F321))</f>
        <v/>
      </c>
      <c r="M321" s="171" t="str">
        <f t="shared" si="45"/>
        <v/>
      </c>
      <c r="N321" s="172" t="str">
        <f t="shared" si="46"/>
        <v/>
      </c>
      <c r="O321" s="172" t="str">
        <f t="shared" si="47"/>
        <v/>
      </c>
    </row>
    <row r="322" spans="11:15">
      <c r="K322" s="171" t="str">
        <f t="shared" si="44"/>
        <v/>
      </c>
      <c r="L322" s="171" t="str">
        <f>IF(E322="","",IF(COUNTIFS(Table2[[#All],[De (Lote)]],'Input_APM (Zenith)'!F322)&gt;0,INDEX(Table2[[#All],[Para (Ticker Daniel)]],MATCH('Input_APM (Zenith)'!F322,Table2[[#All],[De (Lote)]],0)),'Input_APM (Zenith)'!F322))</f>
        <v/>
      </c>
      <c r="M322" s="171" t="str">
        <f t="shared" si="45"/>
        <v/>
      </c>
      <c r="N322" s="172" t="str">
        <f t="shared" si="46"/>
        <v/>
      </c>
      <c r="O322" s="172" t="str">
        <f t="shared" si="47"/>
        <v/>
      </c>
    </row>
    <row r="323" spans="11:15">
      <c r="K323" s="171" t="str">
        <f t="shared" si="44"/>
        <v/>
      </c>
      <c r="L323" s="171" t="str">
        <f>IF(E323="","",IF(COUNTIFS(Table2[[#All],[De (Lote)]],'Input_APM (Zenith)'!F323)&gt;0,INDEX(Table2[[#All],[Para (Ticker Daniel)]],MATCH('Input_APM (Zenith)'!F323,Table2[[#All],[De (Lote)]],0)),'Input_APM (Zenith)'!F323))</f>
        <v/>
      </c>
      <c r="M323" s="171" t="str">
        <f t="shared" si="45"/>
        <v/>
      </c>
      <c r="N323" s="172" t="str">
        <f t="shared" si="46"/>
        <v/>
      </c>
      <c r="O323" s="172" t="str">
        <f t="shared" si="47"/>
        <v/>
      </c>
    </row>
    <row r="324" spans="11:15">
      <c r="K324" s="171" t="str">
        <f t="shared" si="44"/>
        <v/>
      </c>
      <c r="L324" s="171" t="str">
        <f>IF(E324="","",IF(COUNTIFS(Table2[[#All],[De (Lote)]],'Input_APM (Zenith)'!F324)&gt;0,INDEX(Table2[[#All],[Para (Ticker Daniel)]],MATCH('Input_APM (Zenith)'!F324,Table2[[#All],[De (Lote)]],0)),'Input_APM (Zenith)'!F324))</f>
        <v/>
      </c>
      <c r="M324" s="171" t="str">
        <f t="shared" si="45"/>
        <v/>
      </c>
      <c r="N324" s="172" t="str">
        <f t="shared" si="46"/>
        <v/>
      </c>
      <c r="O324" s="172" t="str">
        <f t="shared" si="47"/>
        <v/>
      </c>
    </row>
    <row r="325" spans="11:15">
      <c r="K325" s="171" t="str">
        <f t="shared" si="44"/>
        <v/>
      </c>
      <c r="L325" s="171" t="str">
        <f>IF(E325="","",IF(COUNTIFS(Table2[[#All],[De (Lote)]],'Input_APM (Zenith)'!F325)&gt;0,INDEX(Table2[[#All],[Para (Ticker Daniel)]],MATCH('Input_APM (Zenith)'!F325,Table2[[#All],[De (Lote)]],0)),'Input_APM (Zenith)'!F325))</f>
        <v/>
      </c>
      <c r="M325" s="171" t="str">
        <f t="shared" si="45"/>
        <v/>
      </c>
      <c r="N325" s="172" t="str">
        <f t="shared" si="46"/>
        <v/>
      </c>
      <c r="O325" s="172" t="str">
        <f t="shared" si="47"/>
        <v/>
      </c>
    </row>
    <row r="326" spans="11:15">
      <c r="K326" s="171" t="str">
        <f t="shared" si="44"/>
        <v/>
      </c>
      <c r="L326" s="171" t="str">
        <f>IF(E326="","",IF(COUNTIFS(Table2[[#All],[De (Lote)]],'Input_APM (Zenith)'!F326)&gt;0,INDEX(Table2[[#All],[Para (Ticker Daniel)]],MATCH('Input_APM (Zenith)'!F326,Table2[[#All],[De (Lote)]],0)),'Input_APM (Zenith)'!F326))</f>
        <v/>
      </c>
      <c r="M326" s="171" t="str">
        <f t="shared" si="45"/>
        <v/>
      </c>
      <c r="N326" s="172" t="str">
        <f t="shared" si="46"/>
        <v/>
      </c>
      <c r="O326" s="172" t="str">
        <f t="shared" si="47"/>
        <v/>
      </c>
    </row>
    <row r="327" spans="11:15">
      <c r="K327" s="171" t="str">
        <f t="shared" si="44"/>
        <v/>
      </c>
      <c r="L327" s="171" t="str">
        <f>IF(E327="","",IF(COUNTIFS(Table2[[#All],[De (Lote)]],'Input_APM (Zenith)'!F327)&gt;0,INDEX(Table2[[#All],[Para (Ticker Daniel)]],MATCH('Input_APM (Zenith)'!F327,Table2[[#All],[De (Lote)]],0)),'Input_APM (Zenith)'!F327))</f>
        <v/>
      </c>
      <c r="M327" s="171" t="str">
        <f t="shared" si="45"/>
        <v/>
      </c>
      <c r="N327" s="172" t="str">
        <f t="shared" si="46"/>
        <v/>
      </c>
      <c r="O327" s="172" t="str">
        <f t="shared" si="47"/>
        <v/>
      </c>
    </row>
    <row r="328" spans="11:15">
      <c r="K328" s="171" t="str">
        <f t="shared" si="44"/>
        <v/>
      </c>
      <c r="L328" s="171" t="str">
        <f>IF(E328="","",IF(COUNTIFS(Table2[[#All],[De (Lote)]],'Input_APM (Zenith)'!F328)&gt;0,INDEX(Table2[[#All],[Para (Ticker Daniel)]],MATCH('Input_APM (Zenith)'!F328,Table2[[#All],[De (Lote)]],0)),'Input_APM (Zenith)'!F328))</f>
        <v/>
      </c>
      <c r="M328" s="171" t="str">
        <f t="shared" si="45"/>
        <v/>
      </c>
      <c r="N328" s="172" t="str">
        <f t="shared" si="46"/>
        <v/>
      </c>
      <c r="O328" s="172" t="str">
        <f t="shared" si="47"/>
        <v/>
      </c>
    </row>
    <row r="329" spans="11:15">
      <c r="K329" s="171" t="str">
        <f t="shared" si="44"/>
        <v/>
      </c>
      <c r="L329" s="171" t="str">
        <f>IF(E329="","",IF(COUNTIFS(Table2[[#All],[De (Lote)]],'Input_APM (Zenith)'!F329)&gt;0,INDEX(Table2[[#All],[Para (Ticker Daniel)]],MATCH('Input_APM (Zenith)'!F329,Table2[[#All],[De (Lote)]],0)),'Input_APM (Zenith)'!F329))</f>
        <v/>
      </c>
      <c r="M329" s="171" t="str">
        <f t="shared" si="45"/>
        <v/>
      </c>
      <c r="N329" s="172" t="str">
        <f t="shared" si="46"/>
        <v/>
      </c>
      <c r="O329" s="172" t="str">
        <f t="shared" si="47"/>
        <v/>
      </c>
    </row>
    <row r="330" spans="11:15">
      <c r="K330" s="171" t="str">
        <f t="shared" si="44"/>
        <v/>
      </c>
      <c r="L330" s="171" t="str">
        <f>IF(E330="","",IF(COUNTIFS(Table2[[#All],[De (Lote)]],'Input_APM (Zenith)'!F330)&gt;0,INDEX(Table2[[#All],[Para (Ticker Daniel)]],MATCH('Input_APM (Zenith)'!F330,Table2[[#All],[De (Lote)]],0)),'Input_APM (Zenith)'!F330))</f>
        <v/>
      </c>
      <c r="M330" s="171" t="str">
        <f t="shared" si="45"/>
        <v/>
      </c>
      <c r="N330" s="172" t="str">
        <f t="shared" si="46"/>
        <v/>
      </c>
      <c r="O330" s="172" t="str">
        <f t="shared" si="47"/>
        <v/>
      </c>
    </row>
    <row r="331" spans="11:15">
      <c r="K331" s="171" t="str">
        <f t="shared" si="44"/>
        <v/>
      </c>
      <c r="L331" s="171" t="str">
        <f>IF(E331="","",IF(COUNTIFS(Table2[[#All],[De (Lote)]],'Input_APM (Zenith)'!F331)&gt;0,INDEX(Table2[[#All],[Para (Ticker Daniel)]],MATCH('Input_APM (Zenith)'!F331,Table2[[#All],[De (Lote)]],0)),'Input_APM (Zenith)'!F331))</f>
        <v/>
      </c>
      <c r="M331" s="171" t="str">
        <f t="shared" si="45"/>
        <v/>
      </c>
      <c r="N331" s="172" t="str">
        <f t="shared" si="46"/>
        <v/>
      </c>
      <c r="O331" s="172" t="str">
        <f t="shared" si="47"/>
        <v/>
      </c>
    </row>
    <row r="332" spans="11:15">
      <c r="K332" s="171" t="str">
        <f t="shared" si="44"/>
        <v/>
      </c>
      <c r="L332" s="171" t="str">
        <f>IF(E332="","",IF(COUNTIFS(Table2[[#All],[De (Lote)]],'Input_APM (Zenith)'!F332)&gt;0,INDEX(Table2[[#All],[Para (Ticker Daniel)]],MATCH('Input_APM (Zenith)'!F332,Table2[[#All],[De (Lote)]],0)),'Input_APM (Zenith)'!F332))</f>
        <v/>
      </c>
      <c r="M332" s="171" t="str">
        <f t="shared" si="45"/>
        <v/>
      </c>
      <c r="N332" s="172" t="str">
        <f t="shared" si="46"/>
        <v/>
      </c>
      <c r="O332" s="172" t="str">
        <f t="shared" si="47"/>
        <v/>
      </c>
    </row>
    <row r="333" spans="11:15">
      <c r="K333" s="171" t="str">
        <f t="shared" si="44"/>
        <v/>
      </c>
      <c r="L333" s="171" t="str">
        <f>IF(E333="","",IF(COUNTIFS(Table2[[#All],[De (Lote)]],'Input_APM (Zenith)'!F333)&gt;0,INDEX(Table2[[#All],[Para (Ticker Daniel)]],MATCH('Input_APM (Zenith)'!F333,Table2[[#All],[De (Lote)]],0)),'Input_APM (Zenith)'!F333))</f>
        <v/>
      </c>
      <c r="M333" s="171" t="str">
        <f t="shared" si="45"/>
        <v/>
      </c>
      <c r="N333" s="172" t="str">
        <f t="shared" si="46"/>
        <v/>
      </c>
      <c r="O333" s="172" t="str">
        <f t="shared" si="47"/>
        <v/>
      </c>
    </row>
    <row r="334" spans="11:15">
      <c r="K334" s="171" t="str">
        <f t="shared" si="44"/>
        <v/>
      </c>
      <c r="L334" s="171" t="str">
        <f>IF(E334="","",IF(COUNTIFS(Table2[[#All],[De (Lote)]],'Input_APM (Zenith)'!F334)&gt;0,INDEX(Table2[[#All],[Para (Ticker Daniel)]],MATCH('Input_APM (Zenith)'!F334,Table2[[#All],[De (Lote)]],0)),'Input_APM (Zenith)'!F334))</f>
        <v/>
      </c>
      <c r="M334" s="171" t="str">
        <f t="shared" si="45"/>
        <v/>
      </c>
      <c r="N334" s="172" t="str">
        <f t="shared" si="46"/>
        <v/>
      </c>
      <c r="O334" s="172" t="str">
        <f t="shared" si="47"/>
        <v/>
      </c>
    </row>
    <row r="335" spans="11:15">
      <c r="K335" s="171" t="str">
        <f t="shared" si="44"/>
        <v/>
      </c>
      <c r="L335" s="171" t="str">
        <f>IF(E335="","",IF(COUNTIFS(Table2[[#All],[De (Lote)]],'Input_APM (Zenith)'!F335)&gt;0,INDEX(Table2[[#All],[Para (Ticker Daniel)]],MATCH('Input_APM (Zenith)'!F335,Table2[[#All],[De (Lote)]],0)),'Input_APM (Zenith)'!F335))</f>
        <v/>
      </c>
      <c r="M335" s="171" t="str">
        <f t="shared" si="45"/>
        <v/>
      </c>
      <c r="N335" s="172" t="str">
        <f t="shared" si="46"/>
        <v/>
      </c>
      <c r="O335" s="172" t="str">
        <f t="shared" si="47"/>
        <v/>
      </c>
    </row>
    <row r="336" spans="11:15">
      <c r="K336" s="171" t="str">
        <f t="shared" si="44"/>
        <v/>
      </c>
      <c r="L336" s="171" t="str">
        <f>IF(E336="","",IF(COUNTIFS(Table2[[#All],[De (Lote)]],'Input_APM (Zenith)'!F336)&gt;0,INDEX(Table2[[#All],[Para (Ticker Daniel)]],MATCH('Input_APM (Zenith)'!F336,Table2[[#All],[De (Lote)]],0)),'Input_APM (Zenith)'!F336))</f>
        <v/>
      </c>
      <c r="M336" s="171" t="str">
        <f t="shared" si="45"/>
        <v/>
      </c>
      <c r="N336" s="172" t="str">
        <f t="shared" si="46"/>
        <v/>
      </c>
      <c r="O336" s="172" t="str">
        <f t="shared" si="47"/>
        <v/>
      </c>
    </row>
    <row r="337" spans="11:15">
      <c r="K337" s="171" t="str">
        <f t="shared" si="44"/>
        <v/>
      </c>
      <c r="L337" s="171" t="str">
        <f>IF(E337="","",IF(COUNTIFS(Table2[[#All],[De (Lote)]],'Input_APM (Zenith)'!F337)&gt;0,INDEX(Table2[[#All],[Para (Ticker Daniel)]],MATCH('Input_APM (Zenith)'!F337,Table2[[#All],[De (Lote)]],0)),'Input_APM (Zenith)'!F337))</f>
        <v/>
      </c>
      <c r="M337" s="171" t="str">
        <f t="shared" si="45"/>
        <v/>
      </c>
      <c r="N337" s="172" t="str">
        <f t="shared" si="46"/>
        <v/>
      </c>
      <c r="O337" s="172" t="str">
        <f t="shared" si="47"/>
        <v/>
      </c>
    </row>
    <row r="338" spans="11:15">
      <c r="K338" s="171" t="str">
        <f t="shared" si="44"/>
        <v/>
      </c>
      <c r="L338" s="171" t="str">
        <f>IF(E338="","",IF(COUNTIFS(Table2[[#All],[De (Lote)]],'Input_APM (Zenith)'!F338)&gt;0,INDEX(Table2[[#All],[Para (Ticker Daniel)]],MATCH('Input_APM (Zenith)'!F338,Table2[[#All],[De (Lote)]],0)),'Input_APM (Zenith)'!F338))</f>
        <v/>
      </c>
      <c r="M338" s="171" t="str">
        <f t="shared" si="45"/>
        <v/>
      </c>
      <c r="N338" s="172" t="str">
        <f t="shared" si="46"/>
        <v/>
      </c>
      <c r="O338" s="172" t="str">
        <f t="shared" si="47"/>
        <v/>
      </c>
    </row>
    <row r="339" spans="11:15">
      <c r="K339" s="171" t="str">
        <f t="shared" si="44"/>
        <v/>
      </c>
      <c r="L339" s="171" t="str">
        <f>IF(E339="","",IF(COUNTIFS(Table2[[#All],[De (Lote)]],'Input_APM (Zenith)'!F339)&gt;0,INDEX(Table2[[#All],[Para (Ticker Daniel)]],MATCH('Input_APM (Zenith)'!F339,Table2[[#All],[De (Lote)]],0)),'Input_APM (Zenith)'!F339))</f>
        <v/>
      </c>
      <c r="M339" s="171" t="str">
        <f t="shared" si="45"/>
        <v/>
      </c>
      <c r="N339" s="172" t="str">
        <f t="shared" si="46"/>
        <v/>
      </c>
      <c r="O339" s="172" t="str">
        <f t="shared" si="47"/>
        <v/>
      </c>
    </row>
    <row r="340" spans="11:15">
      <c r="K340" s="171" t="str">
        <f t="shared" si="44"/>
        <v/>
      </c>
      <c r="L340" s="171" t="str">
        <f>IF(E340="","",IF(COUNTIFS(Table2[[#All],[De (Lote)]],'Input_APM (Zenith)'!F340)&gt;0,INDEX(Table2[[#All],[Para (Ticker Daniel)]],MATCH('Input_APM (Zenith)'!F340,Table2[[#All],[De (Lote)]],0)),'Input_APM (Zenith)'!F340))</f>
        <v/>
      </c>
      <c r="M340" s="171" t="str">
        <f t="shared" si="45"/>
        <v/>
      </c>
      <c r="N340" s="172" t="str">
        <f t="shared" si="46"/>
        <v/>
      </c>
      <c r="O340" s="172" t="str">
        <f t="shared" si="47"/>
        <v/>
      </c>
    </row>
    <row r="341" spans="11:15">
      <c r="K341" s="171" t="str">
        <f t="shared" si="44"/>
        <v/>
      </c>
      <c r="L341" s="171" t="str">
        <f>IF(E341="","",IF(COUNTIFS(Table2[[#All],[De (Lote)]],'Input_APM (Zenith)'!F341)&gt;0,INDEX(Table2[[#All],[Para (Ticker Daniel)]],MATCH('Input_APM (Zenith)'!F341,Table2[[#All],[De (Lote)]],0)),'Input_APM (Zenith)'!F341))</f>
        <v/>
      </c>
      <c r="M341" s="171" t="str">
        <f t="shared" si="45"/>
        <v/>
      </c>
      <c r="N341" s="172" t="str">
        <f t="shared" si="46"/>
        <v/>
      </c>
      <c r="O341" s="172" t="str">
        <f t="shared" si="47"/>
        <v/>
      </c>
    </row>
    <row r="342" spans="11:15">
      <c r="K342" s="171" t="str">
        <f t="shared" si="44"/>
        <v/>
      </c>
      <c r="L342" s="171" t="str">
        <f>IF(E342="","",IF(COUNTIFS(Table2[[#All],[De (Lote)]],'Input_APM (Zenith)'!F342)&gt;0,INDEX(Table2[[#All],[Para (Ticker Daniel)]],MATCH('Input_APM (Zenith)'!F342,Table2[[#All],[De (Lote)]],0)),'Input_APM (Zenith)'!F342))</f>
        <v/>
      </c>
      <c r="M342" s="171" t="str">
        <f t="shared" si="45"/>
        <v/>
      </c>
      <c r="N342" s="172" t="str">
        <f t="shared" si="46"/>
        <v/>
      </c>
      <c r="O342" s="172" t="str">
        <f t="shared" si="47"/>
        <v/>
      </c>
    </row>
    <row r="343" spans="11:15">
      <c r="K343" s="171" t="str">
        <f t="shared" si="44"/>
        <v/>
      </c>
      <c r="L343" s="171" t="str">
        <f>IF(E343="","",IF(COUNTIFS(Table2[[#All],[De (Lote)]],'Input_APM (Zenith)'!F343)&gt;0,INDEX(Table2[[#All],[Para (Ticker Daniel)]],MATCH('Input_APM (Zenith)'!F343,Table2[[#All],[De (Lote)]],0)),'Input_APM (Zenith)'!F343))</f>
        <v/>
      </c>
      <c r="M343" s="171" t="str">
        <f t="shared" si="45"/>
        <v/>
      </c>
      <c r="N343" s="172" t="str">
        <f t="shared" si="46"/>
        <v/>
      </c>
      <c r="O343" s="172" t="str">
        <f t="shared" si="47"/>
        <v/>
      </c>
    </row>
    <row r="344" spans="11:15">
      <c r="K344" s="171" t="str">
        <f t="shared" si="44"/>
        <v/>
      </c>
      <c r="L344" s="171" t="str">
        <f>IF(E344="","",IF(COUNTIFS(Table2[[#All],[De (Lote)]],'Input_APM (Zenith)'!F344)&gt;0,INDEX(Table2[[#All],[Para (Ticker Daniel)]],MATCH('Input_APM (Zenith)'!F344,Table2[[#All],[De (Lote)]],0)),'Input_APM (Zenith)'!F344))</f>
        <v/>
      </c>
      <c r="M344" s="171" t="str">
        <f t="shared" si="45"/>
        <v/>
      </c>
      <c r="N344" s="172" t="str">
        <f t="shared" si="46"/>
        <v/>
      </c>
      <c r="O344" s="172" t="str">
        <f t="shared" si="47"/>
        <v/>
      </c>
    </row>
    <row r="345" spans="11:15">
      <c r="K345" s="171" t="str">
        <f t="shared" si="44"/>
        <v/>
      </c>
      <c r="L345" s="171" t="str">
        <f>IF(E345="","",IF(COUNTIFS(Table2[[#All],[De (Lote)]],'Input_APM (Zenith)'!F345)&gt;0,INDEX(Table2[[#All],[Para (Ticker Daniel)]],MATCH('Input_APM (Zenith)'!F345,Table2[[#All],[De (Lote)]],0)),'Input_APM (Zenith)'!F345))</f>
        <v/>
      </c>
      <c r="M345" s="171" t="str">
        <f t="shared" si="45"/>
        <v/>
      </c>
      <c r="N345" s="172" t="str">
        <f t="shared" si="46"/>
        <v/>
      </c>
      <c r="O345" s="172" t="str">
        <f t="shared" si="47"/>
        <v/>
      </c>
    </row>
    <row r="346" spans="11:15">
      <c r="K346" s="171" t="str">
        <f t="shared" si="44"/>
        <v/>
      </c>
      <c r="L346" s="171" t="str">
        <f>IF(E346="","",IF(COUNTIFS(Table2[[#All],[De (Lote)]],'Input_APM (Zenith)'!F346)&gt;0,INDEX(Table2[[#All],[Para (Ticker Daniel)]],MATCH('Input_APM (Zenith)'!F346,Table2[[#All],[De (Lote)]],0)),'Input_APM (Zenith)'!F346))</f>
        <v/>
      </c>
      <c r="M346" s="171" t="str">
        <f t="shared" si="45"/>
        <v/>
      </c>
      <c r="N346" s="172" t="str">
        <f t="shared" si="46"/>
        <v/>
      </c>
      <c r="O346" s="172" t="str">
        <f t="shared" si="47"/>
        <v/>
      </c>
    </row>
    <row r="347" spans="11:15">
      <c r="K347" s="171" t="str">
        <f t="shared" si="44"/>
        <v/>
      </c>
      <c r="L347" s="171" t="str">
        <f>IF(E347="","",IF(COUNTIFS(Table2[[#All],[De (Lote)]],'Input_APM (Zenith)'!F347)&gt;0,INDEX(Table2[[#All],[Para (Ticker Daniel)]],MATCH('Input_APM (Zenith)'!F347,Table2[[#All],[De (Lote)]],0)),'Input_APM (Zenith)'!F347))</f>
        <v/>
      </c>
      <c r="M347" s="171" t="str">
        <f t="shared" si="45"/>
        <v/>
      </c>
      <c r="N347" s="172" t="str">
        <f t="shared" si="46"/>
        <v/>
      </c>
      <c r="O347" s="172" t="str">
        <f t="shared" si="47"/>
        <v/>
      </c>
    </row>
    <row r="348" spans="11:15">
      <c r="K348" s="171" t="str">
        <f t="shared" si="44"/>
        <v/>
      </c>
      <c r="L348" s="171" t="str">
        <f>IF(E348="","",IF(COUNTIFS(Table2[[#All],[De (Lote)]],'Input_APM (Zenith)'!F348)&gt;0,INDEX(Table2[[#All],[Para (Ticker Daniel)]],MATCH('Input_APM (Zenith)'!F348,Table2[[#All],[De (Lote)]],0)),'Input_APM (Zenith)'!F348))</f>
        <v/>
      </c>
      <c r="M348" s="171" t="str">
        <f t="shared" si="45"/>
        <v/>
      </c>
      <c r="N348" s="172" t="str">
        <f t="shared" si="46"/>
        <v/>
      </c>
      <c r="O348" s="172" t="str">
        <f t="shared" si="47"/>
        <v/>
      </c>
    </row>
    <row r="349" spans="11:15">
      <c r="K349" s="171" t="str">
        <f t="shared" si="44"/>
        <v/>
      </c>
      <c r="L349" s="171" t="str">
        <f>IF(E349="","",IF(COUNTIFS(Table2[[#All],[De (Lote)]],'Input_APM (Zenith)'!F349)&gt;0,INDEX(Table2[[#All],[Para (Ticker Daniel)]],MATCH('Input_APM (Zenith)'!F349,Table2[[#All],[De (Lote)]],0)),'Input_APM (Zenith)'!F349))</f>
        <v/>
      </c>
      <c r="M349" s="171" t="str">
        <f t="shared" si="45"/>
        <v/>
      </c>
      <c r="N349" s="172" t="str">
        <f t="shared" si="46"/>
        <v/>
      </c>
      <c r="O349" s="172" t="str">
        <f t="shared" si="47"/>
        <v/>
      </c>
    </row>
    <row r="350" spans="11:15">
      <c r="K350" s="171" t="str">
        <f t="shared" si="44"/>
        <v/>
      </c>
      <c r="L350" s="171" t="str">
        <f>IF(E350="","",IF(COUNTIFS(Table2[[#All],[De (Lote)]],'Input_APM (Zenith)'!F350)&gt;0,INDEX(Table2[[#All],[Para (Ticker Daniel)]],MATCH('Input_APM (Zenith)'!F350,Table2[[#All],[De (Lote)]],0)),'Input_APM (Zenith)'!F350))</f>
        <v/>
      </c>
      <c r="M350" s="171" t="str">
        <f t="shared" si="45"/>
        <v/>
      </c>
      <c r="N350" s="172" t="str">
        <f t="shared" si="46"/>
        <v/>
      </c>
      <c r="O350" s="172" t="str">
        <f t="shared" si="47"/>
        <v/>
      </c>
    </row>
    <row r="351" spans="11:15">
      <c r="K351" s="171" t="str">
        <f t="shared" si="44"/>
        <v/>
      </c>
      <c r="L351" s="171" t="str">
        <f>IF(E351="","",IF(COUNTIFS(Table2[[#All],[De (Lote)]],'Input_APM (Zenith)'!F351)&gt;0,INDEX(Table2[[#All],[Para (Ticker Daniel)]],MATCH('Input_APM (Zenith)'!F351,Table2[[#All],[De (Lote)]],0)),'Input_APM (Zenith)'!F351))</f>
        <v/>
      </c>
      <c r="M351" s="171" t="str">
        <f t="shared" si="45"/>
        <v/>
      </c>
      <c r="N351" s="172" t="str">
        <f t="shared" si="46"/>
        <v/>
      </c>
      <c r="O351" s="172" t="str">
        <f t="shared" si="47"/>
        <v/>
      </c>
    </row>
    <row r="352" spans="11:15">
      <c r="K352" s="171" t="str">
        <f t="shared" si="44"/>
        <v/>
      </c>
      <c r="L352" s="171" t="str">
        <f>IF(E352="","",IF(COUNTIFS(Table2[[#All],[De (Lote)]],'Input_APM (Zenith)'!F352)&gt;0,INDEX(Table2[[#All],[Para (Ticker Daniel)]],MATCH('Input_APM (Zenith)'!F352,Table2[[#All],[De (Lote)]],0)),'Input_APM (Zenith)'!F352))</f>
        <v/>
      </c>
      <c r="M352" s="171" t="str">
        <f t="shared" si="45"/>
        <v/>
      </c>
      <c r="N352" s="172" t="str">
        <f t="shared" si="46"/>
        <v/>
      </c>
      <c r="O352" s="172" t="str">
        <f t="shared" si="47"/>
        <v/>
      </c>
    </row>
    <row r="353" spans="8:15">
      <c r="K353" s="171" t="str">
        <f t="shared" si="44"/>
        <v/>
      </c>
      <c r="L353" s="171" t="str">
        <f>IF(E353="","",IF(COUNTIFS(Table2[[#All],[De (Lote)]],'Input_APM (Zenith)'!F353)&gt;0,INDEX(Table2[[#All],[Para (Ticker Daniel)]],MATCH('Input_APM (Zenith)'!F353,Table2[[#All],[De (Lote)]],0)),'Input_APM (Zenith)'!F353))</f>
        <v/>
      </c>
      <c r="M353" s="171" t="str">
        <f t="shared" si="45"/>
        <v/>
      </c>
      <c r="N353" s="172" t="str">
        <f t="shared" si="46"/>
        <v/>
      </c>
      <c r="O353" s="172" t="str">
        <f t="shared" si="47"/>
        <v/>
      </c>
    </row>
    <row r="354" spans="8:15">
      <c r="K354" s="171" t="str">
        <f t="shared" si="44"/>
        <v/>
      </c>
      <c r="L354" s="171" t="str">
        <f>IF(E354="","",IF(COUNTIFS(Table2[[#All],[De (Lote)]],'Input_APM (Zenith)'!F354)&gt;0,INDEX(Table2[[#All],[Para (Ticker Daniel)]],MATCH('Input_APM (Zenith)'!F354,Table2[[#All],[De (Lote)]],0)),'Input_APM (Zenith)'!F354))</f>
        <v/>
      </c>
      <c r="M354" s="171" t="str">
        <f t="shared" si="45"/>
        <v/>
      </c>
      <c r="N354" s="172" t="str">
        <f t="shared" si="46"/>
        <v/>
      </c>
      <c r="O354" s="172" t="str">
        <f t="shared" si="47"/>
        <v/>
      </c>
    </row>
    <row r="355" spans="8:15">
      <c r="K355" s="171" t="str">
        <f t="shared" si="44"/>
        <v/>
      </c>
      <c r="L355" s="171" t="str">
        <f>IF(E355="","",IF(COUNTIFS(Table2[[#All],[De (Lote)]],'Input_APM (Zenith)'!F355)&gt;0,INDEX(Table2[[#All],[Para (Ticker Daniel)]],MATCH('Input_APM (Zenith)'!F355,Table2[[#All],[De (Lote)]],0)),'Input_APM (Zenith)'!F355))</f>
        <v/>
      </c>
      <c r="M355" s="171" t="str">
        <f t="shared" si="45"/>
        <v/>
      </c>
      <c r="N355" s="172" t="str">
        <f t="shared" si="46"/>
        <v/>
      </c>
      <c r="O355" s="172" t="str">
        <f t="shared" si="47"/>
        <v/>
      </c>
    </row>
    <row r="356" spans="8:15">
      <c r="K356" s="171" t="str">
        <f t="shared" si="44"/>
        <v/>
      </c>
      <c r="L356" s="171" t="str">
        <f>IF(E356="","",IF(COUNTIFS(Table2[[#All],[De (Lote)]],'Input_APM (Zenith)'!F356)&gt;0,INDEX(Table2[[#All],[Para (Ticker Daniel)]],MATCH('Input_APM (Zenith)'!F356,Table2[[#All],[De (Lote)]],0)),'Input_APM (Zenith)'!F356))</f>
        <v/>
      </c>
      <c r="M356" s="171" t="str">
        <f t="shared" si="45"/>
        <v/>
      </c>
      <c r="N356" s="172" t="str">
        <f t="shared" si="46"/>
        <v/>
      </c>
      <c r="O356" s="172" t="str">
        <f t="shared" si="47"/>
        <v/>
      </c>
    </row>
    <row r="357" spans="8:15">
      <c r="K357" s="171" t="str">
        <f t="shared" si="44"/>
        <v/>
      </c>
      <c r="L357" s="171" t="str">
        <f>IF(E357="","",IF(COUNTIFS(Table2[[#All],[De (Lote)]],'Input_APM (Zenith)'!F357)&gt;0,INDEX(Table2[[#All],[Para (Ticker Daniel)]],MATCH('Input_APM (Zenith)'!F357,Table2[[#All],[De (Lote)]],0)),'Input_APM (Zenith)'!F357))</f>
        <v/>
      </c>
      <c r="M357" s="171" t="str">
        <f t="shared" si="45"/>
        <v/>
      </c>
      <c r="N357" s="172" t="str">
        <f t="shared" si="46"/>
        <v/>
      </c>
      <c r="O357" s="172" t="str">
        <f t="shared" si="47"/>
        <v/>
      </c>
    </row>
    <row r="358" spans="8:15">
      <c r="K358" s="171" t="str">
        <f t="shared" ref="K358:K421" si="48">IF(E358="","",E358)</f>
        <v/>
      </c>
      <c r="L358" s="171" t="str">
        <f>IF(E358="","",IF(COUNTIFS(Table2[[#All],[De (Lote)]],'Input_APM (Zenith)'!F358)&gt;0,INDEX(Table2[[#All],[Para (Ticker Daniel)]],MATCH('Input_APM (Zenith)'!F358,Table2[[#All],[De (Lote)]],0)),'Input_APM (Zenith)'!F358))</f>
        <v/>
      </c>
      <c r="M358" s="171" t="str">
        <f t="shared" ref="M358:M421" si="49">IF(E358="","",G358)</f>
        <v/>
      </c>
      <c r="N358" s="172" t="str">
        <f t="shared" ref="N358:N421" si="50">IF(E358="","",H358)</f>
        <v/>
      </c>
      <c r="O358" s="172" t="str">
        <f t="shared" ref="O358:O421" si="51">IF(E358="","",I358)</f>
        <v/>
      </c>
    </row>
    <row r="359" spans="8:15">
      <c r="K359" s="171" t="str">
        <f t="shared" si="48"/>
        <v/>
      </c>
      <c r="L359" s="171" t="str">
        <f>IF(E359="","",IF(COUNTIFS(Table2[[#All],[De (Lote)]],'Input_APM (Zenith)'!F359)&gt;0,INDEX(Table2[[#All],[Para (Ticker Daniel)]],MATCH('Input_APM (Zenith)'!F359,Table2[[#All],[De (Lote)]],0)),'Input_APM (Zenith)'!F359))</f>
        <v/>
      </c>
      <c r="M359" s="171" t="str">
        <f t="shared" si="49"/>
        <v/>
      </c>
      <c r="N359" s="172" t="str">
        <f t="shared" si="50"/>
        <v/>
      </c>
      <c r="O359" s="172" t="str">
        <f t="shared" si="51"/>
        <v/>
      </c>
    </row>
    <row r="360" spans="8:15">
      <c r="K360" s="171" t="str">
        <f t="shared" si="48"/>
        <v/>
      </c>
      <c r="L360" s="171" t="str">
        <f>IF(E360="","",IF(COUNTIFS(Table2[[#All],[De (Lote)]],'Input_APM (Zenith)'!F360)&gt;0,INDEX(Table2[[#All],[Para (Ticker Daniel)]],MATCH('Input_APM (Zenith)'!F360,Table2[[#All],[De (Lote)]],0)),'Input_APM (Zenith)'!F360))</f>
        <v/>
      </c>
      <c r="M360" s="171" t="str">
        <f t="shared" si="49"/>
        <v/>
      </c>
      <c r="N360" s="172" t="str">
        <f t="shared" si="50"/>
        <v/>
      </c>
      <c r="O360" s="172" t="str">
        <f t="shared" si="51"/>
        <v/>
      </c>
    </row>
    <row r="361" spans="8:15">
      <c r="K361" s="171" t="str">
        <f t="shared" si="48"/>
        <v/>
      </c>
      <c r="L361" s="171" t="str">
        <f>IF(E361="","",IF(COUNTIFS(Table2[[#All],[De (Lote)]],'Input_APM (Zenith)'!F361)&gt;0,INDEX(Table2[[#All],[Para (Ticker Daniel)]],MATCH('Input_APM (Zenith)'!F361,Table2[[#All],[De (Lote)]],0)),'Input_APM (Zenith)'!F361))</f>
        <v/>
      </c>
      <c r="M361" s="171" t="str">
        <f t="shared" si="49"/>
        <v/>
      </c>
      <c r="N361" s="172" t="str">
        <f t="shared" si="50"/>
        <v/>
      </c>
      <c r="O361" s="172" t="str">
        <f t="shared" si="51"/>
        <v/>
      </c>
    </row>
    <row r="362" spans="8:15">
      <c r="K362" s="171" t="str">
        <f t="shared" si="48"/>
        <v/>
      </c>
      <c r="L362" s="171" t="str">
        <f>IF(E362="","",IF(COUNTIFS(Table2[[#All],[De (Lote)]],'Input_APM (Zenith)'!F362)&gt;0,INDEX(Table2[[#All],[Para (Ticker Daniel)]],MATCH('Input_APM (Zenith)'!F362,Table2[[#All],[De (Lote)]],0)),'Input_APM (Zenith)'!F362))</f>
        <v/>
      </c>
      <c r="M362" s="171" t="str">
        <f t="shared" si="49"/>
        <v/>
      </c>
      <c r="N362" s="172" t="str">
        <f t="shared" si="50"/>
        <v/>
      </c>
      <c r="O362" s="172" t="str">
        <f t="shared" si="51"/>
        <v/>
      </c>
    </row>
    <row r="363" spans="8:15">
      <c r="K363" s="171" t="str">
        <f t="shared" si="48"/>
        <v/>
      </c>
      <c r="L363" s="171" t="str">
        <f>IF(E363="","",IF(COUNTIFS(Table2[[#All],[De (Lote)]],'Input_APM (Zenith)'!F363)&gt;0,INDEX(Table2[[#All],[Para (Ticker Daniel)]],MATCH('Input_APM (Zenith)'!F363,Table2[[#All],[De (Lote)]],0)),'Input_APM (Zenith)'!F363))</f>
        <v/>
      </c>
      <c r="M363" s="171" t="str">
        <f t="shared" si="49"/>
        <v/>
      </c>
      <c r="N363" s="172" t="str">
        <f t="shared" si="50"/>
        <v/>
      </c>
      <c r="O363" s="172" t="str">
        <f t="shared" si="51"/>
        <v/>
      </c>
    </row>
    <row r="364" spans="8:15">
      <c r="K364" s="171" t="str">
        <f t="shared" si="48"/>
        <v/>
      </c>
      <c r="L364" s="171" t="str">
        <f>IF(E364="","",IF(COUNTIFS(Table2[[#All],[De (Lote)]],'Input_APM (Zenith)'!F364)&gt;0,INDEX(Table2[[#All],[Para (Ticker Daniel)]],MATCH('Input_APM (Zenith)'!F364,Table2[[#All],[De (Lote)]],0)),'Input_APM (Zenith)'!F364))</f>
        <v/>
      </c>
      <c r="M364" s="171" t="str">
        <f t="shared" si="49"/>
        <v/>
      </c>
      <c r="N364" s="172" t="str">
        <f t="shared" si="50"/>
        <v/>
      </c>
      <c r="O364" s="172" t="str">
        <f t="shared" si="51"/>
        <v/>
      </c>
    </row>
    <row r="365" spans="8:15">
      <c r="K365" s="171" t="str">
        <f t="shared" si="48"/>
        <v/>
      </c>
      <c r="L365" s="171" t="str">
        <f>IF(E365="","",IF(COUNTIFS(Table2[[#All],[De (Lote)]],'Input_APM (Zenith)'!F365)&gt;0,INDEX(Table2[[#All],[Para (Ticker Daniel)]],MATCH('Input_APM (Zenith)'!F365,Table2[[#All],[De (Lote)]],0)),'Input_APM (Zenith)'!F365))</f>
        <v/>
      </c>
      <c r="M365" s="171" t="str">
        <f t="shared" si="49"/>
        <v/>
      </c>
      <c r="N365" s="172" t="str">
        <f t="shared" si="50"/>
        <v/>
      </c>
      <c r="O365" s="172" t="str">
        <f t="shared" si="51"/>
        <v/>
      </c>
    </row>
    <row r="366" spans="8:15">
      <c r="K366" s="171" t="str">
        <f t="shared" si="48"/>
        <v/>
      </c>
      <c r="L366" s="171" t="str">
        <f>IF(E366="","",IF(COUNTIFS(Table2[[#All],[De (Lote)]],'Input_APM (Zenith)'!F366)&gt;0,INDEX(Table2[[#All],[Para (Ticker Daniel)]],MATCH('Input_APM (Zenith)'!F366,Table2[[#All],[De (Lote)]],0)),'Input_APM (Zenith)'!F366))</f>
        <v/>
      </c>
      <c r="M366" s="171" t="str">
        <f t="shared" si="49"/>
        <v/>
      </c>
      <c r="N366" s="172" t="str">
        <f t="shared" si="50"/>
        <v/>
      </c>
      <c r="O366" s="172" t="str">
        <f t="shared" si="51"/>
        <v/>
      </c>
    </row>
    <row r="367" spans="8:15">
      <c r="H367" s="180"/>
      <c r="K367" s="171" t="str">
        <f t="shared" si="48"/>
        <v/>
      </c>
      <c r="L367" s="171" t="str">
        <f>IF(E367="","",IF(COUNTIFS(Table2[[#All],[De (Lote)]],'Input_APM (Zenith)'!F367)&gt;0,INDEX(Table2[[#All],[Para (Ticker Daniel)]],MATCH('Input_APM (Zenith)'!F367,Table2[[#All],[De (Lote)]],0)),'Input_APM (Zenith)'!F367))</f>
        <v/>
      </c>
      <c r="M367" s="171" t="str">
        <f t="shared" si="49"/>
        <v/>
      </c>
      <c r="N367" s="172" t="str">
        <f t="shared" si="50"/>
        <v/>
      </c>
      <c r="O367" s="172" t="str">
        <f t="shared" si="51"/>
        <v/>
      </c>
    </row>
    <row r="368" spans="8:15">
      <c r="H368" s="180"/>
      <c r="K368" s="171" t="str">
        <f t="shared" si="48"/>
        <v/>
      </c>
      <c r="L368" s="171" t="str">
        <f>IF(E368="","",IF(COUNTIFS(Table2[[#All],[De (Lote)]],'Input_APM (Zenith)'!F368)&gt;0,INDEX(Table2[[#All],[Para (Ticker Daniel)]],MATCH('Input_APM (Zenith)'!F368,Table2[[#All],[De (Lote)]],0)),'Input_APM (Zenith)'!F368))</f>
        <v/>
      </c>
      <c r="M368" s="171" t="str">
        <f t="shared" si="49"/>
        <v/>
      </c>
      <c r="N368" s="172" t="str">
        <f t="shared" si="50"/>
        <v/>
      </c>
      <c r="O368" s="172" t="str">
        <f t="shared" si="51"/>
        <v/>
      </c>
    </row>
    <row r="369" spans="11:15">
      <c r="K369" s="171" t="str">
        <f t="shared" si="48"/>
        <v/>
      </c>
      <c r="L369" s="171" t="str">
        <f>IF(E369="","",IF(COUNTIFS(Table2[[#All],[De (Lote)]],'Input_APM (Zenith)'!F369)&gt;0,INDEX(Table2[[#All],[Para (Ticker Daniel)]],MATCH('Input_APM (Zenith)'!F369,Table2[[#All],[De (Lote)]],0)),'Input_APM (Zenith)'!F369))</f>
        <v/>
      </c>
      <c r="M369" s="171" t="str">
        <f t="shared" si="49"/>
        <v/>
      </c>
      <c r="N369" s="172" t="str">
        <f t="shared" si="50"/>
        <v/>
      </c>
      <c r="O369" s="172" t="str">
        <f t="shared" si="51"/>
        <v/>
      </c>
    </row>
    <row r="370" spans="11:15">
      <c r="K370" s="171" t="str">
        <f t="shared" si="48"/>
        <v/>
      </c>
      <c r="L370" s="171" t="str">
        <f>IF(E370="","",IF(COUNTIFS(Table2[[#All],[De (Lote)]],'Input_APM (Zenith)'!F370)&gt;0,INDEX(Table2[[#All],[Para (Ticker Daniel)]],MATCH('Input_APM (Zenith)'!F370,Table2[[#All],[De (Lote)]],0)),'Input_APM (Zenith)'!F370))</f>
        <v/>
      </c>
      <c r="M370" s="171" t="str">
        <f t="shared" si="49"/>
        <v/>
      </c>
      <c r="N370" s="172" t="str">
        <f t="shared" si="50"/>
        <v/>
      </c>
      <c r="O370" s="172" t="str">
        <f t="shared" si="51"/>
        <v/>
      </c>
    </row>
    <row r="371" spans="11:15">
      <c r="K371" s="171" t="str">
        <f t="shared" si="48"/>
        <v/>
      </c>
      <c r="L371" s="171" t="str">
        <f>IF(E371="","",IF(COUNTIFS(Table2[[#All],[De (Lote)]],'Input_APM (Zenith)'!F371)&gt;0,INDEX(Table2[[#All],[Para (Ticker Daniel)]],MATCH('Input_APM (Zenith)'!F371,Table2[[#All],[De (Lote)]],0)),'Input_APM (Zenith)'!F371))</f>
        <v/>
      </c>
      <c r="M371" s="171" t="str">
        <f t="shared" si="49"/>
        <v/>
      </c>
      <c r="N371" s="172" t="str">
        <f t="shared" si="50"/>
        <v/>
      </c>
      <c r="O371" s="172" t="str">
        <f t="shared" si="51"/>
        <v/>
      </c>
    </row>
    <row r="372" spans="11:15">
      <c r="K372" s="171" t="str">
        <f t="shared" si="48"/>
        <v/>
      </c>
      <c r="L372" s="171" t="str">
        <f>IF(E372="","",IF(COUNTIFS(Table2[[#All],[De (Lote)]],'Input_APM (Zenith)'!F372)&gt;0,INDEX(Table2[[#All],[Para (Ticker Daniel)]],MATCH('Input_APM (Zenith)'!F372,Table2[[#All],[De (Lote)]],0)),'Input_APM (Zenith)'!F372))</f>
        <v/>
      </c>
      <c r="M372" s="171" t="str">
        <f t="shared" si="49"/>
        <v/>
      </c>
      <c r="N372" s="172" t="str">
        <f t="shared" si="50"/>
        <v/>
      </c>
      <c r="O372" s="172" t="str">
        <f t="shared" si="51"/>
        <v/>
      </c>
    </row>
    <row r="373" spans="11:15">
      <c r="K373" s="171" t="str">
        <f t="shared" si="48"/>
        <v/>
      </c>
      <c r="L373" s="171" t="str">
        <f>IF(E373="","",IF(COUNTIFS(Table2[[#All],[De (Lote)]],'Input_APM (Zenith)'!F373)&gt;0,INDEX(Table2[[#All],[Para (Ticker Daniel)]],MATCH('Input_APM (Zenith)'!F373,Table2[[#All],[De (Lote)]],0)),'Input_APM (Zenith)'!F373))</f>
        <v/>
      </c>
      <c r="M373" s="171" t="str">
        <f t="shared" si="49"/>
        <v/>
      </c>
      <c r="N373" s="172" t="str">
        <f t="shared" si="50"/>
        <v/>
      </c>
      <c r="O373" s="172" t="str">
        <f t="shared" si="51"/>
        <v/>
      </c>
    </row>
    <row r="374" spans="11:15">
      <c r="K374" s="171" t="str">
        <f t="shared" si="48"/>
        <v/>
      </c>
      <c r="L374" s="171" t="str">
        <f>IF(E374="","",IF(COUNTIFS(Table2[[#All],[De (Lote)]],'Input_APM (Zenith)'!F374)&gt;0,INDEX(Table2[[#All],[Para (Ticker Daniel)]],MATCH('Input_APM (Zenith)'!F374,Table2[[#All],[De (Lote)]],0)),'Input_APM (Zenith)'!F374))</f>
        <v/>
      </c>
      <c r="M374" s="171" t="str">
        <f t="shared" si="49"/>
        <v/>
      </c>
      <c r="N374" s="172" t="str">
        <f t="shared" si="50"/>
        <v/>
      </c>
      <c r="O374" s="172" t="str">
        <f t="shared" si="51"/>
        <v/>
      </c>
    </row>
    <row r="375" spans="11:15">
      <c r="K375" s="171" t="str">
        <f t="shared" si="48"/>
        <v/>
      </c>
      <c r="L375" s="171" t="str">
        <f>IF(E375="","",IF(COUNTIFS(Table2[[#All],[De (Lote)]],'Input_APM (Zenith)'!F375)&gt;0,INDEX(Table2[[#All],[Para (Ticker Daniel)]],MATCH('Input_APM (Zenith)'!F375,Table2[[#All],[De (Lote)]],0)),'Input_APM (Zenith)'!F375))</f>
        <v/>
      </c>
      <c r="M375" s="171" t="str">
        <f t="shared" si="49"/>
        <v/>
      </c>
      <c r="N375" s="172" t="str">
        <f t="shared" si="50"/>
        <v/>
      </c>
      <c r="O375" s="172" t="str">
        <f t="shared" si="51"/>
        <v/>
      </c>
    </row>
    <row r="376" spans="11:15">
      <c r="K376" s="171" t="str">
        <f t="shared" si="48"/>
        <v/>
      </c>
      <c r="L376" s="171" t="str">
        <f>IF(E376="","",IF(COUNTIFS(Table2[[#All],[De (Lote)]],'Input_APM (Zenith)'!F376)&gt;0,INDEX(Table2[[#All],[Para (Ticker Daniel)]],MATCH('Input_APM (Zenith)'!F376,Table2[[#All],[De (Lote)]],0)),'Input_APM (Zenith)'!F376))</f>
        <v/>
      </c>
      <c r="M376" s="171" t="str">
        <f t="shared" si="49"/>
        <v/>
      </c>
      <c r="N376" s="172" t="str">
        <f t="shared" si="50"/>
        <v/>
      </c>
      <c r="O376" s="172" t="str">
        <f t="shared" si="51"/>
        <v/>
      </c>
    </row>
    <row r="377" spans="11:15">
      <c r="K377" s="171" t="str">
        <f t="shared" si="48"/>
        <v/>
      </c>
      <c r="L377" s="171" t="str">
        <f>IF(E377="","",IF(COUNTIFS(Table2[[#All],[De (Lote)]],'Input_APM (Zenith)'!F377)&gt;0,INDEX(Table2[[#All],[Para (Ticker Daniel)]],MATCH('Input_APM (Zenith)'!F377,Table2[[#All],[De (Lote)]],0)),'Input_APM (Zenith)'!F377))</f>
        <v/>
      </c>
      <c r="M377" s="171" t="str">
        <f t="shared" si="49"/>
        <v/>
      </c>
      <c r="N377" s="172" t="str">
        <f t="shared" si="50"/>
        <v/>
      </c>
      <c r="O377" s="172" t="str">
        <f t="shared" si="51"/>
        <v/>
      </c>
    </row>
    <row r="378" spans="11:15">
      <c r="K378" s="171" t="str">
        <f t="shared" si="48"/>
        <v/>
      </c>
      <c r="L378" s="171" t="str">
        <f>IF(E378="","",IF(COUNTIFS(Table2[[#All],[De (Lote)]],'Input_APM (Zenith)'!F378)&gt;0,INDEX(Table2[[#All],[Para (Ticker Daniel)]],MATCH('Input_APM (Zenith)'!F378,Table2[[#All],[De (Lote)]],0)),'Input_APM (Zenith)'!F378))</f>
        <v/>
      </c>
      <c r="M378" s="171" t="str">
        <f t="shared" si="49"/>
        <v/>
      </c>
      <c r="N378" s="172" t="str">
        <f t="shared" si="50"/>
        <v/>
      </c>
      <c r="O378" s="172" t="str">
        <f t="shared" si="51"/>
        <v/>
      </c>
    </row>
    <row r="379" spans="11:15">
      <c r="K379" s="171" t="str">
        <f t="shared" si="48"/>
        <v/>
      </c>
      <c r="L379" s="171" t="str">
        <f>IF(E379="","",IF(COUNTIFS(Table2[[#All],[De (Lote)]],'Input_APM (Zenith)'!F379)&gt;0,INDEX(Table2[[#All],[Para (Ticker Daniel)]],MATCH('Input_APM (Zenith)'!F379,Table2[[#All],[De (Lote)]],0)),'Input_APM (Zenith)'!F379))</f>
        <v/>
      </c>
      <c r="M379" s="171" t="str">
        <f t="shared" si="49"/>
        <v/>
      </c>
      <c r="N379" s="172" t="str">
        <f t="shared" si="50"/>
        <v/>
      </c>
      <c r="O379" s="172" t="str">
        <f t="shared" si="51"/>
        <v/>
      </c>
    </row>
    <row r="380" spans="11:15">
      <c r="K380" s="171" t="str">
        <f t="shared" si="48"/>
        <v/>
      </c>
      <c r="L380" s="171" t="str">
        <f>IF(E380="","",IF(COUNTIFS(Table2[[#All],[De (Lote)]],'Input_APM (Zenith)'!F380)&gt;0,INDEX(Table2[[#All],[Para (Ticker Daniel)]],MATCH('Input_APM (Zenith)'!F380,Table2[[#All],[De (Lote)]],0)),'Input_APM (Zenith)'!F380))</f>
        <v/>
      </c>
      <c r="M380" s="171" t="str">
        <f t="shared" si="49"/>
        <v/>
      </c>
      <c r="N380" s="172" t="str">
        <f t="shared" si="50"/>
        <v/>
      </c>
      <c r="O380" s="172" t="str">
        <f t="shared" si="51"/>
        <v/>
      </c>
    </row>
    <row r="381" spans="11:15">
      <c r="K381" s="171" t="str">
        <f t="shared" si="48"/>
        <v/>
      </c>
      <c r="L381" s="171" t="str">
        <f>IF(E381="","",IF(COUNTIFS(Table2[[#All],[De (Lote)]],'Input_APM (Zenith)'!F381)&gt;0,INDEX(Table2[[#All],[Para (Ticker Daniel)]],MATCH('Input_APM (Zenith)'!F381,Table2[[#All],[De (Lote)]],0)),'Input_APM (Zenith)'!F381))</f>
        <v/>
      </c>
      <c r="M381" s="171" t="str">
        <f t="shared" si="49"/>
        <v/>
      </c>
      <c r="N381" s="172" t="str">
        <f t="shared" si="50"/>
        <v/>
      </c>
      <c r="O381" s="172" t="str">
        <f t="shared" si="51"/>
        <v/>
      </c>
    </row>
    <row r="382" spans="11:15">
      <c r="K382" s="171" t="str">
        <f t="shared" si="48"/>
        <v/>
      </c>
      <c r="L382" s="171" t="str">
        <f>IF(E382="","",IF(COUNTIFS(Table2[[#All],[De (Lote)]],'Input_APM (Zenith)'!F382)&gt;0,INDEX(Table2[[#All],[Para (Ticker Daniel)]],MATCH('Input_APM (Zenith)'!F382,Table2[[#All],[De (Lote)]],0)),'Input_APM (Zenith)'!F382))</f>
        <v/>
      </c>
      <c r="M382" s="171" t="str">
        <f t="shared" si="49"/>
        <v/>
      </c>
      <c r="N382" s="172" t="str">
        <f t="shared" si="50"/>
        <v/>
      </c>
      <c r="O382" s="172" t="str">
        <f t="shared" si="51"/>
        <v/>
      </c>
    </row>
    <row r="383" spans="11:15">
      <c r="K383" s="171" t="str">
        <f t="shared" si="48"/>
        <v/>
      </c>
      <c r="L383" s="171" t="str">
        <f>IF(E383="","",IF(COUNTIFS(Table2[[#All],[De (Lote)]],'Input_APM (Zenith)'!F383)&gt;0,INDEX(Table2[[#All],[Para (Ticker Daniel)]],MATCH('Input_APM (Zenith)'!F383,Table2[[#All],[De (Lote)]],0)),'Input_APM (Zenith)'!F383))</f>
        <v/>
      </c>
      <c r="M383" s="171" t="str">
        <f t="shared" si="49"/>
        <v/>
      </c>
      <c r="N383" s="172" t="str">
        <f t="shared" si="50"/>
        <v/>
      </c>
      <c r="O383" s="172" t="str">
        <f t="shared" si="51"/>
        <v/>
      </c>
    </row>
    <row r="384" spans="11:15">
      <c r="K384" s="171" t="str">
        <f t="shared" si="48"/>
        <v/>
      </c>
      <c r="L384" s="171" t="str">
        <f>IF(E384="","",IF(COUNTIFS(Table2[[#All],[De (Lote)]],'Input_APM (Zenith)'!F384)&gt;0,INDEX(Table2[[#All],[Para (Ticker Daniel)]],MATCH('Input_APM (Zenith)'!F384,Table2[[#All],[De (Lote)]],0)),'Input_APM (Zenith)'!F384))</f>
        <v/>
      </c>
      <c r="M384" s="171" t="str">
        <f t="shared" si="49"/>
        <v/>
      </c>
      <c r="N384" s="172" t="str">
        <f t="shared" si="50"/>
        <v/>
      </c>
      <c r="O384" s="172" t="str">
        <f t="shared" si="51"/>
        <v/>
      </c>
    </row>
    <row r="385" spans="8:15">
      <c r="K385" s="171" t="str">
        <f t="shared" si="48"/>
        <v/>
      </c>
      <c r="L385" s="171" t="str">
        <f>IF(E385="","",IF(COUNTIFS(Table2[[#All],[De (Lote)]],'Input_APM (Zenith)'!F385)&gt;0,INDEX(Table2[[#All],[Para (Ticker Daniel)]],MATCH('Input_APM (Zenith)'!F385,Table2[[#All],[De (Lote)]],0)),'Input_APM (Zenith)'!F385))</f>
        <v/>
      </c>
      <c r="M385" s="171" t="str">
        <f t="shared" si="49"/>
        <v/>
      </c>
      <c r="N385" s="172" t="str">
        <f t="shared" si="50"/>
        <v/>
      </c>
      <c r="O385" s="172" t="str">
        <f t="shared" si="51"/>
        <v/>
      </c>
    </row>
    <row r="386" spans="8:15">
      <c r="K386" s="171" t="str">
        <f t="shared" si="48"/>
        <v/>
      </c>
      <c r="L386" s="171" t="str">
        <f>IF(E386="","",IF(COUNTIFS(Table2[[#All],[De (Lote)]],'Input_APM (Zenith)'!F386)&gt;0,INDEX(Table2[[#All],[Para (Ticker Daniel)]],MATCH('Input_APM (Zenith)'!F386,Table2[[#All],[De (Lote)]],0)),'Input_APM (Zenith)'!F386))</f>
        <v/>
      </c>
      <c r="M386" s="171" t="str">
        <f t="shared" si="49"/>
        <v/>
      </c>
      <c r="N386" s="172" t="str">
        <f t="shared" si="50"/>
        <v/>
      </c>
      <c r="O386" s="172" t="str">
        <f t="shared" si="51"/>
        <v/>
      </c>
    </row>
    <row r="387" spans="8:15">
      <c r="H387" s="180"/>
      <c r="K387" s="171" t="str">
        <f t="shared" si="48"/>
        <v/>
      </c>
      <c r="L387" s="171" t="str">
        <f>IF(E387="","",IF(COUNTIFS(Table2[[#All],[De (Lote)]],'Input_APM (Zenith)'!F387)&gt;0,INDEX(Table2[[#All],[Para (Ticker Daniel)]],MATCH('Input_APM (Zenith)'!F387,Table2[[#All],[De (Lote)]],0)),'Input_APM (Zenith)'!F387))</f>
        <v/>
      </c>
      <c r="M387" s="171" t="str">
        <f t="shared" si="49"/>
        <v/>
      </c>
      <c r="N387" s="172" t="str">
        <f t="shared" si="50"/>
        <v/>
      </c>
      <c r="O387" s="172" t="str">
        <f t="shared" si="51"/>
        <v/>
      </c>
    </row>
    <row r="388" spans="8:15">
      <c r="H388" s="180"/>
      <c r="K388" s="171" t="str">
        <f t="shared" si="48"/>
        <v/>
      </c>
      <c r="L388" s="171" t="str">
        <f>IF(E388="","",IF(COUNTIFS(Table2[[#All],[De (Lote)]],'Input_APM (Zenith)'!F388)&gt;0,INDEX(Table2[[#All],[Para (Ticker Daniel)]],MATCH('Input_APM (Zenith)'!F388,Table2[[#All],[De (Lote)]],0)),'Input_APM (Zenith)'!F388))</f>
        <v/>
      </c>
      <c r="M388" s="171" t="str">
        <f t="shared" si="49"/>
        <v/>
      </c>
      <c r="N388" s="172" t="str">
        <f t="shared" si="50"/>
        <v/>
      </c>
      <c r="O388" s="172" t="str">
        <f t="shared" si="51"/>
        <v/>
      </c>
    </row>
    <row r="389" spans="8:15">
      <c r="H389" s="180"/>
      <c r="K389" s="171" t="str">
        <f t="shared" si="48"/>
        <v/>
      </c>
      <c r="L389" s="171" t="str">
        <f>IF(E389="","",IF(COUNTIFS(Table2[[#All],[De (Lote)]],'Input_APM (Zenith)'!F389)&gt;0,INDEX(Table2[[#All],[Para (Ticker Daniel)]],MATCH('Input_APM (Zenith)'!F389,Table2[[#All],[De (Lote)]],0)),'Input_APM (Zenith)'!F389))</f>
        <v/>
      </c>
      <c r="M389" s="171" t="str">
        <f t="shared" si="49"/>
        <v/>
      </c>
      <c r="N389" s="172" t="str">
        <f t="shared" si="50"/>
        <v/>
      </c>
      <c r="O389" s="172" t="str">
        <f t="shared" si="51"/>
        <v/>
      </c>
    </row>
    <row r="390" spans="8:15">
      <c r="H390" s="180"/>
      <c r="K390" s="171" t="str">
        <f t="shared" si="48"/>
        <v/>
      </c>
      <c r="L390" s="171" t="str">
        <f>IF(E390="","",IF(COUNTIFS(Table2[[#All],[De (Lote)]],'Input_APM (Zenith)'!F390)&gt;0,INDEX(Table2[[#All],[Para (Ticker Daniel)]],MATCH('Input_APM (Zenith)'!F390,Table2[[#All],[De (Lote)]],0)),'Input_APM (Zenith)'!F390))</f>
        <v/>
      </c>
      <c r="M390" s="171" t="str">
        <f t="shared" si="49"/>
        <v/>
      </c>
      <c r="N390" s="172" t="str">
        <f t="shared" si="50"/>
        <v/>
      </c>
      <c r="O390" s="172" t="str">
        <f t="shared" si="51"/>
        <v/>
      </c>
    </row>
    <row r="391" spans="8:15">
      <c r="H391" s="180"/>
      <c r="K391" s="171" t="str">
        <f t="shared" si="48"/>
        <v/>
      </c>
      <c r="L391" s="171" t="str">
        <f>IF(E391="","",IF(COUNTIFS(Table2[[#All],[De (Lote)]],'Input_APM (Zenith)'!F391)&gt;0,INDEX(Table2[[#All],[Para (Ticker Daniel)]],MATCH('Input_APM (Zenith)'!F391,Table2[[#All],[De (Lote)]],0)),'Input_APM (Zenith)'!F391))</f>
        <v/>
      </c>
      <c r="M391" s="171" t="str">
        <f t="shared" si="49"/>
        <v/>
      </c>
      <c r="N391" s="172" t="str">
        <f t="shared" si="50"/>
        <v/>
      </c>
      <c r="O391" s="172" t="str">
        <f t="shared" si="51"/>
        <v/>
      </c>
    </row>
    <row r="392" spans="8:15">
      <c r="K392" s="171" t="str">
        <f t="shared" si="48"/>
        <v/>
      </c>
      <c r="L392" s="171" t="str">
        <f>IF(E392="","",IF(COUNTIFS(Table2[[#All],[De (Lote)]],'Input_APM (Zenith)'!F392)&gt;0,INDEX(Table2[[#All],[Para (Ticker Daniel)]],MATCH('Input_APM (Zenith)'!F392,Table2[[#All],[De (Lote)]],0)),'Input_APM (Zenith)'!F392))</f>
        <v/>
      </c>
      <c r="M392" s="171" t="str">
        <f t="shared" si="49"/>
        <v/>
      </c>
      <c r="N392" s="172" t="str">
        <f t="shared" si="50"/>
        <v/>
      </c>
      <c r="O392" s="172" t="str">
        <f t="shared" si="51"/>
        <v/>
      </c>
    </row>
    <row r="393" spans="8:15">
      <c r="K393" s="171" t="str">
        <f t="shared" si="48"/>
        <v/>
      </c>
      <c r="L393" s="171" t="str">
        <f>IF(E393="","",IF(COUNTIFS(Table2[[#All],[De (Lote)]],'Input_APM (Zenith)'!F393)&gt;0,INDEX(Table2[[#All],[Para (Ticker Daniel)]],MATCH('Input_APM (Zenith)'!F393,Table2[[#All],[De (Lote)]],0)),'Input_APM (Zenith)'!F393))</f>
        <v/>
      </c>
      <c r="M393" s="171" t="str">
        <f t="shared" si="49"/>
        <v/>
      </c>
      <c r="N393" s="172" t="str">
        <f t="shared" si="50"/>
        <v/>
      </c>
      <c r="O393" s="172" t="str">
        <f t="shared" si="51"/>
        <v/>
      </c>
    </row>
    <row r="394" spans="8:15">
      <c r="K394" s="171" t="str">
        <f t="shared" si="48"/>
        <v/>
      </c>
      <c r="L394" s="171" t="str">
        <f>IF(E394="","",IF(COUNTIFS(Table2[[#All],[De (Lote)]],'Input_APM (Zenith)'!F394)&gt;0,INDEX(Table2[[#All],[Para (Ticker Daniel)]],MATCH('Input_APM (Zenith)'!F394,Table2[[#All],[De (Lote)]],0)),'Input_APM (Zenith)'!F394))</f>
        <v/>
      </c>
      <c r="M394" s="171" t="str">
        <f t="shared" si="49"/>
        <v/>
      </c>
      <c r="N394" s="172" t="str">
        <f t="shared" si="50"/>
        <v/>
      </c>
      <c r="O394" s="172" t="str">
        <f t="shared" si="51"/>
        <v/>
      </c>
    </row>
    <row r="395" spans="8:15">
      <c r="H395" s="180"/>
      <c r="K395" s="171" t="str">
        <f t="shared" si="48"/>
        <v/>
      </c>
      <c r="L395" s="171" t="str">
        <f>IF(E395="","",IF(COUNTIFS(Table2[[#All],[De (Lote)]],'Input_APM (Zenith)'!F395)&gt;0,INDEX(Table2[[#All],[Para (Ticker Daniel)]],MATCH('Input_APM (Zenith)'!F395,Table2[[#All],[De (Lote)]],0)),'Input_APM (Zenith)'!F395))</f>
        <v/>
      </c>
      <c r="M395" s="171" t="str">
        <f t="shared" si="49"/>
        <v/>
      </c>
      <c r="N395" s="172" t="str">
        <f t="shared" si="50"/>
        <v/>
      </c>
      <c r="O395" s="172" t="str">
        <f t="shared" si="51"/>
        <v/>
      </c>
    </row>
    <row r="396" spans="8:15">
      <c r="K396" s="171" t="str">
        <f t="shared" si="48"/>
        <v/>
      </c>
      <c r="L396" s="171" t="str">
        <f>IF(E396="","",IF(COUNTIFS(Table2[[#All],[De (Lote)]],'Input_APM (Zenith)'!F396)&gt;0,INDEX(Table2[[#All],[Para (Ticker Daniel)]],MATCH('Input_APM (Zenith)'!F396,Table2[[#All],[De (Lote)]],0)),'Input_APM (Zenith)'!F396))</f>
        <v/>
      </c>
      <c r="M396" s="171" t="str">
        <f t="shared" si="49"/>
        <v/>
      </c>
      <c r="N396" s="172" t="str">
        <f t="shared" si="50"/>
        <v/>
      </c>
      <c r="O396" s="172" t="str">
        <f t="shared" si="51"/>
        <v/>
      </c>
    </row>
    <row r="397" spans="8:15">
      <c r="K397" s="171" t="str">
        <f t="shared" si="48"/>
        <v/>
      </c>
      <c r="L397" s="171" t="str">
        <f>IF(E397="","",IF(COUNTIFS(Table2[[#All],[De (Lote)]],'Input_APM (Zenith)'!F397)&gt;0,INDEX(Table2[[#All],[Para (Ticker Daniel)]],MATCH('Input_APM (Zenith)'!F397,Table2[[#All],[De (Lote)]],0)),'Input_APM (Zenith)'!F397))</f>
        <v/>
      </c>
      <c r="M397" s="171" t="str">
        <f t="shared" si="49"/>
        <v/>
      </c>
      <c r="N397" s="172" t="str">
        <f t="shared" si="50"/>
        <v/>
      </c>
      <c r="O397" s="172" t="str">
        <f t="shared" si="51"/>
        <v/>
      </c>
    </row>
    <row r="398" spans="8:15">
      <c r="K398" s="171" t="str">
        <f t="shared" si="48"/>
        <v/>
      </c>
      <c r="L398" s="171" t="str">
        <f>IF(E398="","",IF(COUNTIFS(Table2[[#All],[De (Lote)]],'Input_APM (Zenith)'!F398)&gt;0,INDEX(Table2[[#All],[Para (Ticker Daniel)]],MATCH('Input_APM (Zenith)'!F398,Table2[[#All],[De (Lote)]],0)),'Input_APM (Zenith)'!F398))</f>
        <v/>
      </c>
      <c r="M398" s="171" t="str">
        <f t="shared" si="49"/>
        <v/>
      </c>
      <c r="N398" s="172" t="str">
        <f t="shared" si="50"/>
        <v/>
      </c>
      <c r="O398" s="172" t="str">
        <f t="shared" si="51"/>
        <v/>
      </c>
    </row>
    <row r="399" spans="8:15">
      <c r="K399" s="171" t="str">
        <f t="shared" si="48"/>
        <v/>
      </c>
      <c r="L399" s="171" t="str">
        <f>IF(E399="","",IF(COUNTIFS(Table2[[#All],[De (Lote)]],'Input_APM (Zenith)'!F399)&gt;0,INDEX(Table2[[#All],[Para (Ticker Daniel)]],MATCH('Input_APM (Zenith)'!F399,Table2[[#All],[De (Lote)]],0)),'Input_APM (Zenith)'!F399))</f>
        <v/>
      </c>
      <c r="M399" s="171" t="str">
        <f t="shared" si="49"/>
        <v/>
      </c>
      <c r="N399" s="172" t="str">
        <f t="shared" si="50"/>
        <v/>
      </c>
      <c r="O399" s="172" t="str">
        <f t="shared" si="51"/>
        <v/>
      </c>
    </row>
    <row r="400" spans="8:15">
      <c r="K400" s="171" t="str">
        <f t="shared" si="48"/>
        <v/>
      </c>
      <c r="L400" s="171" t="str">
        <f>IF(E400="","",IF(COUNTIFS(Table2[[#All],[De (Lote)]],'Input_APM (Zenith)'!F400)&gt;0,INDEX(Table2[[#All],[Para (Ticker Daniel)]],MATCH('Input_APM (Zenith)'!F400,Table2[[#All],[De (Lote)]],0)),'Input_APM (Zenith)'!F400))</f>
        <v/>
      </c>
      <c r="M400" s="171" t="str">
        <f t="shared" si="49"/>
        <v/>
      </c>
      <c r="N400" s="172" t="str">
        <f t="shared" si="50"/>
        <v/>
      </c>
      <c r="O400" s="172" t="str">
        <f t="shared" si="51"/>
        <v/>
      </c>
    </row>
    <row r="401" spans="11:15">
      <c r="K401" s="171" t="str">
        <f t="shared" si="48"/>
        <v/>
      </c>
      <c r="L401" s="171" t="str">
        <f>IF(E401="","",IF(COUNTIFS(Table2[[#All],[De (Lote)]],'Input_APM (Zenith)'!F401)&gt;0,INDEX(Table2[[#All],[Para (Ticker Daniel)]],MATCH('Input_APM (Zenith)'!F401,Table2[[#All],[De (Lote)]],0)),'Input_APM (Zenith)'!F401))</f>
        <v/>
      </c>
      <c r="M401" s="171" t="str">
        <f t="shared" si="49"/>
        <v/>
      </c>
      <c r="N401" s="172" t="str">
        <f t="shared" si="50"/>
        <v/>
      </c>
      <c r="O401" s="172" t="str">
        <f t="shared" si="51"/>
        <v/>
      </c>
    </row>
    <row r="402" spans="11:15">
      <c r="K402" s="171" t="str">
        <f t="shared" si="48"/>
        <v/>
      </c>
      <c r="L402" s="171" t="str">
        <f>IF(E402="","",IF(COUNTIFS(Table2[[#All],[De (Lote)]],'Input_APM (Zenith)'!F402)&gt;0,INDEX(Table2[[#All],[Para (Ticker Daniel)]],MATCH('Input_APM (Zenith)'!F402,Table2[[#All],[De (Lote)]],0)),'Input_APM (Zenith)'!F402))</f>
        <v/>
      </c>
      <c r="M402" s="171" t="str">
        <f t="shared" si="49"/>
        <v/>
      </c>
      <c r="N402" s="172" t="str">
        <f t="shared" si="50"/>
        <v/>
      </c>
      <c r="O402" s="172" t="str">
        <f t="shared" si="51"/>
        <v/>
      </c>
    </row>
    <row r="403" spans="11:15">
      <c r="K403" s="171" t="str">
        <f t="shared" si="48"/>
        <v/>
      </c>
      <c r="L403" s="171" t="str">
        <f>IF(E403="","",IF(COUNTIFS(Table2[[#All],[De (Lote)]],'Input_APM (Zenith)'!F403)&gt;0,INDEX(Table2[[#All],[Para (Ticker Daniel)]],MATCH('Input_APM (Zenith)'!F403,Table2[[#All],[De (Lote)]],0)),'Input_APM (Zenith)'!F403))</f>
        <v/>
      </c>
      <c r="M403" s="171" t="str">
        <f t="shared" si="49"/>
        <v/>
      </c>
      <c r="N403" s="172" t="str">
        <f t="shared" si="50"/>
        <v/>
      </c>
      <c r="O403" s="172" t="str">
        <f t="shared" si="51"/>
        <v/>
      </c>
    </row>
    <row r="404" spans="11:15">
      <c r="K404" s="171" t="str">
        <f t="shared" si="48"/>
        <v/>
      </c>
      <c r="L404" s="171" t="str">
        <f>IF(E404="","",IF(COUNTIFS(Table2[[#All],[De (Lote)]],'Input_APM (Zenith)'!F404)&gt;0,INDEX(Table2[[#All],[Para (Ticker Daniel)]],MATCH('Input_APM (Zenith)'!F404,Table2[[#All],[De (Lote)]],0)),'Input_APM (Zenith)'!F404))</f>
        <v/>
      </c>
      <c r="M404" s="171" t="str">
        <f t="shared" si="49"/>
        <v/>
      </c>
      <c r="N404" s="172" t="str">
        <f t="shared" si="50"/>
        <v/>
      </c>
      <c r="O404" s="172" t="str">
        <f t="shared" si="51"/>
        <v/>
      </c>
    </row>
    <row r="405" spans="11:15">
      <c r="K405" s="171" t="str">
        <f t="shared" si="48"/>
        <v/>
      </c>
      <c r="L405" s="171" t="str">
        <f>IF(E405="","",IF(COUNTIFS(Table2[[#All],[De (Lote)]],'Input_APM (Zenith)'!F405)&gt;0,INDEX(Table2[[#All],[Para (Ticker Daniel)]],MATCH('Input_APM (Zenith)'!F405,Table2[[#All],[De (Lote)]],0)),'Input_APM (Zenith)'!F405))</f>
        <v/>
      </c>
      <c r="M405" s="171" t="str">
        <f t="shared" si="49"/>
        <v/>
      </c>
      <c r="N405" s="172" t="str">
        <f t="shared" si="50"/>
        <v/>
      </c>
      <c r="O405" s="172" t="str">
        <f t="shared" si="51"/>
        <v/>
      </c>
    </row>
    <row r="406" spans="11:15">
      <c r="K406" s="171" t="str">
        <f t="shared" si="48"/>
        <v/>
      </c>
      <c r="L406" s="171" t="str">
        <f>IF(E406="","",IF(COUNTIFS(Table2[[#All],[De (Lote)]],'Input_APM (Zenith)'!F406)&gt;0,INDEX(Table2[[#All],[Para (Ticker Daniel)]],MATCH('Input_APM (Zenith)'!F406,Table2[[#All],[De (Lote)]],0)),'Input_APM (Zenith)'!F406))</f>
        <v/>
      </c>
      <c r="M406" s="171" t="str">
        <f t="shared" si="49"/>
        <v/>
      </c>
      <c r="N406" s="172" t="str">
        <f t="shared" si="50"/>
        <v/>
      </c>
      <c r="O406" s="172" t="str">
        <f t="shared" si="51"/>
        <v/>
      </c>
    </row>
    <row r="407" spans="11:15">
      <c r="K407" s="171" t="str">
        <f t="shared" si="48"/>
        <v/>
      </c>
      <c r="L407" s="171" t="str">
        <f>IF(E407="","",IF(COUNTIFS(Table2[[#All],[De (Lote)]],'Input_APM (Zenith)'!F407)&gt;0,INDEX(Table2[[#All],[Para (Ticker Daniel)]],MATCH('Input_APM (Zenith)'!F407,Table2[[#All],[De (Lote)]],0)),'Input_APM (Zenith)'!F407))</f>
        <v/>
      </c>
      <c r="M407" s="171" t="str">
        <f t="shared" si="49"/>
        <v/>
      </c>
      <c r="N407" s="172" t="str">
        <f t="shared" si="50"/>
        <v/>
      </c>
      <c r="O407" s="172" t="str">
        <f t="shared" si="51"/>
        <v/>
      </c>
    </row>
    <row r="408" spans="11:15">
      <c r="K408" s="171" t="str">
        <f t="shared" si="48"/>
        <v/>
      </c>
      <c r="L408" s="171" t="str">
        <f>IF(E408="","",IF(COUNTIFS(Table2[[#All],[De (Lote)]],'Input_APM (Zenith)'!F408)&gt;0,INDEX(Table2[[#All],[Para (Ticker Daniel)]],MATCH('Input_APM (Zenith)'!F408,Table2[[#All],[De (Lote)]],0)),'Input_APM (Zenith)'!F408))</f>
        <v/>
      </c>
      <c r="M408" s="171" t="str">
        <f t="shared" si="49"/>
        <v/>
      </c>
      <c r="N408" s="172" t="str">
        <f t="shared" si="50"/>
        <v/>
      </c>
      <c r="O408" s="172" t="str">
        <f t="shared" si="51"/>
        <v/>
      </c>
    </row>
    <row r="409" spans="11:15">
      <c r="K409" s="171" t="str">
        <f t="shared" si="48"/>
        <v/>
      </c>
      <c r="L409" s="171" t="str">
        <f>IF(E409="","",IF(COUNTIFS(Table2[[#All],[De (Lote)]],'Input_APM (Zenith)'!F409)&gt;0,INDEX(Table2[[#All],[Para (Ticker Daniel)]],MATCH('Input_APM (Zenith)'!F409,Table2[[#All],[De (Lote)]],0)),'Input_APM (Zenith)'!F409))</f>
        <v/>
      </c>
      <c r="M409" s="171" t="str">
        <f t="shared" si="49"/>
        <v/>
      </c>
      <c r="N409" s="172" t="str">
        <f t="shared" si="50"/>
        <v/>
      </c>
      <c r="O409" s="172" t="str">
        <f t="shared" si="51"/>
        <v/>
      </c>
    </row>
    <row r="410" spans="11:15">
      <c r="K410" s="171" t="str">
        <f t="shared" si="48"/>
        <v/>
      </c>
      <c r="L410" s="171" t="str">
        <f>IF(E410="","",IF(COUNTIFS(Table2[[#All],[De (Lote)]],'Input_APM (Zenith)'!F410)&gt;0,INDEX(Table2[[#All],[Para (Ticker Daniel)]],MATCH('Input_APM (Zenith)'!F410,Table2[[#All],[De (Lote)]],0)),'Input_APM (Zenith)'!F410))</f>
        <v/>
      </c>
      <c r="M410" s="171" t="str">
        <f t="shared" si="49"/>
        <v/>
      </c>
      <c r="N410" s="172" t="str">
        <f t="shared" si="50"/>
        <v/>
      </c>
      <c r="O410" s="172" t="str">
        <f t="shared" si="51"/>
        <v/>
      </c>
    </row>
    <row r="411" spans="11:15">
      <c r="K411" s="171" t="str">
        <f t="shared" si="48"/>
        <v/>
      </c>
      <c r="L411" s="171" t="str">
        <f>IF(E411="","",IF(COUNTIFS(Table2[[#All],[De (Lote)]],'Input_APM (Zenith)'!F411)&gt;0,INDEX(Table2[[#All],[Para (Ticker Daniel)]],MATCH('Input_APM (Zenith)'!F411,Table2[[#All],[De (Lote)]],0)),'Input_APM (Zenith)'!F411))</f>
        <v/>
      </c>
      <c r="M411" s="171" t="str">
        <f t="shared" si="49"/>
        <v/>
      </c>
      <c r="N411" s="172" t="str">
        <f t="shared" si="50"/>
        <v/>
      </c>
      <c r="O411" s="172" t="str">
        <f t="shared" si="51"/>
        <v/>
      </c>
    </row>
    <row r="412" spans="11:15">
      <c r="K412" s="171" t="str">
        <f t="shared" si="48"/>
        <v/>
      </c>
      <c r="L412" s="171" t="str">
        <f>IF(E412="","",IF(COUNTIFS(Table2[[#All],[De (Lote)]],'Input_APM (Zenith)'!F412)&gt;0,INDEX(Table2[[#All],[Para (Ticker Daniel)]],MATCH('Input_APM (Zenith)'!F412,Table2[[#All],[De (Lote)]],0)),'Input_APM (Zenith)'!F412))</f>
        <v/>
      </c>
      <c r="M412" s="171" t="str">
        <f t="shared" si="49"/>
        <v/>
      </c>
      <c r="N412" s="172" t="str">
        <f t="shared" si="50"/>
        <v/>
      </c>
      <c r="O412" s="172" t="str">
        <f t="shared" si="51"/>
        <v/>
      </c>
    </row>
    <row r="413" spans="11:15">
      <c r="K413" s="171" t="str">
        <f t="shared" si="48"/>
        <v/>
      </c>
      <c r="L413" s="171" t="str">
        <f>IF(E413="","",IF(COUNTIFS(Table2[[#All],[De (Lote)]],'Input_APM (Zenith)'!F413)&gt;0,INDEX(Table2[[#All],[Para (Ticker Daniel)]],MATCH('Input_APM (Zenith)'!F413,Table2[[#All],[De (Lote)]],0)),'Input_APM (Zenith)'!F413))</f>
        <v/>
      </c>
      <c r="M413" s="171" t="str">
        <f t="shared" si="49"/>
        <v/>
      </c>
      <c r="N413" s="172" t="str">
        <f t="shared" si="50"/>
        <v/>
      </c>
      <c r="O413" s="172" t="str">
        <f t="shared" si="51"/>
        <v/>
      </c>
    </row>
    <row r="414" spans="11:15">
      <c r="K414" s="171" t="str">
        <f t="shared" si="48"/>
        <v/>
      </c>
      <c r="L414" s="171" t="str">
        <f>IF(E414="","",IF(COUNTIFS(Table2[[#All],[De (Lote)]],'Input_APM (Zenith)'!F414)&gt;0,INDEX(Table2[[#All],[Para (Ticker Daniel)]],MATCH('Input_APM (Zenith)'!F414,Table2[[#All],[De (Lote)]],0)),'Input_APM (Zenith)'!F414))</f>
        <v/>
      </c>
      <c r="M414" s="171" t="str">
        <f t="shared" si="49"/>
        <v/>
      </c>
      <c r="N414" s="172" t="str">
        <f t="shared" si="50"/>
        <v/>
      </c>
      <c r="O414" s="172" t="str">
        <f t="shared" si="51"/>
        <v/>
      </c>
    </row>
    <row r="415" spans="11:15">
      <c r="K415" s="171" t="str">
        <f t="shared" si="48"/>
        <v/>
      </c>
      <c r="L415" s="171" t="str">
        <f>IF(E415="","",IF(COUNTIFS(Table2[[#All],[De (Lote)]],'Input_APM (Zenith)'!F415)&gt;0,INDEX(Table2[[#All],[Para (Ticker Daniel)]],MATCH('Input_APM (Zenith)'!F415,Table2[[#All],[De (Lote)]],0)),'Input_APM (Zenith)'!F415))</f>
        <v/>
      </c>
      <c r="M415" s="171" t="str">
        <f t="shared" si="49"/>
        <v/>
      </c>
      <c r="N415" s="172" t="str">
        <f t="shared" si="50"/>
        <v/>
      </c>
      <c r="O415" s="172" t="str">
        <f t="shared" si="51"/>
        <v/>
      </c>
    </row>
    <row r="416" spans="11:15">
      <c r="K416" s="171" t="str">
        <f t="shared" si="48"/>
        <v/>
      </c>
      <c r="L416" s="171" t="str">
        <f>IF(E416="","",IF(COUNTIFS(Table2[[#All],[De (Lote)]],'Input_APM (Zenith)'!F416)&gt;0,INDEX(Table2[[#All],[Para (Ticker Daniel)]],MATCH('Input_APM (Zenith)'!F416,Table2[[#All],[De (Lote)]],0)),'Input_APM (Zenith)'!F416))</f>
        <v/>
      </c>
      <c r="M416" s="171" t="str">
        <f t="shared" si="49"/>
        <v/>
      </c>
      <c r="N416" s="172" t="str">
        <f t="shared" si="50"/>
        <v/>
      </c>
      <c r="O416" s="172" t="str">
        <f t="shared" si="51"/>
        <v/>
      </c>
    </row>
    <row r="417" spans="11:15">
      <c r="K417" s="171" t="str">
        <f t="shared" si="48"/>
        <v/>
      </c>
      <c r="L417" s="171" t="str">
        <f>IF(E417="","",IF(COUNTIFS(Table2[[#All],[De (Lote)]],'Input_APM (Zenith)'!F417)&gt;0,INDEX(Table2[[#All],[Para (Ticker Daniel)]],MATCH('Input_APM (Zenith)'!F417,Table2[[#All],[De (Lote)]],0)),'Input_APM (Zenith)'!F417))</f>
        <v/>
      </c>
      <c r="M417" s="171" t="str">
        <f t="shared" si="49"/>
        <v/>
      </c>
      <c r="N417" s="172" t="str">
        <f t="shared" si="50"/>
        <v/>
      </c>
      <c r="O417" s="172" t="str">
        <f t="shared" si="51"/>
        <v/>
      </c>
    </row>
    <row r="418" spans="11:15">
      <c r="K418" s="171" t="str">
        <f t="shared" si="48"/>
        <v/>
      </c>
      <c r="L418" s="171" t="str">
        <f>IF(E418="","",IF(COUNTIFS(Table2[[#All],[De (Lote)]],'Input_APM (Zenith)'!F418)&gt;0,INDEX(Table2[[#All],[Para (Ticker Daniel)]],MATCH('Input_APM (Zenith)'!F418,Table2[[#All],[De (Lote)]],0)),'Input_APM (Zenith)'!F418))</f>
        <v/>
      </c>
      <c r="M418" s="171" t="str">
        <f t="shared" si="49"/>
        <v/>
      </c>
      <c r="N418" s="172" t="str">
        <f t="shared" si="50"/>
        <v/>
      </c>
      <c r="O418" s="172" t="str">
        <f t="shared" si="51"/>
        <v/>
      </c>
    </row>
    <row r="419" spans="11:15">
      <c r="K419" s="171" t="str">
        <f t="shared" si="48"/>
        <v/>
      </c>
      <c r="L419" s="171" t="str">
        <f>IF(E419="","",IF(COUNTIFS(Table2[[#All],[De (Lote)]],'Input_APM (Zenith)'!F419)&gt;0,INDEX(Table2[[#All],[Para (Ticker Daniel)]],MATCH('Input_APM (Zenith)'!F419,Table2[[#All],[De (Lote)]],0)),'Input_APM (Zenith)'!F419))</f>
        <v/>
      </c>
      <c r="M419" s="171" t="str">
        <f t="shared" si="49"/>
        <v/>
      </c>
      <c r="N419" s="172" t="str">
        <f t="shared" si="50"/>
        <v/>
      </c>
      <c r="O419" s="172" t="str">
        <f t="shared" si="51"/>
        <v/>
      </c>
    </row>
    <row r="420" spans="11:15">
      <c r="K420" s="171" t="str">
        <f t="shared" si="48"/>
        <v/>
      </c>
      <c r="L420" s="171" t="str">
        <f>IF(E420="","",IF(COUNTIFS(Table2[[#All],[De (Lote)]],'Input_APM (Zenith)'!F420)&gt;0,INDEX(Table2[[#All],[Para (Ticker Daniel)]],MATCH('Input_APM (Zenith)'!F420,Table2[[#All],[De (Lote)]],0)),'Input_APM (Zenith)'!F420))</f>
        <v/>
      </c>
      <c r="M420" s="171" t="str">
        <f t="shared" si="49"/>
        <v/>
      </c>
      <c r="N420" s="172" t="str">
        <f t="shared" si="50"/>
        <v/>
      </c>
      <c r="O420" s="172" t="str">
        <f t="shared" si="51"/>
        <v/>
      </c>
    </row>
    <row r="421" spans="11:15">
      <c r="K421" s="171" t="str">
        <f t="shared" si="48"/>
        <v/>
      </c>
      <c r="L421" s="171" t="str">
        <f>IF(E421="","",IF(COUNTIFS(Table2[[#All],[De (Lote)]],'Input_APM (Zenith)'!F421)&gt;0,INDEX(Table2[[#All],[Para (Ticker Daniel)]],MATCH('Input_APM (Zenith)'!F421,Table2[[#All],[De (Lote)]],0)),'Input_APM (Zenith)'!F421))</f>
        <v/>
      </c>
      <c r="M421" s="171" t="str">
        <f t="shared" si="49"/>
        <v/>
      </c>
      <c r="N421" s="172" t="str">
        <f t="shared" si="50"/>
        <v/>
      </c>
      <c r="O421" s="172" t="str">
        <f t="shared" si="51"/>
        <v/>
      </c>
    </row>
    <row r="422" spans="11:15">
      <c r="K422" s="171" t="str">
        <f t="shared" ref="K422:K485" si="52">IF(E422="","",E422)</f>
        <v/>
      </c>
      <c r="L422" s="171" t="str">
        <f>IF(E422="","",IF(COUNTIFS(Table2[[#All],[De (Lote)]],'Input_APM (Zenith)'!F422)&gt;0,INDEX(Table2[[#All],[Para (Ticker Daniel)]],MATCH('Input_APM (Zenith)'!F422,Table2[[#All],[De (Lote)]],0)),'Input_APM (Zenith)'!F422))</f>
        <v/>
      </c>
      <c r="M422" s="171" t="str">
        <f t="shared" ref="M422:M485" si="53">IF(E422="","",G422)</f>
        <v/>
      </c>
      <c r="N422" s="172" t="str">
        <f t="shared" ref="N422:N485" si="54">IF(E422="","",H422)</f>
        <v/>
      </c>
      <c r="O422" s="172" t="str">
        <f t="shared" ref="O422:O485" si="55">IF(E422="","",I422)</f>
        <v/>
      </c>
    </row>
    <row r="423" spans="11:15">
      <c r="K423" s="171" t="str">
        <f t="shared" si="52"/>
        <v/>
      </c>
      <c r="L423" s="171" t="str">
        <f>IF(E423="","",IF(COUNTIFS(Table2[[#All],[De (Lote)]],'Input_APM (Zenith)'!F423)&gt;0,INDEX(Table2[[#All],[Para (Ticker Daniel)]],MATCH('Input_APM (Zenith)'!F423,Table2[[#All],[De (Lote)]],0)),'Input_APM (Zenith)'!F423))</f>
        <v/>
      </c>
      <c r="M423" s="171" t="str">
        <f t="shared" si="53"/>
        <v/>
      </c>
      <c r="N423" s="172" t="str">
        <f t="shared" si="54"/>
        <v/>
      </c>
      <c r="O423" s="172" t="str">
        <f t="shared" si="55"/>
        <v/>
      </c>
    </row>
    <row r="424" spans="11:15">
      <c r="K424" s="171" t="str">
        <f t="shared" si="52"/>
        <v/>
      </c>
      <c r="L424" s="171" t="str">
        <f>IF(E424="","",IF(COUNTIFS(Table2[[#All],[De (Lote)]],'Input_APM (Zenith)'!F424)&gt;0,INDEX(Table2[[#All],[Para (Ticker Daniel)]],MATCH('Input_APM (Zenith)'!F424,Table2[[#All],[De (Lote)]],0)),'Input_APM (Zenith)'!F424))</f>
        <v/>
      </c>
      <c r="M424" s="171" t="str">
        <f t="shared" si="53"/>
        <v/>
      </c>
      <c r="N424" s="172" t="str">
        <f t="shared" si="54"/>
        <v/>
      </c>
      <c r="O424" s="172" t="str">
        <f t="shared" si="55"/>
        <v/>
      </c>
    </row>
    <row r="425" spans="11:15">
      <c r="K425" s="171" t="str">
        <f t="shared" si="52"/>
        <v/>
      </c>
      <c r="L425" s="171" t="str">
        <f>IF(E425="","",IF(COUNTIFS(Table2[[#All],[De (Lote)]],'Input_APM (Zenith)'!F425)&gt;0,INDEX(Table2[[#All],[Para (Ticker Daniel)]],MATCH('Input_APM (Zenith)'!F425,Table2[[#All],[De (Lote)]],0)),'Input_APM (Zenith)'!F425))</f>
        <v/>
      </c>
      <c r="M425" s="171" t="str">
        <f t="shared" si="53"/>
        <v/>
      </c>
      <c r="N425" s="172" t="str">
        <f t="shared" si="54"/>
        <v/>
      </c>
      <c r="O425" s="172" t="str">
        <f t="shared" si="55"/>
        <v/>
      </c>
    </row>
    <row r="426" spans="11:15">
      <c r="K426" s="171" t="str">
        <f t="shared" si="52"/>
        <v/>
      </c>
      <c r="L426" s="171" t="str">
        <f>IF(E426="","",IF(COUNTIFS(Table2[[#All],[De (Lote)]],'Input_APM (Zenith)'!F426)&gt;0,INDEX(Table2[[#All],[Para (Ticker Daniel)]],MATCH('Input_APM (Zenith)'!F426,Table2[[#All],[De (Lote)]],0)),'Input_APM (Zenith)'!F426))</f>
        <v/>
      </c>
      <c r="M426" s="171" t="str">
        <f t="shared" si="53"/>
        <v/>
      </c>
      <c r="N426" s="172" t="str">
        <f t="shared" si="54"/>
        <v/>
      </c>
      <c r="O426" s="172" t="str">
        <f t="shared" si="55"/>
        <v/>
      </c>
    </row>
    <row r="427" spans="11:15">
      <c r="K427" s="171" t="str">
        <f t="shared" si="52"/>
        <v/>
      </c>
      <c r="L427" s="171" t="str">
        <f>IF(E427="","",IF(COUNTIFS(Table2[[#All],[De (Lote)]],'Input_APM (Zenith)'!F427)&gt;0,INDEX(Table2[[#All],[Para (Ticker Daniel)]],MATCH('Input_APM (Zenith)'!F427,Table2[[#All],[De (Lote)]],0)),'Input_APM (Zenith)'!F427))</f>
        <v/>
      </c>
      <c r="M427" s="171" t="str">
        <f t="shared" si="53"/>
        <v/>
      </c>
      <c r="N427" s="172" t="str">
        <f t="shared" si="54"/>
        <v/>
      </c>
      <c r="O427" s="172" t="str">
        <f t="shared" si="55"/>
        <v/>
      </c>
    </row>
    <row r="428" spans="11:15">
      <c r="K428" s="171" t="str">
        <f t="shared" si="52"/>
        <v/>
      </c>
      <c r="L428" s="171" t="str">
        <f>IF(E428="","",IF(COUNTIFS(Table2[[#All],[De (Lote)]],'Input_APM (Zenith)'!F428)&gt;0,INDEX(Table2[[#All],[Para (Ticker Daniel)]],MATCH('Input_APM (Zenith)'!F428,Table2[[#All],[De (Lote)]],0)),'Input_APM (Zenith)'!F428))</f>
        <v/>
      </c>
      <c r="M428" s="171" t="str">
        <f t="shared" si="53"/>
        <v/>
      </c>
      <c r="N428" s="172" t="str">
        <f t="shared" si="54"/>
        <v/>
      </c>
      <c r="O428" s="172" t="str">
        <f t="shared" si="55"/>
        <v/>
      </c>
    </row>
    <row r="429" spans="11:15">
      <c r="K429" s="171" t="str">
        <f t="shared" si="52"/>
        <v/>
      </c>
      <c r="L429" s="171" t="str">
        <f>IF(E429="","",IF(COUNTIFS(Table2[[#All],[De (Lote)]],'Input_APM (Zenith)'!F429)&gt;0,INDEX(Table2[[#All],[Para (Ticker Daniel)]],MATCH('Input_APM (Zenith)'!F429,Table2[[#All],[De (Lote)]],0)),'Input_APM (Zenith)'!F429))</f>
        <v/>
      </c>
      <c r="M429" s="171" t="str">
        <f t="shared" si="53"/>
        <v/>
      </c>
      <c r="N429" s="172" t="str">
        <f t="shared" si="54"/>
        <v/>
      </c>
      <c r="O429" s="172" t="str">
        <f t="shared" si="55"/>
        <v/>
      </c>
    </row>
    <row r="430" spans="11:15">
      <c r="K430" s="171" t="str">
        <f t="shared" si="52"/>
        <v/>
      </c>
      <c r="L430" s="171" t="str">
        <f>IF(E430="","",IF(COUNTIFS(Table2[[#All],[De (Lote)]],'Input_APM (Zenith)'!F430)&gt;0,INDEX(Table2[[#All],[Para (Ticker Daniel)]],MATCH('Input_APM (Zenith)'!F430,Table2[[#All],[De (Lote)]],0)),'Input_APM (Zenith)'!F430))</f>
        <v/>
      </c>
      <c r="M430" s="171" t="str">
        <f t="shared" si="53"/>
        <v/>
      </c>
      <c r="N430" s="172" t="str">
        <f t="shared" si="54"/>
        <v/>
      </c>
      <c r="O430" s="172" t="str">
        <f t="shared" si="55"/>
        <v/>
      </c>
    </row>
    <row r="431" spans="11:15">
      <c r="K431" s="171" t="str">
        <f t="shared" si="52"/>
        <v/>
      </c>
      <c r="L431" s="171" t="str">
        <f>IF(E431="","",IF(COUNTIFS(Table2[[#All],[De (Lote)]],'Input_APM (Zenith)'!F431)&gt;0,INDEX(Table2[[#All],[Para (Ticker Daniel)]],MATCH('Input_APM (Zenith)'!F431,Table2[[#All],[De (Lote)]],0)),'Input_APM (Zenith)'!F431))</f>
        <v/>
      </c>
      <c r="M431" s="171" t="str">
        <f t="shared" si="53"/>
        <v/>
      </c>
      <c r="N431" s="172" t="str">
        <f t="shared" si="54"/>
        <v/>
      </c>
      <c r="O431" s="172" t="str">
        <f t="shared" si="55"/>
        <v/>
      </c>
    </row>
    <row r="432" spans="11:15">
      <c r="K432" s="171" t="str">
        <f t="shared" si="52"/>
        <v/>
      </c>
      <c r="L432" s="171" t="str">
        <f>IF(E432="","",IF(COUNTIFS(Table2[[#All],[De (Lote)]],'Input_APM (Zenith)'!F432)&gt;0,INDEX(Table2[[#All],[Para (Ticker Daniel)]],MATCH('Input_APM (Zenith)'!F432,Table2[[#All],[De (Lote)]],0)),'Input_APM (Zenith)'!F432))</f>
        <v/>
      </c>
      <c r="M432" s="171" t="str">
        <f t="shared" si="53"/>
        <v/>
      </c>
      <c r="N432" s="172" t="str">
        <f t="shared" si="54"/>
        <v/>
      </c>
      <c r="O432" s="172" t="str">
        <f t="shared" si="55"/>
        <v/>
      </c>
    </row>
    <row r="433" spans="11:15">
      <c r="K433" s="171" t="str">
        <f t="shared" si="52"/>
        <v/>
      </c>
      <c r="L433" s="171" t="str">
        <f>IF(E433="","",IF(COUNTIFS(Table2[[#All],[De (Lote)]],'Input_APM (Zenith)'!F433)&gt;0,INDEX(Table2[[#All],[Para (Ticker Daniel)]],MATCH('Input_APM (Zenith)'!F433,Table2[[#All],[De (Lote)]],0)),'Input_APM (Zenith)'!F433))</f>
        <v/>
      </c>
      <c r="M433" s="171" t="str">
        <f t="shared" si="53"/>
        <v/>
      </c>
      <c r="N433" s="172" t="str">
        <f t="shared" si="54"/>
        <v/>
      </c>
      <c r="O433" s="172" t="str">
        <f t="shared" si="55"/>
        <v/>
      </c>
    </row>
    <row r="434" spans="11:15">
      <c r="K434" s="171" t="str">
        <f t="shared" si="52"/>
        <v/>
      </c>
      <c r="L434" s="171" t="str">
        <f>IF(E434="","",IF(COUNTIFS(Table2[[#All],[De (Lote)]],'Input_APM (Zenith)'!F434)&gt;0,INDEX(Table2[[#All],[Para (Ticker Daniel)]],MATCH('Input_APM (Zenith)'!F434,Table2[[#All],[De (Lote)]],0)),'Input_APM (Zenith)'!F434))</f>
        <v/>
      </c>
      <c r="M434" s="171" t="str">
        <f t="shared" si="53"/>
        <v/>
      </c>
      <c r="N434" s="172" t="str">
        <f t="shared" si="54"/>
        <v/>
      </c>
      <c r="O434" s="172" t="str">
        <f t="shared" si="55"/>
        <v/>
      </c>
    </row>
    <row r="435" spans="11:15">
      <c r="K435" s="171" t="str">
        <f t="shared" si="52"/>
        <v/>
      </c>
      <c r="L435" s="171" t="str">
        <f>IF(E435="","",IF(COUNTIFS(Table2[[#All],[De (Lote)]],'Input_APM (Zenith)'!F435)&gt;0,INDEX(Table2[[#All],[Para (Ticker Daniel)]],MATCH('Input_APM (Zenith)'!F435,Table2[[#All],[De (Lote)]],0)),'Input_APM (Zenith)'!F435))</f>
        <v/>
      </c>
      <c r="M435" s="171" t="str">
        <f t="shared" si="53"/>
        <v/>
      </c>
      <c r="N435" s="172" t="str">
        <f t="shared" si="54"/>
        <v/>
      </c>
      <c r="O435" s="172" t="str">
        <f t="shared" si="55"/>
        <v/>
      </c>
    </row>
    <row r="436" spans="11:15">
      <c r="K436" s="171" t="str">
        <f t="shared" si="52"/>
        <v/>
      </c>
      <c r="L436" s="171" t="str">
        <f>IF(E436="","",IF(COUNTIFS(Table2[[#All],[De (Lote)]],'Input_APM (Zenith)'!F436)&gt;0,INDEX(Table2[[#All],[Para (Ticker Daniel)]],MATCH('Input_APM (Zenith)'!F436,Table2[[#All],[De (Lote)]],0)),'Input_APM (Zenith)'!F436))</f>
        <v/>
      </c>
      <c r="M436" s="171" t="str">
        <f t="shared" si="53"/>
        <v/>
      </c>
      <c r="N436" s="172" t="str">
        <f t="shared" si="54"/>
        <v/>
      </c>
      <c r="O436" s="172" t="str">
        <f t="shared" si="55"/>
        <v/>
      </c>
    </row>
    <row r="437" spans="11:15">
      <c r="K437" s="171" t="str">
        <f t="shared" si="52"/>
        <v/>
      </c>
      <c r="L437" s="171" t="str">
        <f>IF(E437="","",IF(COUNTIFS(Table2[[#All],[De (Lote)]],'Input_APM (Zenith)'!F437)&gt;0,INDEX(Table2[[#All],[Para (Ticker Daniel)]],MATCH('Input_APM (Zenith)'!F437,Table2[[#All],[De (Lote)]],0)),'Input_APM (Zenith)'!F437))</f>
        <v/>
      </c>
      <c r="M437" s="171" t="str">
        <f t="shared" si="53"/>
        <v/>
      </c>
      <c r="N437" s="172" t="str">
        <f t="shared" si="54"/>
        <v/>
      </c>
      <c r="O437" s="172" t="str">
        <f t="shared" si="55"/>
        <v/>
      </c>
    </row>
    <row r="438" spans="11:15">
      <c r="K438" s="171" t="str">
        <f t="shared" si="52"/>
        <v/>
      </c>
      <c r="L438" s="171" t="str">
        <f>IF(E438="","",IF(COUNTIFS(Table2[[#All],[De (Lote)]],'Input_APM (Zenith)'!F438)&gt;0,INDEX(Table2[[#All],[Para (Ticker Daniel)]],MATCH('Input_APM (Zenith)'!F438,Table2[[#All],[De (Lote)]],0)),'Input_APM (Zenith)'!F438))</f>
        <v/>
      </c>
      <c r="M438" s="171" t="str">
        <f t="shared" si="53"/>
        <v/>
      </c>
      <c r="N438" s="172" t="str">
        <f t="shared" si="54"/>
        <v/>
      </c>
      <c r="O438" s="172" t="str">
        <f t="shared" si="55"/>
        <v/>
      </c>
    </row>
    <row r="439" spans="11:15">
      <c r="K439" s="171" t="str">
        <f t="shared" si="52"/>
        <v/>
      </c>
      <c r="L439" s="171" t="str">
        <f>IF(E439="","",IF(COUNTIFS(Table2[[#All],[De (Lote)]],'Input_APM (Zenith)'!F439)&gt;0,INDEX(Table2[[#All],[Para (Ticker Daniel)]],MATCH('Input_APM (Zenith)'!F439,Table2[[#All],[De (Lote)]],0)),'Input_APM (Zenith)'!F439))</f>
        <v/>
      </c>
      <c r="M439" s="171" t="str">
        <f t="shared" si="53"/>
        <v/>
      </c>
      <c r="N439" s="172" t="str">
        <f t="shared" si="54"/>
        <v/>
      </c>
      <c r="O439" s="172" t="str">
        <f t="shared" si="55"/>
        <v/>
      </c>
    </row>
    <row r="440" spans="11:15">
      <c r="K440" s="171" t="str">
        <f t="shared" si="52"/>
        <v/>
      </c>
      <c r="L440" s="171" t="str">
        <f>IF(E440="","",IF(COUNTIFS(Table2[[#All],[De (Lote)]],'Input_APM (Zenith)'!F440)&gt;0,INDEX(Table2[[#All],[Para (Ticker Daniel)]],MATCH('Input_APM (Zenith)'!F440,Table2[[#All],[De (Lote)]],0)),'Input_APM (Zenith)'!F440))</f>
        <v/>
      </c>
      <c r="M440" s="171" t="str">
        <f t="shared" si="53"/>
        <v/>
      </c>
      <c r="N440" s="172" t="str">
        <f t="shared" si="54"/>
        <v/>
      </c>
      <c r="O440" s="172" t="str">
        <f t="shared" si="55"/>
        <v/>
      </c>
    </row>
    <row r="441" spans="11:15">
      <c r="K441" s="171" t="str">
        <f t="shared" si="52"/>
        <v/>
      </c>
      <c r="L441" s="171" t="str">
        <f>IF(E441="","",IF(COUNTIFS(Table2[[#All],[De (Lote)]],'Input_APM (Zenith)'!F441)&gt;0,INDEX(Table2[[#All],[Para (Ticker Daniel)]],MATCH('Input_APM (Zenith)'!F441,Table2[[#All],[De (Lote)]],0)),'Input_APM (Zenith)'!F441))</f>
        <v/>
      </c>
      <c r="M441" s="171" t="str">
        <f t="shared" si="53"/>
        <v/>
      </c>
      <c r="N441" s="172" t="str">
        <f t="shared" si="54"/>
        <v/>
      </c>
      <c r="O441" s="172" t="str">
        <f t="shared" si="55"/>
        <v/>
      </c>
    </row>
    <row r="442" spans="11:15">
      <c r="K442" s="171" t="str">
        <f t="shared" si="52"/>
        <v/>
      </c>
      <c r="L442" s="171" t="str">
        <f>IF(E442="","",IF(COUNTIFS(Table2[[#All],[De (Lote)]],'Input_APM (Zenith)'!F442)&gt;0,INDEX(Table2[[#All],[Para (Ticker Daniel)]],MATCH('Input_APM (Zenith)'!F442,Table2[[#All],[De (Lote)]],0)),'Input_APM (Zenith)'!F442))</f>
        <v/>
      </c>
      <c r="M442" s="171" t="str">
        <f t="shared" si="53"/>
        <v/>
      </c>
      <c r="N442" s="172" t="str">
        <f t="shared" si="54"/>
        <v/>
      </c>
      <c r="O442" s="172" t="str">
        <f t="shared" si="55"/>
        <v/>
      </c>
    </row>
    <row r="443" spans="11:15">
      <c r="K443" s="171" t="str">
        <f t="shared" si="52"/>
        <v/>
      </c>
      <c r="L443" s="171" t="str">
        <f>IF(E443="","",IF(COUNTIFS(Table2[[#All],[De (Lote)]],'Input_APM (Zenith)'!F443)&gt;0,INDEX(Table2[[#All],[Para (Ticker Daniel)]],MATCH('Input_APM (Zenith)'!F443,Table2[[#All],[De (Lote)]],0)),'Input_APM (Zenith)'!F443))</f>
        <v/>
      </c>
      <c r="M443" s="171" t="str">
        <f t="shared" si="53"/>
        <v/>
      </c>
      <c r="N443" s="172" t="str">
        <f t="shared" si="54"/>
        <v/>
      </c>
      <c r="O443" s="172" t="str">
        <f t="shared" si="55"/>
        <v/>
      </c>
    </row>
    <row r="444" spans="11:15">
      <c r="K444" s="171" t="str">
        <f t="shared" si="52"/>
        <v/>
      </c>
      <c r="L444" s="171" t="str">
        <f>IF(E444="","",IF(COUNTIFS(Table2[[#All],[De (Lote)]],'Input_APM (Zenith)'!F444)&gt;0,INDEX(Table2[[#All],[Para (Ticker Daniel)]],MATCH('Input_APM (Zenith)'!F444,Table2[[#All],[De (Lote)]],0)),'Input_APM (Zenith)'!F444))</f>
        <v/>
      </c>
      <c r="M444" s="171" t="str">
        <f t="shared" si="53"/>
        <v/>
      </c>
      <c r="N444" s="172" t="str">
        <f t="shared" si="54"/>
        <v/>
      </c>
      <c r="O444" s="172" t="str">
        <f t="shared" si="55"/>
        <v/>
      </c>
    </row>
    <row r="445" spans="11:15">
      <c r="K445" s="171" t="str">
        <f t="shared" si="52"/>
        <v/>
      </c>
      <c r="L445" s="171" t="str">
        <f>IF(E445="","",IF(COUNTIFS(Table2[[#All],[De (Lote)]],'Input_APM (Zenith)'!F445)&gt;0,INDEX(Table2[[#All],[Para (Ticker Daniel)]],MATCH('Input_APM (Zenith)'!F445,Table2[[#All],[De (Lote)]],0)),'Input_APM (Zenith)'!F445))</f>
        <v/>
      </c>
      <c r="M445" s="171" t="str">
        <f t="shared" si="53"/>
        <v/>
      </c>
      <c r="N445" s="172" t="str">
        <f t="shared" si="54"/>
        <v/>
      </c>
      <c r="O445" s="172" t="str">
        <f t="shared" si="55"/>
        <v/>
      </c>
    </row>
    <row r="446" spans="11:15">
      <c r="K446" s="171" t="str">
        <f t="shared" si="52"/>
        <v/>
      </c>
      <c r="L446" s="171" t="str">
        <f>IF(E446="","",IF(COUNTIFS(Table2[[#All],[De (Lote)]],'Input_APM (Zenith)'!F446)&gt;0,INDEX(Table2[[#All],[Para (Ticker Daniel)]],MATCH('Input_APM (Zenith)'!F446,Table2[[#All],[De (Lote)]],0)),'Input_APM (Zenith)'!F446))</f>
        <v/>
      </c>
      <c r="M446" s="171" t="str">
        <f t="shared" si="53"/>
        <v/>
      </c>
      <c r="N446" s="172" t="str">
        <f t="shared" si="54"/>
        <v/>
      </c>
      <c r="O446" s="172" t="str">
        <f t="shared" si="55"/>
        <v/>
      </c>
    </row>
    <row r="447" spans="11:15">
      <c r="K447" s="171" t="str">
        <f t="shared" si="52"/>
        <v/>
      </c>
      <c r="L447" s="171" t="str">
        <f>IF(E447="","",IF(COUNTIFS(Table2[[#All],[De (Lote)]],'Input_APM (Zenith)'!F447)&gt;0,INDEX(Table2[[#All],[Para (Ticker Daniel)]],MATCH('Input_APM (Zenith)'!F447,Table2[[#All],[De (Lote)]],0)),'Input_APM (Zenith)'!F447))</f>
        <v/>
      </c>
      <c r="M447" s="171" t="str">
        <f t="shared" si="53"/>
        <v/>
      </c>
      <c r="N447" s="172" t="str">
        <f t="shared" si="54"/>
        <v/>
      </c>
      <c r="O447" s="172" t="str">
        <f t="shared" si="55"/>
        <v/>
      </c>
    </row>
    <row r="448" spans="11:15">
      <c r="K448" s="171" t="str">
        <f t="shared" si="52"/>
        <v/>
      </c>
      <c r="L448" s="171" t="str">
        <f>IF(E448="","",IF(COUNTIFS(Table2[[#All],[De (Lote)]],'Input_APM (Zenith)'!F448)&gt;0,INDEX(Table2[[#All],[Para (Ticker Daniel)]],MATCH('Input_APM (Zenith)'!F448,Table2[[#All],[De (Lote)]],0)),'Input_APM (Zenith)'!F448))</f>
        <v/>
      </c>
      <c r="M448" s="171" t="str">
        <f t="shared" si="53"/>
        <v/>
      </c>
      <c r="N448" s="172" t="str">
        <f t="shared" si="54"/>
        <v/>
      </c>
      <c r="O448" s="172" t="str">
        <f t="shared" si="55"/>
        <v/>
      </c>
    </row>
    <row r="449" spans="11:15">
      <c r="K449" s="171" t="str">
        <f t="shared" si="52"/>
        <v/>
      </c>
      <c r="L449" s="171" t="str">
        <f>IF(E449="","",IF(COUNTIFS(Table2[[#All],[De (Lote)]],'Input_APM (Zenith)'!F449)&gt;0,INDEX(Table2[[#All],[Para (Ticker Daniel)]],MATCH('Input_APM (Zenith)'!F449,Table2[[#All],[De (Lote)]],0)),'Input_APM (Zenith)'!F449))</f>
        <v/>
      </c>
      <c r="M449" s="171" t="str">
        <f t="shared" si="53"/>
        <v/>
      </c>
      <c r="N449" s="172" t="str">
        <f t="shared" si="54"/>
        <v/>
      </c>
      <c r="O449" s="172" t="str">
        <f t="shared" si="55"/>
        <v/>
      </c>
    </row>
    <row r="450" spans="11:15">
      <c r="K450" s="171" t="str">
        <f t="shared" si="52"/>
        <v/>
      </c>
      <c r="L450" s="171" t="str">
        <f>IF(E450="","",IF(COUNTIFS(Table2[[#All],[De (Lote)]],'Input_APM (Zenith)'!F450)&gt;0,INDEX(Table2[[#All],[Para (Ticker Daniel)]],MATCH('Input_APM (Zenith)'!F450,Table2[[#All],[De (Lote)]],0)),'Input_APM (Zenith)'!F450))</f>
        <v/>
      </c>
      <c r="M450" s="171" t="str">
        <f t="shared" si="53"/>
        <v/>
      </c>
      <c r="N450" s="172" t="str">
        <f t="shared" si="54"/>
        <v/>
      </c>
      <c r="O450" s="172" t="str">
        <f t="shared" si="55"/>
        <v/>
      </c>
    </row>
    <row r="451" spans="11:15">
      <c r="K451" s="171" t="str">
        <f t="shared" si="52"/>
        <v/>
      </c>
      <c r="L451" s="171" t="str">
        <f>IF(E451="","",IF(COUNTIFS(Table2[[#All],[De (Lote)]],'Input_APM (Zenith)'!F451)&gt;0,INDEX(Table2[[#All],[Para (Ticker Daniel)]],MATCH('Input_APM (Zenith)'!F451,Table2[[#All],[De (Lote)]],0)),'Input_APM (Zenith)'!F451))</f>
        <v/>
      </c>
      <c r="M451" s="171" t="str">
        <f t="shared" si="53"/>
        <v/>
      </c>
      <c r="N451" s="172" t="str">
        <f t="shared" si="54"/>
        <v/>
      </c>
      <c r="O451" s="172" t="str">
        <f t="shared" si="55"/>
        <v/>
      </c>
    </row>
    <row r="452" spans="11:15">
      <c r="K452" s="171" t="str">
        <f t="shared" si="52"/>
        <v/>
      </c>
      <c r="L452" s="171" t="str">
        <f>IF(E452="","",IF(COUNTIFS(Table2[[#All],[De (Lote)]],'Input_APM (Zenith)'!F452)&gt;0,INDEX(Table2[[#All],[Para (Ticker Daniel)]],MATCH('Input_APM (Zenith)'!F452,Table2[[#All],[De (Lote)]],0)),'Input_APM (Zenith)'!F452))</f>
        <v/>
      </c>
      <c r="M452" s="171" t="str">
        <f t="shared" si="53"/>
        <v/>
      </c>
      <c r="N452" s="172" t="str">
        <f t="shared" si="54"/>
        <v/>
      </c>
      <c r="O452" s="172" t="str">
        <f t="shared" si="55"/>
        <v/>
      </c>
    </row>
    <row r="453" spans="11:15">
      <c r="K453" s="171" t="str">
        <f t="shared" si="52"/>
        <v/>
      </c>
      <c r="L453" s="171" t="str">
        <f>IF(E453="","",IF(COUNTIFS(Table2[[#All],[De (Lote)]],'Input_APM (Zenith)'!F453)&gt;0,INDEX(Table2[[#All],[Para (Ticker Daniel)]],MATCH('Input_APM (Zenith)'!F453,Table2[[#All],[De (Lote)]],0)),'Input_APM (Zenith)'!F453))</f>
        <v/>
      </c>
      <c r="M453" s="171" t="str">
        <f t="shared" si="53"/>
        <v/>
      </c>
      <c r="N453" s="172" t="str">
        <f t="shared" si="54"/>
        <v/>
      </c>
      <c r="O453" s="172" t="str">
        <f t="shared" si="55"/>
        <v/>
      </c>
    </row>
    <row r="454" spans="11:15">
      <c r="K454" s="171" t="str">
        <f t="shared" si="52"/>
        <v/>
      </c>
      <c r="L454" s="171" t="str">
        <f>IF(E454="","",IF(COUNTIFS(Table2[[#All],[De (Lote)]],'Input_APM (Zenith)'!F454)&gt;0,INDEX(Table2[[#All],[Para (Ticker Daniel)]],MATCH('Input_APM (Zenith)'!F454,Table2[[#All],[De (Lote)]],0)),'Input_APM (Zenith)'!F454))</f>
        <v/>
      </c>
      <c r="M454" s="171" t="str">
        <f t="shared" si="53"/>
        <v/>
      </c>
      <c r="N454" s="172" t="str">
        <f t="shared" si="54"/>
        <v/>
      </c>
      <c r="O454" s="172" t="str">
        <f t="shared" si="55"/>
        <v/>
      </c>
    </row>
    <row r="455" spans="11:15">
      <c r="K455" s="171" t="str">
        <f t="shared" si="52"/>
        <v/>
      </c>
      <c r="L455" s="171" t="str">
        <f>IF(E455="","",IF(COUNTIFS(Table2[[#All],[De (Lote)]],'Input_APM (Zenith)'!F455)&gt;0,INDEX(Table2[[#All],[Para (Ticker Daniel)]],MATCH('Input_APM (Zenith)'!F455,Table2[[#All],[De (Lote)]],0)),'Input_APM (Zenith)'!F455))</f>
        <v/>
      </c>
      <c r="M455" s="171" t="str">
        <f t="shared" si="53"/>
        <v/>
      </c>
      <c r="N455" s="172" t="str">
        <f t="shared" si="54"/>
        <v/>
      </c>
      <c r="O455" s="172" t="str">
        <f t="shared" si="55"/>
        <v/>
      </c>
    </row>
    <row r="456" spans="11:15">
      <c r="K456" s="171" t="str">
        <f t="shared" si="52"/>
        <v/>
      </c>
      <c r="L456" s="171" t="str">
        <f>IF(E456="","",IF(COUNTIFS(Table2[[#All],[De (Lote)]],'Input_APM (Zenith)'!F456)&gt;0,INDEX(Table2[[#All],[Para (Ticker Daniel)]],MATCH('Input_APM (Zenith)'!F456,Table2[[#All],[De (Lote)]],0)),'Input_APM (Zenith)'!F456))</f>
        <v/>
      </c>
      <c r="M456" s="171" t="str">
        <f t="shared" si="53"/>
        <v/>
      </c>
      <c r="N456" s="172" t="str">
        <f t="shared" si="54"/>
        <v/>
      </c>
      <c r="O456" s="172" t="str">
        <f t="shared" si="55"/>
        <v/>
      </c>
    </row>
    <row r="457" spans="11:15">
      <c r="K457" s="171" t="str">
        <f t="shared" si="52"/>
        <v/>
      </c>
      <c r="L457" s="171" t="str">
        <f>IF(E457="","",IF(COUNTIFS(Table2[[#All],[De (Lote)]],'Input_APM (Zenith)'!F457)&gt;0,INDEX(Table2[[#All],[Para (Ticker Daniel)]],MATCH('Input_APM (Zenith)'!F457,Table2[[#All],[De (Lote)]],0)),'Input_APM (Zenith)'!F457))</f>
        <v/>
      </c>
      <c r="M457" s="171" t="str">
        <f t="shared" si="53"/>
        <v/>
      </c>
      <c r="N457" s="172" t="str">
        <f t="shared" si="54"/>
        <v/>
      </c>
      <c r="O457" s="172" t="str">
        <f t="shared" si="55"/>
        <v/>
      </c>
    </row>
    <row r="458" spans="11:15">
      <c r="K458" s="171" t="str">
        <f t="shared" si="52"/>
        <v/>
      </c>
      <c r="L458" s="171" t="str">
        <f>IF(E458="","",IF(COUNTIFS(Table2[[#All],[De (Lote)]],'Input_APM (Zenith)'!F458)&gt;0,INDEX(Table2[[#All],[Para (Ticker Daniel)]],MATCH('Input_APM (Zenith)'!F458,Table2[[#All],[De (Lote)]],0)),'Input_APM (Zenith)'!F458))</f>
        <v/>
      </c>
      <c r="M458" s="171" t="str">
        <f t="shared" si="53"/>
        <v/>
      </c>
      <c r="N458" s="172" t="str">
        <f t="shared" si="54"/>
        <v/>
      </c>
      <c r="O458" s="172" t="str">
        <f t="shared" si="55"/>
        <v/>
      </c>
    </row>
    <row r="459" spans="11:15">
      <c r="K459" s="171" t="str">
        <f t="shared" si="52"/>
        <v/>
      </c>
      <c r="L459" s="171" t="str">
        <f>IF(E459="","",IF(COUNTIFS(Table2[[#All],[De (Lote)]],'Input_APM (Zenith)'!F459)&gt;0,INDEX(Table2[[#All],[Para (Ticker Daniel)]],MATCH('Input_APM (Zenith)'!F459,Table2[[#All],[De (Lote)]],0)),'Input_APM (Zenith)'!F459))</f>
        <v/>
      </c>
      <c r="M459" s="171" t="str">
        <f t="shared" si="53"/>
        <v/>
      </c>
      <c r="N459" s="172" t="str">
        <f t="shared" si="54"/>
        <v/>
      </c>
      <c r="O459" s="172" t="str">
        <f t="shared" si="55"/>
        <v/>
      </c>
    </row>
    <row r="460" spans="11:15">
      <c r="K460" s="171" t="str">
        <f t="shared" si="52"/>
        <v/>
      </c>
      <c r="L460" s="171" t="str">
        <f>IF(E460="","",IF(COUNTIFS(Table2[[#All],[De (Lote)]],'Input_APM (Zenith)'!F460)&gt;0,INDEX(Table2[[#All],[Para (Ticker Daniel)]],MATCH('Input_APM (Zenith)'!F460,Table2[[#All],[De (Lote)]],0)),'Input_APM (Zenith)'!F460))</f>
        <v/>
      </c>
      <c r="M460" s="171" t="str">
        <f t="shared" si="53"/>
        <v/>
      </c>
      <c r="N460" s="172" t="str">
        <f t="shared" si="54"/>
        <v/>
      </c>
      <c r="O460" s="172" t="str">
        <f t="shared" si="55"/>
        <v/>
      </c>
    </row>
    <row r="461" spans="11:15">
      <c r="K461" s="171" t="str">
        <f t="shared" si="52"/>
        <v/>
      </c>
      <c r="L461" s="171" t="str">
        <f>IF(E461="","",IF(COUNTIFS(Table2[[#All],[De (Lote)]],'Input_APM (Zenith)'!F461)&gt;0,INDEX(Table2[[#All],[Para (Ticker Daniel)]],MATCH('Input_APM (Zenith)'!F461,Table2[[#All],[De (Lote)]],0)),'Input_APM (Zenith)'!F461))</f>
        <v/>
      </c>
      <c r="M461" s="171" t="str">
        <f t="shared" si="53"/>
        <v/>
      </c>
      <c r="N461" s="172" t="str">
        <f t="shared" si="54"/>
        <v/>
      </c>
      <c r="O461" s="172" t="str">
        <f t="shared" si="55"/>
        <v/>
      </c>
    </row>
    <row r="462" spans="11:15">
      <c r="K462" s="171" t="str">
        <f t="shared" si="52"/>
        <v/>
      </c>
      <c r="L462" s="171" t="str">
        <f>IF(E462="","",IF(COUNTIFS(Table2[[#All],[De (Lote)]],'Input_APM (Zenith)'!F462)&gt;0,INDEX(Table2[[#All],[Para (Ticker Daniel)]],MATCH('Input_APM (Zenith)'!F462,Table2[[#All],[De (Lote)]],0)),'Input_APM (Zenith)'!F462))</f>
        <v/>
      </c>
      <c r="M462" s="171" t="str">
        <f t="shared" si="53"/>
        <v/>
      </c>
      <c r="N462" s="172" t="str">
        <f t="shared" si="54"/>
        <v/>
      </c>
      <c r="O462" s="172" t="str">
        <f t="shared" si="55"/>
        <v/>
      </c>
    </row>
    <row r="463" spans="11:15">
      <c r="K463" s="171" t="str">
        <f t="shared" si="52"/>
        <v/>
      </c>
      <c r="L463" s="171" t="str">
        <f>IF(E463="","",IF(COUNTIFS(Table2[[#All],[De (Lote)]],'Input_APM (Zenith)'!F463)&gt;0,INDEX(Table2[[#All],[Para (Ticker Daniel)]],MATCH('Input_APM (Zenith)'!F463,Table2[[#All],[De (Lote)]],0)),'Input_APM (Zenith)'!F463))</f>
        <v/>
      </c>
      <c r="M463" s="171" t="str">
        <f t="shared" si="53"/>
        <v/>
      </c>
      <c r="N463" s="172" t="str">
        <f t="shared" si="54"/>
        <v/>
      </c>
      <c r="O463" s="172" t="str">
        <f t="shared" si="55"/>
        <v/>
      </c>
    </row>
    <row r="464" spans="11:15">
      <c r="K464" s="171" t="str">
        <f t="shared" si="52"/>
        <v/>
      </c>
      <c r="L464" s="171" t="str">
        <f>IF(E464="","",IF(COUNTIFS(Table2[[#All],[De (Lote)]],'Input_APM (Zenith)'!F464)&gt;0,INDEX(Table2[[#All],[Para (Ticker Daniel)]],MATCH('Input_APM (Zenith)'!F464,Table2[[#All],[De (Lote)]],0)),'Input_APM (Zenith)'!F464))</f>
        <v/>
      </c>
      <c r="M464" s="171" t="str">
        <f t="shared" si="53"/>
        <v/>
      </c>
      <c r="N464" s="172" t="str">
        <f t="shared" si="54"/>
        <v/>
      </c>
      <c r="O464" s="172" t="str">
        <f t="shared" si="55"/>
        <v/>
      </c>
    </row>
    <row r="465" spans="11:15">
      <c r="K465" s="171" t="str">
        <f t="shared" si="52"/>
        <v/>
      </c>
      <c r="L465" s="171" t="str">
        <f>IF(E465="","",IF(COUNTIFS(Table2[[#All],[De (Lote)]],'Input_APM (Zenith)'!F465)&gt;0,INDEX(Table2[[#All],[Para (Ticker Daniel)]],MATCH('Input_APM (Zenith)'!F465,Table2[[#All],[De (Lote)]],0)),'Input_APM (Zenith)'!F465))</f>
        <v/>
      </c>
      <c r="M465" s="171" t="str">
        <f t="shared" si="53"/>
        <v/>
      </c>
      <c r="N465" s="172" t="str">
        <f t="shared" si="54"/>
        <v/>
      </c>
      <c r="O465" s="172" t="str">
        <f t="shared" si="55"/>
        <v/>
      </c>
    </row>
    <row r="466" spans="11:15">
      <c r="K466" s="171" t="str">
        <f t="shared" si="52"/>
        <v/>
      </c>
      <c r="L466" s="171" t="str">
        <f>IF(E466="","",IF(COUNTIFS(Table2[[#All],[De (Lote)]],'Input_APM (Zenith)'!F466)&gt;0,INDEX(Table2[[#All],[Para (Ticker Daniel)]],MATCH('Input_APM (Zenith)'!F466,Table2[[#All],[De (Lote)]],0)),'Input_APM (Zenith)'!F466))</f>
        <v/>
      </c>
      <c r="M466" s="171" t="str">
        <f t="shared" si="53"/>
        <v/>
      </c>
      <c r="N466" s="172" t="str">
        <f t="shared" si="54"/>
        <v/>
      </c>
      <c r="O466" s="172" t="str">
        <f t="shared" si="55"/>
        <v/>
      </c>
    </row>
    <row r="467" spans="11:15">
      <c r="K467" s="171" t="str">
        <f t="shared" si="52"/>
        <v/>
      </c>
      <c r="L467" s="171" t="str">
        <f>IF(E467="","",IF(COUNTIFS(Table2[[#All],[De (Lote)]],'Input_APM (Zenith)'!F467)&gt;0,INDEX(Table2[[#All],[Para (Ticker Daniel)]],MATCH('Input_APM (Zenith)'!F467,Table2[[#All],[De (Lote)]],0)),'Input_APM (Zenith)'!F467))</f>
        <v/>
      </c>
      <c r="M467" s="171" t="str">
        <f t="shared" si="53"/>
        <v/>
      </c>
      <c r="N467" s="172" t="str">
        <f t="shared" si="54"/>
        <v/>
      </c>
      <c r="O467" s="172" t="str">
        <f t="shared" si="55"/>
        <v/>
      </c>
    </row>
    <row r="468" spans="11:15">
      <c r="K468" s="171" t="str">
        <f t="shared" si="52"/>
        <v/>
      </c>
      <c r="L468" s="171" t="str">
        <f>IF(E468="","",IF(COUNTIFS(Table2[[#All],[De (Lote)]],'Input_APM (Zenith)'!F468)&gt;0,INDEX(Table2[[#All],[Para (Ticker Daniel)]],MATCH('Input_APM (Zenith)'!F468,Table2[[#All],[De (Lote)]],0)),'Input_APM (Zenith)'!F468))</f>
        <v/>
      </c>
      <c r="M468" s="171" t="str">
        <f t="shared" si="53"/>
        <v/>
      </c>
      <c r="N468" s="172" t="str">
        <f t="shared" si="54"/>
        <v/>
      </c>
      <c r="O468" s="172" t="str">
        <f t="shared" si="55"/>
        <v/>
      </c>
    </row>
    <row r="469" spans="11:15">
      <c r="K469" s="171" t="str">
        <f t="shared" si="52"/>
        <v/>
      </c>
      <c r="L469" s="171" t="str">
        <f>IF(E469="","",IF(COUNTIFS(Table2[[#All],[De (Lote)]],'Input_APM (Zenith)'!F469)&gt;0,INDEX(Table2[[#All],[Para (Ticker Daniel)]],MATCH('Input_APM (Zenith)'!F469,Table2[[#All],[De (Lote)]],0)),'Input_APM (Zenith)'!F469))</f>
        <v/>
      </c>
      <c r="M469" s="171" t="str">
        <f t="shared" si="53"/>
        <v/>
      </c>
      <c r="N469" s="172" t="str">
        <f t="shared" si="54"/>
        <v/>
      </c>
      <c r="O469" s="172" t="str">
        <f t="shared" si="55"/>
        <v/>
      </c>
    </row>
    <row r="470" spans="11:15">
      <c r="K470" s="171" t="str">
        <f t="shared" si="52"/>
        <v/>
      </c>
      <c r="L470" s="171" t="str">
        <f>IF(E470="","",IF(COUNTIFS(Table2[[#All],[De (Lote)]],'Input_APM (Zenith)'!F470)&gt;0,INDEX(Table2[[#All],[Para (Ticker Daniel)]],MATCH('Input_APM (Zenith)'!F470,Table2[[#All],[De (Lote)]],0)),'Input_APM (Zenith)'!F470))</f>
        <v/>
      </c>
      <c r="M470" s="171" t="str">
        <f t="shared" si="53"/>
        <v/>
      </c>
      <c r="N470" s="172" t="str">
        <f t="shared" si="54"/>
        <v/>
      </c>
      <c r="O470" s="172" t="str">
        <f t="shared" si="55"/>
        <v/>
      </c>
    </row>
    <row r="471" spans="11:15">
      <c r="K471" s="171" t="str">
        <f t="shared" si="52"/>
        <v/>
      </c>
      <c r="L471" s="171" t="str">
        <f>IF(E471="","",IF(COUNTIFS(Table2[[#All],[De (Lote)]],'Input_APM (Zenith)'!F471)&gt;0,INDEX(Table2[[#All],[Para (Ticker Daniel)]],MATCH('Input_APM (Zenith)'!F471,Table2[[#All],[De (Lote)]],0)),'Input_APM (Zenith)'!F471))</f>
        <v/>
      </c>
      <c r="M471" s="171" t="str">
        <f t="shared" si="53"/>
        <v/>
      </c>
      <c r="N471" s="172" t="str">
        <f t="shared" si="54"/>
        <v/>
      </c>
      <c r="O471" s="172" t="str">
        <f t="shared" si="55"/>
        <v/>
      </c>
    </row>
    <row r="472" spans="11:15">
      <c r="K472" s="171" t="str">
        <f t="shared" si="52"/>
        <v/>
      </c>
      <c r="L472" s="171" t="str">
        <f>IF(E472="","",IF(COUNTIFS(Table2[[#All],[De (Lote)]],'Input_APM (Zenith)'!F472)&gt;0,INDEX(Table2[[#All],[Para (Ticker Daniel)]],MATCH('Input_APM (Zenith)'!F472,Table2[[#All],[De (Lote)]],0)),'Input_APM (Zenith)'!F472))</f>
        <v/>
      </c>
      <c r="M472" s="171" t="str">
        <f t="shared" si="53"/>
        <v/>
      </c>
      <c r="N472" s="172" t="str">
        <f t="shared" si="54"/>
        <v/>
      </c>
      <c r="O472" s="172" t="str">
        <f t="shared" si="55"/>
        <v/>
      </c>
    </row>
    <row r="473" spans="11:15">
      <c r="K473" s="171" t="str">
        <f t="shared" si="52"/>
        <v/>
      </c>
      <c r="L473" s="171" t="str">
        <f>IF(E473="","",IF(COUNTIFS(Table2[[#All],[De (Lote)]],'Input_APM (Zenith)'!F473)&gt;0,INDEX(Table2[[#All],[Para (Ticker Daniel)]],MATCH('Input_APM (Zenith)'!F473,Table2[[#All],[De (Lote)]],0)),'Input_APM (Zenith)'!F473))</f>
        <v/>
      </c>
      <c r="M473" s="171" t="str">
        <f t="shared" si="53"/>
        <v/>
      </c>
      <c r="N473" s="172" t="str">
        <f t="shared" si="54"/>
        <v/>
      </c>
      <c r="O473" s="172" t="str">
        <f t="shared" si="55"/>
        <v/>
      </c>
    </row>
    <row r="474" spans="11:15">
      <c r="K474" s="171" t="str">
        <f t="shared" si="52"/>
        <v/>
      </c>
      <c r="L474" s="171" t="str">
        <f>IF(E474="","",IF(COUNTIFS(Table2[[#All],[De (Lote)]],'Input_APM (Zenith)'!F474)&gt;0,INDEX(Table2[[#All],[Para (Ticker Daniel)]],MATCH('Input_APM (Zenith)'!F474,Table2[[#All],[De (Lote)]],0)),'Input_APM (Zenith)'!F474))</f>
        <v/>
      </c>
      <c r="M474" s="171" t="str">
        <f t="shared" si="53"/>
        <v/>
      </c>
      <c r="N474" s="172" t="str">
        <f t="shared" si="54"/>
        <v/>
      </c>
      <c r="O474" s="172" t="str">
        <f t="shared" si="55"/>
        <v/>
      </c>
    </row>
    <row r="475" spans="11:15">
      <c r="K475" s="171" t="str">
        <f t="shared" si="52"/>
        <v/>
      </c>
      <c r="L475" s="171" t="str">
        <f>IF(E475="","",IF(COUNTIFS(Table2[[#All],[De (Lote)]],'Input_APM (Zenith)'!F475)&gt;0,INDEX(Table2[[#All],[Para (Ticker Daniel)]],MATCH('Input_APM (Zenith)'!F475,Table2[[#All],[De (Lote)]],0)),'Input_APM (Zenith)'!F475))</f>
        <v/>
      </c>
      <c r="M475" s="171" t="str">
        <f t="shared" si="53"/>
        <v/>
      </c>
      <c r="N475" s="172" t="str">
        <f t="shared" si="54"/>
        <v/>
      </c>
      <c r="O475" s="172" t="str">
        <f t="shared" si="55"/>
        <v/>
      </c>
    </row>
    <row r="476" spans="11:15">
      <c r="K476" s="171" t="str">
        <f t="shared" si="52"/>
        <v/>
      </c>
      <c r="L476" s="171" t="str">
        <f>IF(E476="","",IF(COUNTIFS(Table2[[#All],[De (Lote)]],'Input_APM (Zenith)'!F476)&gt;0,INDEX(Table2[[#All],[Para (Ticker Daniel)]],MATCH('Input_APM (Zenith)'!F476,Table2[[#All],[De (Lote)]],0)),'Input_APM (Zenith)'!F476))</f>
        <v/>
      </c>
      <c r="M476" s="171" t="str">
        <f t="shared" si="53"/>
        <v/>
      </c>
      <c r="N476" s="172" t="str">
        <f t="shared" si="54"/>
        <v/>
      </c>
      <c r="O476" s="172" t="str">
        <f t="shared" si="55"/>
        <v/>
      </c>
    </row>
    <row r="477" spans="11:15">
      <c r="K477" s="171" t="str">
        <f t="shared" si="52"/>
        <v/>
      </c>
      <c r="L477" s="171" t="str">
        <f>IF(E477="","",IF(COUNTIFS(Table2[[#All],[De (Lote)]],'Input_APM (Zenith)'!F477)&gt;0,INDEX(Table2[[#All],[Para (Ticker Daniel)]],MATCH('Input_APM (Zenith)'!F477,Table2[[#All],[De (Lote)]],0)),'Input_APM (Zenith)'!F477))</f>
        <v/>
      </c>
      <c r="M477" s="171" t="str">
        <f t="shared" si="53"/>
        <v/>
      </c>
      <c r="N477" s="172" t="str">
        <f t="shared" si="54"/>
        <v/>
      </c>
      <c r="O477" s="172" t="str">
        <f t="shared" si="55"/>
        <v/>
      </c>
    </row>
    <row r="478" spans="11:15">
      <c r="K478" s="171" t="str">
        <f t="shared" si="52"/>
        <v/>
      </c>
      <c r="L478" s="171" t="str">
        <f>IF(E478="","",IF(COUNTIFS(Table2[[#All],[De (Lote)]],'Input_APM (Zenith)'!F478)&gt;0,INDEX(Table2[[#All],[Para (Ticker Daniel)]],MATCH('Input_APM (Zenith)'!F478,Table2[[#All],[De (Lote)]],0)),'Input_APM (Zenith)'!F478))</f>
        <v/>
      </c>
      <c r="M478" s="171" t="str">
        <f t="shared" si="53"/>
        <v/>
      </c>
      <c r="N478" s="172" t="str">
        <f t="shared" si="54"/>
        <v/>
      </c>
      <c r="O478" s="172" t="str">
        <f t="shared" si="55"/>
        <v/>
      </c>
    </row>
    <row r="479" spans="11:15">
      <c r="K479" s="171" t="str">
        <f t="shared" si="52"/>
        <v/>
      </c>
      <c r="L479" s="171" t="str">
        <f>IF(E479="","",IF(COUNTIFS(Table2[[#All],[De (Lote)]],'Input_APM (Zenith)'!F479)&gt;0,INDEX(Table2[[#All],[Para (Ticker Daniel)]],MATCH('Input_APM (Zenith)'!F479,Table2[[#All],[De (Lote)]],0)),'Input_APM (Zenith)'!F479))</f>
        <v/>
      </c>
      <c r="M479" s="171" t="str">
        <f t="shared" si="53"/>
        <v/>
      </c>
      <c r="N479" s="172" t="str">
        <f t="shared" si="54"/>
        <v/>
      </c>
      <c r="O479" s="172" t="str">
        <f t="shared" si="55"/>
        <v/>
      </c>
    </row>
    <row r="480" spans="11:15">
      <c r="K480" s="171" t="str">
        <f t="shared" si="52"/>
        <v/>
      </c>
      <c r="L480" s="171" t="str">
        <f>IF(E480="","",IF(COUNTIFS(Table2[[#All],[De (Lote)]],'Input_APM (Zenith)'!F480)&gt;0,INDEX(Table2[[#All],[Para (Ticker Daniel)]],MATCH('Input_APM (Zenith)'!F480,Table2[[#All],[De (Lote)]],0)),'Input_APM (Zenith)'!F480))</f>
        <v/>
      </c>
      <c r="M480" s="171" t="str">
        <f t="shared" si="53"/>
        <v/>
      </c>
      <c r="N480" s="172" t="str">
        <f t="shared" si="54"/>
        <v/>
      </c>
      <c r="O480" s="172" t="str">
        <f t="shared" si="55"/>
        <v/>
      </c>
    </row>
    <row r="481" spans="11:15">
      <c r="K481" s="171" t="str">
        <f t="shared" si="52"/>
        <v/>
      </c>
      <c r="L481" s="171" t="str">
        <f>IF(E481="","",IF(COUNTIFS(Table2[[#All],[De (Lote)]],'Input_APM (Zenith)'!F481)&gt;0,INDEX(Table2[[#All],[Para (Ticker Daniel)]],MATCH('Input_APM (Zenith)'!F481,Table2[[#All],[De (Lote)]],0)),'Input_APM (Zenith)'!F481))</f>
        <v/>
      </c>
      <c r="M481" s="171" t="str">
        <f t="shared" si="53"/>
        <v/>
      </c>
      <c r="N481" s="172" t="str">
        <f t="shared" si="54"/>
        <v/>
      </c>
      <c r="O481" s="172" t="str">
        <f t="shared" si="55"/>
        <v/>
      </c>
    </row>
    <row r="482" spans="11:15">
      <c r="K482" s="171" t="str">
        <f t="shared" si="52"/>
        <v/>
      </c>
      <c r="L482" s="171" t="str">
        <f>IF(E482="","",IF(COUNTIFS(Table2[[#All],[De (Lote)]],'Input_APM (Zenith)'!F482)&gt;0,INDEX(Table2[[#All],[Para (Ticker Daniel)]],MATCH('Input_APM (Zenith)'!F482,Table2[[#All],[De (Lote)]],0)),'Input_APM (Zenith)'!F482))</f>
        <v/>
      </c>
      <c r="M482" s="171" t="str">
        <f t="shared" si="53"/>
        <v/>
      </c>
      <c r="N482" s="172" t="str">
        <f t="shared" si="54"/>
        <v/>
      </c>
      <c r="O482" s="172" t="str">
        <f t="shared" si="55"/>
        <v/>
      </c>
    </row>
    <row r="483" spans="11:15">
      <c r="K483" s="171" t="str">
        <f t="shared" si="52"/>
        <v/>
      </c>
      <c r="L483" s="171" t="str">
        <f>IF(E483="","",IF(COUNTIFS(Table2[[#All],[De (Lote)]],'Input_APM (Zenith)'!F483)&gt;0,INDEX(Table2[[#All],[Para (Ticker Daniel)]],MATCH('Input_APM (Zenith)'!F483,Table2[[#All],[De (Lote)]],0)),'Input_APM (Zenith)'!F483))</f>
        <v/>
      </c>
      <c r="M483" s="171" t="str">
        <f t="shared" si="53"/>
        <v/>
      </c>
      <c r="N483" s="172" t="str">
        <f t="shared" si="54"/>
        <v/>
      </c>
      <c r="O483" s="172" t="str">
        <f t="shared" si="55"/>
        <v/>
      </c>
    </row>
    <row r="484" spans="11:15">
      <c r="K484" s="171" t="str">
        <f t="shared" si="52"/>
        <v/>
      </c>
      <c r="L484" s="171" t="str">
        <f>IF(E484="","",IF(COUNTIFS(Table2[[#All],[De (Lote)]],'Input_APM (Zenith)'!F484)&gt;0,INDEX(Table2[[#All],[Para (Ticker Daniel)]],MATCH('Input_APM (Zenith)'!F484,Table2[[#All],[De (Lote)]],0)),'Input_APM (Zenith)'!F484))</f>
        <v/>
      </c>
      <c r="M484" s="171" t="str">
        <f t="shared" si="53"/>
        <v/>
      </c>
      <c r="N484" s="172" t="str">
        <f t="shared" si="54"/>
        <v/>
      </c>
      <c r="O484" s="172" t="str">
        <f t="shared" si="55"/>
        <v/>
      </c>
    </row>
    <row r="485" spans="11:15">
      <c r="K485" s="171" t="str">
        <f t="shared" si="52"/>
        <v/>
      </c>
      <c r="L485" s="171" t="str">
        <f>IF(E485="","",IF(COUNTIFS(Table2[[#All],[De (Lote)]],'Input_APM (Zenith)'!F485)&gt;0,INDEX(Table2[[#All],[Para (Ticker Daniel)]],MATCH('Input_APM (Zenith)'!F485,Table2[[#All],[De (Lote)]],0)),'Input_APM (Zenith)'!F485))</f>
        <v/>
      </c>
      <c r="M485" s="171" t="str">
        <f t="shared" si="53"/>
        <v/>
      </c>
      <c r="N485" s="172" t="str">
        <f t="shared" si="54"/>
        <v/>
      </c>
      <c r="O485" s="172" t="str">
        <f t="shared" si="55"/>
        <v/>
      </c>
    </row>
    <row r="486" spans="11:15">
      <c r="K486" s="171" t="str">
        <f t="shared" ref="K486:K512" si="56">IF(E486="","",E486)</f>
        <v/>
      </c>
      <c r="L486" s="171" t="str">
        <f>IF(E486="","",IF(COUNTIFS(Table2[[#All],[De (Lote)]],'Input_APM (Zenith)'!F486)&gt;0,INDEX(Table2[[#All],[Para (Ticker Daniel)]],MATCH('Input_APM (Zenith)'!F486,Table2[[#All],[De (Lote)]],0)),'Input_APM (Zenith)'!F486))</f>
        <v/>
      </c>
      <c r="M486" s="171" t="str">
        <f t="shared" ref="M486:M512" si="57">IF(E486="","",G486)</f>
        <v/>
      </c>
      <c r="N486" s="172" t="str">
        <f t="shared" ref="N486:N512" si="58">IF(E486="","",H486)</f>
        <v/>
      </c>
      <c r="O486" s="172" t="str">
        <f t="shared" ref="O486:O512" si="59">IF(E486="","",I486)</f>
        <v/>
      </c>
    </row>
    <row r="487" spans="11:15">
      <c r="K487" s="171" t="str">
        <f t="shared" si="56"/>
        <v/>
      </c>
      <c r="L487" s="171" t="str">
        <f>IF(E487="","",IF(COUNTIFS(Table2[[#All],[De (Lote)]],'Input_APM (Zenith)'!F487)&gt;0,INDEX(Table2[[#All],[Para (Ticker Daniel)]],MATCH('Input_APM (Zenith)'!F487,Table2[[#All],[De (Lote)]],0)),'Input_APM (Zenith)'!F487))</f>
        <v/>
      </c>
      <c r="M487" s="171" t="str">
        <f t="shared" si="57"/>
        <v/>
      </c>
      <c r="N487" s="172" t="str">
        <f t="shared" si="58"/>
        <v/>
      </c>
      <c r="O487" s="172" t="str">
        <f t="shared" si="59"/>
        <v/>
      </c>
    </row>
    <row r="488" spans="11:15">
      <c r="K488" s="171" t="str">
        <f t="shared" si="56"/>
        <v/>
      </c>
      <c r="L488" s="171" t="str">
        <f>IF(E488="","",IF(COUNTIFS(Table2[[#All],[De (Lote)]],'Input_APM (Zenith)'!F488)&gt;0,INDEX(Table2[[#All],[Para (Ticker Daniel)]],MATCH('Input_APM (Zenith)'!F488,Table2[[#All],[De (Lote)]],0)),'Input_APM (Zenith)'!F488))</f>
        <v/>
      </c>
      <c r="M488" s="171" t="str">
        <f t="shared" si="57"/>
        <v/>
      </c>
      <c r="N488" s="172" t="str">
        <f t="shared" si="58"/>
        <v/>
      </c>
      <c r="O488" s="172" t="str">
        <f t="shared" si="59"/>
        <v/>
      </c>
    </row>
    <row r="489" spans="11:15">
      <c r="K489" s="171" t="str">
        <f t="shared" si="56"/>
        <v/>
      </c>
      <c r="L489" s="171" t="str">
        <f>IF(E489="","",IF(COUNTIFS(Table2[[#All],[De (Lote)]],'Input_APM (Zenith)'!F489)&gt;0,INDEX(Table2[[#All],[Para (Ticker Daniel)]],MATCH('Input_APM (Zenith)'!F489,Table2[[#All],[De (Lote)]],0)),'Input_APM (Zenith)'!F489))</f>
        <v/>
      </c>
      <c r="M489" s="171" t="str">
        <f t="shared" si="57"/>
        <v/>
      </c>
      <c r="N489" s="172" t="str">
        <f t="shared" si="58"/>
        <v/>
      </c>
      <c r="O489" s="172" t="str">
        <f t="shared" si="59"/>
        <v/>
      </c>
    </row>
    <row r="490" spans="11:15">
      <c r="K490" s="171" t="str">
        <f t="shared" si="56"/>
        <v/>
      </c>
      <c r="L490" s="171" t="str">
        <f>IF(E490="","",IF(COUNTIFS(Table2[[#All],[De (Lote)]],'Input_APM (Zenith)'!F490)&gt;0,INDEX(Table2[[#All],[Para (Ticker Daniel)]],MATCH('Input_APM (Zenith)'!F490,Table2[[#All],[De (Lote)]],0)),'Input_APM (Zenith)'!F490))</f>
        <v/>
      </c>
      <c r="M490" s="171" t="str">
        <f t="shared" si="57"/>
        <v/>
      </c>
      <c r="N490" s="172" t="str">
        <f t="shared" si="58"/>
        <v/>
      </c>
      <c r="O490" s="172" t="str">
        <f t="shared" si="59"/>
        <v/>
      </c>
    </row>
    <row r="491" spans="11:15">
      <c r="K491" s="171" t="str">
        <f t="shared" si="56"/>
        <v/>
      </c>
      <c r="L491" s="171" t="str">
        <f>IF(E491="","",IF(COUNTIFS(Table2[[#All],[De (Lote)]],'Input_APM (Zenith)'!F491)&gt;0,INDEX(Table2[[#All],[Para (Ticker Daniel)]],MATCH('Input_APM (Zenith)'!F491,Table2[[#All],[De (Lote)]],0)),'Input_APM (Zenith)'!F491))</f>
        <v/>
      </c>
      <c r="M491" s="171" t="str">
        <f t="shared" si="57"/>
        <v/>
      </c>
      <c r="N491" s="172" t="str">
        <f t="shared" si="58"/>
        <v/>
      </c>
      <c r="O491" s="172" t="str">
        <f t="shared" si="59"/>
        <v/>
      </c>
    </row>
    <row r="492" spans="11:15">
      <c r="K492" s="171" t="str">
        <f t="shared" si="56"/>
        <v/>
      </c>
      <c r="L492" s="171" t="str">
        <f>IF(E492="","",IF(COUNTIFS(Table2[[#All],[De (Lote)]],'Input_APM (Zenith)'!F492)&gt;0,INDEX(Table2[[#All],[Para (Ticker Daniel)]],MATCH('Input_APM (Zenith)'!F492,Table2[[#All],[De (Lote)]],0)),'Input_APM (Zenith)'!F492))</f>
        <v/>
      </c>
      <c r="M492" s="171" t="str">
        <f t="shared" si="57"/>
        <v/>
      </c>
      <c r="N492" s="172" t="str">
        <f t="shared" si="58"/>
        <v/>
      </c>
      <c r="O492" s="172" t="str">
        <f t="shared" si="59"/>
        <v/>
      </c>
    </row>
    <row r="493" spans="11:15">
      <c r="K493" s="171" t="str">
        <f t="shared" si="56"/>
        <v/>
      </c>
      <c r="L493" s="171" t="str">
        <f>IF(E493="","",IF(COUNTIFS(Table2[[#All],[De (Lote)]],'Input_APM (Zenith)'!F493)&gt;0,INDEX(Table2[[#All],[Para (Ticker Daniel)]],MATCH('Input_APM (Zenith)'!F493,Table2[[#All],[De (Lote)]],0)),'Input_APM (Zenith)'!F493))</f>
        <v/>
      </c>
      <c r="M493" s="171" t="str">
        <f t="shared" si="57"/>
        <v/>
      </c>
      <c r="N493" s="172" t="str">
        <f t="shared" si="58"/>
        <v/>
      </c>
      <c r="O493" s="172" t="str">
        <f t="shared" si="59"/>
        <v/>
      </c>
    </row>
    <row r="494" spans="11:15">
      <c r="K494" s="171" t="str">
        <f t="shared" si="56"/>
        <v/>
      </c>
      <c r="L494" s="171" t="str">
        <f>IF(E494="","",IF(COUNTIFS(Table2[[#All],[De (Lote)]],'Input_APM (Zenith)'!F494)&gt;0,INDEX(Table2[[#All],[Para (Ticker Daniel)]],MATCH('Input_APM (Zenith)'!F494,Table2[[#All],[De (Lote)]],0)),'Input_APM (Zenith)'!F494))</f>
        <v/>
      </c>
      <c r="M494" s="171" t="str">
        <f t="shared" si="57"/>
        <v/>
      </c>
      <c r="N494" s="172" t="str">
        <f t="shared" si="58"/>
        <v/>
      </c>
      <c r="O494" s="172" t="str">
        <f t="shared" si="59"/>
        <v/>
      </c>
    </row>
    <row r="495" spans="11:15">
      <c r="K495" s="171" t="str">
        <f t="shared" si="56"/>
        <v/>
      </c>
      <c r="L495" s="171" t="str">
        <f>IF(E495="","",IF(COUNTIFS(Table2[[#All],[De (Lote)]],'Input_APM (Zenith)'!F495)&gt;0,INDEX(Table2[[#All],[Para (Ticker Daniel)]],MATCH('Input_APM (Zenith)'!F495,Table2[[#All],[De (Lote)]],0)),'Input_APM (Zenith)'!F495))</f>
        <v/>
      </c>
      <c r="M495" s="171" t="str">
        <f t="shared" si="57"/>
        <v/>
      </c>
      <c r="N495" s="172" t="str">
        <f t="shared" si="58"/>
        <v/>
      </c>
      <c r="O495" s="172" t="str">
        <f t="shared" si="59"/>
        <v/>
      </c>
    </row>
    <row r="496" spans="11:15">
      <c r="K496" s="171" t="str">
        <f t="shared" si="56"/>
        <v/>
      </c>
      <c r="L496" s="171" t="str">
        <f>IF(E496="","",IF(COUNTIFS(Table2[[#All],[De (Lote)]],'Input_APM (Zenith)'!F496)&gt;0,INDEX(Table2[[#All],[Para (Ticker Daniel)]],MATCH('Input_APM (Zenith)'!F496,Table2[[#All],[De (Lote)]],0)),'Input_APM (Zenith)'!F496))</f>
        <v/>
      </c>
      <c r="M496" s="171" t="str">
        <f t="shared" si="57"/>
        <v/>
      </c>
      <c r="N496" s="172" t="str">
        <f t="shared" si="58"/>
        <v/>
      </c>
      <c r="O496" s="172" t="str">
        <f t="shared" si="59"/>
        <v/>
      </c>
    </row>
    <row r="497" spans="11:15">
      <c r="K497" s="171" t="str">
        <f t="shared" si="56"/>
        <v/>
      </c>
      <c r="L497" s="171" t="str">
        <f>IF(E497="","",IF(COUNTIFS(Table2[[#All],[De (Lote)]],'Input_APM (Zenith)'!F497)&gt;0,INDEX(Table2[[#All],[Para (Ticker Daniel)]],MATCH('Input_APM (Zenith)'!F497,Table2[[#All],[De (Lote)]],0)),'Input_APM (Zenith)'!F497))</f>
        <v/>
      </c>
      <c r="M497" s="171" t="str">
        <f t="shared" si="57"/>
        <v/>
      </c>
      <c r="N497" s="172" t="str">
        <f t="shared" si="58"/>
        <v/>
      </c>
      <c r="O497" s="172" t="str">
        <f t="shared" si="59"/>
        <v/>
      </c>
    </row>
    <row r="498" spans="11:15">
      <c r="K498" s="171" t="str">
        <f t="shared" si="56"/>
        <v/>
      </c>
      <c r="L498" s="171" t="str">
        <f>IF(E498="","",IF(COUNTIFS(Table2[[#All],[De (Lote)]],'Input_APM (Zenith)'!F498)&gt;0,INDEX(Table2[[#All],[Para (Ticker Daniel)]],MATCH('Input_APM (Zenith)'!F498,Table2[[#All],[De (Lote)]],0)),'Input_APM (Zenith)'!F498))</f>
        <v/>
      </c>
      <c r="M498" s="171" t="str">
        <f t="shared" si="57"/>
        <v/>
      </c>
      <c r="N498" s="172" t="str">
        <f t="shared" si="58"/>
        <v/>
      </c>
      <c r="O498" s="172" t="str">
        <f t="shared" si="59"/>
        <v/>
      </c>
    </row>
    <row r="499" spans="11:15">
      <c r="K499" s="171" t="str">
        <f t="shared" si="56"/>
        <v/>
      </c>
      <c r="L499" s="171" t="str">
        <f>IF(E499="","",IF(COUNTIFS(Table2[[#All],[De (Lote)]],'Input_APM (Zenith)'!F499)&gt;0,INDEX(Table2[[#All],[Para (Ticker Daniel)]],MATCH('Input_APM (Zenith)'!F499,Table2[[#All],[De (Lote)]],0)),'Input_APM (Zenith)'!F499))</f>
        <v/>
      </c>
      <c r="M499" s="171" t="str">
        <f t="shared" si="57"/>
        <v/>
      </c>
      <c r="N499" s="172" t="str">
        <f t="shared" si="58"/>
        <v/>
      </c>
      <c r="O499" s="172" t="str">
        <f t="shared" si="59"/>
        <v/>
      </c>
    </row>
    <row r="500" spans="11:15">
      <c r="K500" s="171" t="str">
        <f t="shared" si="56"/>
        <v/>
      </c>
      <c r="L500" s="171" t="str">
        <f>IF(E500="","",IF(COUNTIFS(Table2[[#All],[De (Lote)]],'Input_APM (Zenith)'!F500)&gt;0,INDEX(Table2[[#All],[Para (Ticker Daniel)]],MATCH('Input_APM (Zenith)'!F500,Table2[[#All],[De (Lote)]],0)),'Input_APM (Zenith)'!F500))</f>
        <v/>
      </c>
      <c r="M500" s="171" t="str">
        <f t="shared" si="57"/>
        <v/>
      </c>
      <c r="N500" s="172" t="str">
        <f t="shared" si="58"/>
        <v/>
      </c>
      <c r="O500" s="172" t="str">
        <f t="shared" si="59"/>
        <v/>
      </c>
    </row>
    <row r="501" spans="11:15">
      <c r="K501" s="171" t="str">
        <f t="shared" si="56"/>
        <v/>
      </c>
      <c r="L501" s="171" t="str">
        <f>IF(E501="","",IF(COUNTIFS(Table2[[#All],[De (Lote)]],'Input_APM (Zenith)'!F501)&gt;0,INDEX(Table2[[#All],[Para (Ticker Daniel)]],MATCH('Input_APM (Zenith)'!F501,Table2[[#All],[De (Lote)]],0)),'Input_APM (Zenith)'!F501))</f>
        <v/>
      </c>
      <c r="M501" s="171" t="str">
        <f t="shared" si="57"/>
        <v/>
      </c>
      <c r="N501" s="172" t="str">
        <f t="shared" si="58"/>
        <v/>
      </c>
      <c r="O501" s="172" t="str">
        <f t="shared" si="59"/>
        <v/>
      </c>
    </row>
    <row r="502" spans="11:15">
      <c r="K502" s="171" t="str">
        <f t="shared" si="56"/>
        <v/>
      </c>
      <c r="L502" s="171" t="str">
        <f>IF(E502="","",IF(COUNTIFS(Table2[[#All],[De (Lote)]],'Input_APM (Zenith)'!F502)&gt;0,INDEX(Table2[[#All],[Para (Ticker Daniel)]],MATCH('Input_APM (Zenith)'!F502,Table2[[#All],[De (Lote)]],0)),'Input_APM (Zenith)'!F502))</f>
        <v/>
      </c>
      <c r="M502" s="171" t="str">
        <f t="shared" si="57"/>
        <v/>
      </c>
      <c r="N502" s="172" t="str">
        <f t="shared" si="58"/>
        <v/>
      </c>
      <c r="O502" s="172" t="str">
        <f t="shared" si="59"/>
        <v/>
      </c>
    </row>
    <row r="503" spans="11:15">
      <c r="K503" s="171" t="str">
        <f t="shared" si="56"/>
        <v/>
      </c>
      <c r="L503" s="171" t="str">
        <f>IF(E503="","",IF(COUNTIFS(Table2[[#All],[De (Lote)]],'Input_APM (Zenith)'!F503)&gt;0,INDEX(Table2[[#All],[Para (Ticker Daniel)]],MATCH('Input_APM (Zenith)'!F503,Table2[[#All],[De (Lote)]],0)),'Input_APM (Zenith)'!F503))</f>
        <v/>
      </c>
      <c r="M503" s="171" t="str">
        <f t="shared" si="57"/>
        <v/>
      </c>
      <c r="N503" s="172" t="str">
        <f t="shared" si="58"/>
        <v/>
      </c>
      <c r="O503" s="172" t="str">
        <f t="shared" si="59"/>
        <v/>
      </c>
    </row>
    <row r="504" spans="11:15">
      <c r="K504" s="171" t="str">
        <f t="shared" si="56"/>
        <v/>
      </c>
      <c r="L504" s="171" t="str">
        <f>IF(E504="","",IF(COUNTIFS(Table2[[#All],[De (Lote)]],'Input_APM (Zenith)'!F504)&gt;0,INDEX(Table2[[#All],[Para (Ticker Daniel)]],MATCH('Input_APM (Zenith)'!F504,Table2[[#All],[De (Lote)]],0)),'Input_APM (Zenith)'!F504))</f>
        <v/>
      </c>
      <c r="M504" s="171" t="str">
        <f t="shared" si="57"/>
        <v/>
      </c>
      <c r="N504" s="172" t="str">
        <f t="shared" si="58"/>
        <v/>
      </c>
      <c r="O504" s="172" t="str">
        <f t="shared" si="59"/>
        <v/>
      </c>
    </row>
    <row r="505" spans="11:15">
      <c r="K505" s="171" t="str">
        <f t="shared" si="56"/>
        <v/>
      </c>
      <c r="L505" s="171" t="str">
        <f>IF(E505="","",IF(COUNTIFS(Table2[[#All],[De (Lote)]],'Input_APM (Zenith)'!F505)&gt;0,INDEX(Table2[[#All],[Para (Ticker Daniel)]],MATCH('Input_APM (Zenith)'!F505,Table2[[#All],[De (Lote)]],0)),'Input_APM (Zenith)'!F505))</f>
        <v/>
      </c>
      <c r="M505" s="171" t="str">
        <f t="shared" si="57"/>
        <v/>
      </c>
      <c r="N505" s="172" t="str">
        <f t="shared" si="58"/>
        <v/>
      </c>
      <c r="O505" s="172" t="str">
        <f t="shared" si="59"/>
        <v/>
      </c>
    </row>
    <row r="506" spans="11:15">
      <c r="K506" s="171" t="str">
        <f t="shared" si="56"/>
        <v/>
      </c>
      <c r="L506" s="171" t="str">
        <f>IF(E506="","",IF(COUNTIFS(Table2[[#All],[De (Lote)]],'Input_APM (Zenith)'!F506)&gt;0,INDEX(Table2[[#All],[Para (Ticker Daniel)]],MATCH('Input_APM (Zenith)'!F506,Table2[[#All],[De (Lote)]],0)),'Input_APM (Zenith)'!F506))</f>
        <v/>
      </c>
      <c r="M506" s="171" t="str">
        <f t="shared" si="57"/>
        <v/>
      </c>
      <c r="N506" s="172" t="str">
        <f t="shared" si="58"/>
        <v/>
      </c>
      <c r="O506" s="172" t="str">
        <f t="shared" si="59"/>
        <v/>
      </c>
    </row>
    <row r="507" spans="11:15">
      <c r="K507" s="171" t="str">
        <f t="shared" si="56"/>
        <v/>
      </c>
      <c r="L507" s="171" t="str">
        <f>IF(E507="","",IF(COUNTIFS(Table2[[#All],[De (Lote)]],'Input_APM (Zenith)'!F507)&gt;0,INDEX(Table2[[#All],[Para (Ticker Daniel)]],MATCH('Input_APM (Zenith)'!F507,Table2[[#All],[De (Lote)]],0)),'Input_APM (Zenith)'!F507))</f>
        <v/>
      </c>
      <c r="M507" s="171" t="str">
        <f t="shared" si="57"/>
        <v/>
      </c>
      <c r="N507" s="172" t="str">
        <f t="shared" si="58"/>
        <v/>
      </c>
      <c r="O507" s="172" t="str">
        <f t="shared" si="59"/>
        <v/>
      </c>
    </row>
    <row r="508" spans="11:15">
      <c r="K508" s="171" t="str">
        <f t="shared" si="56"/>
        <v/>
      </c>
      <c r="L508" s="171" t="str">
        <f>IF(E508="","",IF(COUNTIFS(Table2[[#All],[De (Lote)]],'Input_APM (Zenith)'!F508)&gt;0,INDEX(Table2[[#All],[Para (Ticker Daniel)]],MATCH('Input_APM (Zenith)'!F508,Table2[[#All],[De (Lote)]],0)),'Input_APM (Zenith)'!F508))</f>
        <v/>
      </c>
      <c r="M508" s="171" t="str">
        <f t="shared" si="57"/>
        <v/>
      </c>
      <c r="N508" s="172" t="str">
        <f t="shared" si="58"/>
        <v/>
      </c>
      <c r="O508" s="172" t="str">
        <f t="shared" si="59"/>
        <v/>
      </c>
    </row>
    <row r="509" spans="11:15">
      <c r="K509" s="171" t="str">
        <f t="shared" si="56"/>
        <v/>
      </c>
      <c r="L509" s="171" t="str">
        <f>IF(E509="","",IF(COUNTIFS(Table2[[#All],[De (Lote)]],'Input_APM (Zenith)'!F509)&gt;0,INDEX(Table2[[#All],[Para (Ticker Daniel)]],MATCH('Input_APM (Zenith)'!F509,Table2[[#All],[De (Lote)]],0)),'Input_APM (Zenith)'!F509))</f>
        <v/>
      </c>
      <c r="M509" s="171" t="str">
        <f t="shared" si="57"/>
        <v/>
      </c>
      <c r="N509" s="172" t="str">
        <f t="shared" si="58"/>
        <v/>
      </c>
      <c r="O509" s="172" t="str">
        <f t="shared" si="59"/>
        <v/>
      </c>
    </row>
    <row r="510" spans="11:15">
      <c r="K510" s="171" t="str">
        <f t="shared" si="56"/>
        <v/>
      </c>
      <c r="L510" s="171" t="str">
        <f>IF(E510="","",IF(COUNTIFS(Table2[[#All],[De (Lote)]],'Input_APM (Zenith)'!F510)&gt;0,INDEX(Table2[[#All],[Para (Ticker Daniel)]],MATCH('Input_APM (Zenith)'!F510,Table2[[#All],[De (Lote)]],0)),'Input_APM (Zenith)'!F510))</f>
        <v/>
      </c>
      <c r="M510" s="171" t="str">
        <f t="shared" si="57"/>
        <v/>
      </c>
      <c r="N510" s="172" t="str">
        <f t="shared" si="58"/>
        <v/>
      </c>
      <c r="O510" s="172" t="str">
        <f t="shared" si="59"/>
        <v/>
      </c>
    </row>
    <row r="511" spans="11:15">
      <c r="K511" s="171" t="str">
        <f t="shared" si="56"/>
        <v/>
      </c>
      <c r="L511" s="171" t="str">
        <f>IF(E511="","",IF(COUNTIFS(Table2[[#All],[De (Lote)]],'Input_APM (Zenith)'!F511)&gt;0,INDEX(Table2[[#All],[Para (Ticker Daniel)]],MATCH('Input_APM (Zenith)'!F511,Table2[[#All],[De (Lote)]],0)),'Input_APM (Zenith)'!F511))</f>
        <v/>
      </c>
      <c r="M511" s="171" t="str">
        <f t="shared" si="57"/>
        <v/>
      </c>
      <c r="N511" s="172" t="str">
        <f t="shared" si="58"/>
        <v/>
      </c>
      <c r="O511" s="172" t="str">
        <f t="shared" si="59"/>
        <v/>
      </c>
    </row>
    <row r="512" spans="11:15">
      <c r="K512" s="171" t="str">
        <f t="shared" si="56"/>
        <v/>
      </c>
      <c r="L512" s="171" t="str">
        <f>IF(E512="","",IF(COUNTIFS(Table2[[#All],[De (Lote)]],'Input_APM (Zenith)'!F512)&gt;0,INDEX(Table2[[#All],[Para (Ticker Daniel)]],MATCH('Input_APM (Zenith)'!F512,Table2[[#All],[De (Lote)]],0)),'Input_APM (Zenith)'!F512))</f>
        <v/>
      </c>
      <c r="M512" s="171" t="str">
        <f t="shared" si="57"/>
        <v/>
      </c>
      <c r="N512" s="172" t="str">
        <f t="shared" si="58"/>
        <v/>
      </c>
      <c r="O512" s="172" t="str">
        <f t="shared" si="59"/>
        <v/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importar_zenith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209550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F1D26-094B-44C9-B22D-3C955B582AF3}">
  <sheetPr codeName="Sheet22">
    <tabColor theme="9" tint="0.79998168889431442"/>
  </sheetPr>
  <dimension ref="B1:E151"/>
  <sheetViews>
    <sheetView showGridLines="0" zoomScale="85" zoomScaleNormal="85" workbookViewId="0">
      <selection activeCell="B5" sqref="B5:B159"/>
    </sheetView>
  </sheetViews>
  <sheetFormatPr defaultRowHeight="15"/>
  <cols>
    <col min="2" max="2" width="22.140625" bestFit="1" customWidth="1"/>
    <col min="3" max="3" width="15.85546875" style="175" bestFit="1" customWidth="1"/>
    <col min="4" max="4" width="24.42578125" style="175" bestFit="1" customWidth="1"/>
    <col min="5" max="5" width="24.42578125" style="175" customWidth="1"/>
    <col min="6" max="6" width="13.85546875" bestFit="1" customWidth="1"/>
    <col min="7" max="7" width="9.42578125" bestFit="1" customWidth="1"/>
    <col min="10" max="10" width="30.7109375" bestFit="1" customWidth="1"/>
    <col min="11" max="11" width="13.85546875" bestFit="1" customWidth="1"/>
    <col min="12" max="12" width="8" bestFit="1" customWidth="1"/>
    <col min="13" max="13" width="12.85546875" bestFit="1" customWidth="1"/>
  </cols>
  <sheetData>
    <row r="1" spans="2:5">
      <c r="C1" s="7" t="s">
        <v>210</v>
      </c>
      <c r="D1" s="7" t="s">
        <v>211</v>
      </c>
      <c r="E1" s="7"/>
    </row>
    <row r="2" spans="2:5">
      <c r="C2"/>
      <c r="D2"/>
      <c r="E2"/>
    </row>
    <row r="3" spans="2:5">
      <c r="C3"/>
      <c r="D3"/>
      <c r="E3"/>
    </row>
    <row r="4" spans="2:5">
      <c r="B4" s="173" t="s">
        <v>220</v>
      </c>
      <c r="C4" s="173" t="s">
        <v>216</v>
      </c>
      <c r="D4" s="173" t="s">
        <v>217</v>
      </c>
      <c r="E4" s="173" t="s">
        <v>218</v>
      </c>
    </row>
    <row r="5" spans="2:5">
      <c r="B5" s="21" t="s">
        <v>254</v>
      </c>
      <c r="C5" s="174">
        <f>IF(B5="","",IF(OR(LEFT(B5,4)="Cash",LEFT(B5,4)="Prov"),0,SUMIFS('Input_APM (Zenith)'!N:N,'Input_APM (Zenith)'!L:L,'Check (Zenith)'!B5,'Input_APM (Zenith)'!M:M,'Check (Zenith)'!$C$1)))</f>
        <v>0</v>
      </c>
      <c r="D5" s="174">
        <f>IF(B5="","",IF(OR(LEFT(B5,4)="Cash",LEFT(B5,4)="Prov"),0,SUMIFS('Input_APM (Zenith)'!N:N,'Input_APM (Zenith)'!L:L,'Check (Zenith)'!B5,'Input_APM (Zenith)'!M:M,'Check (Zenith)'!$D$1)))</f>
        <v>0</v>
      </c>
      <c r="E5" s="174">
        <f>IF(B5="","",C5-D5)</f>
        <v>0</v>
      </c>
    </row>
    <row r="6" spans="2:5">
      <c r="B6" s="21" t="s">
        <v>255</v>
      </c>
      <c r="C6" s="174">
        <f>IF(B6="","",IF(OR(LEFT(B6,4)="Cash",LEFT(B6,4)="Prov"),0,SUMIFS('Input_APM (Zenith)'!N:N,'Input_APM (Zenith)'!L:L,'Check (Zenith)'!B6,'Input_APM (Zenith)'!M:M,'Check (Zenith)'!$C$1)))</f>
        <v>0</v>
      </c>
      <c r="D6" s="174">
        <f>IF(B6="","",IF(OR(LEFT(B6,4)="Cash",LEFT(B6,4)="Prov"),0,SUMIFS('Input_APM (Zenith)'!N:N,'Input_APM (Zenith)'!L:L,'Check (Zenith)'!B6,'Input_APM (Zenith)'!M:M,'Check (Zenith)'!$D$1)))</f>
        <v>0</v>
      </c>
      <c r="E6" s="174">
        <f t="shared" ref="E6:E69" si="0">IF(B6="","",C6-D6)</f>
        <v>0</v>
      </c>
    </row>
    <row r="7" spans="2:5">
      <c r="B7" s="21" t="s">
        <v>256</v>
      </c>
      <c r="C7" s="174">
        <f>IF(B7="","",IF(OR(LEFT(B7,4)="Cash",LEFT(B7,4)="Prov"),0,SUMIFS('Input_APM (Zenith)'!N:N,'Input_APM (Zenith)'!L:L,'Check (Zenith)'!B7,'Input_APM (Zenith)'!M:M,'Check (Zenith)'!$C$1)))</f>
        <v>0</v>
      </c>
      <c r="D7" s="174">
        <f>IF(B7="","",IF(OR(LEFT(B7,4)="Cash",LEFT(B7,4)="Prov"),0,SUMIFS('Input_APM (Zenith)'!N:N,'Input_APM (Zenith)'!L:L,'Check (Zenith)'!B7,'Input_APM (Zenith)'!M:M,'Check (Zenith)'!$D$1)))</f>
        <v>0</v>
      </c>
      <c r="E7" s="174">
        <f t="shared" si="0"/>
        <v>0</v>
      </c>
    </row>
    <row r="8" spans="2:5">
      <c r="B8" s="21" t="s">
        <v>257</v>
      </c>
      <c r="C8" s="174">
        <f>IF(B8="","",IF(OR(LEFT(B8,4)="Cash",LEFT(B8,4)="Prov"),0,SUMIFS('Input_APM (Zenith)'!N:N,'Input_APM (Zenith)'!L:L,'Check (Zenith)'!B8,'Input_APM (Zenith)'!M:M,'Check (Zenith)'!$C$1)))</f>
        <v>0</v>
      </c>
      <c r="D8" s="174">
        <f>IF(B8="","",IF(OR(LEFT(B8,4)="Cash",LEFT(B8,4)="Prov"),0,SUMIFS('Input_APM (Zenith)'!N:N,'Input_APM (Zenith)'!L:L,'Check (Zenith)'!B8,'Input_APM (Zenith)'!M:M,'Check (Zenith)'!$D$1)))</f>
        <v>0</v>
      </c>
      <c r="E8" s="174">
        <f t="shared" si="0"/>
        <v>0</v>
      </c>
    </row>
    <row r="9" spans="2:5">
      <c r="B9" s="21" t="s">
        <v>258</v>
      </c>
      <c r="C9" s="174">
        <f>IF(B9="","",IF(OR(LEFT(B9,4)="Cash",LEFT(B9,4)="Prov"),0,SUMIFS('Input_APM (Zenith)'!N:N,'Input_APM (Zenith)'!L:L,'Check (Zenith)'!B9,'Input_APM (Zenith)'!M:M,'Check (Zenith)'!$C$1)))</f>
        <v>0</v>
      </c>
      <c r="D9" s="174">
        <f>IF(B9="","",IF(OR(LEFT(B9,4)="Cash",LEFT(B9,4)="Prov"),0,SUMIFS('Input_APM (Zenith)'!N:N,'Input_APM (Zenith)'!L:L,'Check (Zenith)'!B9,'Input_APM (Zenith)'!M:M,'Check (Zenith)'!$D$1)))</f>
        <v>0</v>
      </c>
      <c r="E9" s="174">
        <f t="shared" si="0"/>
        <v>0</v>
      </c>
    </row>
    <row r="10" spans="2:5">
      <c r="B10" s="21" t="s">
        <v>223</v>
      </c>
      <c r="C10" s="174">
        <f>IF(B10="","",IF(OR(LEFT(B10,4)="Cash",LEFT(B10,4)="Prov"),0,SUMIFS('Input_APM (Zenith)'!N:N,'Input_APM (Zenith)'!L:L,'Check (Zenith)'!B10,'Input_APM (Zenith)'!M:M,'Check (Zenith)'!$C$1)))</f>
        <v>0</v>
      </c>
      <c r="D10" s="174">
        <f>IF(B10="","",IF(OR(LEFT(B10,4)="Cash",LEFT(B10,4)="Prov"),0,SUMIFS('Input_APM (Zenith)'!N:N,'Input_APM (Zenith)'!L:L,'Check (Zenith)'!B10,'Input_APM (Zenith)'!M:M,'Check (Zenith)'!$D$1)))</f>
        <v>0</v>
      </c>
      <c r="E10" s="174">
        <f t="shared" si="0"/>
        <v>0</v>
      </c>
    </row>
    <row r="11" spans="2:5">
      <c r="B11" s="21" t="s">
        <v>224</v>
      </c>
      <c r="C11" s="174">
        <f>IF(B11="","",IF(OR(LEFT(B11,4)="Cash",LEFT(B11,4)="Prov"),0,SUMIFS('Input_APM (Zenith)'!N:N,'Input_APM (Zenith)'!L:L,'Check (Zenith)'!B11,'Input_APM (Zenith)'!M:M,'Check (Zenith)'!$C$1)))</f>
        <v>0</v>
      </c>
      <c r="D11" s="174">
        <f>IF(B11="","",IF(OR(LEFT(B11,4)="Cash",LEFT(B11,4)="Prov"),0,SUMIFS('Input_APM (Zenith)'!N:N,'Input_APM (Zenith)'!L:L,'Check (Zenith)'!B11,'Input_APM (Zenith)'!M:M,'Check (Zenith)'!$D$1)))</f>
        <v>0</v>
      </c>
      <c r="E11" s="174">
        <f t="shared" si="0"/>
        <v>0</v>
      </c>
    </row>
    <row r="12" spans="2:5">
      <c r="B12" s="21" t="s">
        <v>225</v>
      </c>
      <c r="C12" s="174">
        <f>IF(B12="","",IF(OR(LEFT(B12,4)="Cash",LEFT(B12,4)="Prov"),0,SUMIFS('Input_APM (Zenith)'!N:N,'Input_APM (Zenith)'!L:L,'Check (Zenith)'!B12,'Input_APM (Zenith)'!M:M,'Check (Zenith)'!$C$1)))</f>
        <v>0</v>
      </c>
      <c r="D12" s="174">
        <f>IF(B12="","",IF(OR(LEFT(B12,4)="Cash",LEFT(B12,4)="Prov"),0,SUMIFS('Input_APM (Zenith)'!N:N,'Input_APM (Zenith)'!L:L,'Check (Zenith)'!B12,'Input_APM (Zenith)'!M:M,'Check (Zenith)'!$D$1)))</f>
        <v>0</v>
      </c>
      <c r="E12" s="174">
        <f t="shared" si="0"/>
        <v>0</v>
      </c>
    </row>
    <row r="13" spans="2:5">
      <c r="B13" s="21" t="s">
        <v>226</v>
      </c>
      <c r="C13" s="174">
        <f>IF(B13="","",IF(OR(LEFT(B13,4)="Cash",LEFT(B13,4)="Prov"),0,SUMIFS('Input_APM (Zenith)'!N:N,'Input_APM (Zenith)'!L:L,'Check (Zenith)'!B13,'Input_APM (Zenith)'!M:M,'Check (Zenith)'!$C$1)))</f>
        <v>0</v>
      </c>
      <c r="D13" s="174">
        <f>IF(B13="","",IF(OR(LEFT(B13,4)="Cash",LEFT(B13,4)="Prov"),0,SUMIFS('Input_APM (Zenith)'!N:N,'Input_APM (Zenith)'!L:L,'Check (Zenith)'!B13,'Input_APM (Zenith)'!M:M,'Check (Zenith)'!$D$1)))</f>
        <v>0</v>
      </c>
      <c r="E13" s="174">
        <f t="shared" si="0"/>
        <v>0</v>
      </c>
    </row>
    <row r="14" spans="2:5">
      <c r="B14" s="21" t="s">
        <v>227</v>
      </c>
      <c r="C14" s="174">
        <f>IF(B14="","",IF(OR(LEFT(B14,4)="Cash",LEFT(B14,4)="Prov"),0,SUMIFS('Input_APM (Zenith)'!N:N,'Input_APM (Zenith)'!L:L,'Check (Zenith)'!B14,'Input_APM (Zenith)'!M:M,'Check (Zenith)'!$C$1)))</f>
        <v>0</v>
      </c>
      <c r="D14" s="174">
        <f>IF(B14="","",IF(OR(LEFT(B14,4)="Cash",LEFT(B14,4)="Prov"),0,SUMIFS('Input_APM (Zenith)'!N:N,'Input_APM (Zenith)'!L:L,'Check (Zenith)'!B14,'Input_APM (Zenith)'!M:M,'Check (Zenith)'!$D$1)))</f>
        <v>0</v>
      </c>
      <c r="E14" s="174">
        <f t="shared" si="0"/>
        <v>0</v>
      </c>
    </row>
    <row r="15" spans="2:5">
      <c r="B15" s="21" t="s">
        <v>228</v>
      </c>
      <c r="C15" s="174">
        <f>IF(B15="","",IF(OR(LEFT(B15,4)="Cash",LEFT(B15,4)="Prov"),0,SUMIFS('Input_APM (Zenith)'!N:N,'Input_APM (Zenith)'!L:L,'Check (Zenith)'!B15,'Input_APM (Zenith)'!M:M,'Check (Zenith)'!$C$1)))</f>
        <v>0</v>
      </c>
      <c r="D15" s="174">
        <f>IF(B15="","",IF(OR(LEFT(B15,4)="Cash",LEFT(B15,4)="Prov"),0,SUMIFS('Input_APM (Zenith)'!N:N,'Input_APM (Zenith)'!L:L,'Check (Zenith)'!B15,'Input_APM (Zenith)'!M:M,'Check (Zenith)'!$D$1)))</f>
        <v>0</v>
      </c>
      <c r="E15" s="174">
        <f t="shared" si="0"/>
        <v>0</v>
      </c>
    </row>
    <row r="16" spans="2:5">
      <c r="B16" s="21" t="s">
        <v>229</v>
      </c>
      <c r="C16" s="174">
        <f>IF(B16="","",IF(OR(LEFT(B16,4)="Cash",LEFT(B16,4)="Prov"),0,SUMIFS('Input_APM (Zenith)'!N:N,'Input_APM (Zenith)'!L:L,'Check (Zenith)'!B16,'Input_APM (Zenith)'!M:M,'Check (Zenith)'!$C$1)))</f>
        <v>0</v>
      </c>
      <c r="D16" s="174">
        <f>IF(B16="","",IF(OR(LEFT(B16,4)="Cash",LEFT(B16,4)="Prov"),0,SUMIFS('Input_APM (Zenith)'!N:N,'Input_APM (Zenith)'!L:L,'Check (Zenith)'!B16,'Input_APM (Zenith)'!M:M,'Check (Zenith)'!$D$1)))</f>
        <v>0</v>
      </c>
      <c r="E16" s="174">
        <f t="shared" si="0"/>
        <v>0</v>
      </c>
    </row>
    <row r="17" spans="2:5">
      <c r="B17" s="21" t="s">
        <v>230</v>
      </c>
      <c r="C17" s="174">
        <f>IF(B17="","",IF(OR(LEFT(B17,4)="Cash",LEFT(B17,4)="Prov"),0,SUMIFS('Input_APM (Zenith)'!N:N,'Input_APM (Zenith)'!L:L,'Check (Zenith)'!B17,'Input_APM (Zenith)'!M:M,'Check (Zenith)'!$C$1)))</f>
        <v>0</v>
      </c>
      <c r="D17" s="174">
        <f>IF(B17="","",IF(OR(LEFT(B17,4)="Cash",LEFT(B17,4)="Prov"),0,SUMIFS('Input_APM (Zenith)'!N:N,'Input_APM (Zenith)'!L:L,'Check (Zenith)'!B17,'Input_APM (Zenith)'!M:M,'Check (Zenith)'!$D$1)))</f>
        <v>0</v>
      </c>
      <c r="E17" s="174">
        <f t="shared" si="0"/>
        <v>0</v>
      </c>
    </row>
    <row r="18" spans="2:5">
      <c r="B18" t="s">
        <v>259</v>
      </c>
      <c r="C18" s="174">
        <f>IF(B18="","",IF(OR(LEFT(B18,4)="Cash",LEFT(B18,4)="Prov"),0,SUMIFS('Input_APM (Zenith)'!N:N,'Input_APM (Zenith)'!L:L,'Check (Zenith)'!B18,'Input_APM (Zenith)'!M:M,'Check (Zenith)'!$C$1)))</f>
        <v>0</v>
      </c>
      <c r="D18" s="174">
        <f>IF(B18="","",IF(OR(LEFT(B18,4)="Cash",LEFT(B18,4)="Prov"),0,SUMIFS('Input_APM (Zenith)'!N:N,'Input_APM (Zenith)'!L:L,'Check (Zenith)'!B18,'Input_APM (Zenith)'!M:M,'Check (Zenith)'!$D$1)))</f>
        <v>0</v>
      </c>
      <c r="E18" s="174">
        <f t="shared" si="0"/>
        <v>0</v>
      </c>
    </row>
    <row r="19" spans="2:5">
      <c r="B19" s="21" t="s">
        <v>260</v>
      </c>
      <c r="C19" s="174">
        <f>IF(B19="","",IF(OR(LEFT(B19,4)="Cash",LEFT(B19,4)="Prov"),0,SUMIFS('Input_APM (Zenith)'!N:N,'Input_APM (Zenith)'!L:L,'Check (Zenith)'!B19,'Input_APM (Zenith)'!M:M,'Check (Zenith)'!$C$1)))</f>
        <v>0</v>
      </c>
      <c r="D19" s="174">
        <f>IF(B19="","",IF(OR(LEFT(B19,4)="Cash",LEFT(B19,4)="Prov"),0,SUMIFS('Input_APM (Zenith)'!N:N,'Input_APM (Zenith)'!L:L,'Check (Zenith)'!B19,'Input_APM (Zenith)'!M:M,'Check (Zenith)'!$D$1)))</f>
        <v>0</v>
      </c>
      <c r="E19" s="174">
        <f t="shared" si="0"/>
        <v>0</v>
      </c>
    </row>
    <row r="20" spans="2:5">
      <c r="B20" s="21" t="s">
        <v>179</v>
      </c>
      <c r="C20" s="174">
        <f>IF(B20="","",IF(OR(LEFT(B20,4)="Cash",LEFT(B20,4)="Prov"),0,SUMIFS('Input_APM (Zenith)'!N:N,'Input_APM (Zenith)'!L:L,'Check (Zenith)'!B20,'Input_APM (Zenith)'!M:M,'Check (Zenith)'!$C$1)))</f>
        <v>0</v>
      </c>
      <c r="D20" s="174">
        <f>IF(B20="","",IF(OR(LEFT(B20,4)="Cash",LEFT(B20,4)="Prov"),0,SUMIFS('Input_APM (Zenith)'!N:N,'Input_APM (Zenith)'!L:L,'Check (Zenith)'!B20,'Input_APM (Zenith)'!M:M,'Check (Zenith)'!$D$1)))</f>
        <v>0</v>
      </c>
      <c r="E20" s="174">
        <f t="shared" si="0"/>
        <v>0</v>
      </c>
    </row>
    <row r="21" spans="2:5">
      <c r="B21" s="21" t="s">
        <v>180</v>
      </c>
      <c r="C21" s="174">
        <f>IF(B21="","",IF(OR(LEFT(B21,4)="Cash",LEFT(B21,4)="Prov"),0,SUMIFS('Input_APM (Zenith)'!N:N,'Input_APM (Zenith)'!L:L,'Check (Zenith)'!B21,'Input_APM (Zenith)'!M:M,'Check (Zenith)'!$C$1)))</f>
        <v>0</v>
      </c>
      <c r="D21" s="174">
        <f>IF(B21="","",IF(OR(LEFT(B21,4)="Cash",LEFT(B21,4)="Prov"),0,SUMIFS('Input_APM (Zenith)'!N:N,'Input_APM (Zenith)'!L:L,'Check (Zenith)'!B21,'Input_APM (Zenith)'!M:M,'Check (Zenith)'!$D$1)))</f>
        <v>0</v>
      </c>
      <c r="E21" s="174">
        <f t="shared" si="0"/>
        <v>0</v>
      </c>
    </row>
    <row r="22" spans="2:5">
      <c r="B22" t="s">
        <v>78</v>
      </c>
      <c r="C22" s="174">
        <f>IF(B22="","",IF(OR(LEFT(B22,4)="Cash",LEFT(B22,4)="Prov"),0,SUMIFS('Input_APM (Zenith)'!N:N,'Input_APM (Zenith)'!L:L,'Check (Zenith)'!B22,'Input_APM (Zenith)'!M:M,'Check (Zenith)'!$C$1)))</f>
        <v>0</v>
      </c>
      <c r="D22" s="174">
        <f>IF(B22="","",IF(OR(LEFT(B22,4)="Cash",LEFT(B22,4)="Prov"),0,SUMIFS('Input_APM (Zenith)'!N:N,'Input_APM (Zenith)'!L:L,'Check (Zenith)'!B22,'Input_APM (Zenith)'!M:M,'Check (Zenith)'!$D$1)))</f>
        <v>0</v>
      </c>
      <c r="E22" s="174">
        <f t="shared" si="0"/>
        <v>0</v>
      </c>
    </row>
    <row r="23" spans="2:5">
      <c r="B23" s="21" t="s">
        <v>183</v>
      </c>
      <c r="C23" s="174">
        <f>IF(B23="","",IF(OR(LEFT(B23,4)="Cash",LEFT(B23,4)="Prov"),0,SUMIFS('Input_APM (Zenith)'!N:N,'Input_APM (Zenith)'!L:L,'Check (Zenith)'!B23,'Input_APM (Zenith)'!M:M,'Check (Zenith)'!$C$1)))</f>
        <v>0</v>
      </c>
      <c r="D23" s="174">
        <f>IF(B23="","",IF(OR(LEFT(B23,4)="Cash",LEFT(B23,4)="Prov"),0,SUMIFS('Input_APM (Zenith)'!N:N,'Input_APM (Zenith)'!L:L,'Check (Zenith)'!B23,'Input_APM (Zenith)'!M:M,'Check (Zenith)'!$D$1)))</f>
        <v>0</v>
      </c>
      <c r="E23" s="174">
        <f t="shared" si="0"/>
        <v>0</v>
      </c>
    </row>
    <row r="24" spans="2:5">
      <c r="B24" s="21" t="s">
        <v>181</v>
      </c>
      <c r="C24" s="174">
        <f>IF(B24="","",IF(OR(LEFT(B24,4)="Cash",LEFT(B24,4)="Prov"),0,SUMIFS('Input_APM (Zenith)'!N:N,'Input_APM (Zenith)'!L:L,'Check (Zenith)'!B24,'Input_APM (Zenith)'!M:M,'Check (Zenith)'!$C$1)))</f>
        <v>0</v>
      </c>
      <c r="D24" s="174">
        <f>IF(B24="","",IF(OR(LEFT(B24,4)="Cash",LEFT(B24,4)="Prov"),0,SUMIFS('Input_APM (Zenith)'!N:N,'Input_APM (Zenith)'!L:L,'Check (Zenith)'!B24,'Input_APM (Zenith)'!M:M,'Check (Zenith)'!$D$1)))</f>
        <v>0</v>
      </c>
      <c r="E24" s="174">
        <f t="shared" si="0"/>
        <v>0</v>
      </c>
    </row>
    <row r="25" spans="2:5">
      <c r="B25" s="21" t="s">
        <v>184</v>
      </c>
      <c r="C25" s="174">
        <f>IF(B25="","",IF(OR(LEFT(B25,4)="Cash",LEFT(B25,4)="Prov"),0,SUMIFS('Input_APM (Zenith)'!N:N,'Input_APM (Zenith)'!L:L,'Check (Zenith)'!B25,'Input_APM (Zenith)'!M:M,'Check (Zenith)'!$C$1)))</f>
        <v>0</v>
      </c>
      <c r="D25" s="174">
        <f>IF(B25="","",IF(OR(LEFT(B25,4)="Cash",LEFT(B25,4)="Prov"),0,SUMIFS('Input_APM (Zenith)'!N:N,'Input_APM (Zenith)'!L:L,'Check (Zenith)'!B25,'Input_APM (Zenith)'!M:M,'Check (Zenith)'!$D$1)))</f>
        <v>0</v>
      </c>
      <c r="E25" s="174">
        <f t="shared" si="0"/>
        <v>0</v>
      </c>
    </row>
    <row r="26" spans="2:5">
      <c r="B26" t="s">
        <v>182</v>
      </c>
      <c r="C26" s="174">
        <f>IF(B26="","",IF(OR(LEFT(B26,4)="Cash",LEFT(B26,4)="Prov"),0,SUMIFS('Input_APM (Zenith)'!N:N,'Input_APM (Zenith)'!L:L,'Check (Zenith)'!B26,'Input_APM (Zenith)'!M:M,'Check (Zenith)'!$C$1)))</f>
        <v>0</v>
      </c>
      <c r="D26" s="174">
        <f>IF(B26="","",IF(OR(LEFT(B26,4)="Cash",LEFT(B26,4)="Prov"),0,SUMIFS('Input_APM (Zenith)'!N:N,'Input_APM (Zenith)'!L:L,'Check (Zenith)'!B26,'Input_APM (Zenith)'!M:M,'Check (Zenith)'!$D$1)))</f>
        <v>0</v>
      </c>
      <c r="E26" s="174">
        <f t="shared" si="0"/>
        <v>0</v>
      </c>
    </row>
    <row r="27" spans="2:5">
      <c r="B27" s="21" t="s">
        <v>185</v>
      </c>
      <c r="C27" s="174">
        <f>IF(B27="","",IF(OR(LEFT(B27,4)="Cash",LEFT(B27,4)="Prov"),0,SUMIFS('Input_APM (Zenith)'!N:N,'Input_APM (Zenith)'!L:L,'Check (Zenith)'!B27,'Input_APM (Zenith)'!M:M,'Check (Zenith)'!$C$1)))</f>
        <v>0</v>
      </c>
      <c r="D27" s="174">
        <f>IF(B27="","",IF(OR(LEFT(B27,4)="Cash",LEFT(B27,4)="Prov"),0,SUMIFS('Input_APM (Zenith)'!N:N,'Input_APM (Zenith)'!L:L,'Check (Zenith)'!B27,'Input_APM (Zenith)'!M:M,'Check (Zenith)'!$D$1)))</f>
        <v>0</v>
      </c>
      <c r="E27" s="174">
        <f t="shared" si="0"/>
        <v>0</v>
      </c>
    </row>
    <row r="28" spans="2:5">
      <c r="B28" s="21" t="s">
        <v>186</v>
      </c>
      <c r="C28" s="174">
        <f>IF(B28="","",IF(OR(LEFT(B28,4)="Cash",LEFT(B28,4)="Prov"),0,SUMIFS('Input_APM (Zenith)'!N:N,'Input_APM (Zenith)'!L:L,'Check (Zenith)'!B28,'Input_APM (Zenith)'!M:M,'Check (Zenith)'!$C$1)))</f>
        <v>0</v>
      </c>
      <c r="D28" s="174">
        <f>IF(B28="","",IF(OR(LEFT(B28,4)="Cash",LEFT(B28,4)="Prov"),0,SUMIFS('Input_APM (Zenith)'!N:N,'Input_APM (Zenith)'!L:L,'Check (Zenith)'!B28,'Input_APM (Zenith)'!M:M,'Check (Zenith)'!$D$1)))</f>
        <v>0</v>
      </c>
      <c r="E28" s="174">
        <f t="shared" si="0"/>
        <v>0</v>
      </c>
    </row>
    <row r="29" spans="2:5">
      <c r="B29" t="s">
        <v>232</v>
      </c>
      <c r="C29" s="174">
        <f>IF(B29="","",IF(OR(LEFT(B29,4)="Cash",LEFT(B29,4)="Prov"),0,SUMIFS('Input_APM (Zenith)'!N:N,'Input_APM (Zenith)'!L:L,'Check (Zenith)'!B29,'Input_APM (Zenith)'!M:M,'Check (Zenith)'!$C$1)))</f>
        <v>0</v>
      </c>
      <c r="D29" s="174">
        <f>IF(B29="","",IF(OR(LEFT(B29,4)="Cash",LEFT(B29,4)="Prov"),0,SUMIFS('Input_APM (Zenith)'!N:N,'Input_APM (Zenith)'!L:L,'Check (Zenith)'!B29,'Input_APM (Zenith)'!M:M,'Check (Zenith)'!$D$1)))</f>
        <v>0</v>
      </c>
      <c r="E29" s="174">
        <f t="shared" si="0"/>
        <v>0</v>
      </c>
    </row>
    <row r="30" spans="2:5">
      <c r="B30" t="s">
        <v>261</v>
      </c>
      <c r="C30" s="174">
        <f>IF(B30="","",IF(OR(LEFT(B30,4)="Cash",LEFT(B30,4)="Prov"),0,SUMIFS('Input_APM (Zenith)'!N:N,'Input_APM (Zenith)'!L:L,'Check (Zenith)'!B30,'Input_APM (Zenith)'!M:M,'Check (Zenith)'!$C$1)))</f>
        <v>0</v>
      </c>
      <c r="D30" s="174">
        <f>IF(B30="","",IF(OR(LEFT(B30,4)="Cash",LEFT(B30,4)="Prov"),0,SUMIFS('Input_APM (Zenith)'!N:N,'Input_APM (Zenith)'!L:L,'Check (Zenith)'!B30,'Input_APM (Zenith)'!M:M,'Check (Zenith)'!$D$1)))</f>
        <v>0</v>
      </c>
      <c r="E30" s="174">
        <f t="shared" si="0"/>
        <v>0</v>
      </c>
    </row>
    <row r="31" spans="2:5">
      <c r="B31" t="s">
        <v>139</v>
      </c>
      <c r="C31" s="174">
        <f>IF(B31="","",IF(OR(LEFT(B31,4)="Cash",LEFT(B31,4)="Prov"),0,SUMIFS('Input_APM (Zenith)'!N:N,'Input_APM (Zenith)'!L:L,'Check (Zenith)'!B31,'Input_APM (Zenith)'!M:M,'Check (Zenith)'!$C$1)))</f>
        <v>0</v>
      </c>
      <c r="D31" s="174">
        <f>IF(B31="","",IF(OR(LEFT(B31,4)="Cash",LEFT(B31,4)="Prov"),0,SUMIFS('Input_APM (Zenith)'!N:N,'Input_APM (Zenith)'!L:L,'Check (Zenith)'!B31,'Input_APM (Zenith)'!M:M,'Check (Zenith)'!$D$1)))</f>
        <v>0</v>
      </c>
      <c r="E31" s="174">
        <f t="shared" si="0"/>
        <v>0</v>
      </c>
    </row>
    <row r="32" spans="2:5">
      <c r="B32" t="s">
        <v>178</v>
      </c>
      <c r="C32" s="174">
        <f>IF(B32="","",IF(OR(LEFT(B32,4)="Cash",LEFT(B32,4)="Prov"),0,SUMIFS('Input_APM (Zenith)'!N:N,'Input_APM (Zenith)'!L:L,'Check (Zenith)'!B32,'Input_APM (Zenith)'!M:M,'Check (Zenith)'!$C$1)))</f>
        <v>0</v>
      </c>
      <c r="D32" s="174">
        <f>IF(B32="","",IF(OR(LEFT(B32,4)="Cash",LEFT(B32,4)="Prov"),0,SUMIFS('Input_APM (Zenith)'!N:N,'Input_APM (Zenith)'!L:L,'Check (Zenith)'!B32,'Input_APM (Zenith)'!M:M,'Check (Zenith)'!$D$1)))</f>
        <v>0</v>
      </c>
      <c r="E32" s="174">
        <f t="shared" si="0"/>
        <v>0</v>
      </c>
    </row>
    <row r="33" spans="2:5">
      <c r="B33" t="s">
        <v>34</v>
      </c>
      <c r="C33" s="174">
        <f>IF(B33="","",IF(OR(LEFT(B33,4)="Cash",LEFT(B33,4)="Prov"),0,SUMIFS('Input_APM (Zenith)'!N:N,'Input_APM (Zenith)'!L:L,'Check (Zenith)'!B33,'Input_APM (Zenith)'!M:M,'Check (Zenith)'!$C$1)))</f>
        <v>0</v>
      </c>
      <c r="D33" s="174">
        <f>IF(B33="","",IF(OR(LEFT(B33,4)="Cash",LEFT(B33,4)="Prov"),0,SUMIFS('Input_APM (Zenith)'!N:N,'Input_APM (Zenith)'!L:L,'Check (Zenith)'!B33,'Input_APM (Zenith)'!M:M,'Check (Zenith)'!$D$1)))</f>
        <v>0</v>
      </c>
      <c r="E33" s="174">
        <f t="shared" si="0"/>
        <v>0</v>
      </c>
    </row>
    <row r="34" spans="2:5">
      <c r="B34" t="s">
        <v>29</v>
      </c>
      <c r="C34" s="174">
        <f>IF(B34="","",IF(OR(LEFT(B34,4)="Cash",LEFT(B34,4)="Prov"),0,SUMIFS('Input_APM (Zenith)'!N:N,'Input_APM (Zenith)'!L:L,'Check (Zenith)'!B34,'Input_APM (Zenith)'!M:M,'Check (Zenith)'!$C$1)))</f>
        <v>0</v>
      </c>
      <c r="D34" s="174">
        <f>IF(B34="","",IF(OR(LEFT(B34,4)="Cash",LEFT(B34,4)="Prov"),0,SUMIFS('Input_APM (Zenith)'!N:N,'Input_APM (Zenith)'!L:L,'Check (Zenith)'!B34,'Input_APM (Zenith)'!M:M,'Check (Zenith)'!$D$1)))</f>
        <v>0</v>
      </c>
      <c r="E34" s="174">
        <f t="shared" si="0"/>
        <v>0</v>
      </c>
    </row>
    <row r="35" spans="2:5">
      <c r="B35" t="s">
        <v>206</v>
      </c>
      <c r="C35" s="174">
        <f>IF(B35="","",IF(OR(LEFT(B35,4)="Cash",LEFT(B35,4)="Prov"),0,SUMIFS('Input_APM (Zenith)'!N:N,'Input_APM (Zenith)'!L:L,'Check (Zenith)'!B35,'Input_APM (Zenith)'!M:M,'Check (Zenith)'!$C$1)))</f>
        <v>0</v>
      </c>
      <c r="D35" s="174">
        <f>IF(B35="","",IF(OR(LEFT(B35,4)="Cash",LEFT(B35,4)="Prov"),0,SUMIFS('Input_APM (Zenith)'!N:N,'Input_APM (Zenith)'!L:L,'Check (Zenith)'!B35,'Input_APM (Zenith)'!M:M,'Check (Zenith)'!$D$1)))</f>
        <v>0</v>
      </c>
      <c r="E35" s="174">
        <f t="shared" si="0"/>
        <v>0</v>
      </c>
    </row>
    <row r="36" spans="2:5">
      <c r="B36" t="s">
        <v>207</v>
      </c>
      <c r="C36" s="174">
        <f>IF(B36="","",IF(OR(LEFT(B36,4)="Cash",LEFT(B36,4)="Prov"),0,SUMIFS('Input_APM (Zenith)'!N:N,'Input_APM (Zenith)'!L:L,'Check (Zenith)'!B36,'Input_APM (Zenith)'!M:M,'Check (Zenith)'!$C$1)))</f>
        <v>0</v>
      </c>
      <c r="D36" s="174">
        <f>IF(B36="","",IF(OR(LEFT(B36,4)="Cash",LEFT(B36,4)="Prov"),0,SUMIFS('Input_APM (Zenith)'!N:N,'Input_APM (Zenith)'!L:L,'Check (Zenith)'!B36,'Input_APM (Zenith)'!M:M,'Check (Zenith)'!$D$1)))</f>
        <v>0</v>
      </c>
      <c r="E36" s="174">
        <f t="shared" si="0"/>
        <v>0</v>
      </c>
    </row>
    <row r="37" spans="2:5">
      <c r="B37" t="s">
        <v>208</v>
      </c>
      <c r="C37" s="174">
        <f>IF(B37="","",IF(OR(LEFT(B37,4)="Cash",LEFT(B37,4)="Prov"),0,SUMIFS('Input_APM (Zenith)'!N:N,'Input_APM (Zenith)'!L:L,'Check (Zenith)'!B37,'Input_APM (Zenith)'!M:M,'Check (Zenith)'!$C$1)))</f>
        <v>0</v>
      </c>
      <c r="D37" s="174">
        <f>IF(B37="","",IF(OR(LEFT(B37,4)="Cash",LEFT(B37,4)="Prov"),0,SUMIFS('Input_APM (Zenith)'!N:N,'Input_APM (Zenith)'!L:L,'Check (Zenith)'!B37,'Input_APM (Zenith)'!M:M,'Check (Zenith)'!$D$1)))</f>
        <v>0</v>
      </c>
      <c r="E37" s="174">
        <f t="shared" si="0"/>
        <v>0</v>
      </c>
    </row>
    <row r="38" spans="2:5">
      <c r="B38" t="s">
        <v>209</v>
      </c>
      <c r="C38" s="174">
        <f>IF(B38="","",IF(OR(LEFT(B38,4)="Cash",LEFT(B38,4)="Prov"),0,SUMIFS('Input_APM (Zenith)'!N:N,'Input_APM (Zenith)'!L:L,'Check (Zenith)'!B38,'Input_APM (Zenith)'!M:M,'Check (Zenith)'!$C$1)))</f>
        <v>0</v>
      </c>
      <c r="D38" s="174">
        <f>IF(B38="","",IF(OR(LEFT(B38,4)="Cash",LEFT(B38,4)="Prov"),0,SUMIFS('Input_APM (Zenith)'!N:N,'Input_APM (Zenith)'!L:L,'Check (Zenith)'!B38,'Input_APM (Zenith)'!M:M,'Check (Zenith)'!$D$1)))</f>
        <v>0</v>
      </c>
      <c r="E38" s="174">
        <f t="shared" si="0"/>
        <v>0</v>
      </c>
    </row>
    <row r="39" spans="2:5">
      <c r="B39" t="s">
        <v>38</v>
      </c>
      <c r="C39" s="174">
        <f>IF(B39="","",IF(OR(LEFT(B39,4)="Cash",LEFT(B39,4)="Prov"),0,SUMIFS('Input_APM (Zenith)'!N:N,'Input_APM (Zenith)'!L:L,'Check (Zenith)'!B39,'Input_APM (Zenith)'!M:M,'Check (Zenith)'!$C$1)))</f>
        <v>0</v>
      </c>
      <c r="D39" s="174">
        <f>IF(B39="","",IF(OR(LEFT(B39,4)="Cash",LEFT(B39,4)="Prov"),0,SUMIFS('Input_APM (Zenith)'!N:N,'Input_APM (Zenith)'!L:L,'Check (Zenith)'!B39,'Input_APM (Zenith)'!M:M,'Check (Zenith)'!$D$1)))</f>
        <v>0</v>
      </c>
      <c r="E39" s="174">
        <f t="shared" si="0"/>
        <v>0</v>
      </c>
    </row>
    <row r="40" spans="2:5">
      <c r="B40" t="s">
        <v>79</v>
      </c>
      <c r="C40" s="174">
        <f>IF(B40="","",IF(OR(LEFT(B40,4)="Cash",LEFT(B40,4)="Prov"),0,SUMIFS('Input_APM (Zenith)'!N:N,'Input_APM (Zenith)'!L:L,'Check (Zenith)'!B40,'Input_APM (Zenith)'!M:M,'Check (Zenith)'!$C$1)))</f>
        <v>0</v>
      </c>
      <c r="D40" s="174">
        <f>IF(B40="","",IF(OR(LEFT(B40,4)="Cash",LEFT(B40,4)="Prov"),0,SUMIFS('Input_APM (Zenith)'!N:N,'Input_APM (Zenith)'!L:L,'Check (Zenith)'!B40,'Input_APM (Zenith)'!M:M,'Check (Zenith)'!$D$1)))</f>
        <v>0</v>
      </c>
      <c r="E40" s="174">
        <f t="shared" si="0"/>
        <v>0</v>
      </c>
    </row>
    <row r="41" spans="2:5">
      <c r="B41" t="s">
        <v>233</v>
      </c>
      <c r="C41" s="174">
        <f>IF(B41="","",IF(OR(LEFT(B41,4)="Cash",LEFT(B41,4)="Prov"),0,SUMIFS('Input_APM (Zenith)'!N:N,'Input_APM (Zenith)'!L:L,'Check (Zenith)'!B41,'Input_APM (Zenith)'!M:M,'Check (Zenith)'!$C$1)))</f>
        <v>0</v>
      </c>
      <c r="D41" s="174">
        <f>IF(B41="","",IF(OR(LEFT(B41,4)="Cash",LEFT(B41,4)="Prov"),0,SUMIFS('Input_APM (Zenith)'!N:N,'Input_APM (Zenith)'!L:L,'Check (Zenith)'!B41,'Input_APM (Zenith)'!M:M,'Check (Zenith)'!$D$1)))</f>
        <v>0</v>
      </c>
      <c r="E41" s="174">
        <f t="shared" si="0"/>
        <v>0</v>
      </c>
    </row>
    <row r="42" spans="2:5">
      <c r="B42" t="s">
        <v>262</v>
      </c>
      <c r="C42" s="174">
        <f>IF(B42="","",IF(OR(LEFT(B42,4)="Cash",LEFT(B42,4)="Prov"),0,SUMIFS('Input_APM (Zenith)'!N:N,'Input_APM (Zenith)'!L:L,'Check (Zenith)'!B42,'Input_APM (Zenith)'!M:M,'Check (Zenith)'!$C$1)))</f>
        <v>0</v>
      </c>
      <c r="D42" s="174">
        <f>IF(B42="","",IF(OR(LEFT(B42,4)="Cash",LEFT(B42,4)="Prov"),0,SUMIFS('Input_APM (Zenith)'!N:N,'Input_APM (Zenith)'!L:L,'Check (Zenith)'!B42,'Input_APM (Zenith)'!M:M,'Check (Zenith)'!$D$1)))</f>
        <v>0</v>
      </c>
      <c r="E42" s="174">
        <f t="shared" si="0"/>
        <v>0</v>
      </c>
    </row>
    <row r="43" spans="2:5">
      <c r="B43" t="s">
        <v>234</v>
      </c>
      <c r="C43" s="174">
        <f>IF(B43="","",IF(OR(LEFT(B43,4)="Cash",LEFT(B43,4)="Prov"),0,SUMIFS('Input_APM (Zenith)'!N:N,'Input_APM (Zenith)'!L:L,'Check (Zenith)'!B43,'Input_APM (Zenith)'!M:M,'Check (Zenith)'!$C$1)))</f>
        <v>0</v>
      </c>
      <c r="D43" s="174">
        <f>IF(B43="","",IF(OR(LEFT(B43,4)="Cash",LEFT(B43,4)="Prov"),0,SUMIFS('Input_APM (Zenith)'!N:N,'Input_APM (Zenith)'!L:L,'Check (Zenith)'!B43,'Input_APM (Zenith)'!M:M,'Check (Zenith)'!$D$1)))</f>
        <v>0</v>
      </c>
      <c r="E43" s="174">
        <f t="shared" si="0"/>
        <v>0</v>
      </c>
    </row>
    <row r="44" spans="2:5">
      <c r="B44" t="s">
        <v>263</v>
      </c>
      <c r="C44" s="174">
        <f>IF(B44="","",IF(OR(LEFT(B44,4)="Cash",LEFT(B44,4)="Prov"),0,SUMIFS('Input_APM (Zenith)'!N:N,'Input_APM (Zenith)'!L:L,'Check (Zenith)'!B44,'Input_APM (Zenith)'!M:M,'Check (Zenith)'!$C$1)))</f>
        <v>0</v>
      </c>
      <c r="D44" s="174">
        <f>IF(B44="","",IF(OR(LEFT(B44,4)="Cash",LEFT(B44,4)="Prov"),0,SUMIFS('Input_APM (Zenith)'!N:N,'Input_APM (Zenith)'!L:L,'Check (Zenith)'!B44,'Input_APM (Zenith)'!M:M,'Check (Zenith)'!$D$1)))</f>
        <v>0</v>
      </c>
      <c r="E44" s="174">
        <f t="shared" si="0"/>
        <v>0</v>
      </c>
    </row>
    <row r="45" spans="2:5">
      <c r="B45" t="s">
        <v>235</v>
      </c>
      <c r="C45" s="174">
        <f>IF(B45="","",IF(OR(LEFT(B45,4)="Cash",LEFT(B45,4)="Prov"),0,SUMIFS('Input_APM (Zenith)'!N:N,'Input_APM (Zenith)'!L:L,'Check (Zenith)'!B45,'Input_APM (Zenith)'!M:M,'Check (Zenith)'!$C$1)))</f>
        <v>0</v>
      </c>
      <c r="D45" s="174">
        <f>IF(B45="","",IF(OR(LEFT(B45,4)="Cash",LEFT(B45,4)="Prov"),0,SUMIFS('Input_APM (Zenith)'!N:N,'Input_APM (Zenith)'!L:L,'Check (Zenith)'!B45,'Input_APM (Zenith)'!M:M,'Check (Zenith)'!$D$1)))</f>
        <v>0</v>
      </c>
      <c r="E45" s="174">
        <f t="shared" si="0"/>
        <v>0</v>
      </c>
    </row>
    <row r="46" spans="2:5">
      <c r="B46" t="s">
        <v>82</v>
      </c>
      <c r="C46" s="174">
        <f>IF(B46="","",IF(OR(LEFT(B46,4)="Cash",LEFT(B46,4)="Prov"),0,SUMIFS('Input_APM (Zenith)'!N:N,'Input_APM (Zenith)'!L:L,'Check (Zenith)'!B46,'Input_APM (Zenith)'!M:M,'Check (Zenith)'!$C$1)))</f>
        <v>0</v>
      </c>
      <c r="D46" s="174">
        <f>IF(B46="","",IF(OR(LEFT(B46,4)="Cash",LEFT(B46,4)="Prov"),0,SUMIFS('Input_APM (Zenith)'!N:N,'Input_APM (Zenith)'!L:L,'Check (Zenith)'!B46,'Input_APM (Zenith)'!M:M,'Check (Zenith)'!$D$1)))</f>
        <v>0</v>
      </c>
      <c r="E46" s="174">
        <f t="shared" si="0"/>
        <v>0</v>
      </c>
    </row>
    <row r="47" spans="2:5">
      <c r="B47" t="s">
        <v>264</v>
      </c>
      <c r="C47" s="174">
        <f>IF(B47="","",IF(OR(LEFT(B47,4)="Cash",LEFT(B47,4)="Prov"),0,SUMIFS('Input_APM (Zenith)'!N:N,'Input_APM (Zenith)'!L:L,'Check (Zenith)'!B47,'Input_APM (Zenith)'!M:M,'Check (Zenith)'!$C$1)))</f>
        <v>0</v>
      </c>
      <c r="D47" s="174">
        <f>IF(B47="","",IF(OR(LEFT(B47,4)="Cash",LEFT(B47,4)="Prov"),0,SUMIFS('Input_APM (Zenith)'!N:N,'Input_APM (Zenith)'!L:L,'Check (Zenith)'!B47,'Input_APM (Zenith)'!M:M,'Check (Zenith)'!$D$1)))</f>
        <v>0</v>
      </c>
      <c r="E47" s="174">
        <f t="shared" si="0"/>
        <v>0</v>
      </c>
    </row>
    <row r="48" spans="2:5">
      <c r="B48" t="s">
        <v>3</v>
      </c>
      <c r="C48" s="174">
        <f>IF(B48="","",IF(OR(LEFT(B48,4)="Cash",LEFT(B48,4)="Prov"),0,SUMIFS('Input_APM (Zenith)'!N:N,'Input_APM (Zenith)'!L:L,'Check (Zenith)'!B48,'Input_APM (Zenith)'!M:M,'Check (Zenith)'!$C$1)))</f>
        <v>0</v>
      </c>
      <c r="D48" s="174">
        <f>IF(B48="","",IF(OR(LEFT(B48,4)="Cash",LEFT(B48,4)="Prov"),0,SUMIFS('Input_APM (Zenith)'!N:N,'Input_APM (Zenith)'!L:L,'Check (Zenith)'!B48,'Input_APM (Zenith)'!M:M,'Check (Zenith)'!$D$1)))</f>
        <v>0</v>
      </c>
      <c r="E48" s="174">
        <f t="shared" si="0"/>
        <v>0</v>
      </c>
    </row>
    <row r="49" spans="2:5">
      <c r="B49" t="s">
        <v>236</v>
      </c>
      <c r="C49" s="174">
        <f>IF(B49="","",IF(OR(LEFT(B49,4)="Cash",LEFT(B49,4)="Prov"),0,SUMIFS('Input_APM (Zenith)'!N:N,'Input_APM (Zenith)'!L:L,'Check (Zenith)'!B49,'Input_APM (Zenith)'!M:M,'Check (Zenith)'!$C$1)))</f>
        <v>0</v>
      </c>
      <c r="D49" s="174">
        <f>IF(B49="","",IF(OR(LEFT(B49,4)="Cash",LEFT(B49,4)="Prov"),0,SUMIFS('Input_APM (Zenith)'!N:N,'Input_APM (Zenith)'!L:L,'Check (Zenith)'!B49,'Input_APM (Zenith)'!M:M,'Check (Zenith)'!$D$1)))</f>
        <v>0</v>
      </c>
      <c r="E49" s="174">
        <f t="shared" si="0"/>
        <v>0</v>
      </c>
    </row>
    <row r="50" spans="2:5">
      <c r="B50" t="s">
        <v>43</v>
      </c>
      <c r="C50" s="174">
        <f>IF(B50="","",IF(OR(LEFT(B50,4)="Cash",LEFT(B50,4)="Prov"),0,SUMIFS('Input_APM (Zenith)'!N:N,'Input_APM (Zenith)'!L:L,'Check (Zenith)'!B50,'Input_APM (Zenith)'!M:M,'Check (Zenith)'!$C$1)))</f>
        <v>0</v>
      </c>
      <c r="D50" s="174">
        <f>IF(B50="","",IF(OR(LEFT(B50,4)="Cash",LEFT(B50,4)="Prov"),0,SUMIFS('Input_APM (Zenith)'!N:N,'Input_APM (Zenith)'!L:L,'Check (Zenith)'!B50,'Input_APM (Zenith)'!M:M,'Check (Zenith)'!$D$1)))</f>
        <v>0</v>
      </c>
      <c r="E50" s="174">
        <f t="shared" si="0"/>
        <v>0</v>
      </c>
    </row>
    <row r="51" spans="2:5">
      <c r="B51" t="s">
        <v>237</v>
      </c>
      <c r="C51" s="174">
        <f>IF(B51="","",IF(OR(LEFT(B51,4)="Cash",LEFT(B51,4)="Prov"),0,SUMIFS('Input_APM (Zenith)'!N:N,'Input_APM (Zenith)'!L:L,'Check (Zenith)'!B51,'Input_APM (Zenith)'!M:M,'Check (Zenith)'!$C$1)))</f>
        <v>0</v>
      </c>
      <c r="D51" s="174">
        <f>IF(B51="","",IF(OR(LEFT(B51,4)="Cash",LEFT(B51,4)="Prov"),0,SUMIFS('Input_APM (Zenith)'!N:N,'Input_APM (Zenith)'!L:L,'Check (Zenith)'!B51,'Input_APM (Zenith)'!M:M,'Check (Zenith)'!$D$1)))</f>
        <v>0</v>
      </c>
      <c r="E51" s="174">
        <f t="shared" si="0"/>
        <v>0</v>
      </c>
    </row>
    <row r="52" spans="2:5">
      <c r="B52" t="s">
        <v>238</v>
      </c>
      <c r="C52" s="174">
        <f>IF(B52="","",IF(OR(LEFT(B52,4)="Cash",LEFT(B52,4)="Prov"),0,SUMIFS('Input_APM (Zenith)'!N:N,'Input_APM (Zenith)'!L:L,'Check (Zenith)'!B52,'Input_APM (Zenith)'!M:M,'Check (Zenith)'!$C$1)))</f>
        <v>0</v>
      </c>
      <c r="D52" s="174">
        <f>IF(B52="","",IF(OR(LEFT(B52,4)="Cash",LEFT(B52,4)="Prov"),0,SUMIFS('Input_APM (Zenith)'!N:N,'Input_APM (Zenith)'!L:L,'Check (Zenith)'!B52,'Input_APM (Zenith)'!M:M,'Check (Zenith)'!$D$1)))</f>
        <v>0</v>
      </c>
      <c r="E52" s="174">
        <f t="shared" si="0"/>
        <v>0</v>
      </c>
    </row>
    <row r="53" spans="2:5">
      <c r="B53" t="s">
        <v>44</v>
      </c>
      <c r="C53" s="174">
        <f>IF(B53="","",IF(OR(LEFT(B53,4)="Cash",LEFT(B53,4)="Prov"),0,SUMIFS('Input_APM (Zenith)'!N:N,'Input_APM (Zenith)'!L:L,'Check (Zenith)'!B53,'Input_APM (Zenith)'!M:M,'Check (Zenith)'!$C$1)))</f>
        <v>0</v>
      </c>
      <c r="D53" s="174">
        <f>IF(B53="","",IF(OR(LEFT(B53,4)="Cash",LEFT(B53,4)="Prov"),0,SUMIFS('Input_APM (Zenith)'!N:N,'Input_APM (Zenith)'!L:L,'Check (Zenith)'!B53,'Input_APM (Zenith)'!M:M,'Check (Zenith)'!$D$1)))</f>
        <v>0</v>
      </c>
      <c r="E53" s="174">
        <f t="shared" si="0"/>
        <v>0</v>
      </c>
    </row>
    <row r="54" spans="2:5">
      <c r="B54" t="s">
        <v>35</v>
      </c>
      <c r="C54" s="174">
        <f>IF(B54="","",IF(OR(LEFT(B54,4)="Cash",LEFT(B54,4)="Prov"),0,SUMIFS('Input_APM (Zenith)'!N:N,'Input_APM (Zenith)'!L:L,'Check (Zenith)'!B54,'Input_APM (Zenith)'!M:M,'Check (Zenith)'!$C$1)))</f>
        <v>0</v>
      </c>
      <c r="D54" s="174">
        <f>IF(B54="","",IF(OR(LEFT(B54,4)="Cash",LEFT(B54,4)="Prov"),0,SUMIFS('Input_APM (Zenith)'!N:N,'Input_APM (Zenith)'!L:L,'Check (Zenith)'!B54,'Input_APM (Zenith)'!M:M,'Check (Zenith)'!$D$1)))</f>
        <v>0</v>
      </c>
      <c r="E54" s="174">
        <f t="shared" si="0"/>
        <v>0</v>
      </c>
    </row>
    <row r="55" spans="2:5">
      <c r="B55" t="s">
        <v>239</v>
      </c>
      <c r="C55" s="174" t="str">
        <f>IF(B55="","",IF(OR(LEFT(B55,4)="Cash",LEFT(B55,4)="Prov"),0,SUMIFS('Input_APM (Zenith)'!N:N,'Input_APM (Zenith)'!L:L,'Check (Zenith)'!B55,'Input_APM (Zenith)'!M:M,'Check (Zenith)'!$C$1)))</f>
        <v/>
      </c>
      <c r="D55" s="174" t="str">
        <f>IF(B55="","",IF(OR(LEFT(B55,4)="Cash",LEFT(B55,4)="Prov"),0,SUMIFS('Input_APM (Zenith)'!N:N,'Input_APM (Zenith)'!L:L,'Check (Zenith)'!B55,'Input_APM (Zenith)'!M:M,'Check (Zenith)'!$D$1)))</f>
        <v/>
      </c>
      <c r="E55" s="174" t="str">
        <f t="shared" si="0"/>
        <v/>
      </c>
    </row>
    <row r="56" spans="2:5">
      <c r="C56" s="174" t="str">
        <f>IF(B56="","",IF(OR(LEFT(B56,4)="Cash",LEFT(B56,4)="Prov"),0,SUMIFS('Input_APM (Zenith)'!N:N,'Input_APM (Zenith)'!L:L,'Check (Zenith)'!B56,'Input_APM (Zenith)'!M:M,'Check (Zenith)'!$C$1)))</f>
        <v/>
      </c>
      <c r="D56" s="174" t="str">
        <f>IF(B56="","",IF(OR(LEFT(B56,4)="Cash",LEFT(B56,4)="Prov"),0,SUMIFS('Input_APM (Zenith)'!N:N,'Input_APM (Zenith)'!L:L,'Check (Zenith)'!B56,'Input_APM (Zenith)'!M:M,'Check (Zenith)'!$D$1)))</f>
        <v/>
      </c>
      <c r="E56" s="174" t="str">
        <f t="shared" si="0"/>
        <v/>
      </c>
    </row>
    <row r="57" spans="2:5">
      <c r="C57" s="174" t="str">
        <f>IF(B57="","",IF(OR(LEFT(B57,4)="Cash",LEFT(B57,4)="Prov"),0,SUMIFS('Input_APM (Zenith)'!N:N,'Input_APM (Zenith)'!L:L,'Check (Zenith)'!B57,'Input_APM (Zenith)'!M:M,'Check (Zenith)'!$C$1)))</f>
        <v/>
      </c>
      <c r="D57" s="174" t="str">
        <f>IF(B57="","",IF(OR(LEFT(B57,4)="Cash",LEFT(B57,4)="Prov"),0,SUMIFS('Input_APM (Zenith)'!N:N,'Input_APM (Zenith)'!L:L,'Check (Zenith)'!B57,'Input_APM (Zenith)'!M:M,'Check (Zenith)'!$D$1)))</f>
        <v/>
      </c>
      <c r="E57" s="174" t="str">
        <f t="shared" si="0"/>
        <v/>
      </c>
    </row>
    <row r="58" spans="2:5">
      <c r="C58" s="174" t="str">
        <f>IF(B58="","",IF(OR(LEFT(B58,4)="Cash",LEFT(B58,4)="Prov"),0,SUMIFS('Input_APM (Zenith)'!N:N,'Input_APM (Zenith)'!L:L,'Check (Zenith)'!B58,'Input_APM (Zenith)'!M:M,'Check (Zenith)'!$C$1)))</f>
        <v/>
      </c>
      <c r="D58" s="174" t="str">
        <f>IF(B58="","",IF(OR(LEFT(B58,4)="Cash",LEFT(B58,4)="Prov"),0,SUMIFS('Input_APM (Zenith)'!N:N,'Input_APM (Zenith)'!L:L,'Check (Zenith)'!B58,'Input_APM (Zenith)'!M:M,'Check (Zenith)'!$D$1)))</f>
        <v/>
      </c>
      <c r="E58" s="174" t="str">
        <f t="shared" si="0"/>
        <v/>
      </c>
    </row>
    <row r="59" spans="2:5">
      <c r="C59" s="174" t="str">
        <f>IF(B59="","",IF(OR(LEFT(B59,4)="Cash",LEFT(B59,4)="Prov"),0,SUMIFS('Input_APM (Zenith)'!N:N,'Input_APM (Zenith)'!L:L,'Check (Zenith)'!B59,'Input_APM (Zenith)'!M:M,'Check (Zenith)'!$C$1)))</f>
        <v/>
      </c>
      <c r="D59" s="174" t="str">
        <f>IF(B59="","",IF(OR(LEFT(B59,4)="Cash",LEFT(B59,4)="Prov"),0,SUMIFS('Input_APM (Zenith)'!N:N,'Input_APM (Zenith)'!L:L,'Check (Zenith)'!B59,'Input_APM (Zenith)'!M:M,'Check (Zenith)'!$D$1)))</f>
        <v/>
      </c>
      <c r="E59" s="174" t="str">
        <f t="shared" si="0"/>
        <v/>
      </c>
    </row>
    <row r="60" spans="2:5">
      <c r="C60" s="174" t="str">
        <f>IF(B60="","",IF(OR(LEFT(B60,4)="Cash",LEFT(B60,4)="Prov"),0,SUMIFS('Input_APM (Zenith)'!N:N,'Input_APM (Zenith)'!L:L,'Check (Zenith)'!B60,'Input_APM (Zenith)'!M:M,'Check (Zenith)'!$C$1)))</f>
        <v/>
      </c>
      <c r="D60" s="174" t="str">
        <f>IF(B60="","",IF(OR(LEFT(B60,4)="Cash",LEFT(B60,4)="Prov"),0,SUMIFS('Input_APM (Zenith)'!N:N,'Input_APM (Zenith)'!L:L,'Check (Zenith)'!B60,'Input_APM (Zenith)'!M:M,'Check (Zenith)'!$D$1)))</f>
        <v/>
      </c>
      <c r="E60" s="174" t="str">
        <f t="shared" si="0"/>
        <v/>
      </c>
    </row>
    <row r="61" spans="2:5">
      <c r="C61" s="174" t="str">
        <f>IF(B61="","",IF(OR(LEFT(B61,4)="Cash",LEFT(B61,4)="Prov"),0,SUMIFS('Input_APM (Zenith)'!N:N,'Input_APM (Zenith)'!L:L,'Check (Zenith)'!B61,'Input_APM (Zenith)'!M:M,'Check (Zenith)'!$C$1)))</f>
        <v/>
      </c>
      <c r="D61" s="174" t="str">
        <f>IF(B61="","",IF(OR(LEFT(B61,4)="Cash",LEFT(B61,4)="Prov"),0,SUMIFS('Input_APM (Zenith)'!N:N,'Input_APM (Zenith)'!L:L,'Check (Zenith)'!B61,'Input_APM (Zenith)'!M:M,'Check (Zenith)'!$D$1)))</f>
        <v/>
      </c>
      <c r="E61" s="174" t="str">
        <f t="shared" si="0"/>
        <v/>
      </c>
    </row>
    <row r="62" spans="2:5">
      <c r="C62" s="174" t="str">
        <f>IF(B62="","",IF(OR(LEFT(B62,4)="Cash",LEFT(B62,4)="Prov"),0,SUMIFS('Input_APM (Zenith)'!N:N,'Input_APM (Zenith)'!L:L,'Check (Zenith)'!B62,'Input_APM (Zenith)'!M:M,'Check (Zenith)'!$C$1)))</f>
        <v/>
      </c>
      <c r="D62" s="174" t="str">
        <f>IF(B62="","",IF(OR(LEFT(B62,4)="Cash",LEFT(B62,4)="Prov"),0,SUMIFS('Input_APM (Zenith)'!N:N,'Input_APM (Zenith)'!L:L,'Check (Zenith)'!B62,'Input_APM (Zenith)'!M:M,'Check (Zenith)'!$D$1)))</f>
        <v/>
      </c>
      <c r="E62" s="174" t="str">
        <f t="shared" si="0"/>
        <v/>
      </c>
    </row>
    <row r="63" spans="2:5">
      <c r="C63" s="174" t="str">
        <f>IF(B63="","",IF(OR(LEFT(B63,4)="Cash",LEFT(B63,4)="Prov"),0,SUMIFS('Input_APM (Zenith)'!N:N,'Input_APM (Zenith)'!L:L,'Check (Zenith)'!B63,'Input_APM (Zenith)'!M:M,'Check (Zenith)'!$C$1)))</f>
        <v/>
      </c>
      <c r="D63" s="174" t="str">
        <f>IF(B63="","",IF(OR(LEFT(B63,4)="Cash",LEFT(B63,4)="Prov"),0,SUMIFS('Input_APM (Zenith)'!N:N,'Input_APM (Zenith)'!L:L,'Check (Zenith)'!B63,'Input_APM (Zenith)'!M:M,'Check (Zenith)'!$D$1)))</f>
        <v/>
      </c>
      <c r="E63" s="174" t="str">
        <f t="shared" si="0"/>
        <v/>
      </c>
    </row>
    <row r="64" spans="2:5">
      <c r="C64" s="174" t="str">
        <f>IF(B64="","",IF(OR(LEFT(B64,4)="Cash",LEFT(B64,4)="Prov"),0,SUMIFS('Input_APM (Zenith)'!N:N,'Input_APM (Zenith)'!L:L,'Check (Zenith)'!B64,'Input_APM (Zenith)'!M:M,'Check (Zenith)'!$C$1)))</f>
        <v/>
      </c>
      <c r="D64" s="174" t="str">
        <f>IF(B64="","",IF(OR(LEFT(B64,4)="Cash",LEFT(B64,4)="Prov"),0,SUMIFS('Input_APM (Zenith)'!N:N,'Input_APM (Zenith)'!L:L,'Check (Zenith)'!B64,'Input_APM (Zenith)'!M:M,'Check (Zenith)'!$D$1)))</f>
        <v/>
      </c>
      <c r="E64" s="174" t="str">
        <f t="shared" si="0"/>
        <v/>
      </c>
    </row>
    <row r="65" spans="3:5">
      <c r="C65" s="174" t="str">
        <f>IF(B65="","",IF(OR(LEFT(B65,4)="Cash",LEFT(B65,4)="Prov"),0,SUMIFS('Input_APM (Zenith)'!N:N,'Input_APM (Zenith)'!L:L,'Check (Zenith)'!B65,'Input_APM (Zenith)'!M:M,'Check (Zenith)'!$C$1)))</f>
        <v/>
      </c>
      <c r="D65" s="174" t="str">
        <f>IF(B65="","",IF(OR(LEFT(B65,4)="Cash",LEFT(B65,4)="Prov"),0,SUMIFS('Input_APM (Zenith)'!N:N,'Input_APM (Zenith)'!L:L,'Check (Zenith)'!B65,'Input_APM (Zenith)'!M:M,'Check (Zenith)'!$D$1)))</f>
        <v/>
      </c>
      <c r="E65" s="174" t="str">
        <f t="shared" si="0"/>
        <v/>
      </c>
    </row>
    <row r="66" spans="3:5">
      <c r="C66" s="174" t="str">
        <f>IF(B66="","",IF(OR(LEFT(B66,4)="Cash",LEFT(B66,4)="Prov"),0,SUMIFS('Input_APM (Zenith)'!N:N,'Input_APM (Zenith)'!L:L,'Check (Zenith)'!B66,'Input_APM (Zenith)'!M:M,'Check (Zenith)'!$C$1)))</f>
        <v/>
      </c>
      <c r="D66" s="174" t="str">
        <f>IF(B66="","",IF(OR(LEFT(B66,4)="Cash",LEFT(B66,4)="Prov"),0,SUMIFS('Input_APM (Zenith)'!N:N,'Input_APM (Zenith)'!L:L,'Check (Zenith)'!B66,'Input_APM (Zenith)'!M:M,'Check (Zenith)'!$D$1)))</f>
        <v/>
      </c>
      <c r="E66" s="174" t="str">
        <f t="shared" si="0"/>
        <v/>
      </c>
    </row>
    <row r="67" spans="3:5">
      <c r="C67" s="174" t="str">
        <f>IF(B67="","",IF(OR(LEFT(B67,4)="Cash",LEFT(B67,4)="Prov"),0,SUMIFS('Input_APM (Zenith)'!N:N,'Input_APM (Zenith)'!L:L,'Check (Zenith)'!B67,'Input_APM (Zenith)'!M:M,'Check (Zenith)'!$C$1)))</f>
        <v/>
      </c>
      <c r="D67" s="174" t="str">
        <f>IF(B67="","",IF(OR(LEFT(B67,4)="Cash",LEFT(B67,4)="Prov"),0,SUMIFS('Input_APM (Zenith)'!N:N,'Input_APM (Zenith)'!L:L,'Check (Zenith)'!B67,'Input_APM (Zenith)'!M:M,'Check (Zenith)'!$D$1)))</f>
        <v/>
      </c>
      <c r="E67" s="174" t="str">
        <f t="shared" si="0"/>
        <v/>
      </c>
    </row>
    <row r="68" spans="3:5">
      <c r="C68" s="174" t="str">
        <f>IF(B68="","",IF(OR(LEFT(B68,4)="Cash",LEFT(B68,4)="Prov"),0,SUMIFS('Input_APM (Zenith)'!N:N,'Input_APM (Zenith)'!L:L,'Check (Zenith)'!B68,'Input_APM (Zenith)'!M:M,'Check (Zenith)'!$C$1)))</f>
        <v/>
      </c>
      <c r="D68" s="174" t="str">
        <f>IF(B68="","",IF(OR(LEFT(B68,4)="Cash",LEFT(B68,4)="Prov"),0,SUMIFS('Input_APM (Zenith)'!N:N,'Input_APM (Zenith)'!L:L,'Check (Zenith)'!B68,'Input_APM (Zenith)'!M:M,'Check (Zenith)'!$D$1)))</f>
        <v/>
      </c>
      <c r="E68" s="174" t="str">
        <f t="shared" si="0"/>
        <v/>
      </c>
    </row>
    <row r="69" spans="3:5">
      <c r="C69" s="174" t="str">
        <f>IF(B69="","",IF(OR(LEFT(B69,4)="Cash",LEFT(B69,4)="Prov"),0,SUMIFS('Input_APM (Zenith)'!N:N,'Input_APM (Zenith)'!L:L,'Check (Zenith)'!B69,'Input_APM (Zenith)'!M:M,'Check (Zenith)'!$C$1)))</f>
        <v/>
      </c>
      <c r="D69" s="174" t="str">
        <f>IF(B69="","",IF(OR(LEFT(B69,4)="Cash",LEFT(B69,4)="Prov"),0,SUMIFS('Input_APM (Zenith)'!N:N,'Input_APM (Zenith)'!L:L,'Check (Zenith)'!B69,'Input_APM (Zenith)'!M:M,'Check (Zenith)'!$D$1)))</f>
        <v/>
      </c>
      <c r="E69" s="174" t="str">
        <f t="shared" si="0"/>
        <v/>
      </c>
    </row>
    <row r="70" spans="3:5">
      <c r="C70" s="174" t="str">
        <f>IF(B70="","",IF(OR(LEFT(B70,4)="Cash",LEFT(B70,4)="Prov"),0,SUMIFS('Input_APM (Zenith)'!N:N,'Input_APM (Zenith)'!L:L,'Check (Zenith)'!B70,'Input_APM (Zenith)'!M:M,'Check (Zenith)'!$C$1)))</f>
        <v/>
      </c>
      <c r="D70" s="174" t="str">
        <f>IF(B70="","",IF(OR(LEFT(B70,4)="Cash",LEFT(B70,4)="Prov"),0,SUMIFS('Input_APM (Zenith)'!N:N,'Input_APM (Zenith)'!L:L,'Check (Zenith)'!B70,'Input_APM (Zenith)'!M:M,'Check (Zenith)'!$D$1)))</f>
        <v/>
      </c>
      <c r="E70" s="174" t="str">
        <f t="shared" ref="E70:E81" si="1">IF(B70="","",C70-D70)</f>
        <v/>
      </c>
    </row>
    <row r="71" spans="3:5">
      <c r="C71" s="174" t="str">
        <f>IF(B71="","",IF(OR(LEFT(B71,4)="Cash",LEFT(B71,4)="Prov"),0,SUMIFS('Input_APM (Zenith)'!N:N,'Input_APM (Zenith)'!L:L,'Check (Zenith)'!B71,'Input_APM (Zenith)'!M:M,'Check (Zenith)'!$C$1)))</f>
        <v/>
      </c>
      <c r="D71" s="174" t="str">
        <f>IF(B71="","",IF(OR(LEFT(B71,4)="Cash",LEFT(B71,4)="Prov"),0,SUMIFS('Input_APM (Zenith)'!N:N,'Input_APM (Zenith)'!L:L,'Check (Zenith)'!B71,'Input_APM (Zenith)'!M:M,'Check (Zenith)'!$D$1)))</f>
        <v/>
      </c>
      <c r="E71" s="174" t="str">
        <f t="shared" si="1"/>
        <v/>
      </c>
    </row>
    <row r="72" spans="3:5">
      <c r="C72" s="174" t="str">
        <f>IF(B72="","",IF(OR(LEFT(B72,4)="Cash",LEFT(B72,4)="Prov"),0,SUMIFS('Input_APM (Zenith)'!N:N,'Input_APM (Zenith)'!L:L,'Check (Zenith)'!B72,'Input_APM (Zenith)'!M:M,'Check (Zenith)'!$C$1)))</f>
        <v/>
      </c>
      <c r="D72" s="174" t="str">
        <f>IF(B72="","",IF(OR(LEFT(B72,4)="Cash",LEFT(B72,4)="Prov"),0,SUMIFS('Input_APM (Zenith)'!N:N,'Input_APM (Zenith)'!L:L,'Check (Zenith)'!B72,'Input_APM (Zenith)'!M:M,'Check (Zenith)'!$D$1)))</f>
        <v/>
      </c>
      <c r="E72" s="174" t="str">
        <f t="shared" si="1"/>
        <v/>
      </c>
    </row>
    <row r="73" spans="3:5">
      <c r="C73" s="174" t="str">
        <f>IF(B73="","",IF(OR(LEFT(B73,4)="Cash",LEFT(B73,4)="Prov"),0,SUMIFS('Input_APM (Zenith)'!N:N,'Input_APM (Zenith)'!L:L,'Check (Zenith)'!B73,'Input_APM (Zenith)'!M:M,'Check (Zenith)'!$C$1)))</f>
        <v/>
      </c>
      <c r="D73" s="174" t="str">
        <f>IF(B73="","",IF(OR(LEFT(B73,4)="Cash",LEFT(B73,4)="Prov"),0,SUMIFS('Input_APM (Zenith)'!N:N,'Input_APM (Zenith)'!L:L,'Check (Zenith)'!B73,'Input_APM (Zenith)'!M:M,'Check (Zenith)'!$D$1)))</f>
        <v/>
      </c>
      <c r="E73" s="174" t="str">
        <f t="shared" si="1"/>
        <v/>
      </c>
    </row>
    <row r="74" spans="3:5">
      <c r="C74" s="174" t="str">
        <f>IF(B74="","",IF(OR(LEFT(B74,4)="Cash",LEFT(B74,4)="Prov"),0,SUMIFS('Input_APM (Zenith)'!N:N,'Input_APM (Zenith)'!L:L,'Check (Zenith)'!B74,'Input_APM (Zenith)'!M:M,'Check (Zenith)'!$C$1)))</f>
        <v/>
      </c>
      <c r="D74" s="174" t="str">
        <f>IF(B74="","",IF(OR(LEFT(B74,4)="Cash",LEFT(B74,4)="Prov"),0,SUMIFS('Input_APM (Zenith)'!N:N,'Input_APM (Zenith)'!L:L,'Check (Zenith)'!B74,'Input_APM (Zenith)'!M:M,'Check (Zenith)'!$D$1)))</f>
        <v/>
      </c>
      <c r="E74" s="174" t="str">
        <f t="shared" si="1"/>
        <v/>
      </c>
    </row>
    <row r="75" spans="3:5">
      <c r="C75" s="174" t="str">
        <f>IF(B75="","",IF(OR(LEFT(B75,4)="Cash",LEFT(B75,4)="Prov"),0,SUMIFS('Input_APM (Zenith)'!N:N,'Input_APM (Zenith)'!L:L,'Check (Zenith)'!B75,'Input_APM (Zenith)'!M:M,'Check (Zenith)'!$C$1)))</f>
        <v/>
      </c>
      <c r="D75" s="174" t="str">
        <f>IF(B75="","",IF(OR(LEFT(B75,4)="Cash",LEFT(B75,4)="Prov"),0,SUMIFS('Input_APM (Zenith)'!N:N,'Input_APM (Zenith)'!L:L,'Check (Zenith)'!B75,'Input_APM (Zenith)'!M:M,'Check (Zenith)'!$D$1)))</f>
        <v/>
      </c>
      <c r="E75" s="174" t="str">
        <f t="shared" si="1"/>
        <v/>
      </c>
    </row>
    <row r="76" spans="3:5">
      <c r="C76" s="174" t="str">
        <f>IF(B76="","",IF(OR(LEFT(B76,4)="Cash",LEFT(B76,4)="Prov"),0,SUMIFS('Input_APM (Zenith)'!N:N,'Input_APM (Zenith)'!L:L,'Check (Zenith)'!B76,'Input_APM (Zenith)'!M:M,'Check (Zenith)'!$C$1)))</f>
        <v/>
      </c>
      <c r="D76" s="174" t="str">
        <f>IF(B76="","",IF(OR(LEFT(B76,4)="Cash",LEFT(B76,4)="Prov"),0,SUMIFS('Input_APM (Zenith)'!N:N,'Input_APM (Zenith)'!L:L,'Check (Zenith)'!B76,'Input_APM (Zenith)'!M:M,'Check (Zenith)'!$D$1)))</f>
        <v/>
      </c>
      <c r="E76" s="174" t="str">
        <f t="shared" si="1"/>
        <v/>
      </c>
    </row>
    <row r="77" spans="3:5">
      <c r="C77" s="174" t="str">
        <f>IF(B77="","",IF(OR(LEFT(B77,4)="Cash",LEFT(B77,4)="Prov"),0,SUMIFS('Input_APM (Zenith)'!N:N,'Input_APM (Zenith)'!L:L,'Check (Zenith)'!B77,'Input_APM (Zenith)'!M:M,'Check (Zenith)'!$C$1)))</f>
        <v/>
      </c>
      <c r="D77" s="174" t="str">
        <f>IF(B77="","",IF(OR(LEFT(B77,4)="Cash",LEFT(B77,4)="Prov"),0,SUMIFS('Input_APM (Zenith)'!N:N,'Input_APM (Zenith)'!L:L,'Check (Zenith)'!B77,'Input_APM (Zenith)'!M:M,'Check (Zenith)'!$D$1)))</f>
        <v/>
      </c>
      <c r="E77" s="174" t="str">
        <f t="shared" si="1"/>
        <v/>
      </c>
    </row>
    <row r="78" spans="3:5">
      <c r="C78" s="174" t="str">
        <f>IF(B78="","",IF(OR(LEFT(B78,4)="Cash",LEFT(B78,4)="Prov"),0,SUMIFS('Input_APM (Zenith)'!N:N,'Input_APM (Zenith)'!L:L,'Check (Zenith)'!B78,'Input_APM (Zenith)'!M:M,'Check (Zenith)'!$C$1)))</f>
        <v/>
      </c>
      <c r="D78" s="174" t="str">
        <f>IF(B78="","",IF(OR(LEFT(B78,4)="Cash",LEFT(B78,4)="Prov"),0,SUMIFS('Input_APM (Zenith)'!N:N,'Input_APM (Zenith)'!L:L,'Check (Zenith)'!B78,'Input_APM (Zenith)'!M:M,'Check (Zenith)'!$D$1)))</f>
        <v/>
      </c>
      <c r="E78" s="174" t="str">
        <f t="shared" si="1"/>
        <v/>
      </c>
    </row>
    <row r="79" spans="3:5">
      <c r="C79" s="174" t="str">
        <f>IF(B79="","",IF(OR(LEFT(B79,4)="Cash",LEFT(B79,4)="Prov"),0,SUMIFS('Input_APM (Zenith)'!N:N,'Input_APM (Zenith)'!L:L,'Check (Zenith)'!B79,'Input_APM (Zenith)'!M:M,'Check (Zenith)'!$C$1)))</f>
        <v/>
      </c>
      <c r="D79" s="174" t="str">
        <f>IF(B79="","",IF(OR(LEFT(B79,4)="Cash",LEFT(B79,4)="Prov"),0,SUMIFS('Input_APM (Zenith)'!N:N,'Input_APM (Zenith)'!L:L,'Check (Zenith)'!B79,'Input_APM (Zenith)'!M:M,'Check (Zenith)'!$D$1)))</f>
        <v/>
      </c>
      <c r="E79" s="174" t="str">
        <f t="shared" si="1"/>
        <v/>
      </c>
    </row>
    <row r="80" spans="3:5">
      <c r="C80" s="174" t="str">
        <f>IF(B80="","",IF(OR(LEFT(B80,4)="Cash",LEFT(B80,4)="Prov"),0,SUMIFS('Input_APM (Zenith)'!N:N,'Input_APM (Zenith)'!L:L,'Check (Zenith)'!B80,'Input_APM (Zenith)'!M:M,'Check (Zenith)'!$C$1)))</f>
        <v/>
      </c>
      <c r="D80" s="174" t="str">
        <f>IF(B80="","",IF(OR(LEFT(B80,4)="Cash",LEFT(B80,4)="Prov"),0,SUMIFS('Input_APM (Zenith)'!N:N,'Input_APM (Zenith)'!L:L,'Check (Zenith)'!B80,'Input_APM (Zenith)'!M:M,'Check (Zenith)'!$D$1)))</f>
        <v/>
      </c>
      <c r="E80" s="174" t="str">
        <f t="shared" si="1"/>
        <v/>
      </c>
    </row>
    <row r="81" spans="3:5">
      <c r="C81" s="174" t="str">
        <f>IF(B81="","",IF(OR(LEFT(B81,4)="Cash",LEFT(B81,4)="Prov"),0,SUMIFS('Input_APM (Zenith)'!N:N,'Input_APM (Zenith)'!L:L,'Check (Zenith)'!B81,'Input_APM (Zenith)'!M:M,'Check (Zenith)'!$C$1)))</f>
        <v/>
      </c>
      <c r="D81" s="174" t="str">
        <f>IF(B81="","",IF(OR(LEFT(B81,4)="Cash",LEFT(B81,4)="Prov"),0,SUMIFS('Input_APM (Zenith)'!N:N,'Input_APM (Zenith)'!L:L,'Check (Zenith)'!B81,'Input_APM (Zenith)'!M:M,'Check (Zenith)'!$D$1)))</f>
        <v/>
      </c>
      <c r="E81" s="174" t="str">
        <f t="shared" si="1"/>
        <v/>
      </c>
    </row>
    <row r="82" spans="3:5">
      <c r="C82" s="174" t="str">
        <f>IF(B82="","",IF(OR(LEFT(B82,4)="Cash",LEFT(B82,4)="Prov"),0,SUMIFS('Input_APM (Zenith)'!N:N,'Input_APM (Zenith)'!L:L,'Check (Zenith)'!B82,'Input_APM (Zenith)'!M:M,'Check (Zenith)'!$C$1)))</f>
        <v/>
      </c>
      <c r="D82" s="174" t="str">
        <f>IF(B82="","",IF(OR(LEFT(B82,4)="Cash",LEFT(B82,4)="Prov"),0,SUMIFS('Input_APM (Zenith)'!N:N,'Input_APM (Zenith)'!L:L,'Check (Zenith)'!B82,'Input_APM (Zenith)'!M:M,'Check (Zenith)'!$D$1)))</f>
        <v/>
      </c>
      <c r="E82" s="174" t="str">
        <f t="shared" ref="E82:E145" si="2">IF(B82="","",C82-D82)</f>
        <v/>
      </c>
    </row>
    <row r="83" spans="3:5">
      <c r="C83" s="174" t="str">
        <f>IF(B83="","",IF(OR(LEFT(B83,4)="Cash",LEFT(B83,4)="Prov"),0,SUMIFS('Input_APM (Zenith)'!N:N,'Input_APM (Zenith)'!L:L,'Check (Zenith)'!B83,'Input_APM (Zenith)'!M:M,'Check (Zenith)'!$C$1)))</f>
        <v/>
      </c>
      <c r="D83" s="174" t="str">
        <f>IF(B83="","",IF(OR(LEFT(B83,4)="Cash",LEFT(B83,4)="Prov"),0,SUMIFS('Input_APM (Zenith)'!N:N,'Input_APM (Zenith)'!L:L,'Check (Zenith)'!B83,'Input_APM (Zenith)'!M:M,'Check (Zenith)'!$D$1)))</f>
        <v/>
      </c>
      <c r="E83" s="174" t="str">
        <f t="shared" si="2"/>
        <v/>
      </c>
    </row>
    <row r="84" spans="3:5">
      <c r="C84" s="174" t="str">
        <f>IF(B84="","",IF(OR(LEFT(B84,4)="Cash",LEFT(B84,4)="Prov"),0,SUMIFS('Input_APM (Zenith)'!N:N,'Input_APM (Zenith)'!L:L,'Check (Zenith)'!B84,'Input_APM (Zenith)'!M:M,'Check (Zenith)'!$C$1)))</f>
        <v/>
      </c>
      <c r="D84" s="174" t="str">
        <f>IF(B84="","",IF(OR(LEFT(B84,4)="Cash",LEFT(B84,4)="Prov"),0,SUMIFS('Input_APM (Zenith)'!N:N,'Input_APM (Zenith)'!L:L,'Check (Zenith)'!B84,'Input_APM (Zenith)'!M:M,'Check (Zenith)'!$D$1)))</f>
        <v/>
      </c>
      <c r="E84" s="174" t="str">
        <f t="shared" si="2"/>
        <v/>
      </c>
    </row>
    <row r="85" spans="3:5">
      <c r="C85" s="174" t="str">
        <f>IF(B85="","",IF(OR(LEFT(B85,4)="Cash",LEFT(B85,4)="Prov"),0,SUMIFS('Input_APM (Zenith)'!N:N,'Input_APM (Zenith)'!L:L,'Check (Zenith)'!B85,'Input_APM (Zenith)'!M:M,'Check (Zenith)'!$C$1)))</f>
        <v/>
      </c>
      <c r="D85" s="174" t="str">
        <f>IF(B85="","",IF(OR(LEFT(B85,4)="Cash",LEFT(B85,4)="Prov"),0,SUMIFS('Input_APM (Zenith)'!N:N,'Input_APM (Zenith)'!L:L,'Check (Zenith)'!B85,'Input_APM (Zenith)'!M:M,'Check (Zenith)'!$D$1)))</f>
        <v/>
      </c>
      <c r="E85" s="174" t="str">
        <f t="shared" si="2"/>
        <v/>
      </c>
    </row>
    <row r="86" spans="3:5">
      <c r="C86" s="174" t="str">
        <f>IF(B86="","",IF(OR(LEFT(B86,4)="Cash",LEFT(B86,4)="Prov"),0,SUMIFS('Input_APM (Zenith)'!N:N,'Input_APM (Zenith)'!L:L,'Check (Zenith)'!B86,'Input_APM (Zenith)'!M:M,'Check (Zenith)'!$C$1)))</f>
        <v/>
      </c>
      <c r="D86" s="174" t="str">
        <f>IF(B86="","",IF(OR(LEFT(B86,4)="Cash",LEFT(B86,4)="Prov"),0,SUMIFS('Input_APM (Zenith)'!N:N,'Input_APM (Zenith)'!L:L,'Check (Zenith)'!B86,'Input_APM (Zenith)'!M:M,'Check (Zenith)'!$D$1)))</f>
        <v/>
      </c>
      <c r="E86" s="174" t="str">
        <f t="shared" si="2"/>
        <v/>
      </c>
    </row>
    <row r="87" spans="3:5">
      <c r="C87" s="174" t="str">
        <f>IF(B87="","",IF(OR(LEFT(B87,4)="Cash",LEFT(B87,4)="Prov"),0,SUMIFS('Input_APM (Zenith)'!N:N,'Input_APM (Zenith)'!L:L,'Check (Zenith)'!B87,'Input_APM (Zenith)'!M:M,'Check (Zenith)'!$C$1)))</f>
        <v/>
      </c>
      <c r="D87" s="174" t="str">
        <f>IF(B87="","",IF(OR(LEFT(B87,4)="Cash",LEFT(B87,4)="Prov"),0,SUMIFS('Input_APM (Zenith)'!N:N,'Input_APM (Zenith)'!L:L,'Check (Zenith)'!B87,'Input_APM (Zenith)'!M:M,'Check (Zenith)'!$D$1)))</f>
        <v/>
      </c>
      <c r="E87" s="174" t="str">
        <f t="shared" si="2"/>
        <v/>
      </c>
    </row>
    <row r="88" spans="3:5">
      <c r="C88" s="174" t="str">
        <f>IF(B88="","",IF(OR(LEFT(B88,4)="Cash",LEFT(B88,4)="Prov"),0,SUMIFS('Input_APM (Zenith)'!N:N,'Input_APM (Zenith)'!L:L,'Check (Zenith)'!B88,'Input_APM (Zenith)'!M:M,'Check (Zenith)'!$C$1)))</f>
        <v/>
      </c>
      <c r="D88" s="174" t="str">
        <f>IF(B88="","",IF(OR(LEFT(B88,4)="Cash",LEFT(B88,4)="Prov"),0,SUMIFS('Input_APM (Zenith)'!N:N,'Input_APM (Zenith)'!L:L,'Check (Zenith)'!B88,'Input_APM (Zenith)'!M:M,'Check (Zenith)'!$D$1)))</f>
        <v/>
      </c>
      <c r="E88" s="174" t="str">
        <f t="shared" si="2"/>
        <v/>
      </c>
    </row>
    <row r="89" spans="3:5">
      <c r="C89" s="174" t="str">
        <f>IF(B89="","",IF(OR(LEFT(B89,4)="Cash",LEFT(B89,4)="Prov"),0,SUMIFS('Input_APM (Zenith)'!N:N,'Input_APM (Zenith)'!L:L,'Check (Zenith)'!B89,'Input_APM (Zenith)'!M:M,'Check (Zenith)'!$C$1)))</f>
        <v/>
      </c>
      <c r="D89" s="174" t="str">
        <f>IF(B89="","",IF(OR(LEFT(B89,4)="Cash",LEFT(B89,4)="Prov"),0,SUMIFS('Input_APM (Zenith)'!N:N,'Input_APM (Zenith)'!L:L,'Check (Zenith)'!B89,'Input_APM (Zenith)'!M:M,'Check (Zenith)'!$D$1)))</f>
        <v/>
      </c>
      <c r="E89" s="174" t="str">
        <f t="shared" si="2"/>
        <v/>
      </c>
    </row>
    <row r="90" spans="3:5">
      <c r="C90" s="174" t="str">
        <f>IF(B90="","",IF(OR(LEFT(B90,4)="Cash",LEFT(B90,4)="Prov"),0,SUMIFS('Input_APM (Zenith)'!N:N,'Input_APM (Zenith)'!L:L,'Check (Zenith)'!B90,'Input_APM (Zenith)'!M:M,'Check (Zenith)'!$C$1)))</f>
        <v/>
      </c>
      <c r="D90" s="174" t="str">
        <f>IF(B90="","",IF(OR(LEFT(B90,4)="Cash",LEFT(B90,4)="Prov"),0,SUMIFS('Input_APM (Zenith)'!N:N,'Input_APM (Zenith)'!L:L,'Check (Zenith)'!B90,'Input_APM (Zenith)'!M:M,'Check (Zenith)'!$D$1)))</f>
        <v/>
      </c>
      <c r="E90" s="174" t="str">
        <f t="shared" si="2"/>
        <v/>
      </c>
    </row>
    <row r="91" spans="3:5">
      <c r="C91" s="174" t="str">
        <f>IF(B91="","",IF(OR(LEFT(B91,4)="Cash",LEFT(B91,4)="Prov"),0,SUMIFS('Input_APM (Zenith)'!N:N,'Input_APM (Zenith)'!L:L,'Check (Zenith)'!B91,'Input_APM (Zenith)'!M:M,'Check (Zenith)'!$C$1)))</f>
        <v/>
      </c>
      <c r="D91" s="174" t="str">
        <f>IF(B91="","",IF(OR(LEFT(B91,4)="Cash",LEFT(B91,4)="Prov"),0,SUMIFS('Input_APM (Zenith)'!N:N,'Input_APM (Zenith)'!L:L,'Check (Zenith)'!B91,'Input_APM (Zenith)'!M:M,'Check (Zenith)'!$D$1)))</f>
        <v/>
      </c>
      <c r="E91" s="174" t="str">
        <f t="shared" si="2"/>
        <v/>
      </c>
    </row>
    <row r="92" spans="3:5">
      <c r="C92" s="174" t="str">
        <f>IF(B92="","",IF(OR(LEFT(B92,4)="Cash",LEFT(B92,4)="Prov"),0,SUMIFS('Input_APM (Zenith)'!N:N,'Input_APM (Zenith)'!L:L,'Check (Zenith)'!B92,'Input_APM (Zenith)'!M:M,'Check (Zenith)'!$C$1)))</f>
        <v/>
      </c>
      <c r="D92" s="174" t="str">
        <f>IF(B92="","",IF(OR(LEFT(B92,4)="Cash",LEFT(B92,4)="Prov"),0,SUMIFS('Input_APM (Zenith)'!N:N,'Input_APM (Zenith)'!L:L,'Check (Zenith)'!B92,'Input_APM (Zenith)'!M:M,'Check (Zenith)'!$D$1)))</f>
        <v/>
      </c>
      <c r="E92" s="174" t="str">
        <f t="shared" si="2"/>
        <v/>
      </c>
    </row>
    <row r="93" spans="3:5">
      <c r="C93" s="174" t="str">
        <f>IF(B93="","",IF(OR(LEFT(B93,4)="Cash",LEFT(B93,4)="Prov"),0,SUMIFS('Input_APM (Zenith)'!N:N,'Input_APM (Zenith)'!L:L,'Check (Zenith)'!B93,'Input_APM (Zenith)'!M:M,'Check (Zenith)'!$C$1)))</f>
        <v/>
      </c>
      <c r="D93" s="174" t="str">
        <f>IF(B93="","",IF(OR(LEFT(B93,4)="Cash",LEFT(B93,4)="Prov"),0,SUMIFS('Input_APM (Zenith)'!N:N,'Input_APM (Zenith)'!L:L,'Check (Zenith)'!B93,'Input_APM (Zenith)'!M:M,'Check (Zenith)'!$D$1)))</f>
        <v/>
      </c>
      <c r="E93" s="174" t="str">
        <f t="shared" si="2"/>
        <v/>
      </c>
    </row>
    <row r="94" spans="3:5">
      <c r="C94" s="174" t="str">
        <f>IF(B94="","",IF(OR(LEFT(B94,4)="Cash",LEFT(B94,4)="Prov"),0,SUMIFS('Input_APM (Zenith)'!N:N,'Input_APM (Zenith)'!L:L,'Check (Zenith)'!B94,'Input_APM (Zenith)'!M:M,'Check (Zenith)'!$C$1)))</f>
        <v/>
      </c>
      <c r="D94" s="174" t="str">
        <f>IF(B94="","",IF(OR(LEFT(B94,4)="Cash",LEFT(B94,4)="Prov"),0,SUMIFS('Input_APM (Zenith)'!N:N,'Input_APM (Zenith)'!L:L,'Check (Zenith)'!B94,'Input_APM (Zenith)'!M:M,'Check (Zenith)'!$D$1)))</f>
        <v/>
      </c>
      <c r="E94" s="174" t="str">
        <f t="shared" si="2"/>
        <v/>
      </c>
    </row>
    <row r="95" spans="3:5">
      <c r="C95" s="174" t="str">
        <f>IF(B95="","",IF(OR(LEFT(B95,4)="Cash",LEFT(B95,4)="Prov"),0,SUMIFS('Input_APM (Zenith)'!N:N,'Input_APM (Zenith)'!L:L,'Check (Zenith)'!B95,'Input_APM (Zenith)'!M:M,'Check (Zenith)'!$C$1)))</f>
        <v/>
      </c>
      <c r="D95" s="174" t="str">
        <f>IF(B95="","",IF(OR(LEFT(B95,4)="Cash",LEFT(B95,4)="Prov"),0,SUMIFS('Input_APM (Zenith)'!N:N,'Input_APM (Zenith)'!L:L,'Check (Zenith)'!B95,'Input_APM (Zenith)'!M:M,'Check (Zenith)'!$D$1)))</f>
        <v/>
      </c>
      <c r="E95" s="174" t="str">
        <f t="shared" si="2"/>
        <v/>
      </c>
    </row>
    <row r="96" spans="3:5">
      <c r="C96" s="174" t="str">
        <f>IF(B96="","",IF(OR(LEFT(B96,4)="Cash",LEFT(B96,4)="Prov"),0,SUMIFS('Input_APM (Zenith)'!N:N,'Input_APM (Zenith)'!L:L,'Check (Zenith)'!B96,'Input_APM (Zenith)'!M:M,'Check (Zenith)'!$C$1)))</f>
        <v/>
      </c>
      <c r="D96" s="174" t="str">
        <f>IF(B96="","",IF(OR(LEFT(B96,4)="Cash",LEFT(B96,4)="Prov"),0,SUMIFS('Input_APM (Zenith)'!N:N,'Input_APM (Zenith)'!L:L,'Check (Zenith)'!B96,'Input_APM (Zenith)'!M:M,'Check (Zenith)'!$D$1)))</f>
        <v/>
      </c>
      <c r="E96" s="174" t="str">
        <f t="shared" si="2"/>
        <v/>
      </c>
    </row>
    <row r="97" spans="3:5">
      <c r="C97" s="174" t="str">
        <f>IF(B97="","",IF(OR(LEFT(B97,4)="Cash",LEFT(B97,4)="Prov"),0,SUMIFS('Input_APM (Zenith)'!N:N,'Input_APM (Zenith)'!L:L,'Check (Zenith)'!B97,'Input_APM (Zenith)'!M:M,'Check (Zenith)'!$C$1)))</f>
        <v/>
      </c>
      <c r="D97" s="174" t="str">
        <f>IF(B97="","",IF(OR(LEFT(B97,4)="Cash",LEFT(B97,4)="Prov"),0,SUMIFS('Input_APM (Zenith)'!N:N,'Input_APM (Zenith)'!L:L,'Check (Zenith)'!B97,'Input_APM (Zenith)'!M:M,'Check (Zenith)'!$D$1)))</f>
        <v/>
      </c>
      <c r="E97" s="174" t="str">
        <f t="shared" si="2"/>
        <v/>
      </c>
    </row>
    <row r="98" spans="3:5">
      <c r="C98" s="174" t="str">
        <f>IF(B98="","",IF(OR(LEFT(B98,4)="Cash",LEFT(B98,4)="Prov"),0,SUMIFS('Input_APM (Zenith)'!N:N,'Input_APM (Zenith)'!L:L,'Check (Zenith)'!B98,'Input_APM (Zenith)'!M:M,'Check (Zenith)'!$C$1)))</f>
        <v/>
      </c>
      <c r="D98" s="174" t="str">
        <f>IF(B98="","",IF(OR(LEFT(B98,4)="Cash",LEFT(B98,4)="Prov"),0,SUMIFS('Input_APM (Zenith)'!N:N,'Input_APM (Zenith)'!L:L,'Check (Zenith)'!B98,'Input_APM (Zenith)'!M:M,'Check (Zenith)'!$D$1)))</f>
        <v/>
      </c>
      <c r="E98" s="174" t="str">
        <f t="shared" si="2"/>
        <v/>
      </c>
    </row>
    <row r="99" spans="3:5">
      <c r="C99" s="174" t="str">
        <f>IF(B99="","",IF(OR(LEFT(B99,4)="Cash",LEFT(B99,4)="Prov"),0,SUMIFS('Input_APM (Zenith)'!N:N,'Input_APM (Zenith)'!L:L,'Check (Zenith)'!B99,'Input_APM (Zenith)'!M:M,'Check (Zenith)'!$C$1)))</f>
        <v/>
      </c>
      <c r="D99" s="174" t="str">
        <f>IF(B99="","",IF(OR(LEFT(B99,4)="Cash",LEFT(B99,4)="Prov"),0,SUMIFS('Input_APM (Zenith)'!N:N,'Input_APM (Zenith)'!L:L,'Check (Zenith)'!B99,'Input_APM (Zenith)'!M:M,'Check (Zenith)'!$D$1)))</f>
        <v/>
      </c>
      <c r="E99" s="174" t="str">
        <f t="shared" si="2"/>
        <v/>
      </c>
    </row>
    <row r="100" spans="3:5">
      <c r="C100" s="174" t="str">
        <f>IF(B100="","",IF(OR(LEFT(B100,4)="Cash",LEFT(B100,4)="Prov"),0,SUMIFS('Input_APM (Zenith)'!N:N,'Input_APM (Zenith)'!L:L,'Check (Zenith)'!B100,'Input_APM (Zenith)'!M:M,'Check (Zenith)'!$C$1)))</f>
        <v/>
      </c>
      <c r="D100" s="174" t="str">
        <f>IF(B100="","",IF(OR(LEFT(B100,4)="Cash",LEFT(B100,4)="Prov"),0,SUMIFS('Input_APM (Zenith)'!N:N,'Input_APM (Zenith)'!L:L,'Check (Zenith)'!B100,'Input_APM (Zenith)'!M:M,'Check (Zenith)'!$D$1)))</f>
        <v/>
      </c>
      <c r="E100" s="174" t="str">
        <f t="shared" si="2"/>
        <v/>
      </c>
    </row>
    <row r="101" spans="3:5">
      <c r="C101" s="174" t="str">
        <f>IF(B101="","",IF(OR(LEFT(B101,4)="Cash",LEFT(B101,4)="Prov"),0,SUMIFS('Input_APM (Zenith)'!N:N,'Input_APM (Zenith)'!L:L,'Check (Zenith)'!B101,'Input_APM (Zenith)'!M:M,'Check (Zenith)'!$C$1)))</f>
        <v/>
      </c>
      <c r="D101" s="174" t="str">
        <f>IF(B101="","",IF(OR(LEFT(B101,4)="Cash",LEFT(B101,4)="Prov"),0,SUMIFS('Input_APM (Zenith)'!N:N,'Input_APM (Zenith)'!L:L,'Check (Zenith)'!B101,'Input_APM (Zenith)'!M:M,'Check (Zenith)'!$D$1)))</f>
        <v/>
      </c>
      <c r="E101" s="174" t="str">
        <f t="shared" si="2"/>
        <v/>
      </c>
    </row>
    <row r="102" spans="3:5">
      <c r="C102" s="174" t="str">
        <f>IF(B102="","",IF(OR(LEFT(B102,4)="Cash",LEFT(B102,4)="Prov"),0,SUMIFS('Input_APM (Zenith)'!N:N,'Input_APM (Zenith)'!L:L,'Check (Zenith)'!B102,'Input_APM (Zenith)'!M:M,'Check (Zenith)'!$C$1)))</f>
        <v/>
      </c>
      <c r="D102" s="174" t="str">
        <f>IF(B102="","",IF(OR(LEFT(B102,4)="Cash",LEFT(B102,4)="Prov"),0,SUMIFS('Input_APM (Zenith)'!N:N,'Input_APM (Zenith)'!L:L,'Check (Zenith)'!B102,'Input_APM (Zenith)'!M:M,'Check (Zenith)'!$D$1)))</f>
        <v/>
      </c>
      <c r="E102" s="174" t="str">
        <f t="shared" si="2"/>
        <v/>
      </c>
    </row>
    <row r="103" spans="3:5">
      <c r="C103" s="174" t="str">
        <f>IF(B103="","",IF(OR(LEFT(B103,4)="Cash",LEFT(B103,4)="Prov"),0,SUMIFS('Input_APM (Zenith)'!N:N,'Input_APM (Zenith)'!L:L,'Check (Zenith)'!B103,'Input_APM (Zenith)'!M:M,'Check (Zenith)'!$C$1)))</f>
        <v/>
      </c>
      <c r="D103" s="174" t="str">
        <f>IF(B103="","",IF(OR(LEFT(B103,4)="Cash",LEFT(B103,4)="Prov"),0,SUMIFS('Input_APM (Zenith)'!N:N,'Input_APM (Zenith)'!L:L,'Check (Zenith)'!B103,'Input_APM (Zenith)'!M:M,'Check (Zenith)'!$D$1)))</f>
        <v/>
      </c>
      <c r="E103" s="174" t="str">
        <f t="shared" si="2"/>
        <v/>
      </c>
    </row>
    <row r="104" spans="3:5">
      <c r="C104" s="174" t="str">
        <f>IF(B104="","",IF(OR(LEFT(B104,4)="Cash",LEFT(B104,4)="Prov"),0,SUMIFS('Input_APM (Zenith)'!N:N,'Input_APM (Zenith)'!L:L,'Check (Zenith)'!B104,'Input_APM (Zenith)'!M:M,'Check (Zenith)'!$C$1)))</f>
        <v/>
      </c>
      <c r="D104" s="174" t="str">
        <f>IF(B104="","",IF(OR(LEFT(B104,4)="Cash",LEFT(B104,4)="Prov"),0,SUMIFS('Input_APM (Zenith)'!N:N,'Input_APM (Zenith)'!L:L,'Check (Zenith)'!B104,'Input_APM (Zenith)'!M:M,'Check (Zenith)'!$D$1)))</f>
        <v/>
      </c>
      <c r="E104" s="174" t="str">
        <f t="shared" si="2"/>
        <v/>
      </c>
    </row>
    <row r="105" spans="3:5">
      <c r="C105" s="174" t="str">
        <f>IF(B105="","",IF(OR(LEFT(B105,4)="Cash",LEFT(B105,4)="Prov"),0,SUMIFS('Input_APM (Zenith)'!N:N,'Input_APM (Zenith)'!L:L,'Check (Zenith)'!B105,'Input_APM (Zenith)'!M:M,'Check (Zenith)'!$C$1)))</f>
        <v/>
      </c>
      <c r="D105" s="174" t="str">
        <f>IF(B105="","",IF(OR(LEFT(B105,4)="Cash",LEFT(B105,4)="Prov"),0,SUMIFS('Input_APM (Zenith)'!N:N,'Input_APM (Zenith)'!L:L,'Check (Zenith)'!B105,'Input_APM (Zenith)'!M:M,'Check (Zenith)'!$D$1)))</f>
        <v/>
      </c>
      <c r="E105" s="174" t="str">
        <f t="shared" si="2"/>
        <v/>
      </c>
    </row>
    <row r="106" spans="3:5">
      <c r="C106" s="174" t="str">
        <f>IF(B106="","",IF(OR(LEFT(B106,4)="Cash",LEFT(B106,4)="Prov"),0,SUMIFS('Input_APM (Zenith)'!N:N,'Input_APM (Zenith)'!L:L,'Check (Zenith)'!B106,'Input_APM (Zenith)'!M:M,'Check (Zenith)'!$C$1)))</f>
        <v/>
      </c>
      <c r="D106" s="174" t="str">
        <f>IF(B106="","",IF(OR(LEFT(B106,4)="Cash",LEFT(B106,4)="Prov"),0,SUMIFS('Input_APM (Zenith)'!N:N,'Input_APM (Zenith)'!L:L,'Check (Zenith)'!B106,'Input_APM (Zenith)'!M:M,'Check (Zenith)'!$D$1)))</f>
        <v/>
      </c>
      <c r="E106" s="174" t="str">
        <f t="shared" si="2"/>
        <v/>
      </c>
    </row>
    <row r="107" spans="3:5">
      <c r="C107" s="174" t="str">
        <f>IF(B107="","",IF(OR(LEFT(B107,4)="Cash",LEFT(B107,4)="Prov"),0,SUMIFS('Input_APM (Zenith)'!N:N,'Input_APM (Zenith)'!L:L,'Check (Zenith)'!B107,'Input_APM (Zenith)'!M:M,'Check (Zenith)'!$C$1)))</f>
        <v/>
      </c>
      <c r="D107" s="174" t="str">
        <f>IF(B107="","",IF(OR(LEFT(B107,4)="Cash",LEFT(B107,4)="Prov"),0,SUMIFS('Input_APM (Zenith)'!N:N,'Input_APM (Zenith)'!L:L,'Check (Zenith)'!B107,'Input_APM (Zenith)'!M:M,'Check (Zenith)'!$D$1)))</f>
        <v/>
      </c>
      <c r="E107" s="174" t="str">
        <f t="shared" si="2"/>
        <v/>
      </c>
    </row>
    <row r="108" spans="3:5">
      <c r="C108" s="174" t="str">
        <f>IF(B108="","",IF(OR(LEFT(B108,4)="Cash",LEFT(B108,4)="Prov"),0,SUMIFS('Input_APM (Zenith)'!N:N,'Input_APM (Zenith)'!L:L,'Check (Zenith)'!B108,'Input_APM (Zenith)'!M:M,'Check (Zenith)'!$C$1)))</f>
        <v/>
      </c>
      <c r="D108" s="174" t="str">
        <f>IF(B108="","",IF(OR(LEFT(B108,4)="Cash",LEFT(B108,4)="Prov"),0,SUMIFS('Input_APM (Zenith)'!N:N,'Input_APM (Zenith)'!L:L,'Check (Zenith)'!B108,'Input_APM (Zenith)'!M:M,'Check (Zenith)'!$D$1)))</f>
        <v/>
      </c>
      <c r="E108" s="174" t="str">
        <f t="shared" si="2"/>
        <v/>
      </c>
    </row>
    <row r="109" spans="3:5">
      <c r="C109" s="174" t="str">
        <f>IF(B109="","",IF(OR(LEFT(B109,4)="Cash",LEFT(B109,4)="Prov"),0,SUMIFS('Input_APM (Zenith)'!N:N,'Input_APM (Zenith)'!L:L,'Check (Zenith)'!B109,'Input_APM (Zenith)'!M:M,'Check (Zenith)'!$C$1)))</f>
        <v/>
      </c>
      <c r="D109" s="174" t="str">
        <f>IF(B109="","",IF(OR(LEFT(B109,4)="Cash",LEFT(B109,4)="Prov"),0,SUMIFS('Input_APM (Zenith)'!N:N,'Input_APM (Zenith)'!L:L,'Check (Zenith)'!B109,'Input_APM (Zenith)'!M:M,'Check (Zenith)'!$D$1)))</f>
        <v/>
      </c>
      <c r="E109" s="174" t="str">
        <f t="shared" si="2"/>
        <v/>
      </c>
    </row>
    <row r="110" spans="3:5">
      <c r="C110" s="174" t="str">
        <f>IF(B110="","",IF(OR(LEFT(B110,4)="Cash",LEFT(B110,4)="Prov"),0,SUMIFS('Input_APM (Zenith)'!N:N,'Input_APM (Zenith)'!L:L,'Check (Zenith)'!B110,'Input_APM (Zenith)'!M:M,'Check (Zenith)'!$C$1)))</f>
        <v/>
      </c>
      <c r="D110" s="174" t="str">
        <f>IF(B110="","",IF(OR(LEFT(B110,4)="Cash",LEFT(B110,4)="Prov"),0,SUMIFS('Input_APM (Zenith)'!N:N,'Input_APM (Zenith)'!L:L,'Check (Zenith)'!B110,'Input_APM (Zenith)'!M:M,'Check (Zenith)'!$D$1)))</f>
        <v/>
      </c>
      <c r="E110" s="174" t="str">
        <f t="shared" si="2"/>
        <v/>
      </c>
    </row>
    <row r="111" spans="3:5">
      <c r="C111" s="174" t="str">
        <f>IF(B111="","",IF(OR(LEFT(B111,4)="Cash",LEFT(B111,4)="Prov"),0,SUMIFS('Input_APM (Zenith)'!N:N,'Input_APM (Zenith)'!L:L,'Check (Zenith)'!B111,'Input_APM (Zenith)'!M:M,'Check (Zenith)'!$C$1)))</f>
        <v/>
      </c>
      <c r="D111" s="174" t="str">
        <f>IF(B111="","",IF(OR(LEFT(B111,4)="Cash",LEFT(B111,4)="Prov"),0,SUMIFS('Input_APM (Zenith)'!N:N,'Input_APM (Zenith)'!L:L,'Check (Zenith)'!B111,'Input_APM (Zenith)'!M:M,'Check (Zenith)'!$D$1)))</f>
        <v/>
      </c>
      <c r="E111" s="174" t="str">
        <f t="shared" si="2"/>
        <v/>
      </c>
    </row>
    <row r="112" spans="3:5">
      <c r="C112" s="174" t="str">
        <f>IF(B112="","",IF(OR(LEFT(B112,4)="Cash",LEFT(B112,4)="Prov"),0,SUMIFS('Input_APM (Zenith)'!N:N,'Input_APM (Zenith)'!L:L,'Check (Zenith)'!B112,'Input_APM (Zenith)'!M:M,'Check (Zenith)'!$C$1)))</f>
        <v/>
      </c>
      <c r="D112" s="174" t="str">
        <f>IF(B112="","",IF(OR(LEFT(B112,4)="Cash",LEFT(B112,4)="Prov"),0,SUMIFS('Input_APM (Zenith)'!N:N,'Input_APM (Zenith)'!L:L,'Check (Zenith)'!B112,'Input_APM (Zenith)'!M:M,'Check (Zenith)'!$D$1)))</f>
        <v/>
      </c>
      <c r="E112" s="174" t="str">
        <f t="shared" si="2"/>
        <v/>
      </c>
    </row>
    <row r="113" spans="3:5">
      <c r="C113" s="174" t="str">
        <f>IF(B113="","",IF(OR(LEFT(B113,4)="Cash",LEFT(B113,4)="Prov"),0,SUMIFS('Input_APM (Zenith)'!N:N,'Input_APM (Zenith)'!L:L,'Check (Zenith)'!B113,'Input_APM (Zenith)'!M:M,'Check (Zenith)'!$C$1)))</f>
        <v/>
      </c>
      <c r="D113" s="174" t="str">
        <f>IF(B113="","",IF(OR(LEFT(B113,4)="Cash",LEFT(B113,4)="Prov"),0,SUMIFS('Input_APM (Zenith)'!N:N,'Input_APM (Zenith)'!L:L,'Check (Zenith)'!B113,'Input_APM (Zenith)'!M:M,'Check (Zenith)'!$D$1)))</f>
        <v/>
      </c>
      <c r="E113" s="174" t="str">
        <f t="shared" si="2"/>
        <v/>
      </c>
    </row>
    <row r="114" spans="3:5">
      <c r="C114" s="174" t="str">
        <f>IF(B114="","",IF(OR(LEFT(B114,4)="Cash",LEFT(B114,4)="Prov"),0,SUMIFS('Input_APM (Zenith)'!N:N,'Input_APM (Zenith)'!L:L,'Check (Zenith)'!B114,'Input_APM (Zenith)'!M:M,'Check (Zenith)'!$C$1)))</f>
        <v/>
      </c>
      <c r="D114" s="174" t="str">
        <f>IF(B114="","",IF(OR(LEFT(B114,4)="Cash",LEFT(B114,4)="Prov"),0,SUMIFS('Input_APM (Zenith)'!N:N,'Input_APM (Zenith)'!L:L,'Check (Zenith)'!B114,'Input_APM (Zenith)'!M:M,'Check (Zenith)'!$D$1)))</f>
        <v/>
      </c>
      <c r="E114" s="174" t="str">
        <f t="shared" si="2"/>
        <v/>
      </c>
    </row>
    <row r="115" spans="3:5">
      <c r="C115" s="174" t="str">
        <f>IF(B115="","",IF(OR(LEFT(B115,4)="Cash",LEFT(B115,4)="Prov"),0,SUMIFS('Input_APM (Zenith)'!N:N,'Input_APM (Zenith)'!L:L,'Check (Zenith)'!B115,'Input_APM (Zenith)'!M:M,'Check (Zenith)'!$C$1)))</f>
        <v/>
      </c>
      <c r="D115" s="174" t="str">
        <f>IF(B115="","",IF(OR(LEFT(B115,4)="Cash",LEFT(B115,4)="Prov"),0,SUMIFS('Input_APM (Zenith)'!N:N,'Input_APM (Zenith)'!L:L,'Check (Zenith)'!B115,'Input_APM (Zenith)'!M:M,'Check (Zenith)'!$D$1)))</f>
        <v/>
      </c>
      <c r="E115" s="174" t="str">
        <f t="shared" si="2"/>
        <v/>
      </c>
    </row>
    <row r="116" spans="3:5">
      <c r="C116" s="174" t="str">
        <f>IF(B116="","",IF(OR(LEFT(B116,4)="Cash",LEFT(B116,4)="Prov"),0,SUMIFS('Input_APM (Zenith)'!N:N,'Input_APM (Zenith)'!L:L,'Check (Zenith)'!B116,'Input_APM (Zenith)'!M:M,'Check (Zenith)'!$C$1)))</f>
        <v/>
      </c>
      <c r="D116" s="174" t="str">
        <f>IF(B116="","",IF(OR(LEFT(B116,4)="Cash",LEFT(B116,4)="Prov"),0,SUMIFS('Input_APM (Zenith)'!N:N,'Input_APM (Zenith)'!L:L,'Check (Zenith)'!B116,'Input_APM (Zenith)'!M:M,'Check (Zenith)'!$D$1)))</f>
        <v/>
      </c>
      <c r="E116" s="174" t="str">
        <f t="shared" si="2"/>
        <v/>
      </c>
    </row>
    <row r="117" spans="3:5">
      <c r="C117" s="174" t="str">
        <f>IF(B117="","",IF(OR(LEFT(B117,4)="Cash",LEFT(B117,4)="Prov"),0,SUMIFS('Input_APM (Zenith)'!N:N,'Input_APM (Zenith)'!L:L,'Check (Zenith)'!B117,'Input_APM (Zenith)'!M:M,'Check (Zenith)'!$C$1)))</f>
        <v/>
      </c>
      <c r="D117" s="174" t="str">
        <f>IF(B117="","",IF(OR(LEFT(B117,4)="Cash",LEFT(B117,4)="Prov"),0,SUMIFS('Input_APM (Zenith)'!N:N,'Input_APM (Zenith)'!L:L,'Check (Zenith)'!B117,'Input_APM (Zenith)'!M:M,'Check (Zenith)'!$D$1)))</f>
        <v/>
      </c>
      <c r="E117" s="174" t="str">
        <f t="shared" si="2"/>
        <v/>
      </c>
    </row>
    <row r="118" spans="3:5">
      <c r="C118" s="174" t="str">
        <f>IF(B118="","",IF(OR(LEFT(B118,4)="Cash",LEFT(B118,4)="Prov"),0,SUMIFS('Input_APM (Zenith)'!N:N,'Input_APM (Zenith)'!L:L,'Check (Zenith)'!B118,'Input_APM (Zenith)'!M:M,'Check (Zenith)'!$C$1)))</f>
        <v/>
      </c>
      <c r="D118" s="174" t="str">
        <f>IF(B118="","",IF(OR(LEFT(B118,4)="Cash",LEFT(B118,4)="Prov"),0,SUMIFS('Input_APM (Zenith)'!N:N,'Input_APM (Zenith)'!L:L,'Check (Zenith)'!B118,'Input_APM (Zenith)'!M:M,'Check (Zenith)'!$D$1)))</f>
        <v/>
      </c>
      <c r="E118" s="174" t="str">
        <f t="shared" si="2"/>
        <v/>
      </c>
    </row>
    <row r="119" spans="3:5">
      <c r="C119" s="174" t="str">
        <f>IF(B119="","",IF(OR(LEFT(B119,4)="Cash",LEFT(B119,4)="Prov"),0,SUMIFS('Input_APM (Zenith)'!N:N,'Input_APM (Zenith)'!L:L,'Check (Zenith)'!B119,'Input_APM (Zenith)'!M:M,'Check (Zenith)'!$C$1)))</f>
        <v/>
      </c>
      <c r="D119" s="174" t="str">
        <f>IF(B119="","",IF(OR(LEFT(B119,4)="Cash",LEFT(B119,4)="Prov"),0,SUMIFS('Input_APM (Zenith)'!N:N,'Input_APM (Zenith)'!L:L,'Check (Zenith)'!B119,'Input_APM (Zenith)'!M:M,'Check (Zenith)'!$D$1)))</f>
        <v/>
      </c>
      <c r="E119" s="174" t="str">
        <f t="shared" si="2"/>
        <v/>
      </c>
    </row>
    <row r="120" spans="3:5">
      <c r="C120" s="174" t="str">
        <f>IF(B120="","",IF(OR(LEFT(B120,4)="Cash",LEFT(B120,4)="Prov"),0,SUMIFS('Input_APM (Zenith)'!N:N,'Input_APM (Zenith)'!L:L,'Check (Zenith)'!B120,'Input_APM (Zenith)'!M:M,'Check (Zenith)'!$C$1)))</f>
        <v/>
      </c>
      <c r="D120" s="174" t="str">
        <f>IF(B120="","",IF(OR(LEFT(B120,4)="Cash",LEFT(B120,4)="Prov"),0,SUMIFS('Input_APM (Zenith)'!N:N,'Input_APM (Zenith)'!L:L,'Check (Zenith)'!B120,'Input_APM (Zenith)'!M:M,'Check (Zenith)'!$D$1)))</f>
        <v/>
      </c>
      <c r="E120" s="174" t="str">
        <f t="shared" si="2"/>
        <v/>
      </c>
    </row>
    <row r="121" spans="3:5">
      <c r="C121" s="174" t="str">
        <f>IF(B121="","",IF(OR(LEFT(B121,4)="Cash",LEFT(B121,4)="Prov"),0,SUMIFS('Input_APM (Zenith)'!N:N,'Input_APM (Zenith)'!L:L,'Check (Zenith)'!B121,'Input_APM (Zenith)'!M:M,'Check (Zenith)'!$C$1)))</f>
        <v/>
      </c>
      <c r="D121" s="174" t="str">
        <f>IF(B121="","",IF(OR(LEFT(B121,4)="Cash",LEFT(B121,4)="Prov"),0,SUMIFS('Input_APM (Zenith)'!N:N,'Input_APM (Zenith)'!L:L,'Check (Zenith)'!B121,'Input_APM (Zenith)'!M:M,'Check (Zenith)'!$D$1)))</f>
        <v/>
      </c>
      <c r="E121" s="174" t="str">
        <f t="shared" si="2"/>
        <v/>
      </c>
    </row>
    <row r="122" spans="3:5">
      <c r="C122" s="174" t="str">
        <f>IF(B122="","",IF(OR(LEFT(B122,4)="Cash",LEFT(B122,4)="Prov"),0,SUMIFS('Input_APM (Zenith)'!N:N,'Input_APM (Zenith)'!L:L,'Check (Zenith)'!B122,'Input_APM (Zenith)'!M:M,'Check (Zenith)'!$C$1)))</f>
        <v/>
      </c>
      <c r="D122" s="174" t="str">
        <f>IF(B122="","",IF(OR(LEFT(B122,4)="Cash",LEFT(B122,4)="Prov"),0,SUMIFS('Input_APM (Zenith)'!N:N,'Input_APM (Zenith)'!L:L,'Check (Zenith)'!B122,'Input_APM (Zenith)'!M:M,'Check (Zenith)'!$D$1)))</f>
        <v/>
      </c>
      <c r="E122" s="174" t="str">
        <f t="shared" si="2"/>
        <v/>
      </c>
    </row>
    <row r="123" spans="3:5">
      <c r="C123" s="174" t="str">
        <f>IF(B123="","",IF(OR(LEFT(B123,4)="Cash",LEFT(B123,4)="Prov"),0,SUMIFS('Input_APM (Zenith)'!N:N,'Input_APM (Zenith)'!L:L,'Check (Zenith)'!B123,'Input_APM (Zenith)'!M:M,'Check (Zenith)'!$C$1)))</f>
        <v/>
      </c>
      <c r="D123" s="174" t="str">
        <f>IF(B123="","",IF(OR(LEFT(B123,4)="Cash",LEFT(B123,4)="Prov"),0,SUMIFS('Input_APM (Zenith)'!N:N,'Input_APM (Zenith)'!L:L,'Check (Zenith)'!B123,'Input_APM (Zenith)'!M:M,'Check (Zenith)'!$D$1)))</f>
        <v/>
      </c>
      <c r="E123" s="174" t="str">
        <f t="shared" si="2"/>
        <v/>
      </c>
    </row>
    <row r="124" spans="3:5">
      <c r="C124" s="174" t="str">
        <f>IF(B124="","",IF(OR(LEFT(B124,4)="Cash",LEFT(B124,4)="Prov"),0,SUMIFS('Input_APM (Zenith)'!N:N,'Input_APM (Zenith)'!L:L,'Check (Zenith)'!B124,'Input_APM (Zenith)'!M:M,'Check (Zenith)'!$C$1)))</f>
        <v/>
      </c>
      <c r="D124" s="174" t="str">
        <f>IF(B124="","",IF(OR(LEFT(B124,4)="Cash",LEFT(B124,4)="Prov"),0,SUMIFS('Input_APM (Zenith)'!N:N,'Input_APM (Zenith)'!L:L,'Check (Zenith)'!B124,'Input_APM (Zenith)'!M:M,'Check (Zenith)'!$D$1)))</f>
        <v/>
      </c>
      <c r="E124" s="174" t="str">
        <f t="shared" si="2"/>
        <v/>
      </c>
    </row>
    <row r="125" spans="3:5">
      <c r="C125" s="174" t="str">
        <f>IF(B125="","",IF(OR(LEFT(B125,4)="Cash",LEFT(B125,4)="Prov"),0,SUMIFS('Input_APM (Zenith)'!N:N,'Input_APM (Zenith)'!L:L,'Check (Zenith)'!B125,'Input_APM (Zenith)'!M:M,'Check (Zenith)'!$C$1)))</f>
        <v/>
      </c>
      <c r="D125" s="174" t="str">
        <f>IF(B125="","",IF(OR(LEFT(B125,4)="Cash",LEFT(B125,4)="Prov"),0,SUMIFS('Input_APM (Zenith)'!N:N,'Input_APM (Zenith)'!L:L,'Check (Zenith)'!B125,'Input_APM (Zenith)'!M:M,'Check (Zenith)'!$D$1)))</f>
        <v/>
      </c>
      <c r="E125" s="174" t="str">
        <f t="shared" si="2"/>
        <v/>
      </c>
    </row>
    <row r="126" spans="3:5">
      <c r="C126" s="174" t="str">
        <f>IF(B126="","",IF(OR(LEFT(B126,4)="Cash",LEFT(B126,4)="Prov"),0,SUMIFS('Input_APM (Zenith)'!N:N,'Input_APM (Zenith)'!L:L,'Check (Zenith)'!B126,'Input_APM (Zenith)'!M:M,'Check (Zenith)'!$C$1)))</f>
        <v/>
      </c>
      <c r="D126" s="174" t="str">
        <f>IF(B126="","",IF(OR(LEFT(B126,4)="Cash",LEFT(B126,4)="Prov"),0,SUMIFS('Input_APM (Zenith)'!N:N,'Input_APM (Zenith)'!L:L,'Check (Zenith)'!B126,'Input_APM (Zenith)'!M:M,'Check (Zenith)'!$D$1)))</f>
        <v/>
      </c>
      <c r="E126" s="174" t="str">
        <f t="shared" si="2"/>
        <v/>
      </c>
    </row>
    <row r="127" spans="3:5">
      <c r="C127" s="174" t="str">
        <f>IF(B127="","",IF(OR(LEFT(B127,4)="Cash",LEFT(B127,4)="Prov"),0,SUMIFS('Input_APM (Zenith)'!N:N,'Input_APM (Zenith)'!L:L,'Check (Zenith)'!B127,'Input_APM (Zenith)'!M:M,'Check (Zenith)'!$C$1)))</f>
        <v/>
      </c>
      <c r="D127" s="174" t="str">
        <f>IF(B127="","",IF(OR(LEFT(B127,4)="Cash",LEFT(B127,4)="Prov"),0,SUMIFS('Input_APM (Zenith)'!N:N,'Input_APM (Zenith)'!L:L,'Check (Zenith)'!B127,'Input_APM (Zenith)'!M:M,'Check (Zenith)'!$D$1)))</f>
        <v/>
      </c>
      <c r="E127" s="174" t="str">
        <f t="shared" si="2"/>
        <v/>
      </c>
    </row>
    <row r="128" spans="3:5">
      <c r="C128" s="174" t="str">
        <f>IF(B128="","",IF(OR(LEFT(B128,4)="Cash",LEFT(B128,4)="Prov"),0,SUMIFS('Input_APM (Zenith)'!N:N,'Input_APM (Zenith)'!L:L,'Check (Zenith)'!B128,'Input_APM (Zenith)'!M:M,'Check (Zenith)'!$C$1)))</f>
        <v/>
      </c>
      <c r="D128" s="174" t="str">
        <f>IF(B128="","",IF(OR(LEFT(B128,4)="Cash",LEFT(B128,4)="Prov"),0,SUMIFS('Input_APM (Zenith)'!N:N,'Input_APM (Zenith)'!L:L,'Check (Zenith)'!B128,'Input_APM (Zenith)'!M:M,'Check (Zenith)'!$D$1)))</f>
        <v/>
      </c>
      <c r="E128" s="174" t="str">
        <f t="shared" si="2"/>
        <v/>
      </c>
    </row>
    <row r="129" spans="3:5">
      <c r="C129" s="174" t="str">
        <f>IF(B129="","",IF(OR(LEFT(B129,4)="Cash",LEFT(B129,4)="Prov"),0,SUMIFS('Input_APM (Zenith)'!N:N,'Input_APM (Zenith)'!L:L,'Check (Zenith)'!B129,'Input_APM (Zenith)'!M:M,'Check (Zenith)'!$C$1)))</f>
        <v/>
      </c>
      <c r="D129" s="174" t="str">
        <f>IF(B129="","",IF(OR(LEFT(B129,4)="Cash",LEFT(B129,4)="Prov"),0,SUMIFS('Input_APM (Zenith)'!N:N,'Input_APM (Zenith)'!L:L,'Check (Zenith)'!B129,'Input_APM (Zenith)'!M:M,'Check (Zenith)'!$D$1)))</f>
        <v/>
      </c>
      <c r="E129" s="174" t="str">
        <f t="shared" si="2"/>
        <v/>
      </c>
    </row>
    <row r="130" spans="3:5">
      <c r="C130" s="174" t="str">
        <f>IF(B130="","",IF(OR(LEFT(B130,4)="Cash",LEFT(B130,4)="Prov"),0,SUMIFS('Input_APM (Zenith)'!N:N,'Input_APM (Zenith)'!L:L,'Check (Zenith)'!B130,'Input_APM (Zenith)'!M:M,'Check (Zenith)'!$C$1)))</f>
        <v/>
      </c>
      <c r="D130" s="174" t="str">
        <f>IF(B130="","",IF(OR(LEFT(B130,4)="Cash",LEFT(B130,4)="Prov"),0,SUMIFS('Input_APM (Zenith)'!N:N,'Input_APM (Zenith)'!L:L,'Check (Zenith)'!B130,'Input_APM (Zenith)'!M:M,'Check (Zenith)'!$D$1)))</f>
        <v/>
      </c>
      <c r="E130" s="174" t="str">
        <f t="shared" si="2"/>
        <v/>
      </c>
    </row>
    <row r="131" spans="3:5">
      <c r="C131" s="174" t="str">
        <f>IF(B131="","",IF(OR(LEFT(B131,4)="Cash",LEFT(B131,4)="Prov"),0,SUMIFS('Input_APM (Zenith)'!N:N,'Input_APM (Zenith)'!L:L,'Check (Zenith)'!B131,'Input_APM (Zenith)'!M:M,'Check (Zenith)'!$C$1)))</f>
        <v/>
      </c>
      <c r="D131" s="174" t="str">
        <f>IF(B131="","",IF(OR(LEFT(B131,4)="Cash",LEFT(B131,4)="Prov"),0,SUMIFS('Input_APM (Zenith)'!N:N,'Input_APM (Zenith)'!L:L,'Check (Zenith)'!B131,'Input_APM (Zenith)'!M:M,'Check (Zenith)'!$D$1)))</f>
        <v/>
      </c>
      <c r="E131" s="174" t="str">
        <f t="shared" si="2"/>
        <v/>
      </c>
    </row>
    <row r="132" spans="3:5">
      <c r="C132" s="174" t="str">
        <f>IF(B132="","",IF(OR(LEFT(B132,4)="Cash",LEFT(B132,4)="Prov"),0,SUMIFS('Input_APM (Zenith)'!N:N,'Input_APM (Zenith)'!L:L,'Check (Zenith)'!B132,'Input_APM (Zenith)'!M:M,'Check (Zenith)'!$C$1)))</f>
        <v/>
      </c>
      <c r="D132" s="174" t="str">
        <f>IF(B132="","",IF(OR(LEFT(B132,4)="Cash",LEFT(B132,4)="Prov"),0,SUMIFS('Input_APM (Zenith)'!N:N,'Input_APM (Zenith)'!L:L,'Check (Zenith)'!B132,'Input_APM (Zenith)'!M:M,'Check (Zenith)'!$D$1)))</f>
        <v/>
      </c>
      <c r="E132" s="174" t="str">
        <f t="shared" si="2"/>
        <v/>
      </c>
    </row>
    <row r="133" spans="3:5">
      <c r="C133" s="174" t="str">
        <f>IF(B133="","",IF(OR(LEFT(B133,4)="Cash",LEFT(B133,4)="Prov"),0,SUMIFS('Input_APM (Zenith)'!N:N,'Input_APM (Zenith)'!L:L,'Check (Zenith)'!B133,'Input_APM (Zenith)'!M:M,'Check (Zenith)'!$C$1)))</f>
        <v/>
      </c>
      <c r="D133" s="174" t="str">
        <f>IF(B133="","",IF(OR(LEFT(B133,4)="Cash",LEFT(B133,4)="Prov"),0,SUMIFS('Input_APM (Zenith)'!N:N,'Input_APM (Zenith)'!L:L,'Check (Zenith)'!B133,'Input_APM (Zenith)'!M:M,'Check (Zenith)'!$D$1)))</f>
        <v/>
      </c>
      <c r="E133" s="174" t="str">
        <f t="shared" si="2"/>
        <v/>
      </c>
    </row>
    <row r="134" spans="3:5">
      <c r="C134" s="174" t="str">
        <f>IF(B134="","",IF(OR(LEFT(B134,4)="Cash",LEFT(B134,4)="Prov"),0,SUMIFS('Input_APM (Zenith)'!N:N,'Input_APM (Zenith)'!L:L,'Check (Zenith)'!B134,'Input_APM (Zenith)'!M:M,'Check (Zenith)'!$C$1)))</f>
        <v/>
      </c>
      <c r="D134" s="174" t="str">
        <f>IF(B134="","",IF(OR(LEFT(B134,4)="Cash",LEFT(B134,4)="Prov"),0,SUMIFS('Input_APM (Zenith)'!N:N,'Input_APM (Zenith)'!L:L,'Check (Zenith)'!B134,'Input_APM (Zenith)'!M:M,'Check (Zenith)'!$D$1)))</f>
        <v/>
      </c>
      <c r="E134" s="174" t="str">
        <f t="shared" si="2"/>
        <v/>
      </c>
    </row>
    <row r="135" spans="3:5">
      <c r="C135" s="174" t="str">
        <f>IF(B135="","",IF(OR(LEFT(B135,4)="Cash",LEFT(B135,4)="Prov"),0,SUMIFS('Input_APM (Zenith)'!N:N,'Input_APM (Zenith)'!L:L,'Check (Zenith)'!B135,'Input_APM (Zenith)'!M:M,'Check (Zenith)'!$C$1)))</f>
        <v/>
      </c>
      <c r="D135" s="174" t="str">
        <f>IF(B135="","",IF(OR(LEFT(B135,4)="Cash",LEFT(B135,4)="Prov"),0,SUMIFS('Input_APM (Zenith)'!N:N,'Input_APM (Zenith)'!L:L,'Check (Zenith)'!B135,'Input_APM (Zenith)'!M:M,'Check (Zenith)'!$D$1)))</f>
        <v/>
      </c>
      <c r="E135" s="174" t="str">
        <f t="shared" si="2"/>
        <v/>
      </c>
    </row>
    <row r="136" spans="3:5">
      <c r="C136" s="174" t="str">
        <f>IF(B136="","",IF(OR(LEFT(B136,4)="Cash",LEFT(B136,4)="Prov"),0,SUMIFS('Input_APM (Zenith)'!N:N,'Input_APM (Zenith)'!L:L,'Check (Zenith)'!B136,'Input_APM (Zenith)'!M:M,'Check (Zenith)'!$C$1)))</f>
        <v/>
      </c>
      <c r="D136" s="174" t="str">
        <f>IF(B136="","",IF(OR(LEFT(B136,4)="Cash",LEFT(B136,4)="Prov"),0,SUMIFS('Input_APM (Zenith)'!N:N,'Input_APM (Zenith)'!L:L,'Check (Zenith)'!B136,'Input_APM (Zenith)'!M:M,'Check (Zenith)'!$D$1)))</f>
        <v/>
      </c>
      <c r="E136" s="174" t="str">
        <f t="shared" si="2"/>
        <v/>
      </c>
    </row>
    <row r="137" spans="3:5">
      <c r="C137" s="174" t="str">
        <f>IF(B137="","",IF(OR(LEFT(B137,4)="Cash",LEFT(B137,4)="Prov"),0,SUMIFS('Input_APM (Zenith)'!N:N,'Input_APM (Zenith)'!L:L,'Check (Zenith)'!B137,'Input_APM (Zenith)'!M:M,'Check (Zenith)'!$C$1)))</f>
        <v/>
      </c>
      <c r="D137" s="174" t="str">
        <f>IF(B137="","",IF(OR(LEFT(B137,4)="Cash",LEFT(B137,4)="Prov"),0,SUMIFS('Input_APM (Zenith)'!N:N,'Input_APM (Zenith)'!L:L,'Check (Zenith)'!B137,'Input_APM (Zenith)'!M:M,'Check (Zenith)'!$D$1)))</f>
        <v/>
      </c>
      <c r="E137" s="174" t="str">
        <f t="shared" si="2"/>
        <v/>
      </c>
    </row>
    <row r="138" spans="3:5">
      <c r="C138" s="174" t="str">
        <f>IF(B138="","",IF(OR(LEFT(B138,4)="Cash",LEFT(B138,4)="Prov"),0,SUMIFS('Input_APM (Zenith)'!N:N,'Input_APM (Zenith)'!L:L,'Check (Zenith)'!B138,'Input_APM (Zenith)'!M:M,'Check (Zenith)'!$C$1)))</f>
        <v/>
      </c>
      <c r="D138" s="174" t="str">
        <f>IF(B138="","",IF(OR(LEFT(B138,4)="Cash",LEFT(B138,4)="Prov"),0,SUMIFS('Input_APM (Zenith)'!N:N,'Input_APM (Zenith)'!L:L,'Check (Zenith)'!B138,'Input_APM (Zenith)'!M:M,'Check (Zenith)'!$D$1)))</f>
        <v/>
      </c>
      <c r="E138" s="174" t="str">
        <f t="shared" si="2"/>
        <v/>
      </c>
    </row>
    <row r="139" spans="3:5">
      <c r="C139" s="174" t="str">
        <f>IF(B139="","",IF(OR(LEFT(B139,4)="Cash",LEFT(B139,4)="Prov"),0,SUMIFS('Input_APM (Zenith)'!N:N,'Input_APM (Zenith)'!L:L,'Check (Zenith)'!B139,'Input_APM (Zenith)'!M:M,'Check (Zenith)'!$C$1)))</f>
        <v/>
      </c>
      <c r="D139" s="174" t="str">
        <f>IF(B139="","",IF(OR(LEFT(B139,4)="Cash",LEFT(B139,4)="Prov"),0,SUMIFS('Input_APM (Zenith)'!N:N,'Input_APM (Zenith)'!L:L,'Check (Zenith)'!B139,'Input_APM (Zenith)'!M:M,'Check (Zenith)'!$D$1)))</f>
        <v/>
      </c>
      <c r="E139" s="174" t="str">
        <f t="shared" si="2"/>
        <v/>
      </c>
    </row>
    <row r="140" spans="3:5">
      <c r="C140" s="174" t="str">
        <f>IF(B140="","",IF(OR(LEFT(B140,4)="Cash",LEFT(B140,4)="Prov"),0,SUMIFS('Input_APM (Zenith)'!N:N,'Input_APM (Zenith)'!L:L,'Check (Zenith)'!B140,'Input_APM (Zenith)'!M:M,'Check (Zenith)'!$C$1)))</f>
        <v/>
      </c>
      <c r="D140" s="174" t="str">
        <f>IF(B140="","",IF(OR(LEFT(B140,4)="Cash",LEFT(B140,4)="Prov"),0,SUMIFS('Input_APM (Zenith)'!N:N,'Input_APM (Zenith)'!L:L,'Check (Zenith)'!B140,'Input_APM (Zenith)'!M:M,'Check (Zenith)'!$D$1)))</f>
        <v/>
      </c>
      <c r="E140" s="174" t="str">
        <f t="shared" si="2"/>
        <v/>
      </c>
    </row>
    <row r="141" spans="3:5">
      <c r="C141" s="174" t="str">
        <f>IF(B141="","",IF(OR(LEFT(B141,4)="Cash",LEFT(B141,4)="Prov"),0,SUMIFS('Input_APM (Zenith)'!N:N,'Input_APM (Zenith)'!L:L,'Check (Zenith)'!B141,'Input_APM (Zenith)'!M:M,'Check (Zenith)'!$C$1)))</f>
        <v/>
      </c>
      <c r="D141" s="174" t="str">
        <f>IF(B141="","",IF(OR(LEFT(B141,4)="Cash",LEFT(B141,4)="Prov"),0,SUMIFS('Input_APM (Zenith)'!N:N,'Input_APM (Zenith)'!L:L,'Check (Zenith)'!B141,'Input_APM (Zenith)'!M:M,'Check (Zenith)'!$D$1)))</f>
        <v/>
      </c>
      <c r="E141" s="174" t="str">
        <f t="shared" si="2"/>
        <v/>
      </c>
    </row>
    <row r="142" spans="3:5">
      <c r="C142" s="174" t="str">
        <f>IF(B142="","",IF(OR(LEFT(B142,4)="Cash",LEFT(B142,4)="Prov"),0,SUMIFS('Input_APM (Zenith)'!N:N,'Input_APM (Zenith)'!L:L,'Check (Zenith)'!B142,'Input_APM (Zenith)'!M:M,'Check (Zenith)'!$C$1)))</f>
        <v/>
      </c>
      <c r="D142" s="174" t="str">
        <f>IF(B142="","",IF(OR(LEFT(B142,4)="Cash",LEFT(B142,4)="Prov"),0,SUMIFS('Input_APM (Zenith)'!N:N,'Input_APM (Zenith)'!L:L,'Check (Zenith)'!B142,'Input_APM (Zenith)'!M:M,'Check (Zenith)'!$D$1)))</f>
        <v/>
      </c>
      <c r="E142" s="174" t="str">
        <f t="shared" si="2"/>
        <v/>
      </c>
    </row>
    <row r="143" spans="3:5">
      <c r="C143" s="174" t="str">
        <f>IF(B143="","",IF(OR(LEFT(B143,4)="Cash",LEFT(B143,4)="Prov"),0,SUMIFS('Input_APM (Zenith)'!N:N,'Input_APM (Zenith)'!L:L,'Check (Zenith)'!B143,'Input_APM (Zenith)'!M:M,'Check (Zenith)'!$C$1)))</f>
        <v/>
      </c>
      <c r="D143" s="174" t="str">
        <f>IF(B143="","",IF(OR(LEFT(B143,4)="Cash",LEFT(B143,4)="Prov"),0,SUMIFS('Input_APM (Zenith)'!N:N,'Input_APM (Zenith)'!L:L,'Check (Zenith)'!B143,'Input_APM (Zenith)'!M:M,'Check (Zenith)'!$D$1)))</f>
        <v/>
      </c>
      <c r="E143" s="174" t="str">
        <f t="shared" si="2"/>
        <v/>
      </c>
    </row>
    <row r="144" spans="3:5">
      <c r="C144" s="174" t="str">
        <f>IF(B144="","",IF(OR(LEFT(B144,4)="Cash",LEFT(B144,4)="Prov"),0,SUMIFS('Input_APM (Zenith)'!N:N,'Input_APM (Zenith)'!L:L,'Check (Zenith)'!B144,'Input_APM (Zenith)'!M:M,'Check (Zenith)'!$C$1)))</f>
        <v/>
      </c>
      <c r="D144" s="174" t="str">
        <f>IF(B144="","",IF(OR(LEFT(B144,4)="Cash",LEFT(B144,4)="Prov"),0,SUMIFS('Input_APM (Zenith)'!N:N,'Input_APM (Zenith)'!L:L,'Check (Zenith)'!B144,'Input_APM (Zenith)'!M:M,'Check (Zenith)'!$D$1)))</f>
        <v/>
      </c>
      <c r="E144" s="174" t="str">
        <f t="shared" si="2"/>
        <v/>
      </c>
    </row>
    <row r="145" spans="3:5">
      <c r="C145" s="174" t="str">
        <f>IF(B145="","",IF(OR(LEFT(B145,4)="Cash",LEFT(B145,4)="Prov"),0,SUMIFS('Input_APM (Zenith)'!N:N,'Input_APM (Zenith)'!L:L,'Check (Zenith)'!B145,'Input_APM (Zenith)'!M:M,'Check (Zenith)'!$C$1)))</f>
        <v/>
      </c>
      <c r="D145" s="174" t="str">
        <f>IF(B145="","",IF(OR(LEFT(B145,4)="Cash",LEFT(B145,4)="Prov"),0,SUMIFS('Input_APM (Zenith)'!N:N,'Input_APM (Zenith)'!L:L,'Check (Zenith)'!B145,'Input_APM (Zenith)'!M:M,'Check (Zenith)'!$D$1)))</f>
        <v/>
      </c>
      <c r="E145" s="174" t="str">
        <f t="shared" si="2"/>
        <v/>
      </c>
    </row>
    <row r="146" spans="3:5">
      <c r="C146" s="174" t="str">
        <f>IF(B146="","",IF(OR(LEFT(B146,4)="Cash",LEFT(B146,4)="Prov"),0,SUMIFS('Input_APM (Zenith)'!N:N,'Input_APM (Zenith)'!L:L,'Check (Zenith)'!B146,'Input_APM (Zenith)'!M:M,'Check (Zenith)'!$C$1)))</f>
        <v/>
      </c>
      <c r="D146" s="174" t="str">
        <f>IF(B146="","",IF(OR(LEFT(B146,4)="Cash",LEFT(B146,4)="Prov"),0,SUMIFS('Input_APM (Zenith)'!N:N,'Input_APM (Zenith)'!L:L,'Check (Zenith)'!B146,'Input_APM (Zenith)'!M:M,'Check (Zenith)'!$D$1)))</f>
        <v/>
      </c>
      <c r="E146" s="174" t="str">
        <f t="shared" ref="E146:E151" si="3">IF(B146="","",C146-D146)</f>
        <v/>
      </c>
    </row>
    <row r="147" spans="3:5">
      <c r="C147" s="174" t="str">
        <f>IF(B147="","",IF(OR(LEFT(B147,4)="Cash",LEFT(B147,4)="Prov"),0,SUMIFS('Input_APM (Zenith)'!N:N,'Input_APM (Zenith)'!L:L,'Check (Zenith)'!B147,'Input_APM (Zenith)'!M:M,'Check (Zenith)'!$C$1)))</f>
        <v/>
      </c>
      <c r="D147" s="174" t="str">
        <f>IF(B147="","",IF(OR(LEFT(B147,4)="Cash",LEFT(B147,4)="Prov"),0,SUMIFS('Input_APM (Zenith)'!N:N,'Input_APM (Zenith)'!L:L,'Check (Zenith)'!B147,'Input_APM (Zenith)'!M:M,'Check (Zenith)'!$D$1)))</f>
        <v/>
      </c>
      <c r="E147" s="174" t="str">
        <f t="shared" si="3"/>
        <v/>
      </c>
    </row>
    <row r="148" spans="3:5">
      <c r="C148" s="174" t="str">
        <f>IF(B148="","",IF(OR(LEFT(B148,4)="Cash",LEFT(B148,4)="Prov"),0,SUMIFS('Input_APM (Zenith)'!N:N,'Input_APM (Zenith)'!L:L,'Check (Zenith)'!B148,'Input_APM (Zenith)'!M:M,'Check (Zenith)'!$C$1)))</f>
        <v/>
      </c>
      <c r="D148" s="174" t="str">
        <f>IF(B148="","",IF(OR(LEFT(B148,4)="Cash",LEFT(B148,4)="Prov"),0,SUMIFS('Input_APM (Zenith)'!N:N,'Input_APM (Zenith)'!L:L,'Check (Zenith)'!B148,'Input_APM (Zenith)'!M:M,'Check (Zenith)'!$D$1)))</f>
        <v/>
      </c>
      <c r="E148" s="174" t="str">
        <f t="shared" si="3"/>
        <v/>
      </c>
    </row>
    <row r="149" spans="3:5">
      <c r="C149" s="174" t="str">
        <f>IF(B149="","",IF(OR(LEFT(B149,4)="Cash",LEFT(B149,4)="Prov"),0,SUMIFS('Input_APM (Zenith)'!N:N,'Input_APM (Zenith)'!L:L,'Check (Zenith)'!B149,'Input_APM (Zenith)'!M:M,'Check (Zenith)'!$C$1)))</f>
        <v/>
      </c>
      <c r="D149" s="174" t="str">
        <f>IF(B149="","",IF(OR(LEFT(B149,4)="Cash",LEFT(B149,4)="Prov"),0,SUMIFS('Input_APM (Zenith)'!N:N,'Input_APM (Zenith)'!L:L,'Check (Zenith)'!B149,'Input_APM (Zenith)'!M:M,'Check (Zenith)'!$D$1)))</f>
        <v/>
      </c>
      <c r="E149" s="174" t="str">
        <f t="shared" si="3"/>
        <v/>
      </c>
    </row>
    <row r="150" spans="3:5">
      <c r="C150" s="174" t="str">
        <f>IF(B150="","",IF(OR(LEFT(B150,4)="Cash",LEFT(B150,4)="Prov"),0,SUMIFS('Input_APM (Zenith)'!N:N,'Input_APM (Zenith)'!L:L,'Check (Zenith)'!B150,'Input_APM (Zenith)'!M:M,'Check (Zenith)'!$C$1)))</f>
        <v/>
      </c>
      <c r="D150" s="174" t="str">
        <f>IF(B150="","",IF(OR(LEFT(B150,4)="Cash",LEFT(B150,4)="Prov"),0,SUMIFS('Input_APM (Zenith)'!N:N,'Input_APM (Zenith)'!L:L,'Check (Zenith)'!B150,'Input_APM (Zenith)'!M:M,'Check (Zenith)'!$D$1)))</f>
        <v/>
      </c>
      <c r="E150" s="174" t="str">
        <f t="shared" si="3"/>
        <v/>
      </c>
    </row>
    <row r="151" spans="3:5">
      <c r="C151" s="174" t="str">
        <f>IF(B151="","",IF(OR(LEFT(B151,4)="Cash",LEFT(B151,4)="Prov"),0,SUMIFS('Input_APM (Zenith)'!N:N,'Input_APM (Zenith)'!L:L,'Check (Zenith)'!B151,'Input_APM (Zenith)'!M:M,'Check (Zenith)'!$C$1)))</f>
        <v/>
      </c>
      <c r="D151" s="174" t="str">
        <f>IF(B151="","",IF(OR(LEFT(B151,4)="Cash",LEFT(B151,4)="Prov"),0,SUMIFS('Input_APM (Zenith)'!N:N,'Input_APM (Zenith)'!L:L,'Check (Zenith)'!B151,'Input_APM (Zenith)'!M:M,'Check (Zenith)'!$D$1)))</f>
        <v/>
      </c>
      <c r="E151" s="174" t="str">
        <f t="shared" si="3"/>
        <v/>
      </c>
    </row>
  </sheetData>
  <autoFilter ref="B4:E151" xr:uid="{9E4F1D26-094B-44C9-B22D-3C955B582AF3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Copiar_Trades_APM_zenith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D4CEA-241D-48BA-B6F9-AB226329AD56}">
  <sheetPr codeName="Sheet12">
    <tabColor theme="5" tint="0.79998168889431442"/>
  </sheetPr>
  <dimension ref="A1:G136"/>
  <sheetViews>
    <sheetView showGridLines="0" workbookViewId="0">
      <selection activeCell="C3" sqref="C3"/>
    </sheetView>
  </sheetViews>
  <sheetFormatPr defaultRowHeight="15"/>
  <cols>
    <col min="1" max="1" width="16.5703125" customWidth="1"/>
    <col min="2" max="2" width="70.5703125" bestFit="1" customWidth="1"/>
    <col min="3" max="3" width="6.7109375" bestFit="1" customWidth="1"/>
    <col min="6" max="6" width="54" bestFit="1" customWidth="1"/>
    <col min="7" max="7" width="23.28515625" bestFit="1" customWidth="1"/>
  </cols>
  <sheetData>
    <row r="1" spans="1:7">
      <c r="A1" s="162"/>
      <c r="B1" s="163" t="s">
        <v>265</v>
      </c>
      <c r="C1" s="164" t="s">
        <v>266</v>
      </c>
    </row>
    <row r="2" spans="1:7">
      <c r="A2" s="165" t="s">
        <v>267</v>
      </c>
      <c r="B2" s="166">
        <f ca="1">TODAY()+C2</f>
        <v>46058</v>
      </c>
      <c r="C2" s="167">
        <v>0</v>
      </c>
    </row>
    <row r="3" spans="1:7">
      <c r="A3" s="165" t="s">
        <v>268</v>
      </c>
      <c r="B3" s="191">
        <f ca="1">B2-1</f>
        <v>46057</v>
      </c>
      <c r="C3" s="168" t="s">
        <v>269</v>
      </c>
      <c r="F3" s="21" t="s">
        <v>270</v>
      </c>
      <c r="G3" s="21" t="s">
        <v>271</v>
      </c>
    </row>
    <row r="4" spans="1:7">
      <c r="A4" s="181" t="s">
        <v>272</v>
      </c>
      <c r="B4" s="183" t="str">
        <f ca="1">"P:\Bernardo Muzzi\Gerencial Daniel\"&amp;"BooksOverviewResume" &amp; IF(LEN(DAY(Ontem))=1,"0"&amp;DAY(Ontem),DAY(Ontem)) &amp; CHOOSE(MONTH(Ontem),"Jan","Feb","Mar","Apr","May","Jun","Jul","Aug","Sep","Oct","Nov","Dec") &amp; YEAR(Ontem)</f>
        <v>P:\Bernardo Muzzi\Gerencial Daniel\BooksOverviewResume04Feb2026</v>
      </c>
      <c r="C4" s="183" t="s">
        <v>269</v>
      </c>
      <c r="F4" s="21" t="s">
        <v>273</v>
      </c>
      <c r="G4" s="21" t="s">
        <v>273</v>
      </c>
    </row>
    <row r="5" spans="1:7">
      <c r="A5" s="182" t="s">
        <v>274</v>
      </c>
      <c r="B5" s="169" t="str">
        <f ca="1">"P:\Bernardo Muzzi\Gerencial Daniel\"&amp;"BooksOverviewResume" &amp; IF(LEN(DAY(Ontem))=1,"0"&amp;DAY(Ontem),DAY(Ontem)) &amp; CHOOSE(MONTH(Ontem),"Jan","Feb","Mar","Apr","May","Jun","Jul","Aug","Sep","Oct","Nov","Dec") &amp; YEAR(Ontem)&amp;"_zenith"</f>
        <v>P:\Bernardo Muzzi\Gerencial Daniel\BooksOverviewResume04Feb2026_zenith</v>
      </c>
      <c r="C5" s="169" t="s">
        <v>269</v>
      </c>
      <c r="F5" s="21" t="s">
        <v>81</v>
      </c>
      <c r="G5" s="21" t="s">
        <v>81</v>
      </c>
    </row>
    <row r="6" spans="1:7">
      <c r="F6" s="21" t="s">
        <v>38</v>
      </c>
      <c r="G6" s="21" t="s">
        <v>38</v>
      </c>
    </row>
    <row r="7" spans="1:7">
      <c r="F7" s="21" t="s">
        <v>275</v>
      </c>
      <c r="G7" s="21" t="s">
        <v>276</v>
      </c>
    </row>
    <row r="8" spans="1:7">
      <c r="F8" s="21" t="s">
        <v>277</v>
      </c>
      <c r="G8" s="21" t="s">
        <v>276</v>
      </c>
    </row>
    <row r="9" spans="1:7">
      <c r="F9" s="21" t="s">
        <v>278</v>
      </c>
      <c r="G9" s="21" t="s">
        <v>276</v>
      </c>
    </row>
    <row r="10" spans="1:7">
      <c r="F10" t="s">
        <v>802</v>
      </c>
      <c r="G10" t="s">
        <v>439</v>
      </c>
    </row>
    <row r="11" spans="1:7">
      <c r="F11" s="21" t="s">
        <v>27</v>
      </c>
      <c r="G11" s="21" t="s">
        <v>27</v>
      </c>
    </row>
    <row r="12" spans="1:7">
      <c r="F12" s="21" t="s">
        <v>28</v>
      </c>
      <c r="G12" s="21" t="s">
        <v>28</v>
      </c>
    </row>
    <row r="13" spans="1:7">
      <c r="F13" s="21" t="s">
        <v>280</v>
      </c>
      <c r="G13" s="21" t="s">
        <v>281</v>
      </c>
    </row>
    <row r="14" spans="1:7">
      <c r="F14" s="21" t="s">
        <v>42</v>
      </c>
      <c r="G14" s="21" t="s">
        <v>42</v>
      </c>
    </row>
    <row r="15" spans="1:7">
      <c r="F15" s="21" t="s">
        <v>85</v>
      </c>
      <c r="G15" s="21" t="s">
        <v>85</v>
      </c>
    </row>
    <row r="16" spans="1:7">
      <c r="F16" s="21" t="s">
        <v>84</v>
      </c>
      <c r="G16" s="21" t="s">
        <v>84</v>
      </c>
    </row>
    <row r="17" spans="6:7">
      <c r="F17" s="21" t="s">
        <v>282</v>
      </c>
      <c r="G17" s="21" t="s">
        <v>282</v>
      </c>
    </row>
    <row r="18" spans="6:7">
      <c r="F18" s="21" t="s">
        <v>34</v>
      </c>
      <c r="G18" s="21" t="s">
        <v>34</v>
      </c>
    </row>
    <row r="19" spans="6:7">
      <c r="F19" s="21" t="s">
        <v>35</v>
      </c>
      <c r="G19" s="21" t="s">
        <v>35</v>
      </c>
    </row>
    <row r="20" spans="6:7">
      <c r="F20" s="21" t="s">
        <v>6</v>
      </c>
      <c r="G20" s="21" t="s">
        <v>6</v>
      </c>
    </row>
    <row r="21" spans="6:7">
      <c r="F21" s="21" t="s">
        <v>36</v>
      </c>
      <c r="G21" s="21" t="s">
        <v>36</v>
      </c>
    </row>
    <row r="22" spans="6:7">
      <c r="F22" s="170" t="s">
        <v>532</v>
      </c>
      <c r="G22" s="281" t="s">
        <v>529</v>
      </c>
    </row>
    <row r="23" spans="6:7">
      <c r="F23" s="170" t="s">
        <v>532</v>
      </c>
      <c r="G23" s="281" t="s">
        <v>529</v>
      </c>
    </row>
    <row r="24" spans="6:7">
      <c r="F24" s="170" t="s">
        <v>539</v>
      </c>
      <c r="G24" s="281" t="s">
        <v>529</v>
      </c>
    </row>
    <row r="25" spans="6:7">
      <c r="F25" s="170" t="s">
        <v>539</v>
      </c>
      <c r="G25" s="281" t="s">
        <v>529</v>
      </c>
    </row>
    <row r="26" spans="6:7">
      <c r="F26" s="170" t="s">
        <v>542</v>
      </c>
      <c r="G26" s="281" t="s">
        <v>529</v>
      </c>
    </row>
    <row r="27" spans="6:7">
      <c r="F27" s="170" t="s">
        <v>542</v>
      </c>
      <c r="G27" s="281" t="s">
        <v>529</v>
      </c>
    </row>
    <row r="28" spans="6:7">
      <c r="F28" s="170" t="s">
        <v>545</v>
      </c>
      <c r="G28" s="281" t="s">
        <v>529</v>
      </c>
    </row>
    <row r="29" spans="6:7">
      <c r="F29" s="170" t="s">
        <v>545</v>
      </c>
      <c r="G29" s="281" t="s">
        <v>529</v>
      </c>
    </row>
    <row r="30" spans="6:7">
      <c r="F30" s="21" t="s">
        <v>9</v>
      </c>
      <c r="G30" s="21" t="s">
        <v>9</v>
      </c>
    </row>
    <row r="31" spans="6:7">
      <c r="F31" s="21" t="s">
        <v>82</v>
      </c>
      <c r="G31" s="21" t="s">
        <v>82</v>
      </c>
    </row>
    <row r="32" spans="6:7">
      <c r="F32" s="21" t="s">
        <v>83</v>
      </c>
      <c r="G32" s="21" t="s">
        <v>83</v>
      </c>
    </row>
    <row r="33" spans="6:7">
      <c r="F33" s="21" t="s">
        <v>87</v>
      </c>
      <c r="G33" s="21" t="s">
        <v>87</v>
      </c>
    </row>
    <row r="34" spans="6:7">
      <c r="F34" s="21" t="s">
        <v>557</v>
      </c>
      <c r="G34" s="21" t="s">
        <v>420</v>
      </c>
    </row>
    <row r="35" spans="6:7">
      <c r="F35" s="290" t="s">
        <v>556</v>
      </c>
      <c r="G35" s="134" t="s">
        <v>553</v>
      </c>
    </row>
    <row r="36" spans="6:7">
      <c r="F36" s="290" t="s">
        <v>555</v>
      </c>
      <c r="G36" s="21" t="s">
        <v>554</v>
      </c>
    </row>
    <row r="37" spans="6:7">
      <c r="F37" s="21" t="s">
        <v>93</v>
      </c>
      <c r="G37" s="21" t="s">
        <v>93</v>
      </c>
    </row>
    <row r="38" spans="6:7">
      <c r="F38" s="21" t="s">
        <v>0</v>
      </c>
      <c r="G38" s="21" t="s">
        <v>0</v>
      </c>
    </row>
    <row r="39" spans="6:7">
      <c r="F39" s="21" t="s">
        <v>558</v>
      </c>
      <c r="G39" s="21" t="s">
        <v>2</v>
      </c>
    </row>
    <row r="40" spans="6:7">
      <c r="F40" t="s">
        <v>78</v>
      </c>
      <c r="G40" s="21" t="s">
        <v>807</v>
      </c>
    </row>
    <row r="41" spans="6:7">
      <c r="F41" s="21" t="s">
        <v>284</v>
      </c>
      <c r="G41" s="21" t="s">
        <v>285</v>
      </c>
    </row>
    <row r="42" spans="6:7">
      <c r="F42" s="21" t="s">
        <v>286</v>
      </c>
      <c r="G42" s="21" t="s">
        <v>287</v>
      </c>
    </row>
    <row r="43" spans="6:7">
      <c r="F43" s="21" t="s">
        <v>288</v>
      </c>
      <c r="G43" s="21" t="s">
        <v>287</v>
      </c>
    </row>
    <row r="44" spans="6:7">
      <c r="F44" s="21" t="s">
        <v>289</v>
      </c>
      <c r="G44" s="21" t="s">
        <v>289</v>
      </c>
    </row>
    <row r="45" spans="6:7">
      <c r="F45" s="21" t="s">
        <v>290</v>
      </c>
      <c r="G45" s="21" t="s">
        <v>290</v>
      </c>
    </row>
    <row r="46" spans="6:7">
      <c r="F46" s="21" t="s">
        <v>252</v>
      </c>
      <c r="G46" s="21" t="s">
        <v>29</v>
      </c>
    </row>
    <row r="47" spans="6:7">
      <c r="F47" s="21" t="s">
        <v>291</v>
      </c>
      <c r="G47" s="21" t="s">
        <v>281</v>
      </c>
    </row>
    <row r="48" spans="6:7">
      <c r="F48" s="21" t="s">
        <v>292</v>
      </c>
      <c r="G48" s="21" t="s">
        <v>86</v>
      </c>
    </row>
    <row r="49" spans="6:7">
      <c r="F49" s="21" t="s">
        <v>293</v>
      </c>
      <c r="G49" s="21" t="s">
        <v>86</v>
      </c>
    </row>
    <row r="50" spans="6:7">
      <c r="F50" s="21" t="s">
        <v>580</v>
      </c>
      <c r="G50" s="21" t="s">
        <v>581</v>
      </c>
    </row>
    <row r="51" spans="6:7">
      <c r="F51" s="21" t="s">
        <v>520</v>
      </c>
      <c r="G51" s="21" t="s">
        <v>519</v>
      </c>
    </row>
    <row r="52" spans="6:7">
      <c r="F52" s="21" t="s">
        <v>283</v>
      </c>
      <c r="G52" s="21" t="s">
        <v>2</v>
      </c>
    </row>
    <row r="53" spans="6:7">
      <c r="F53" s="170" t="s">
        <v>543</v>
      </c>
      <c r="G53" s="281" t="s">
        <v>528</v>
      </c>
    </row>
    <row r="54" spans="6:7">
      <c r="F54" s="170" t="s">
        <v>543</v>
      </c>
      <c r="G54" s="281" t="s">
        <v>528</v>
      </c>
    </row>
    <row r="55" spans="6:7">
      <c r="F55" s="170" t="s">
        <v>540</v>
      </c>
      <c r="G55" s="281" t="s">
        <v>528</v>
      </c>
    </row>
    <row r="56" spans="6:7">
      <c r="F56" s="170" t="s">
        <v>540</v>
      </c>
      <c r="G56" s="281" t="s">
        <v>528</v>
      </c>
    </row>
    <row r="57" spans="6:7">
      <c r="F57" s="170" t="s">
        <v>544</v>
      </c>
      <c r="G57" s="281" t="s">
        <v>528</v>
      </c>
    </row>
    <row r="58" spans="6:7">
      <c r="F58" s="170" t="s">
        <v>544</v>
      </c>
      <c r="G58" s="281" t="s">
        <v>528</v>
      </c>
    </row>
    <row r="59" spans="6:7">
      <c r="F59" s="170" t="s">
        <v>546</v>
      </c>
      <c r="G59" s="281" t="s">
        <v>528</v>
      </c>
    </row>
    <row r="60" spans="6:7">
      <c r="F60" s="170" t="s">
        <v>546</v>
      </c>
      <c r="G60" s="281" t="s">
        <v>528</v>
      </c>
    </row>
    <row r="61" spans="6:7">
      <c r="F61" s="21" t="s">
        <v>526</v>
      </c>
      <c r="G61" s="21" t="s">
        <v>519</v>
      </c>
    </row>
    <row r="62" spans="6:7">
      <c r="F62" s="21" t="s">
        <v>295</v>
      </c>
      <c r="G62" s="21" t="s">
        <v>296</v>
      </c>
    </row>
    <row r="63" spans="6:7">
      <c r="F63" s="21" t="s">
        <v>297</v>
      </c>
      <c r="G63" s="21" t="s">
        <v>298</v>
      </c>
    </row>
    <row r="64" spans="6:7">
      <c r="F64" s="21" t="s">
        <v>295</v>
      </c>
      <c r="G64" s="21" t="s">
        <v>296</v>
      </c>
    </row>
    <row r="65" spans="6:7">
      <c r="F65" s="21" t="s">
        <v>299</v>
      </c>
      <c r="G65" s="21" t="s">
        <v>296</v>
      </c>
    </row>
    <row r="66" spans="6:7">
      <c r="F66" s="21" t="s">
        <v>297</v>
      </c>
      <c r="G66" s="21" t="s">
        <v>298</v>
      </c>
    </row>
    <row r="67" spans="6:7">
      <c r="F67" s="21" t="s">
        <v>300</v>
      </c>
      <c r="G67" s="21" t="s">
        <v>298</v>
      </c>
    </row>
    <row r="68" spans="6:7">
      <c r="F68" s="21" t="s">
        <v>300</v>
      </c>
      <c r="G68" s="21" t="s">
        <v>298</v>
      </c>
    </row>
    <row r="69" spans="6:7">
      <c r="F69" s="21" t="s">
        <v>301</v>
      </c>
      <c r="G69" s="21"/>
    </row>
    <row r="70" spans="6:7">
      <c r="F70" s="21" t="s">
        <v>301</v>
      </c>
      <c r="G70" s="21"/>
    </row>
    <row r="71" spans="6:7">
      <c r="F71" s="21" t="s">
        <v>302</v>
      </c>
      <c r="G71" s="21" t="s">
        <v>303</v>
      </c>
    </row>
    <row r="72" spans="6:7">
      <c r="F72" s="21" t="s">
        <v>302</v>
      </c>
      <c r="G72" s="21" t="s">
        <v>303</v>
      </c>
    </row>
    <row r="73" spans="6:7">
      <c r="F73" s="21" t="s">
        <v>304</v>
      </c>
      <c r="G73" s="21" t="s">
        <v>294</v>
      </c>
    </row>
    <row r="74" spans="6:7">
      <c r="F74" s="21" t="s">
        <v>304</v>
      </c>
      <c r="G74" s="21" t="s">
        <v>294</v>
      </c>
    </row>
    <row r="75" spans="6:7">
      <c r="F75" s="21" t="s">
        <v>305</v>
      </c>
      <c r="G75" s="21" t="s">
        <v>306</v>
      </c>
    </row>
    <row r="76" spans="6:7">
      <c r="F76" s="21" t="s">
        <v>305</v>
      </c>
      <c r="G76" s="21" t="s">
        <v>306</v>
      </c>
    </row>
    <row r="77" spans="6:7">
      <c r="F77" s="21" t="s">
        <v>307</v>
      </c>
      <c r="G77" s="21" t="s">
        <v>306</v>
      </c>
    </row>
    <row r="78" spans="6:7">
      <c r="F78" s="21" t="s">
        <v>307</v>
      </c>
      <c r="G78" s="21" t="s">
        <v>306</v>
      </c>
    </row>
    <row r="79" spans="6:7">
      <c r="F79" s="21" t="s">
        <v>295</v>
      </c>
      <c r="G79" s="21" t="s">
        <v>296</v>
      </c>
    </row>
    <row r="80" spans="6:7">
      <c r="F80" s="21" t="s">
        <v>295</v>
      </c>
      <c r="G80" s="21" t="s">
        <v>298</v>
      </c>
    </row>
    <row r="81" spans="6:7">
      <c r="F81" s="21" t="s">
        <v>299</v>
      </c>
      <c r="G81" s="21" t="s">
        <v>296</v>
      </c>
    </row>
    <row r="82" spans="6:7">
      <c r="F82" s="21" t="s">
        <v>299</v>
      </c>
      <c r="G82" s="21" t="s">
        <v>298</v>
      </c>
    </row>
    <row r="83" spans="6:7">
      <c r="F83" s="21" t="s">
        <v>297</v>
      </c>
      <c r="G83" s="21" t="s">
        <v>298</v>
      </c>
    </row>
    <row r="84" spans="6:7">
      <c r="F84" s="21" t="s">
        <v>297</v>
      </c>
      <c r="G84" s="21" t="s">
        <v>298</v>
      </c>
    </row>
    <row r="85" spans="6:7">
      <c r="F85" s="21" t="s">
        <v>300</v>
      </c>
      <c r="G85" s="21" t="s">
        <v>298</v>
      </c>
    </row>
    <row r="86" spans="6:7">
      <c r="F86" s="21" t="s">
        <v>300</v>
      </c>
      <c r="G86" s="21" t="s">
        <v>298</v>
      </c>
    </row>
    <row r="87" spans="6:7">
      <c r="F87" s="21" t="s">
        <v>305</v>
      </c>
      <c r="G87" s="21" t="s">
        <v>306</v>
      </c>
    </row>
    <row r="88" spans="6:7">
      <c r="F88" s="21" t="s">
        <v>305</v>
      </c>
      <c r="G88" s="21" t="s">
        <v>306</v>
      </c>
    </row>
    <row r="89" spans="6:7">
      <c r="F89" s="21" t="s">
        <v>307</v>
      </c>
      <c r="G89" s="21" t="s">
        <v>306</v>
      </c>
    </row>
    <row r="90" spans="6:7">
      <c r="F90" s="21" t="s">
        <v>307</v>
      </c>
      <c r="G90" s="21" t="s">
        <v>306</v>
      </c>
    </row>
    <row r="91" spans="6:7">
      <c r="F91" s="21" t="s">
        <v>295</v>
      </c>
      <c r="G91" s="21" t="s">
        <v>306</v>
      </c>
    </row>
    <row r="92" spans="6:7">
      <c r="F92" s="21" t="s">
        <v>308</v>
      </c>
      <c r="G92" s="21" t="s">
        <v>306</v>
      </c>
    </row>
    <row r="93" spans="6:7">
      <c r="F93" s="21" t="s">
        <v>309</v>
      </c>
      <c r="G93" s="21" t="s">
        <v>306</v>
      </c>
    </row>
    <row r="94" spans="6:7">
      <c r="F94" s="21" t="s">
        <v>249</v>
      </c>
      <c r="G94" s="21" t="s">
        <v>2</v>
      </c>
    </row>
    <row r="95" spans="6:7">
      <c r="F95" s="21" t="s">
        <v>249</v>
      </c>
      <c r="G95" s="21" t="s">
        <v>2</v>
      </c>
    </row>
    <row r="96" spans="6:7">
      <c r="F96" s="21" t="s">
        <v>310</v>
      </c>
      <c r="G96" s="21" t="s">
        <v>311</v>
      </c>
    </row>
    <row r="97" spans="6:7">
      <c r="F97" s="21" t="s">
        <v>312</v>
      </c>
      <c r="G97" s="21" t="s">
        <v>313</v>
      </c>
    </row>
    <row r="98" spans="6:7">
      <c r="F98" s="21" t="s">
        <v>807</v>
      </c>
      <c r="G98" s="21" t="s">
        <v>807</v>
      </c>
    </row>
    <row r="99" spans="6:7">
      <c r="F99" s="21" t="s">
        <v>140</v>
      </c>
      <c r="G99" s="21" t="s">
        <v>314</v>
      </c>
    </row>
    <row r="100" spans="6:7">
      <c r="F100" s="21" t="s">
        <v>315</v>
      </c>
      <c r="G100" s="21" t="s">
        <v>316</v>
      </c>
    </row>
    <row r="101" spans="6:7">
      <c r="F101" s="21" t="s">
        <v>255</v>
      </c>
      <c r="G101" s="21" t="s">
        <v>255</v>
      </c>
    </row>
    <row r="102" spans="6:7">
      <c r="F102" s="21" t="s">
        <v>257</v>
      </c>
      <c r="G102" s="21" t="s">
        <v>257</v>
      </c>
    </row>
    <row r="103" spans="6:7">
      <c r="F103" s="21" t="s">
        <v>243</v>
      </c>
      <c r="G103" s="21" t="s">
        <v>202</v>
      </c>
    </row>
    <row r="104" spans="6:7">
      <c r="F104" s="21" t="s">
        <v>532</v>
      </c>
      <c r="G104" s="21" t="s">
        <v>529</v>
      </c>
    </row>
    <row r="105" spans="6:7">
      <c r="F105" s="21" t="s">
        <v>355</v>
      </c>
      <c r="G105" s="21" t="s">
        <v>276</v>
      </c>
    </row>
    <row r="106" spans="6:7">
      <c r="F106" s="21" t="s">
        <v>355</v>
      </c>
      <c r="G106" s="21" t="s">
        <v>276</v>
      </c>
    </row>
    <row r="107" spans="6:7">
      <c r="F107" s="21" t="s">
        <v>405</v>
      </c>
      <c r="G107" s="21" t="s">
        <v>395</v>
      </c>
    </row>
    <row r="108" spans="6:7">
      <c r="F108" s="21" t="s">
        <v>405</v>
      </c>
      <c r="G108" s="21" t="s">
        <v>395</v>
      </c>
    </row>
    <row r="109" spans="6:7">
      <c r="F109" s="21" t="s">
        <v>406</v>
      </c>
      <c r="G109" s="21" t="s">
        <v>356</v>
      </c>
    </row>
    <row r="110" spans="6:7">
      <c r="F110" s="21" t="s">
        <v>433</v>
      </c>
      <c r="G110" s="21" t="s">
        <v>429</v>
      </c>
    </row>
    <row r="111" spans="6:7">
      <c r="F111" s="21" t="s">
        <v>434</v>
      </c>
      <c r="G111" s="21" t="s">
        <v>428</v>
      </c>
    </row>
    <row r="112" spans="6:7">
      <c r="F112" s="21" t="s">
        <v>531</v>
      </c>
      <c r="G112" s="21" t="s">
        <v>530</v>
      </c>
    </row>
    <row r="113" spans="6:7">
      <c r="F113" s="21" t="s">
        <v>444</v>
      </c>
      <c r="G113" s="21" t="s">
        <v>440</v>
      </c>
    </row>
    <row r="114" spans="6:7">
      <c r="F114" s="21" t="s">
        <v>444</v>
      </c>
      <c r="G114" s="21" t="s">
        <v>440</v>
      </c>
    </row>
    <row r="115" spans="6:7">
      <c r="F115" s="21" t="s">
        <v>445</v>
      </c>
      <c r="G115" s="21" t="s">
        <v>440</v>
      </c>
    </row>
    <row r="116" spans="6:7">
      <c r="F116" s="21" t="s">
        <v>445</v>
      </c>
      <c r="G116" s="21" t="s">
        <v>440</v>
      </c>
    </row>
    <row r="117" spans="6:7">
      <c r="F117" s="21" t="s">
        <v>443</v>
      </c>
      <c r="G117" s="21" t="s">
        <v>439</v>
      </c>
    </row>
    <row r="118" spans="6:7">
      <c r="F118" s="21" t="s">
        <v>443</v>
      </c>
      <c r="G118" s="21" t="s">
        <v>439</v>
      </c>
    </row>
    <row r="119" spans="6:7">
      <c r="F119" s="21" t="s">
        <v>436</v>
      </c>
      <c r="G119" s="21" t="s">
        <v>422</v>
      </c>
    </row>
    <row r="120" spans="6:7">
      <c r="F120" s="21" t="s">
        <v>436</v>
      </c>
      <c r="G120" s="21" t="s">
        <v>422</v>
      </c>
    </row>
    <row r="121" spans="6:7">
      <c r="F121" s="21" t="s">
        <v>446</v>
      </c>
      <c r="G121" s="21" t="s">
        <v>422</v>
      </c>
    </row>
    <row r="122" spans="6:7">
      <c r="F122" s="21" t="s">
        <v>446</v>
      </c>
      <c r="G122" s="21" t="s">
        <v>422</v>
      </c>
    </row>
    <row r="123" spans="6:7">
      <c r="F123" s="21" t="s">
        <v>438</v>
      </c>
      <c r="G123" s="21" t="s">
        <v>442</v>
      </c>
    </row>
    <row r="124" spans="6:7">
      <c r="F124" s="21" t="s">
        <v>454</v>
      </c>
      <c r="G124" s="21" t="s">
        <v>422</v>
      </c>
    </row>
    <row r="125" spans="6:7">
      <c r="F125" s="21" t="s">
        <v>454</v>
      </c>
      <c r="G125" s="21" t="s">
        <v>422</v>
      </c>
    </row>
    <row r="126" spans="6:7">
      <c r="F126" s="21" t="s">
        <v>533</v>
      </c>
      <c r="G126" s="21" t="s">
        <v>528</v>
      </c>
    </row>
    <row r="127" spans="6:7">
      <c r="F127" s="21" t="s">
        <v>540</v>
      </c>
      <c r="G127" s="21" t="s">
        <v>528</v>
      </c>
    </row>
    <row r="128" spans="6:7">
      <c r="F128" s="21" t="s">
        <v>539</v>
      </c>
      <c r="G128" s="21" t="s">
        <v>529</v>
      </c>
    </row>
    <row r="129" spans="6:7">
      <c r="F129" s="21" t="s">
        <v>541</v>
      </c>
      <c r="G129" s="21" t="s">
        <v>527</v>
      </c>
    </row>
    <row r="130" spans="6:7">
      <c r="F130" s="21" t="s">
        <v>537</v>
      </c>
      <c r="G130" s="21" t="s">
        <v>439</v>
      </c>
    </row>
    <row r="131" spans="6:7">
      <c r="F131" s="21" t="s">
        <v>538</v>
      </c>
      <c r="G131" s="21" t="s">
        <v>439</v>
      </c>
    </row>
    <row r="132" spans="6:7">
      <c r="F132" s="21" t="s">
        <v>535</v>
      </c>
      <c r="G132" s="21" t="s">
        <v>420</v>
      </c>
    </row>
    <row r="133" spans="6:7">
      <c r="F133" s="21" t="s">
        <v>536</v>
      </c>
      <c r="G133" s="21" t="s">
        <v>534</v>
      </c>
    </row>
    <row r="134" spans="6:7">
      <c r="F134" s="21" t="s">
        <v>543</v>
      </c>
      <c r="G134" s="21" t="s">
        <v>528</v>
      </c>
    </row>
    <row r="135" spans="6:7">
      <c r="F135" s="21" t="s">
        <v>544</v>
      </c>
      <c r="G135" s="21" t="s">
        <v>528</v>
      </c>
    </row>
    <row r="136" spans="6:7">
      <c r="F136" s="21" t="s">
        <v>542</v>
      </c>
      <c r="G136" s="21" t="s">
        <v>529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B63FC-1114-4E55-9369-B61530171CCD}">
  <sheetPr codeName="Sheet5"/>
  <dimension ref="A1:K77"/>
  <sheetViews>
    <sheetView topLeftCell="A52" zoomScaleNormal="100" workbookViewId="0">
      <selection activeCell="G72" sqref="G72"/>
    </sheetView>
  </sheetViews>
  <sheetFormatPr defaultRowHeight="15"/>
  <cols>
    <col min="2" max="2" width="13.28515625" customWidth="1"/>
    <col min="3" max="3" width="14.7109375" bestFit="1" customWidth="1"/>
    <col min="4" max="4" width="14.28515625" bestFit="1" customWidth="1"/>
    <col min="5" max="5" width="11" bestFit="1" customWidth="1"/>
    <col min="6" max="6" width="14.28515625" bestFit="1" customWidth="1"/>
    <col min="7" max="7" width="11.5703125" bestFit="1" customWidth="1"/>
    <col min="8" max="8" width="14.28515625" bestFit="1" customWidth="1"/>
    <col min="9" max="9" width="11.5703125" bestFit="1" customWidth="1"/>
    <col min="10" max="10" width="13.28515625" bestFit="1" customWidth="1"/>
    <col min="11" max="11" width="11.7109375" bestFit="1" customWidth="1"/>
  </cols>
  <sheetData>
    <row r="1" spans="2:8">
      <c r="C1" t="s">
        <v>321</v>
      </c>
      <c r="D1" t="s">
        <v>322</v>
      </c>
      <c r="E1" t="s">
        <v>113</v>
      </c>
      <c r="G1" s="3"/>
    </row>
    <row r="2" spans="2:8">
      <c r="B2" t="s">
        <v>323</v>
      </c>
      <c r="C2" s="3">
        <v>18750</v>
      </c>
      <c r="D2" s="3">
        <f>E2-C2</f>
        <v>56250</v>
      </c>
      <c r="E2" s="3">
        <v>75000</v>
      </c>
      <c r="G2" s="3"/>
    </row>
    <row r="3" spans="2:8">
      <c r="B3" t="s">
        <v>323</v>
      </c>
      <c r="C3" s="3">
        <f>E3*0.25</f>
        <v>6250</v>
      </c>
      <c r="D3" s="3">
        <f>E3-C3</f>
        <v>18750</v>
      </c>
      <c r="E3" s="3">
        <v>25000</v>
      </c>
      <c r="G3" s="3"/>
    </row>
    <row r="4" spans="2:8">
      <c r="B4" t="s">
        <v>324</v>
      </c>
      <c r="C4" s="3"/>
      <c r="D4" s="3">
        <v>75000</v>
      </c>
      <c r="E4" s="3">
        <v>75000</v>
      </c>
      <c r="G4" s="3"/>
    </row>
    <row r="5" spans="2:8">
      <c r="B5" t="s">
        <v>325</v>
      </c>
      <c r="C5" s="3">
        <v>100000</v>
      </c>
      <c r="D5" s="3">
        <v>10000</v>
      </c>
      <c r="E5" s="3">
        <v>200000</v>
      </c>
      <c r="G5" s="3"/>
    </row>
    <row r="6" spans="2:8">
      <c r="D6" s="3"/>
      <c r="G6" s="3"/>
    </row>
    <row r="7" spans="2:8">
      <c r="D7" s="3"/>
      <c r="G7" s="3"/>
    </row>
    <row r="8" spans="2:8">
      <c r="D8" s="3"/>
      <c r="G8" s="3"/>
    </row>
    <row r="9" spans="2:8">
      <c r="B9" s="79">
        <v>45460</v>
      </c>
      <c r="C9" t="s">
        <v>326</v>
      </c>
      <c r="D9" s="3">
        <v>-14000000</v>
      </c>
      <c r="E9" s="1">
        <v>73.75</v>
      </c>
      <c r="F9" t="s">
        <v>327</v>
      </c>
      <c r="G9" s="80">
        <f>192395+11198</f>
        <v>203593</v>
      </c>
      <c r="H9" s="81">
        <f t="shared" ref="H9:H14" si="0">G9/D9</f>
        <v>-1.4542357142857143E-2</v>
      </c>
    </row>
    <row r="10" spans="2:8">
      <c r="B10" s="79">
        <v>45460</v>
      </c>
      <c r="C10" t="s">
        <v>328</v>
      </c>
      <c r="D10" s="3">
        <v>14000000</v>
      </c>
      <c r="E10" s="1">
        <v>65</v>
      </c>
      <c r="F10" t="s">
        <v>327</v>
      </c>
      <c r="G10" s="3">
        <f>246264+14333</f>
        <v>260597</v>
      </c>
      <c r="H10" s="5">
        <f t="shared" si="0"/>
        <v>1.8614071428571428E-2</v>
      </c>
    </row>
    <row r="11" spans="2:8">
      <c r="B11" s="79">
        <v>45460</v>
      </c>
      <c r="C11" t="s">
        <v>326</v>
      </c>
      <c r="D11" s="3">
        <v>-11000000</v>
      </c>
      <c r="E11" s="1">
        <v>74.099999999999994</v>
      </c>
      <c r="F11" t="s">
        <v>329</v>
      </c>
      <c r="G11" s="80">
        <f>149481.1+8699.96</f>
        <v>158181.06</v>
      </c>
      <c r="H11" s="81">
        <f t="shared" si="0"/>
        <v>-1.4380096363636364E-2</v>
      </c>
    </row>
    <row r="12" spans="2:8">
      <c r="B12" s="79">
        <v>45460</v>
      </c>
      <c r="C12" t="s">
        <v>328</v>
      </c>
      <c r="D12" s="3">
        <v>11000000</v>
      </c>
      <c r="E12" s="1">
        <v>64</v>
      </c>
      <c r="F12" t="s">
        <v>329</v>
      </c>
      <c r="G12" s="3">
        <f>198349.3+11544.14</f>
        <v>209893.44</v>
      </c>
      <c r="H12" s="5">
        <f t="shared" si="0"/>
        <v>1.908122181818182E-2</v>
      </c>
    </row>
    <row r="13" spans="2:8">
      <c r="B13" s="79">
        <v>45457</v>
      </c>
      <c r="C13" t="s">
        <v>326</v>
      </c>
      <c r="D13" s="3">
        <v>40000000</v>
      </c>
      <c r="E13" s="1">
        <v>72.8</v>
      </c>
      <c r="F13" t="s">
        <v>327</v>
      </c>
      <c r="G13" s="80">
        <f>426259.38+24808.75</f>
        <v>451068.13</v>
      </c>
      <c r="H13" s="81">
        <f t="shared" si="0"/>
        <v>1.1276703250000001E-2</v>
      </c>
    </row>
    <row r="14" spans="2:8">
      <c r="B14" s="79">
        <v>45457</v>
      </c>
      <c r="C14" t="s">
        <v>326</v>
      </c>
      <c r="D14" s="3">
        <v>30000000</v>
      </c>
      <c r="E14" s="1">
        <v>72.48</v>
      </c>
      <c r="F14" t="s">
        <v>329</v>
      </c>
      <c r="G14" s="80">
        <f>426259.38+24808.75</f>
        <v>451068.13</v>
      </c>
      <c r="H14" s="81">
        <f t="shared" si="0"/>
        <v>1.5035604333333334E-2</v>
      </c>
    </row>
    <row r="16" spans="2:8">
      <c r="G16" s="3"/>
    </row>
    <row r="17" spans="2:11">
      <c r="B17" t="s">
        <v>191</v>
      </c>
      <c r="C17" t="s">
        <v>326</v>
      </c>
      <c r="D17" s="3">
        <v>70000000</v>
      </c>
      <c r="E17" s="1">
        <f>((D13*E13)+(D14*E14))/D17</f>
        <v>72.662857142857149</v>
      </c>
      <c r="G17" s="3"/>
    </row>
    <row r="18" spans="2:11">
      <c r="B18" t="s">
        <v>192</v>
      </c>
      <c r="C18" t="s">
        <v>326</v>
      </c>
      <c r="D18" s="3">
        <v>-25000000</v>
      </c>
      <c r="E18" s="1">
        <f>((D9*E9)+(D11*E11))/D18</f>
        <v>73.903999999999996</v>
      </c>
      <c r="G18" s="3"/>
    </row>
    <row r="19" spans="2:11">
      <c r="B19" t="s">
        <v>192</v>
      </c>
      <c r="C19" t="s">
        <v>326</v>
      </c>
      <c r="D19" s="17">
        <v>-22500000</v>
      </c>
      <c r="E19" s="1">
        <v>73.349999999999994</v>
      </c>
      <c r="F19" s="79">
        <v>45471</v>
      </c>
      <c r="G19" s="3"/>
      <c r="K19" s="63">
        <f>K21*H23</f>
        <v>-78080.903104421624</v>
      </c>
    </row>
    <row r="21" spans="2:11">
      <c r="E21" s="1"/>
      <c r="J21">
        <v>105.47</v>
      </c>
      <c r="K21" s="5">
        <f>J21/J22-1</f>
        <v>-7.8080903104421617E-3</v>
      </c>
    </row>
    <row r="22" spans="2:11">
      <c r="I22">
        <f>I23*20</f>
        <v>83794.2</v>
      </c>
      <c r="J22">
        <v>106.3</v>
      </c>
    </row>
    <row r="23" spans="2:11">
      <c r="B23" t="s">
        <v>191</v>
      </c>
      <c r="C23" t="s">
        <v>328</v>
      </c>
      <c r="D23" s="3">
        <v>25000000</v>
      </c>
      <c r="E23" s="1">
        <f>((D10*E10)+(D12*E12))/D23</f>
        <v>64.56</v>
      </c>
      <c r="H23" s="3">
        <v>10000000</v>
      </c>
      <c r="I23">
        <v>4189.71</v>
      </c>
    </row>
    <row r="25" spans="2:11">
      <c r="H25">
        <v>106.3</v>
      </c>
    </row>
    <row r="26" spans="2:11">
      <c r="B26" t="s">
        <v>330</v>
      </c>
      <c r="C26" t="s">
        <v>331</v>
      </c>
      <c r="D26" t="s">
        <v>332</v>
      </c>
    </row>
    <row r="27" spans="2:11">
      <c r="B27">
        <v>1</v>
      </c>
      <c r="C27" s="1">
        <v>4639.37</v>
      </c>
      <c r="D27" s="3">
        <v>10000000</v>
      </c>
    </row>
    <row r="29" spans="2:11">
      <c r="B29">
        <v>14</v>
      </c>
      <c r="C29" s="3">
        <f>0.01%*11500000000/5.3</f>
        <v>216981.13207547172</v>
      </c>
    </row>
    <row r="30" spans="2:11">
      <c r="I30">
        <f>418*20</f>
        <v>8360</v>
      </c>
      <c r="J30" s="3">
        <v>1000000</v>
      </c>
    </row>
    <row r="31" spans="2:11">
      <c r="B31">
        <v>1</v>
      </c>
      <c r="C31" s="3">
        <f>B31/B29*C29</f>
        <v>15498.652291105122</v>
      </c>
      <c r="D31" s="17">
        <f>C31/C27*D27</f>
        <v>33406803.706333235</v>
      </c>
      <c r="I31" s="3">
        <f>0.01%*12500000000/5.5</f>
        <v>227272.72727272726</v>
      </c>
    </row>
    <row r="32" spans="2:11">
      <c r="I32" s="17">
        <f>I31/I30</f>
        <v>27.185732927359719</v>
      </c>
    </row>
    <row r="33" spans="2:9">
      <c r="B33" t="s">
        <v>330</v>
      </c>
      <c r="C33" t="s">
        <v>331</v>
      </c>
      <c r="D33" t="s">
        <v>332</v>
      </c>
    </row>
    <row r="34" spans="2:9">
      <c r="B34">
        <v>1</v>
      </c>
      <c r="C34" s="1">
        <v>4206.29</v>
      </c>
      <c r="D34" s="3">
        <v>10000000</v>
      </c>
    </row>
    <row r="36" spans="2:9">
      <c r="B36">
        <v>10</v>
      </c>
      <c r="C36" s="3">
        <f>0.01%*10000000000/5.3</f>
        <v>188679.24528301888</v>
      </c>
      <c r="F36" s="63"/>
      <c r="H36" s="63"/>
    </row>
    <row r="37" spans="2:9">
      <c r="F37" s="63"/>
      <c r="H37" s="63"/>
    </row>
    <row r="38" spans="2:9">
      <c r="B38">
        <v>1</v>
      </c>
      <c r="C38" s="3">
        <f>B38/B36*C36</f>
        <v>18867.92452830189</v>
      </c>
      <c r="D38" s="17">
        <f>C38/C34*D34</f>
        <v>44856451.952437632</v>
      </c>
      <c r="F38" s="63"/>
      <c r="H38" s="63"/>
      <c r="I38" s="78"/>
    </row>
    <row r="40" spans="2:9">
      <c r="B40" s="58" t="s">
        <v>330</v>
      </c>
      <c r="C40" s="58" t="s">
        <v>331</v>
      </c>
      <c r="D40" s="58" t="s">
        <v>332</v>
      </c>
      <c r="E40" s="58" t="s">
        <v>1015</v>
      </c>
    </row>
    <row r="41" spans="2:9">
      <c r="B41" s="58">
        <v>1</v>
      </c>
      <c r="C41" s="14">
        <v>4510</v>
      </c>
      <c r="D41" s="8">
        <v>10000000</v>
      </c>
      <c r="E41" s="206">
        <v>0.25</v>
      </c>
      <c r="F41" s="31">
        <f>E41/10000</f>
        <v>2.5000000000000001E-5</v>
      </c>
    </row>
    <row r="42" spans="2:9">
      <c r="B42" s="58"/>
      <c r="C42" s="58"/>
      <c r="D42" s="58"/>
      <c r="F42" s="63"/>
    </row>
    <row r="43" spans="2:9">
      <c r="B43" s="58">
        <v>10</v>
      </c>
      <c r="C43" s="8">
        <f>E41*2400000000/10000</f>
        <v>60000</v>
      </c>
      <c r="D43" s="58"/>
      <c r="F43" s="63"/>
      <c r="G43" s="78"/>
    </row>
    <row r="44" spans="2:9">
      <c r="B44" s="58"/>
      <c r="C44" s="58"/>
      <c r="D44" s="58"/>
    </row>
    <row r="45" spans="2:9">
      <c r="B45" s="58">
        <v>1</v>
      </c>
      <c r="C45" s="8">
        <f>B45/B43*C43</f>
        <v>6000</v>
      </c>
      <c r="D45" s="369">
        <f>C45/C41*D41</f>
        <v>13303769.401330376</v>
      </c>
    </row>
    <row r="50" spans="1:10">
      <c r="I50" s="92" cm="1">
        <f t="array" ref="I50">_xll.BDP("cny Curncy","LAST_PRICE")</f>
        <v>6.9414999999999996</v>
      </c>
    </row>
    <row r="51" spans="1:10">
      <c r="F51" s="79" t="s">
        <v>1005</v>
      </c>
      <c r="G51" s="79" t="s">
        <v>1006</v>
      </c>
      <c r="H51" s="79" t="str">
        <f>F51</f>
        <v>YEST</v>
      </c>
      <c r="I51" s="79" t="str">
        <f>G51</f>
        <v>TODAY</v>
      </c>
      <c r="J51" t="s">
        <v>979</v>
      </c>
    </row>
    <row r="52" spans="1:10">
      <c r="A52" s="360" t="s">
        <v>602</v>
      </c>
      <c r="B52" s="361">
        <v>46101</v>
      </c>
      <c r="C52" s="360">
        <v>276451</v>
      </c>
      <c r="D52" s="360" t="s">
        <v>604</v>
      </c>
      <c r="E52" s="360" t="s">
        <v>817</v>
      </c>
      <c r="F52" s="367">
        <f>Precificação!N2</f>
        <v>8.8699999999999992</v>
      </c>
      <c r="G52" s="206">
        <v>10.45</v>
      </c>
      <c r="H52" s="197">
        <f>$C52*F52/$I$50</f>
        <v>353255.11344810197</v>
      </c>
      <c r="I52" s="197">
        <f>$C52*G52/$I$50</f>
        <v>416179.92508823739</v>
      </c>
      <c r="J52" s="197">
        <f>I52-H52</f>
        <v>62924.81164013542</v>
      </c>
    </row>
    <row r="53" spans="1:10">
      <c r="A53" s="360" t="s">
        <v>602</v>
      </c>
      <c r="B53" s="361">
        <v>46101</v>
      </c>
      <c r="C53" s="360">
        <v>276451</v>
      </c>
      <c r="D53" s="360" t="s">
        <v>604</v>
      </c>
      <c r="E53" s="360" t="s">
        <v>818</v>
      </c>
      <c r="F53" s="367">
        <f>Precificação!N3</f>
        <v>1.56</v>
      </c>
      <c r="G53" s="206">
        <v>2.35</v>
      </c>
      <c r="H53" s="197">
        <f>$C53*F53/$I$50</f>
        <v>62128.295037095733</v>
      </c>
      <c r="I53" s="197">
        <f>$C53*G53/$I$50</f>
        <v>93590.700857163436</v>
      </c>
      <c r="J53" s="197">
        <f>I53-H53</f>
        <v>31462.405820067703</v>
      </c>
    </row>
    <row r="54" spans="1:10">
      <c r="E54" s="206">
        <f>E53-E52</f>
        <v>15</v>
      </c>
      <c r="F54" s="206">
        <f>F52-F53</f>
        <v>7.3099999999999987</v>
      </c>
      <c r="G54" s="206">
        <f>G52-G53</f>
        <v>8.1</v>
      </c>
      <c r="H54" s="336">
        <f>H52-H53</f>
        <v>291126.81841100624</v>
      </c>
      <c r="I54" s="336">
        <f>I52-I53</f>
        <v>322589.22423107398</v>
      </c>
      <c r="J54" s="336">
        <f>J52-J53</f>
        <v>31462.405820067717</v>
      </c>
    </row>
    <row r="55" spans="1:10">
      <c r="I55" t="s">
        <v>980</v>
      </c>
      <c r="J55" s="206">
        <f>J54/'Master P&amp;L'!AD7*10000</f>
        <v>0.13130321809464462</v>
      </c>
    </row>
    <row r="58" spans="1:10">
      <c r="B58" s="5"/>
      <c r="D58" s="5"/>
    </row>
    <row r="61" spans="1:10">
      <c r="B61" t="s">
        <v>1016</v>
      </c>
    </row>
    <row r="62" spans="1:10">
      <c r="C62" t="s">
        <v>153</v>
      </c>
      <c r="D62" t="s">
        <v>154</v>
      </c>
    </row>
    <row r="63" spans="1:10">
      <c r="B63" t="s">
        <v>1018</v>
      </c>
      <c r="C63">
        <v>99.21</v>
      </c>
      <c r="D63">
        <v>99.06</v>
      </c>
    </row>
    <row r="64" spans="1:10">
      <c r="B64" t="s">
        <v>1020</v>
      </c>
      <c r="C64" s="42">
        <v>0.05</v>
      </c>
      <c r="D64" s="42">
        <v>4.9799999999999997E-2</v>
      </c>
    </row>
    <row r="65" spans="2:6">
      <c r="B65" t="s">
        <v>1019</v>
      </c>
      <c r="C65" s="42">
        <v>4.2299999999999997E-2</v>
      </c>
      <c r="D65" s="42">
        <v>4.2299999999999997E-2</v>
      </c>
    </row>
    <row r="66" spans="2:6">
      <c r="B66" t="s">
        <v>1017</v>
      </c>
      <c r="C66">
        <v>77</v>
      </c>
      <c r="D66">
        <v>75</v>
      </c>
    </row>
    <row r="67" spans="2:6">
      <c r="B67" t="s">
        <v>1026</v>
      </c>
      <c r="C67" s="197">
        <f>(C66/10000)*C70</f>
        <v>77000</v>
      </c>
      <c r="F67" s="206">
        <f>C67/'Master P&amp;L'!$AD$7*10000</f>
        <v>0.32134693866414177</v>
      </c>
    </row>
    <row r="69" spans="2:6">
      <c r="B69" t="s">
        <v>1021</v>
      </c>
    </row>
    <row r="70" spans="2:6">
      <c r="B70" t="s">
        <v>332</v>
      </c>
      <c r="C70" s="197">
        <v>10000000</v>
      </c>
    </row>
    <row r="71" spans="2:6">
      <c r="B71" t="s">
        <v>331</v>
      </c>
      <c r="C71" s="197">
        <v>7630</v>
      </c>
      <c r="F71" t="s">
        <v>980</v>
      </c>
    </row>
    <row r="72" spans="2:6">
      <c r="B72" t="s">
        <v>1017</v>
      </c>
      <c r="C72" s="197">
        <f>(D72-$C$66)*$C$71</f>
        <v>-53410</v>
      </c>
      <c r="D72">
        <v>70</v>
      </c>
      <c r="E72" t="s">
        <v>1024</v>
      </c>
      <c r="F72" s="206">
        <f>C72/'Master P&amp;L'!$AD$7*10000</f>
        <v>-0.22289792200067285</v>
      </c>
    </row>
    <row r="73" spans="2:6">
      <c r="B73" t="s">
        <v>1017</v>
      </c>
      <c r="C73" s="197">
        <f>(D73-$C$66)*$C$71</f>
        <v>61040</v>
      </c>
      <c r="D73">
        <v>85</v>
      </c>
      <c r="E73" t="s">
        <v>1025</v>
      </c>
      <c r="F73" s="206">
        <f>C73/'Master P&amp;L'!$AD$7*10000</f>
        <v>0.25474048228648327</v>
      </c>
    </row>
    <row r="76" spans="2:6">
      <c r="B76" t="s">
        <v>1022</v>
      </c>
    </row>
    <row r="77" spans="2:6">
      <c r="B77" t="s">
        <v>1023</v>
      </c>
    </row>
  </sheetData>
  <conditionalFormatting sqref="F52:F53">
    <cfRule type="cellIs" dxfId="41" priority="1" operator="equal">
      <formula>0</formula>
    </cfRule>
  </conditionalFormatting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D71FC-500B-4D1B-880B-C04D9D09B9D2}">
  <sheetPr codeName="Sheet26"/>
  <dimension ref="A1:W165"/>
  <sheetViews>
    <sheetView workbookViewId="0">
      <selection activeCell="A33" sqref="A33"/>
    </sheetView>
  </sheetViews>
  <sheetFormatPr defaultRowHeight="15"/>
  <cols>
    <col min="1" max="1" width="10.42578125" bestFit="1" customWidth="1"/>
    <col min="2" max="2" width="14.140625" bestFit="1" customWidth="1"/>
    <col min="3" max="3" width="33.42578125" customWidth="1"/>
    <col min="4" max="4" width="30.7109375" bestFit="1" customWidth="1"/>
    <col min="5" max="5" width="10.85546875" bestFit="1" customWidth="1"/>
    <col min="7" max="7" width="16.42578125" bestFit="1" customWidth="1"/>
    <col min="18" max="18" width="36" bestFit="1" customWidth="1"/>
    <col min="20" max="20" width="15.42578125" bestFit="1" customWidth="1"/>
    <col min="21" max="21" width="15.42578125" customWidth="1"/>
    <col min="22" max="22" width="11.28515625" bestFit="1" customWidth="1"/>
  </cols>
  <sheetData>
    <row r="1" spans="1:23">
      <c r="A1" s="257" t="s">
        <v>346</v>
      </c>
      <c r="B1" s="257" t="s">
        <v>241</v>
      </c>
      <c r="C1" s="257" t="s">
        <v>347</v>
      </c>
      <c r="D1" s="257" t="s">
        <v>118</v>
      </c>
      <c r="E1" s="257" t="s">
        <v>96</v>
      </c>
      <c r="F1" s="257" t="s">
        <v>317</v>
      </c>
      <c r="G1" t="s">
        <v>364</v>
      </c>
      <c r="R1" t="s">
        <v>352</v>
      </c>
      <c r="S1" t="s">
        <v>362</v>
      </c>
      <c r="T1" t="s">
        <v>363</v>
      </c>
      <c r="U1" t="s">
        <v>372</v>
      </c>
      <c r="V1" t="s">
        <v>353</v>
      </c>
      <c r="W1" t="s">
        <v>317</v>
      </c>
    </row>
    <row r="2" spans="1:23">
      <c r="A2" s="258">
        <v>45840</v>
      </c>
      <c r="B2" s="259" t="s">
        <v>210</v>
      </c>
      <c r="C2" s="259" t="s">
        <v>253</v>
      </c>
      <c r="D2" s="259" t="s">
        <v>412</v>
      </c>
      <c r="E2" s="260">
        <v>-2009465</v>
      </c>
      <c r="F2" s="259">
        <v>-1.78</v>
      </c>
      <c r="G2" s="197">
        <f>+E2/F2*10000</f>
        <v>11289129213.483145</v>
      </c>
      <c r="R2" t="str">
        <f>D2</f>
        <v>TSM US 10/17/25 C230</v>
      </c>
      <c r="S2">
        <f>VLOOKUP(R2,$D$2:$F$156,2,FALSE)</f>
        <v>-2009465</v>
      </c>
      <c r="T2" s="198">
        <f>IF(R2="","",IF(LEN(R2)&gt;9,SUMIFS(Options!$AZ$3:$AZ$25,Options!$B$3:$B$25,'Check result'!R2),SUMIFS('Master P&amp;L'!$AE$11:$AE$92,'Master P&amp;L'!$B$11:$B$92,'Check result'!R2)))</f>
        <v>0</v>
      </c>
      <c r="U2" s="198">
        <f>T2/2</f>
        <v>0</v>
      </c>
      <c r="V2" s="197">
        <f>+S2-U2</f>
        <v>-2009465</v>
      </c>
      <c r="W2">
        <f>+V2/G2*10000</f>
        <v>-1.7800000000000002</v>
      </c>
    </row>
    <row r="3" spans="1:23">
      <c r="A3" s="258">
        <v>45840</v>
      </c>
      <c r="B3" s="259" t="s">
        <v>210</v>
      </c>
      <c r="C3" s="259" t="s">
        <v>253</v>
      </c>
      <c r="D3" s="259" t="s">
        <v>505</v>
      </c>
      <c r="E3" s="260">
        <v>-754078</v>
      </c>
      <c r="F3" s="259">
        <v>-0.67</v>
      </c>
      <c r="G3" s="197">
        <f t="shared" ref="G3:G66" si="0">+E3/F3*10000</f>
        <v>11254895522.38806</v>
      </c>
      <c r="R3" t="str">
        <f t="shared" ref="R3:R66" si="1">D3</f>
        <v>TSM US 07/18/25 C240</v>
      </c>
      <c r="S3">
        <f t="shared" ref="S3:S66" si="2">VLOOKUP(R3,$D$2:$F$156,2,FALSE)</f>
        <v>-754078</v>
      </c>
      <c r="T3" s="198">
        <f>IF(R3="","",IF(LEN(R3)&gt;9,SUMIFS(Options!$AZ$3:$AZ$25,Options!$B$3:$B$25,'Check result'!R3),SUMIFS('Master P&amp;L'!$AE$11:$AE$92,'Master P&amp;L'!$B$11:$B$92,'Check result'!R3)))</f>
        <v>0</v>
      </c>
      <c r="U3" s="198">
        <f t="shared" ref="U3:U66" si="3">T3/2</f>
        <v>0</v>
      </c>
      <c r="V3" s="197">
        <f t="shared" ref="V3:V66" si="4">+S3-U3</f>
        <v>-754078</v>
      </c>
      <c r="W3">
        <f t="shared" ref="W3:W66" si="5">+V3/G3*10000</f>
        <v>-0.67</v>
      </c>
    </row>
    <row r="4" spans="1:23">
      <c r="A4" s="258">
        <v>45840</v>
      </c>
      <c r="B4" s="259" t="s">
        <v>210</v>
      </c>
      <c r="C4" s="259" t="s">
        <v>246</v>
      </c>
      <c r="D4" s="259" t="s">
        <v>481</v>
      </c>
      <c r="E4" s="260">
        <v>-662125</v>
      </c>
      <c r="F4" s="259">
        <v>-0.59</v>
      </c>
      <c r="G4" s="197">
        <f t="shared" si="0"/>
        <v>11222457627.118645</v>
      </c>
      <c r="R4" t="str">
        <f t="shared" si="1"/>
        <v>HOOD US 07/18/25 C100</v>
      </c>
      <c r="S4">
        <f t="shared" si="2"/>
        <v>-662125</v>
      </c>
      <c r="T4" s="198">
        <f>IF(R4="","",IF(LEN(R4)&gt;9,SUMIFS(Options!$AZ$3:$AZ$25,Options!$B$3:$B$25,'Check result'!R4),SUMIFS('Master P&amp;L'!$AE$11:$AE$92,'Master P&amp;L'!$B$11:$B$92,'Check result'!R4)))</f>
        <v>0</v>
      </c>
      <c r="U4" s="198">
        <f t="shared" si="3"/>
        <v>0</v>
      </c>
      <c r="V4" s="197">
        <f t="shared" si="4"/>
        <v>-662125</v>
      </c>
      <c r="W4">
        <f t="shared" si="5"/>
        <v>-0.59</v>
      </c>
    </row>
    <row r="5" spans="1:23">
      <c r="A5" s="258">
        <v>45840</v>
      </c>
      <c r="B5" s="259" t="s">
        <v>210</v>
      </c>
      <c r="C5" s="259" t="s">
        <v>246</v>
      </c>
      <c r="D5" s="259" t="s">
        <v>417</v>
      </c>
      <c r="E5" s="260">
        <v>-621079</v>
      </c>
      <c r="F5" s="259">
        <v>-0.55000000000000004</v>
      </c>
      <c r="G5" s="197">
        <f t="shared" si="0"/>
        <v>11292345454.545454</v>
      </c>
      <c r="R5" t="str">
        <f t="shared" si="1"/>
        <v>NVDA US 07/18/25 C155</v>
      </c>
      <c r="S5">
        <f t="shared" si="2"/>
        <v>-621079</v>
      </c>
      <c r="T5" s="198">
        <f>IF(R5="","",IF(LEN(R5)&gt;9,SUMIFS(Options!$AZ$3:$AZ$25,Options!$B$3:$B$25,'Check result'!R5),SUMIFS('Master P&amp;L'!$AE$11:$AE$92,'Master P&amp;L'!$B$11:$B$92,'Check result'!R5)))</f>
        <v>0</v>
      </c>
      <c r="U5" s="198">
        <f t="shared" si="3"/>
        <v>0</v>
      </c>
      <c r="V5" s="197">
        <f t="shared" si="4"/>
        <v>-621079</v>
      </c>
      <c r="W5">
        <f t="shared" si="5"/>
        <v>-0.55000000000000004</v>
      </c>
    </row>
    <row r="6" spans="1:23">
      <c r="A6" s="258">
        <v>45840</v>
      </c>
      <c r="B6" s="259" t="s">
        <v>210</v>
      </c>
      <c r="C6" s="259" t="s">
        <v>8</v>
      </c>
      <c r="D6" s="259" t="s">
        <v>360</v>
      </c>
      <c r="E6" s="260">
        <v>-396008</v>
      </c>
      <c r="F6" s="259">
        <v>-0.35</v>
      </c>
      <c r="G6" s="197">
        <f t="shared" si="0"/>
        <v>11314514285.714287</v>
      </c>
      <c r="R6" t="str">
        <f t="shared" si="1"/>
        <v>TTE</v>
      </c>
      <c r="S6">
        <f t="shared" si="2"/>
        <v>-396008</v>
      </c>
      <c r="T6" s="198">
        <f>IF(R6="","",IF(LEN(R6)&gt;9,SUMIFS(Options!$AZ$3:$AZ$25,Options!$B$3:$B$25,'Check result'!R6),SUMIFS('Master P&amp;L'!$AE$11:$AE$92,'Master P&amp;L'!$B$11:$B$92,'Check result'!R6)))</f>
        <v>0</v>
      </c>
      <c r="U6" s="198">
        <f t="shared" si="3"/>
        <v>0</v>
      </c>
      <c r="V6" s="197">
        <f t="shared" si="4"/>
        <v>-396008</v>
      </c>
      <c r="W6">
        <f t="shared" si="5"/>
        <v>-0.35</v>
      </c>
    </row>
    <row r="7" spans="1:23">
      <c r="A7" s="258">
        <v>45840</v>
      </c>
      <c r="B7" s="259" t="s">
        <v>210</v>
      </c>
      <c r="C7" s="259" t="s">
        <v>246</v>
      </c>
      <c r="D7" s="259" t="s">
        <v>400</v>
      </c>
      <c r="E7" s="260">
        <v>-380764</v>
      </c>
      <c r="F7" s="259">
        <v>-0.34</v>
      </c>
      <c r="G7" s="197">
        <f t="shared" si="0"/>
        <v>11198941176.470589</v>
      </c>
      <c r="R7" t="str">
        <f t="shared" si="1"/>
        <v>NVDA US 07/18/25 C160</v>
      </c>
      <c r="S7">
        <f t="shared" si="2"/>
        <v>-380764</v>
      </c>
      <c r="T7" s="198">
        <f>IF(R7="","",IF(LEN(R7)&gt;9,SUMIFS(Options!$AZ$3:$AZ$25,Options!$B$3:$B$25,'Check result'!R7),SUMIFS('Master P&amp;L'!$AE$11:$AE$92,'Master P&amp;L'!$B$11:$B$92,'Check result'!R7)))</f>
        <v>0</v>
      </c>
      <c r="U7" s="198">
        <f t="shared" si="3"/>
        <v>0</v>
      </c>
      <c r="V7" s="197">
        <f t="shared" si="4"/>
        <v>-380764</v>
      </c>
      <c r="W7">
        <f t="shared" si="5"/>
        <v>-0.34</v>
      </c>
    </row>
    <row r="8" spans="1:23">
      <c r="A8" s="258">
        <v>45840</v>
      </c>
      <c r="B8" s="259" t="s">
        <v>210</v>
      </c>
      <c r="C8" s="259" t="s">
        <v>8</v>
      </c>
      <c r="D8" s="259" t="s">
        <v>44</v>
      </c>
      <c r="E8" s="260">
        <v>-347251</v>
      </c>
      <c r="F8" s="259">
        <v>-0.31</v>
      </c>
      <c r="G8" s="197">
        <f t="shared" si="0"/>
        <v>11201645161.290323</v>
      </c>
      <c r="R8" t="str">
        <f t="shared" si="1"/>
        <v>TSM</v>
      </c>
      <c r="S8">
        <f t="shared" si="2"/>
        <v>-347251</v>
      </c>
      <c r="T8" s="198">
        <f>IF(R8="","",IF(LEN(R8)&gt;9,SUMIFS(Options!$AZ$3:$AZ$25,Options!$B$3:$B$25,'Check result'!R8),SUMIFS('Master P&amp;L'!$AE$11:$AE$92,'Master P&amp;L'!$B$11:$B$92,'Check result'!R8)))</f>
        <v>0</v>
      </c>
      <c r="U8" s="198">
        <f t="shared" si="3"/>
        <v>0</v>
      </c>
      <c r="V8" s="197">
        <f t="shared" si="4"/>
        <v>-347251</v>
      </c>
      <c r="W8">
        <f t="shared" si="5"/>
        <v>-0.31</v>
      </c>
    </row>
    <row r="9" spans="1:23">
      <c r="A9" s="258">
        <v>45840</v>
      </c>
      <c r="B9" s="259" t="s">
        <v>210</v>
      </c>
      <c r="C9" s="259" t="s">
        <v>244</v>
      </c>
      <c r="D9" s="259" t="s">
        <v>418</v>
      </c>
      <c r="E9" s="260">
        <v>-317791</v>
      </c>
      <c r="F9" s="259">
        <v>-0.28000000000000003</v>
      </c>
      <c r="G9" s="197">
        <f t="shared" si="0"/>
        <v>11349678571.42857</v>
      </c>
      <c r="R9" t="str">
        <f t="shared" si="1"/>
        <v>HOOD</v>
      </c>
      <c r="S9">
        <f t="shared" si="2"/>
        <v>-317791</v>
      </c>
      <c r="T9" s="198">
        <f>IF(R9="","",IF(LEN(R9)&gt;9,SUMIFS(Options!$AZ$3:$AZ$25,Options!$B$3:$B$25,'Check result'!R9),SUMIFS('Master P&amp;L'!$AE$11:$AE$92,'Master P&amp;L'!$B$11:$B$92,'Check result'!R9)))</f>
        <v>0</v>
      </c>
      <c r="U9" s="198">
        <f t="shared" si="3"/>
        <v>0</v>
      </c>
      <c r="V9" s="197">
        <f t="shared" si="4"/>
        <v>-317791</v>
      </c>
      <c r="W9">
        <f t="shared" si="5"/>
        <v>-0.28000000000000003</v>
      </c>
    </row>
    <row r="10" spans="1:23">
      <c r="A10" s="258">
        <v>45840</v>
      </c>
      <c r="B10" s="259" t="s">
        <v>210</v>
      </c>
      <c r="C10" s="259" t="s">
        <v>250</v>
      </c>
      <c r="D10" s="259" t="s">
        <v>507</v>
      </c>
      <c r="E10" s="260">
        <v>-203405</v>
      </c>
      <c r="F10" s="259">
        <v>-0.18</v>
      </c>
      <c r="G10" s="197">
        <f t="shared" si="0"/>
        <v>11300277777.777777</v>
      </c>
      <c r="R10" t="str">
        <f t="shared" si="1"/>
        <v>QQQ US 07/03/25 P546</v>
      </c>
      <c r="S10">
        <f t="shared" si="2"/>
        <v>-203405</v>
      </c>
      <c r="T10" s="198">
        <f>IF(R10="","",IF(LEN(R10)&gt;9,SUMIFS(Options!$AZ$3:$AZ$25,Options!$B$3:$B$25,'Check result'!R10),SUMIFS('Master P&amp;L'!$AE$11:$AE$92,'Master P&amp;L'!$B$11:$B$92,'Check result'!R10)))</f>
        <v>0</v>
      </c>
      <c r="U10" s="198">
        <f t="shared" si="3"/>
        <v>0</v>
      </c>
      <c r="V10" s="197">
        <f t="shared" si="4"/>
        <v>-203405</v>
      </c>
      <c r="W10">
        <f t="shared" si="5"/>
        <v>-0.18</v>
      </c>
    </row>
    <row r="11" spans="1:23">
      <c r="A11" s="258">
        <v>45840</v>
      </c>
      <c r="B11" s="259" t="s">
        <v>210</v>
      </c>
      <c r="C11" s="259" t="s">
        <v>250</v>
      </c>
      <c r="D11" s="259" t="s">
        <v>387</v>
      </c>
      <c r="E11" s="260">
        <v>-189723</v>
      </c>
      <c r="F11" s="259">
        <v>-0.17</v>
      </c>
      <c r="G11" s="197">
        <f t="shared" si="0"/>
        <v>11160176470.588234</v>
      </c>
      <c r="R11" t="str">
        <f t="shared" si="1"/>
        <v>GDX US 09/19/25 C59</v>
      </c>
      <c r="S11">
        <f t="shared" si="2"/>
        <v>-189723</v>
      </c>
      <c r="T11" s="198">
        <f>IF(R11="","",IF(LEN(R11)&gt;9,SUMIFS(Options!$AZ$3:$AZ$25,Options!$B$3:$B$25,'Check result'!R11),SUMIFS('Master P&amp;L'!$AE$11:$AE$92,'Master P&amp;L'!$B$11:$B$92,'Check result'!R11)))</f>
        <v>0</v>
      </c>
      <c r="U11" s="198">
        <f t="shared" si="3"/>
        <v>0</v>
      </c>
      <c r="V11" s="197">
        <f t="shared" si="4"/>
        <v>-189723</v>
      </c>
      <c r="W11">
        <f t="shared" si="5"/>
        <v>-0.17000000000000004</v>
      </c>
    </row>
    <row r="12" spans="1:23">
      <c r="A12" s="258">
        <v>45840</v>
      </c>
      <c r="B12" s="259" t="s">
        <v>210</v>
      </c>
      <c r="C12" s="259" t="s">
        <v>244</v>
      </c>
      <c r="D12" s="259" t="s">
        <v>252</v>
      </c>
      <c r="E12" s="260">
        <v>-179126</v>
      </c>
      <c r="F12" s="259">
        <v>-0.16</v>
      </c>
      <c r="G12" s="197">
        <f t="shared" si="0"/>
        <v>11195375000</v>
      </c>
      <c r="R12" t="str">
        <f t="shared" si="1"/>
        <v>META US</v>
      </c>
      <c r="S12">
        <f t="shared" si="2"/>
        <v>-179126</v>
      </c>
      <c r="T12" s="198">
        <f>IF(R12="","",IF(LEN(R12)&gt;9,SUMIFS(Options!$AZ$3:$AZ$25,Options!$B$3:$B$25,'Check result'!R12),SUMIFS('Master P&amp;L'!$AE$11:$AE$92,'Master P&amp;L'!$B$11:$B$92,'Check result'!R12)))</f>
        <v>0</v>
      </c>
      <c r="U12" s="198">
        <f t="shared" si="3"/>
        <v>0</v>
      </c>
      <c r="V12" s="197">
        <f t="shared" si="4"/>
        <v>-179126</v>
      </c>
      <c r="W12">
        <f t="shared" si="5"/>
        <v>-0.16</v>
      </c>
    </row>
    <row r="13" spans="1:23">
      <c r="A13" s="258">
        <v>45840</v>
      </c>
      <c r="B13" s="259" t="s">
        <v>210</v>
      </c>
      <c r="C13" s="259" t="s">
        <v>250</v>
      </c>
      <c r="D13" s="259" t="s">
        <v>402</v>
      </c>
      <c r="E13" s="260">
        <v>-173338</v>
      </c>
      <c r="F13" s="259">
        <v>-0.15</v>
      </c>
      <c r="G13" s="197">
        <f t="shared" si="0"/>
        <v>11555866666.666668</v>
      </c>
      <c r="R13" t="str">
        <f t="shared" si="1"/>
        <v>SOXX US 07/18/25 C240</v>
      </c>
      <c r="S13">
        <f t="shared" si="2"/>
        <v>-173338</v>
      </c>
      <c r="T13" s="198">
        <f>IF(R13="","",IF(LEN(R13)&gt;9,SUMIFS(Options!$AZ$3:$AZ$25,Options!$B$3:$B$25,'Check result'!R13),SUMIFS('Master P&amp;L'!$AE$11:$AE$92,'Master P&amp;L'!$B$11:$B$92,'Check result'!R13)))</f>
        <v>0</v>
      </c>
      <c r="U13" s="198">
        <f t="shared" si="3"/>
        <v>0</v>
      </c>
      <c r="V13" s="197">
        <f t="shared" si="4"/>
        <v>-173338</v>
      </c>
      <c r="W13">
        <f t="shared" si="5"/>
        <v>-0.15</v>
      </c>
    </row>
    <row r="14" spans="1:23">
      <c r="A14" s="258">
        <v>45840</v>
      </c>
      <c r="B14" s="259" t="s">
        <v>210</v>
      </c>
      <c r="C14" s="259" t="s">
        <v>250</v>
      </c>
      <c r="D14" s="259" t="s">
        <v>465</v>
      </c>
      <c r="E14" s="260">
        <v>-172999</v>
      </c>
      <c r="F14" s="259">
        <v>-0.15</v>
      </c>
      <c r="G14" s="197">
        <f t="shared" si="0"/>
        <v>11533266666.666668</v>
      </c>
      <c r="R14" t="str">
        <f t="shared" si="1"/>
        <v>EWT US 09/19/25 C58</v>
      </c>
      <c r="S14">
        <f t="shared" si="2"/>
        <v>-172999</v>
      </c>
      <c r="T14" s="198">
        <f>IF(R14="","",IF(LEN(R14)&gt;9,SUMIFS(Options!$AZ$3:$AZ$25,Options!$B$3:$B$25,'Check result'!R14),SUMIFS('Master P&amp;L'!$AE$11:$AE$92,'Master P&amp;L'!$B$11:$B$92,'Check result'!R14)))</f>
        <v>0</v>
      </c>
      <c r="U14" s="198">
        <f t="shared" si="3"/>
        <v>0</v>
      </c>
      <c r="V14" s="197">
        <f t="shared" si="4"/>
        <v>-172999</v>
      </c>
      <c r="W14">
        <f t="shared" si="5"/>
        <v>-0.15</v>
      </c>
    </row>
    <row r="15" spans="1:23">
      <c r="A15" s="258">
        <v>45840</v>
      </c>
      <c r="B15" s="259" t="s">
        <v>210</v>
      </c>
      <c r="C15" s="259" t="s">
        <v>250</v>
      </c>
      <c r="D15" s="259" t="s">
        <v>493</v>
      </c>
      <c r="E15" s="260">
        <v>-164934</v>
      </c>
      <c r="F15" s="259">
        <v>-0.15</v>
      </c>
      <c r="G15" s="197">
        <f t="shared" si="0"/>
        <v>10995600000</v>
      </c>
      <c r="R15" t="str">
        <f t="shared" si="1"/>
        <v>SOXX US 07/18/25 C250</v>
      </c>
      <c r="S15">
        <f t="shared" si="2"/>
        <v>-164934</v>
      </c>
      <c r="T15" s="198">
        <f>IF(R15="","",IF(LEN(R15)&gt;9,SUMIFS(Options!$AZ$3:$AZ$25,Options!$B$3:$B$25,'Check result'!R15),SUMIFS('Master P&amp;L'!$AE$11:$AE$92,'Master P&amp;L'!$B$11:$B$92,'Check result'!R15)))</f>
        <v>0</v>
      </c>
      <c r="U15" s="198">
        <f t="shared" si="3"/>
        <v>0</v>
      </c>
      <c r="V15" s="197">
        <f t="shared" si="4"/>
        <v>-164934</v>
      </c>
      <c r="W15">
        <f t="shared" si="5"/>
        <v>-0.15</v>
      </c>
    </row>
    <row r="16" spans="1:23">
      <c r="A16" s="258">
        <v>45840</v>
      </c>
      <c r="B16" s="259" t="s">
        <v>210</v>
      </c>
      <c r="C16" s="259" t="s">
        <v>246</v>
      </c>
      <c r="D16" s="259" t="s">
        <v>489</v>
      </c>
      <c r="E16" s="260">
        <v>-161071</v>
      </c>
      <c r="F16" s="259">
        <v>-0.14000000000000001</v>
      </c>
      <c r="G16" s="197">
        <f t="shared" si="0"/>
        <v>11505071428.571426</v>
      </c>
      <c r="R16" t="str">
        <f t="shared" si="1"/>
        <v>NVDA US 07/18/25 P150</v>
      </c>
      <c r="S16">
        <f t="shared" si="2"/>
        <v>-161071</v>
      </c>
      <c r="T16" s="198">
        <f>IF(R16="","",IF(LEN(R16)&gt;9,SUMIFS(Options!$AZ$3:$AZ$25,Options!$B$3:$B$25,'Check result'!R16),SUMIFS('Master P&amp;L'!$AE$11:$AE$92,'Master P&amp;L'!$B$11:$B$92,'Check result'!R16)))</f>
        <v>0</v>
      </c>
      <c r="U16" s="198">
        <f t="shared" si="3"/>
        <v>0</v>
      </c>
      <c r="V16" s="197">
        <f t="shared" si="4"/>
        <v>-161071</v>
      </c>
      <c r="W16">
        <f t="shared" si="5"/>
        <v>-0.14000000000000004</v>
      </c>
    </row>
    <row r="17" spans="1:23">
      <c r="A17" s="258">
        <v>45840</v>
      </c>
      <c r="B17" s="259" t="s">
        <v>210</v>
      </c>
      <c r="C17" s="259" t="s">
        <v>244</v>
      </c>
      <c r="D17" s="259" t="s">
        <v>38</v>
      </c>
      <c r="E17" s="260">
        <v>-159060</v>
      </c>
      <c r="F17" s="259">
        <v>-0.14000000000000001</v>
      </c>
      <c r="G17" s="197">
        <f t="shared" si="0"/>
        <v>11361428571.42857</v>
      </c>
      <c r="R17" t="str">
        <f t="shared" si="1"/>
        <v>MSFT</v>
      </c>
      <c r="S17">
        <f t="shared" si="2"/>
        <v>-159060</v>
      </c>
      <c r="T17" s="198">
        <f>IF(R17="","",IF(LEN(R17)&gt;9,SUMIFS(Options!$AZ$3:$AZ$25,Options!$B$3:$B$25,'Check result'!R17),SUMIFS('Master P&amp;L'!$AE$11:$AE$92,'Master P&amp;L'!$B$11:$B$92,'Check result'!R17)))</f>
        <v>0</v>
      </c>
      <c r="U17" s="198">
        <f t="shared" si="3"/>
        <v>0</v>
      </c>
      <c r="V17" s="197">
        <f t="shared" si="4"/>
        <v>-159060</v>
      </c>
      <c r="W17">
        <f t="shared" si="5"/>
        <v>-0.14000000000000001</v>
      </c>
    </row>
    <row r="18" spans="1:23">
      <c r="A18" s="258">
        <v>45840</v>
      </c>
      <c r="B18" s="259" t="s">
        <v>210</v>
      </c>
      <c r="C18" s="259" t="s">
        <v>246</v>
      </c>
      <c r="D18" s="259" t="s">
        <v>398</v>
      </c>
      <c r="E18" s="260">
        <v>-150729</v>
      </c>
      <c r="F18" s="259">
        <v>-0.13</v>
      </c>
      <c r="G18" s="197">
        <f t="shared" si="0"/>
        <v>11594538461.53846</v>
      </c>
      <c r="R18" t="str">
        <f t="shared" si="1"/>
        <v>NVDA US 07/18/25 P140</v>
      </c>
      <c r="S18">
        <f t="shared" si="2"/>
        <v>-150729</v>
      </c>
      <c r="T18" s="198">
        <f>IF(R18="","",IF(LEN(R18)&gt;9,SUMIFS(Options!$AZ$3:$AZ$25,Options!$B$3:$B$25,'Check result'!R18),SUMIFS('Master P&amp;L'!$AE$11:$AE$92,'Master P&amp;L'!$B$11:$B$92,'Check result'!R18)))</f>
        <v>0</v>
      </c>
      <c r="U18" s="198">
        <f t="shared" si="3"/>
        <v>0</v>
      </c>
      <c r="V18" s="197">
        <f t="shared" si="4"/>
        <v>-150729</v>
      </c>
      <c r="W18">
        <f t="shared" si="5"/>
        <v>-0.13000000000000003</v>
      </c>
    </row>
    <row r="19" spans="1:23">
      <c r="A19" s="258">
        <v>45840</v>
      </c>
      <c r="B19" s="259" t="s">
        <v>210</v>
      </c>
      <c r="C19" s="259" t="s">
        <v>244</v>
      </c>
      <c r="D19" s="259" t="s">
        <v>28</v>
      </c>
      <c r="E19" s="260">
        <v>-140779</v>
      </c>
      <c r="F19" s="259">
        <v>-0.12</v>
      </c>
      <c r="G19" s="197">
        <f t="shared" si="0"/>
        <v>11731583333.333334</v>
      </c>
      <c r="R19" t="str">
        <f t="shared" si="1"/>
        <v>COIN</v>
      </c>
      <c r="S19">
        <f t="shared" si="2"/>
        <v>-140779</v>
      </c>
      <c r="T19" s="198">
        <f>IF(R19="","",IF(LEN(R19)&gt;9,SUMIFS(Options!$AZ$3:$AZ$25,Options!$B$3:$B$25,'Check result'!R19),SUMIFS('Master P&amp;L'!$AE$11:$AE$92,'Master P&amp;L'!$B$11:$B$92,'Check result'!R19)))</f>
        <v>0</v>
      </c>
      <c r="U19" s="198">
        <f t="shared" si="3"/>
        <v>0</v>
      </c>
      <c r="V19" s="197">
        <f t="shared" si="4"/>
        <v>-140779</v>
      </c>
      <c r="W19">
        <f t="shared" si="5"/>
        <v>-0.11999999999999998</v>
      </c>
    </row>
    <row r="20" spans="1:23">
      <c r="A20" s="258">
        <v>45840</v>
      </c>
      <c r="B20" s="259" t="s">
        <v>210</v>
      </c>
      <c r="C20" s="259" t="s">
        <v>250</v>
      </c>
      <c r="D20" s="259" t="s">
        <v>414</v>
      </c>
      <c r="E20" s="260">
        <v>-128119</v>
      </c>
      <c r="F20" s="259">
        <v>-0.11</v>
      </c>
      <c r="G20" s="197">
        <f t="shared" si="0"/>
        <v>11647181818.181818</v>
      </c>
      <c r="R20" t="str">
        <f t="shared" si="1"/>
        <v>SPY US 07/18/25 P595</v>
      </c>
      <c r="S20">
        <f t="shared" si="2"/>
        <v>-128119</v>
      </c>
      <c r="T20" s="198">
        <f>IF(R20="","",IF(LEN(R20)&gt;9,SUMIFS(Options!$AZ$3:$AZ$25,Options!$B$3:$B$25,'Check result'!R20),SUMIFS('Master P&amp;L'!$AE$11:$AE$92,'Master P&amp;L'!$B$11:$B$92,'Check result'!R20)))</f>
        <v>0</v>
      </c>
      <c r="U20" s="198">
        <f t="shared" si="3"/>
        <v>0</v>
      </c>
      <c r="V20" s="197">
        <f t="shared" si="4"/>
        <v>-128119</v>
      </c>
      <c r="W20">
        <f t="shared" si="5"/>
        <v>-0.11</v>
      </c>
    </row>
    <row r="21" spans="1:23">
      <c r="A21" s="258">
        <v>45840</v>
      </c>
      <c r="B21" s="259" t="s">
        <v>210</v>
      </c>
      <c r="C21" s="259" t="s">
        <v>250</v>
      </c>
      <c r="D21" s="259" t="s">
        <v>416</v>
      </c>
      <c r="E21" s="260">
        <v>-127659</v>
      </c>
      <c r="F21" s="259">
        <v>-0.11</v>
      </c>
      <c r="G21" s="197">
        <f t="shared" si="0"/>
        <v>11605363636.363636</v>
      </c>
      <c r="R21" t="str">
        <f t="shared" si="1"/>
        <v>SPY US 07/18/25 C625</v>
      </c>
      <c r="S21">
        <f t="shared" si="2"/>
        <v>-127659</v>
      </c>
      <c r="T21" s="198">
        <f>IF(R21="","",IF(LEN(R21)&gt;9,SUMIFS(Options!$AZ$3:$AZ$25,Options!$B$3:$B$25,'Check result'!R21),SUMIFS('Master P&amp;L'!$AE$11:$AE$92,'Master P&amp;L'!$B$11:$B$92,'Check result'!R21)))</f>
        <v>0</v>
      </c>
      <c r="U21" s="198">
        <f t="shared" si="3"/>
        <v>0</v>
      </c>
      <c r="V21" s="197">
        <f t="shared" si="4"/>
        <v>-127659</v>
      </c>
      <c r="W21">
        <f t="shared" si="5"/>
        <v>-0.11</v>
      </c>
    </row>
    <row r="22" spans="1:23">
      <c r="A22" s="258">
        <v>45840</v>
      </c>
      <c r="B22" s="259" t="s">
        <v>210</v>
      </c>
      <c r="C22" s="259" t="s">
        <v>250</v>
      </c>
      <c r="D22" s="259" t="s">
        <v>499</v>
      </c>
      <c r="E22" s="260">
        <v>-123172</v>
      </c>
      <c r="F22" s="259">
        <v>-0.11</v>
      </c>
      <c r="G22" s="197">
        <f t="shared" si="0"/>
        <v>11197454545.454546</v>
      </c>
      <c r="R22" t="str">
        <f t="shared" si="1"/>
        <v>EWT US 09/19/25 C60</v>
      </c>
      <c r="S22">
        <f t="shared" si="2"/>
        <v>-123172</v>
      </c>
      <c r="T22" s="198">
        <f>IF(R22="","",IF(LEN(R22)&gt;9,SUMIFS(Options!$AZ$3:$AZ$25,Options!$B$3:$B$25,'Check result'!R22),SUMIFS('Master P&amp;L'!$AE$11:$AE$92,'Master P&amp;L'!$B$11:$B$92,'Check result'!R22)))</f>
        <v>0</v>
      </c>
      <c r="U22" s="198">
        <f t="shared" si="3"/>
        <v>0</v>
      </c>
      <c r="V22" s="197">
        <f t="shared" si="4"/>
        <v>-123172</v>
      </c>
      <c r="W22">
        <f t="shared" si="5"/>
        <v>-0.11</v>
      </c>
    </row>
    <row r="23" spans="1:23">
      <c r="A23" s="258">
        <v>45840</v>
      </c>
      <c r="B23" s="259" t="s">
        <v>210</v>
      </c>
      <c r="C23" s="259" t="s">
        <v>246</v>
      </c>
      <c r="D23" s="259" t="s">
        <v>370</v>
      </c>
      <c r="E23" s="260">
        <v>-114511</v>
      </c>
      <c r="F23" s="259">
        <v>-0.1</v>
      </c>
      <c r="G23" s="197">
        <f t="shared" si="0"/>
        <v>11451100000</v>
      </c>
      <c r="R23" t="str">
        <f t="shared" si="1"/>
        <v>UBER US 07/18/25 C95</v>
      </c>
      <c r="S23">
        <f t="shared" si="2"/>
        <v>-114511</v>
      </c>
      <c r="T23" s="198">
        <f>IF(R23="","",IF(LEN(R23)&gt;9,SUMIFS(Options!$AZ$3:$AZ$25,Options!$B$3:$B$25,'Check result'!R23),SUMIFS('Master P&amp;L'!$AE$11:$AE$92,'Master P&amp;L'!$B$11:$B$92,'Check result'!R23)))</f>
        <v>0</v>
      </c>
      <c r="U23" s="198">
        <f t="shared" si="3"/>
        <v>0</v>
      </c>
      <c r="V23" s="197">
        <f t="shared" si="4"/>
        <v>-114511</v>
      </c>
      <c r="W23">
        <f t="shared" si="5"/>
        <v>-0.1</v>
      </c>
    </row>
    <row r="24" spans="1:23">
      <c r="A24" s="258">
        <v>45840</v>
      </c>
      <c r="B24" s="259" t="s">
        <v>210</v>
      </c>
      <c r="C24" s="259" t="s">
        <v>247</v>
      </c>
      <c r="D24" s="259" t="s">
        <v>320</v>
      </c>
      <c r="E24" s="260">
        <v>-104979</v>
      </c>
      <c r="F24" s="259">
        <v>-0.09</v>
      </c>
      <c r="G24" s="197">
        <f t="shared" si="0"/>
        <v>11664333333.333334</v>
      </c>
      <c r="R24" t="str">
        <f t="shared" si="1"/>
        <v>XRT</v>
      </c>
      <c r="S24">
        <f t="shared" si="2"/>
        <v>-104979</v>
      </c>
      <c r="T24" s="198">
        <f>IF(R24="","",IF(LEN(R24)&gt;9,SUMIFS(Options!$AZ$3:$AZ$25,Options!$B$3:$B$25,'Check result'!R24),SUMIFS('Master P&amp;L'!$AE$11:$AE$92,'Master P&amp;L'!$B$11:$B$92,'Check result'!R24)))</f>
        <v>0</v>
      </c>
      <c r="U24" s="198">
        <f t="shared" si="3"/>
        <v>0</v>
      </c>
      <c r="V24" s="197">
        <f t="shared" si="4"/>
        <v>-104979</v>
      </c>
      <c r="W24">
        <f t="shared" si="5"/>
        <v>-0.09</v>
      </c>
    </row>
    <row r="25" spans="1:23">
      <c r="A25" s="258">
        <v>45840</v>
      </c>
      <c r="B25" s="259" t="s">
        <v>210</v>
      </c>
      <c r="C25" s="259" t="s">
        <v>250</v>
      </c>
      <c r="D25" s="259" t="s">
        <v>491</v>
      </c>
      <c r="E25" s="260">
        <v>-103084</v>
      </c>
      <c r="F25" s="259">
        <v>-0.09</v>
      </c>
      <c r="G25" s="197">
        <f t="shared" si="0"/>
        <v>11453777777.777777</v>
      </c>
      <c r="R25" t="str">
        <f t="shared" si="1"/>
        <v>SOXX US 07/18/25 P235</v>
      </c>
      <c r="S25">
        <f t="shared" si="2"/>
        <v>-103084</v>
      </c>
      <c r="T25" s="198">
        <f>IF(R25="","",IF(LEN(R25)&gt;9,SUMIFS(Options!$AZ$3:$AZ$25,Options!$B$3:$B$25,'Check result'!R25),SUMIFS('Master P&amp;L'!$AE$11:$AE$92,'Master P&amp;L'!$B$11:$B$92,'Check result'!R25)))</f>
        <v>0</v>
      </c>
      <c r="U25" s="198">
        <f t="shared" si="3"/>
        <v>0</v>
      </c>
      <c r="V25" s="197">
        <f t="shared" si="4"/>
        <v>-103084</v>
      </c>
      <c r="W25">
        <f t="shared" si="5"/>
        <v>-0.09</v>
      </c>
    </row>
    <row r="26" spans="1:23">
      <c r="A26" s="258">
        <v>45840</v>
      </c>
      <c r="B26" s="259" t="s">
        <v>210</v>
      </c>
      <c r="C26" s="259" t="s">
        <v>244</v>
      </c>
      <c r="D26" s="259" t="s">
        <v>76</v>
      </c>
      <c r="E26" s="260">
        <v>-99741</v>
      </c>
      <c r="F26" s="259">
        <v>-0.09</v>
      </c>
      <c r="G26" s="197">
        <f t="shared" si="0"/>
        <v>11082333333.333334</v>
      </c>
      <c r="R26" t="str">
        <f t="shared" si="1"/>
        <v>BKNG</v>
      </c>
      <c r="S26">
        <f t="shared" si="2"/>
        <v>-99741</v>
      </c>
      <c r="T26" s="198">
        <f>IF(R26="","",IF(LEN(R26)&gt;9,SUMIFS(Options!$AZ$3:$AZ$25,Options!$B$3:$B$25,'Check result'!R26),SUMIFS('Master P&amp;L'!$AE$11:$AE$92,'Master P&amp;L'!$B$11:$B$92,'Check result'!R26)))</f>
        <v>0</v>
      </c>
      <c r="U26" s="198">
        <f t="shared" si="3"/>
        <v>0</v>
      </c>
      <c r="V26" s="197">
        <f t="shared" si="4"/>
        <v>-99741</v>
      </c>
      <c r="W26">
        <f t="shared" si="5"/>
        <v>-0.09</v>
      </c>
    </row>
    <row r="27" spans="1:23">
      <c r="A27" s="258">
        <v>45840</v>
      </c>
      <c r="B27" s="259" t="s">
        <v>210</v>
      </c>
      <c r="C27" s="259" t="s">
        <v>246</v>
      </c>
      <c r="D27" s="259" t="s">
        <v>503</v>
      </c>
      <c r="E27" s="260">
        <v>-92037</v>
      </c>
      <c r="F27" s="259">
        <v>-0.08</v>
      </c>
      <c r="G27" s="197">
        <f t="shared" si="0"/>
        <v>11504625000</v>
      </c>
      <c r="R27" t="str">
        <f t="shared" si="1"/>
        <v>COIN US 07/18/25 C400</v>
      </c>
      <c r="S27">
        <f t="shared" si="2"/>
        <v>-92037</v>
      </c>
      <c r="T27" s="198">
        <f>IF(R27="","",IF(LEN(R27)&gt;9,SUMIFS(Options!$AZ$3:$AZ$25,Options!$B$3:$B$25,'Check result'!R27),SUMIFS('Master P&amp;L'!$AE$11:$AE$92,'Master P&amp;L'!$B$11:$B$92,'Check result'!R27)))</f>
        <v>0</v>
      </c>
      <c r="U27" s="198">
        <f t="shared" si="3"/>
        <v>0</v>
      </c>
      <c r="V27" s="197">
        <f t="shared" si="4"/>
        <v>-92037</v>
      </c>
      <c r="W27">
        <f t="shared" si="5"/>
        <v>-0.08</v>
      </c>
    </row>
    <row r="28" spans="1:23">
      <c r="A28" s="258">
        <v>45840</v>
      </c>
      <c r="B28" s="259" t="s">
        <v>210</v>
      </c>
      <c r="C28" s="259" t="s">
        <v>246</v>
      </c>
      <c r="D28" s="259" t="s">
        <v>490</v>
      </c>
      <c r="E28" s="260">
        <v>-73586</v>
      </c>
      <c r="F28" s="259">
        <v>-7.0000000000000007E-2</v>
      </c>
      <c r="G28" s="197">
        <f t="shared" si="0"/>
        <v>10512285714.285713</v>
      </c>
      <c r="R28" t="str">
        <f t="shared" si="1"/>
        <v>NVDA US 07/18/25 C165</v>
      </c>
      <c r="S28">
        <f t="shared" si="2"/>
        <v>-73586</v>
      </c>
      <c r="T28" s="198">
        <f>IF(R28="","",IF(LEN(R28)&gt;9,SUMIFS(Options!$AZ$3:$AZ$25,Options!$B$3:$B$25,'Check result'!R28),SUMIFS('Master P&amp;L'!$AE$11:$AE$92,'Master P&amp;L'!$B$11:$B$92,'Check result'!R28)))</f>
        <v>0</v>
      </c>
      <c r="U28" s="198">
        <f t="shared" si="3"/>
        <v>0</v>
      </c>
      <c r="V28" s="197">
        <f t="shared" si="4"/>
        <v>-73586</v>
      </c>
      <c r="W28">
        <f t="shared" si="5"/>
        <v>-7.0000000000000007E-2</v>
      </c>
    </row>
    <row r="29" spans="1:23">
      <c r="A29" s="258">
        <v>45840</v>
      </c>
      <c r="B29" s="259" t="s">
        <v>210</v>
      </c>
      <c r="C29" s="259" t="s">
        <v>250</v>
      </c>
      <c r="D29" s="259" t="s">
        <v>449</v>
      </c>
      <c r="E29" s="260">
        <v>-71135</v>
      </c>
      <c r="F29" s="259">
        <v>-0.06</v>
      </c>
      <c r="G29" s="197">
        <f t="shared" si="0"/>
        <v>11855833333.333334</v>
      </c>
      <c r="R29" t="str">
        <f t="shared" si="1"/>
        <v>QQQ US 07/11/25 C550</v>
      </c>
      <c r="S29">
        <f t="shared" si="2"/>
        <v>-71135</v>
      </c>
      <c r="T29" s="198">
        <f>IF(R29="","",IF(LEN(R29)&gt;9,SUMIFS(Options!$AZ$3:$AZ$25,Options!$B$3:$B$25,'Check result'!R29),SUMIFS('Master P&amp;L'!$AE$11:$AE$92,'Master P&amp;L'!$B$11:$B$92,'Check result'!R29)))</f>
        <v>0</v>
      </c>
      <c r="U29" s="198">
        <f t="shared" si="3"/>
        <v>0</v>
      </c>
      <c r="V29" s="197">
        <f t="shared" si="4"/>
        <v>-71135</v>
      </c>
      <c r="W29">
        <f t="shared" si="5"/>
        <v>-5.9999999999999991E-2</v>
      </c>
    </row>
    <row r="30" spans="1:23">
      <c r="A30" s="258">
        <v>45840</v>
      </c>
      <c r="B30" s="259" t="s">
        <v>210</v>
      </c>
      <c r="C30" s="259" t="s">
        <v>246</v>
      </c>
      <c r="D30" s="259" t="s">
        <v>510</v>
      </c>
      <c r="E30" s="260">
        <v>-70821</v>
      </c>
      <c r="F30" s="259">
        <v>-0.06</v>
      </c>
      <c r="G30" s="197">
        <f t="shared" si="0"/>
        <v>11803500000</v>
      </c>
      <c r="R30" t="str">
        <f t="shared" si="1"/>
        <v>MU US 08/15/25 C135</v>
      </c>
      <c r="S30">
        <f t="shared" si="2"/>
        <v>-70821</v>
      </c>
      <c r="T30" s="198">
        <f>IF(R30="","",IF(LEN(R30)&gt;9,SUMIFS(Options!$AZ$3:$AZ$25,Options!$B$3:$B$25,'Check result'!R30),SUMIFS('Master P&amp;L'!$AE$11:$AE$92,'Master P&amp;L'!$B$11:$B$92,'Check result'!R30)))</f>
        <v>0</v>
      </c>
      <c r="U30" s="198">
        <f t="shared" si="3"/>
        <v>0</v>
      </c>
      <c r="V30" s="197">
        <f t="shared" si="4"/>
        <v>-70821</v>
      </c>
      <c r="W30">
        <f t="shared" si="5"/>
        <v>-6.0000000000000005E-2</v>
      </c>
    </row>
    <row r="31" spans="1:23">
      <c r="A31" s="258">
        <v>45840</v>
      </c>
      <c r="B31" s="259" t="s">
        <v>210</v>
      </c>
      <c r="C31" s="259" t="s">
        <v>246</v>
      </c>
      <c r="D31" s="259" t="s">
        <v>419</v>
      </c>
      <c r="E31" s="260">
        <v>-69837</v>
      </c>
      <c r="F31" s="259">
        <v>-0.06</v>
      </c>
      <c r="G31" s="197">
        <f t="shared" si="0"/>
        <v>11639500000</v>
      </c>
      <c r="R31" t="str">
        <f t="shared" si="1"/>
        <v>AAPL US 07/18/25 C215</v>
      </c>
      <c r="S31">
        <f t="shared" si="2"/>
        <v>-69837</v>
      </c>
      <c r="T31" s="198">
        <f>IF(R31="","",IF(LEN(R31)&gt;9,SUMIFS(Options!$AZ$3:$AZ$25,Options!$B$3:$B$25,'Check result'!R31),SUMIFS('Master P&amp;L'!$AE$11:$AE$92,'Master P&amp;L'!$B$11:$B$92,'Check result'!R31)))</f>
        <v>0</v>
      </c>
      <c r="U31" s="198">
        <f t="shared" si="3"/>
        <v>0</v>
      </c>
      <c r="V31" s="197">
        <f t="shared" si="4"/>
        <v>-69837</v>
      </c>
      <c r="W31">
        <f t="shared" si="5"/>
        <v>-6.0000000000000005E-2</v>
      </c>
    </row>
    <row r="32" spans="1:23">
      <c r="A32" s="258">
        <v>45840</v>
      </c>
      <c r="B32" s="259" t="s">
        <v>210</v>
      </c>
      <c r="C32" s="259" t="s">
        <v>250</v>
      </c>
      <c r="D32" s="259" t="s">
        <v>466</v>
      </c>
      <c r="E32" s="260">
        <v>-68578</v>
      </c>
      <c r="F32" s="259">
        <v>-0.06</v>
      </c>
      <c r="G32" s="197">
        <f t="shared" si="0"/>
        <v>11429666666.666668</v>
      </c>
      <c r="R32" t="str">
        <f t="shared" si="1"/>
        <v>EWT US 09/19/25 P55</v>
      </c>
      <c r="S32">
        <f t="shared" si="2"/>
        <v>-68578</v>
      </c>
      <c r="T32" s="198">
        <f>IF(R32="","",IF(LEN(R32)&gt;9,SUMIFS(Options!$AZ$3:$AZ$25,Options!$B$3:$B$25,'Check result'!R32),SUMIFS('Master P&amp;L'!$AE$11:$AE$92,'Master P&amp;L'!$B$11:$B$92,'Check result'!R32)))</f>
        <v>0</v>
      </c>
      <c r="U32" s="198">
        <f t="shared" si="3"/>
        <v>0</v>
      </c>
      <c r="V32" s="197">
        <f t="shared" si="4"/>
        <v>-68578</v>
      </c>
      <c r="W32">
        <f t="shared" si="5"/>
        <v>-5.9999999999999991E-2</v>
      </c>
    </row>
    <row r="33" spans="1:23">
      <c r="A33" s="258">
        <v>45840</v>
      </c>
      <c r="B33" s="259" t="s">
        <v>210</v>
      </c>
      <c r="C33" s="259" t="s">
        <v>244</v>
      </c>
      <c r="D33" s="259" t="s">
        <v>233</v>
      </c>
      <c r="E33" s="260">
        <v>-63399</v>
      </c>
      <c r="F33" s="259">
        <v>-0.06</v>
      </c>
      <c r="G33" s="197">
        <f t="shared" si="0"/>
        <v>10566500000</v>
      </c>
      <c r="R33" t="str">
        <f t="shared" si="1"/>
        <v>NTGR</v>
      </c>
      <c r="S33">
        <f t="shared" si="2"/>
        <v>-63399</v>
      </c>
      <c r="T33" s="198">
        <f>IF(R33="","",IF(LEN(R33)&gt;9,SUMIFS(Options!$AZ$3:$AZ$25,Options!$B$3:$B$25,'Check result'!R33),SUMIFS('Master P&amp;L'!$AE$11:$AE$92,'Master P&amp;L'!$B$11:$B$92,'Check result'!R33)))</f>
        <v>0</v>
      </c>
      <c r="U33" s="198">
        <f t="shared" si="3"/>
        <v>0</v>
      </c>
      <c r="V33" s="197">
        <f t="shared" si="4"/>
        <v>-63399</v>
      </c>
      <c r="W33">
        <f t="shared" si="5"/>
        <v>-6.0000000000000005E-2</v>
      </c>
    </row>
    <row r="34" spans="1:23">
      <c r="A34" s="258">
        <v>45840</v>
      </c>
      <c r="B34" s="259" t="s">
        <v>210</v>
      </c>
      <c r="C34" s="259" t="s">
        <v>250</v>
      </c>
      <c r="D34" s="259" t="s">
        <v>456</v>
      </c>
      <c r="E34" s="260">
        <v>-58329</v>
      </c>
      <c r="F34" s="259">
        <v>-0.05</v>
      </c>
      <c r="G34" s="197">
        <f t="shared" si="0"/>
        <v>11665800000</v>
      </c>
      <c r="R34" t="str">
        <f t="shared" si="1"/>
        <v>QQQ US 07/18/25 P525</v>
      </c>
      <c r="S34">
        <f t="shared" si="2"/>
        <v>-58329</v>
      </c>
      <c r="T34" s="198">
        <f>IF(R34="","",IF(LEN(R34)&gt;9,SUMIFS(Options!$AZ$3:$AZ$25,Options!$B$3:$B$25,'Check result'!R34),SUMIFS('Master P&amp;L'!$AE$11:$AE$92,'Master P&amp;L'!$B$11:$B$92,'Check result'!R34)))</f>
        <v>0</v>
      </c>
      <c r="U34" s="198">
        <f t="shared" si="3"/>
        <v>0</v>
      </c>
      <c r="V34" s="197">
        <f t="shared" si="4"/>
        <v>-58329</v>
      </c>
      <c r="W34">
        <f t="shared" si="5"/>
        <v>-0.05</v>
      </c>
    </row>
    <row r="35" spans="1:23">
      <c r="A35" s="258">
        <v>45840</v>
      </c>
      <c r="B35" s="259" t="s">
        <v>210</v>
      </c>
      <c r="C35" s="259" t="s">
        <v>244</v>
      </c>
      <c r="D35" s="259" t="s">
        <v>27</v>
      </c>
      <c r="E35" s="260">
        <v>-56191</v>
      </c>
      <c r="F35" s="259">
        <v>-0.05</v>
      </c>
      <c r="G35" s="197">
        <f t="shared" si="0"/>
        <v>11238200000</v>
      </c>
      <c r="R35" t="str">
        <f t="shared" si="1"/>
        <v>AAPL</v>
      </c>
      <c r="S35">
        <f t="shared" si="2"/>
        <v>-56191</v>
      </c>
      <c r="T35" s="198">
        <f>IF(R35="","",IF(LEN(R35)&gt;9,SUMIFS(Options!$AZ$3:$AZ$25,Options!$B$3:$B$25,'Check result'!R35),SUMIFS('Master P&amp;L'!$AE$11:$AE$92,'Master P&amp;L'!$B$11:$B$92,'Check result'!R35)))</f>
        <v>0</v>
      </c>
      <c r="U35" s="198">
        <f t="shared" si="3"/>
        <v>0</v>
      </c>
      <c r="V35" s="197">
        <f t="shared" si="4"/>
        <v>-56191</v>
      </c>
      <c r="W35">
        <f t="shared" si="5"/>
        <v>-0.05</v>
      </c>
    </row>
    <row r="36" spans="1:23">
      <c r="A36" s="258">
        <v>45840</v>
      </c>
      <c r="B36" s="259" t="s">
        <v>210</v>
      </c>
      <c r="C36" s="259" t="s">
        <v>251</v>
      </c>
      <c r="D36" s="259" t="s">
        <v>232</v>
      </c>
      <c r="E36" s="260">
        <v>-55901</v>
      </c>
      <c r="F36" s="259">
        <v>-0.05</v>
      </c>
      <c r="G36" s="197">
        <f t="shared" si="0"/>
        <v>11180200000</v>
      </c>
      <c r="R36" t="str">
        <f t="shared" si="1"/>
        <v>GSC1000P 03/20/26 C79.50</v>
      </c>
      <c r="S36">
        <f t="shared" si="2"/>
        <v>-55901</v>
      </c>
      <c r="T36" s="198">
        <f>IF(R36="","",IF(LEN(R36)&gt;9,SUMIFS(Options!$AZ$3:$AZ$25,Options!$B$3:$B$25,'Check result'!R36),SUMIFS('Master P&amp;L'!$AE$11:$AE$92,'Master P&amp;L'!$B$11:$B$92,'Check result'!R36)))</f>
        <v>0</v>
      </c>
      <c r="U36" s="198">
        <f t="shared" si="3"/>
        <v>0</v>
      </c>
      <c r="V36" s="197">
        <f t="shared" si="4"/>
        <v>-55901</v>
      </c>
      <c r="W36">
        <f t="shared" si="5"/>
        <v>-0.05</v>
      </c>
    </row>
    <row r="37" spans="1:23">
      <c r="A37" s="258">
        <v>45840</v>
      </c>
      <c r="B37" s="259" t="s">
        <v>210</v>
      </c>
      <c r="C37" s="259" t="s">
        <v>250</v>
      </c>
      <c r="D37" s="259" t="s">
        <v>501</v>
      </c>
      <c r="E37" s="260">
        <v>-53690</v>
      </c>
      <c r="F37" s="259">
        <v>-0.05</v>
      </c>
      <c r="G37" s="197">
        <f t="shared" si="0"/>
        <v>10738000000</v>
      </c>
      <c r="R37" t="str">
        <f t="shared" si="1"/>
        <v>EWT US 09/19/25 P57</v>
      </c>
      <c r="S37">
        <f t="shared" si="2"/>
        <v>-53690</v>
      </c>
      <c r="T37" s="198">
        <f>IF(R37="","",IF(LEN(R37)&gt;9,SUMIFS(Options!$AZ$3:$AZ$25,Options!$B$3:$B$25,'Check result'!R37),SUMIFS('Master P&amp;L'!$AE$11:$AE$92,'Master P&amp;L'!$B$11:$B$92,'Check result'!R37)))</f>
        <v>0</v>
      </c>
      <c r="U37" s="198">
        <f t="shared" si="3"/>
        <v>0</v>
      </c>
      <c r="V37" s="197">
        <f t="shared" si="4"/>
        <v>-53690</v>
      </c>
      <c r="W37">
        <f t="shared" si="5"/>
        <v>-0.05</v>
      </c>
    </row>
    <row r="38" spans="1:23">
      <c r="A38" s="258">
        <v>45840</v>
      </c>
      <c r="B38" s="259" t="s">
        <v>210</v>
      </c>
      <c r="C38" s="259" t="s">
        <v>250</v>
      </c>
      <c r="D38" s="259" t="s">
        <v>496</v>
      </c>
      <c r="E38" s="260">
        <v>-51969</v>
      </c>
      <c r="F38" s="259">
        <v>-0.05</v>
      </c>
      <c r="G38" s="197">
        <f t="shared" si="0"/>
        <v>10393800000</v>
      </c>
      <c r="R38" t="str">
        <f t="shared" si="1"/>
        <v>QQQ US 07/18/25 P540</v>
      </c>
      <c r="S38">
        <f t="shared" si="2"/>
        <v>-51969</v>
      </c>
      <c r="T38" s="198">
        <f>IF(R38="","",IF(LEN(R38)&gt;9,SUMIFS(Options!$AZ$3:$AZ$25,Options!$B$3:$B$25,'Check result'!R38),SUMIFS('Master P&amp;L'!$AE$11:$AE$92,'Master P&amp;L'!$B$11:$B$92,'Check result'!R38)))</f>
        <v>0</v>
      </c>
      <c r="U38" s="198">
        <f t="shared" si="3"/>
        <v>0</v>
      </c>
      <c r="V38" s="197">
        <f t="shared" si="4"/>
        <v>-51969</v>
      </c>
      <c r="W38">
        <f t="shared" si="5"/>
        <v>-0.05</v>
      </c>
    </row>
    <row r="39" spans="1:23">
      <c r="A39" s="258">
        <v>45840</v>
      </c>
      <c r="B39" s="259" t="s">
        <v>210</v>
      </c>
      <c r="C39" s="259" t="s">
        <v>250</v>
      </c>
      <c r="D39" s="259" t="s">
        <v>494</v>
      </c>
      <c r="E39" s="260">
        <v>-50505</v>
      </c>
      <c r="F39" s="259">
        <v>-0.04</v>
      </c>
      <c r="G39" s="197">
        <f t="shared" si="0"/>
        <v>12626250000</v>
      </c>
      <c r="R39" t="str">
        <f t="shared" si="1"/>
        <v>QQQ US 07/18/25 C555</v>
      </c>
      <c r="S39">
        <f t="shared" si="2"/>
        <v>-50505</v>
      </c>
      <c r="T39" s="198">
        <f>IF(R39="","",IF(LEN(R39)&gt;9,SUMIFS(Options!$AZ$3:$AZ$25,Options!$B$3:$B$25,'Check result'!R39),SUMIFS('Master P&amp;L'!$AE$11:$AE$92,'Master P&amp;L'!$B$11:$B$92,'Check result'!R39)))</f>
        <v>0</v>
      </c>
      <c r="U39" s="198">
        <f t="shared" si="3"/>
        <v>0</v>
      </c>
      <c r="V39" s="197">
        <f t="shared" si="4"/>
        <v>-50505</v>
      </c>
      <c r="W39">
        <f t="shared" si="5"/>
        <v>-0.04</v>
      </c>
    </row>
    <row r="40" spans="1:23">
      <c r="A40" s="258">
        <v>45840</v>
      </c>
      <c r="B40" s="259" t="s">
        <v>210</v>
      </c>
      <c r="C40" s="259" t="s">
        <v>250</v>
      </c>
      <c r="D40" s="259" t="s">
        <v>393</v>
      </c>
      <c r="E40" s="260">
        <v>-47699</v>
      </c>
      <c r="F40" s="259">
        <v>-0.04</v>
      </c>
      <c r="G40" s="197">
        <f t="shared" si="0"/>
        <v>11924750000</v>
      </c>
      <c r="R40" t="str">
        <f t="shared" si="1"/>
        <v>GLD US 09/19/25 C335</v>
      </c>
      <c r="S40">
        <f t="shared" si="2"/>
        <v>-47699</v>
      </c>
      <c r="T40" s="198">
        <f>IF(R40="","",IF(LEN(R40)&gt;9,SUMIFS(Options!$AZ$3:$AZ$25,Options!$B$3:$B$25,'Check result'!R40),SUMIFS('Master P&amp;L'!$AE$11:$AE$92,'Master P&amp;L'!$B$11:$B$92,'Check result'!R40)))</f>
        <v>0</v>
      </c>
      <c r="U40" s="198">
        <f t="shared" si="3"/>
        <v>0</v>
      </c>
      <c r="V40" s="197">
        <f t="shared" si="4"/>
        <v>-47699</v>
      </c>
      <c r="W40">
        <f t="shared" si="5"/>
        <v>-0.04</v>
      </c>
    </row>
    <row r="41" spans="1:23">
      <c r="A41" s="258">
        <v>45840</v>
      </c>
      <c r="B41" s="259" t="s">
        <v>210</v>
      </c>
      <c r="C41" s="259" t="s">
        <v>8</v>
      </c>
      <c r="D41" s="259" t="s">
        <v>40</v>
      </c>
      <c r="E41" s="260">
        <v>-46605</v>
      </c>
      <c r="F41" s="259">
        <v>-0.04</v>
      </c>
      <c r="G41" s="197">
        <f t="shared" si="0"/>
        <v>11651250000</v>
      </c>
      <c r="R41" t="str">
        <f t="shared" si="1"/>
        <v>LYSDY</v>
      </c>
      <c r="S41">
        <f t="shared" si="2"/>
        <v>-46605</v>
      </c>
      <c r="T41" s="198">
        <f>IF(R41="","",IF(LEN(R41)&gt;9,SUMIFS(Options!$AZ$3:$AZ$25,Options!$B$3:$B$25,'Check result'!R41),SUMIFS('Master P&amp;L'!$AE$11:$AE$92,'Master P&amp;L'!$B$11:$B$92,'Check result'!R41)))</f>
        <v>0</v>
      </c>
      <c r="U41" s="198">
        <f t="shared" si="3"/>
        <v>0</v>
      </c>
      <c r="V41" s="197">
        <f t="shared" si="4"/>
        <v>-46605</v>
      </c>
      <c r="W41">
        <f t="shared" si="5"/>
        <v>-0.04</v>
      </c>
    </row>
    <row r="42" spans="1:23">
      <c r="A42" s="258">
        <v>45840</v>
      </c>
      <c r="B42" s="259" t="s">
        <v>210</v>
      </c>
      <c r="C42" s="259" t="s">
        <v>8</v>
      </c>
      <c r="D42" s="259" t="s">
        <v>359</v>
      </c>
      <c r="E42" s="260">
        <v>-41345</v>
      </c>
      <c r="F42" s="259">
        <v>-0.04</v>
      </c>
      <c r="G42" s="197">
        <f t="shared" si="0"/>
        <v>10336250000</v>
      </c>
      <c r="R42" t="str">
        <f t="shared" si="1"/>
        <v>SHEL</v>
      </c>
      <c r="S42">
        <f t="shared" si="2"/>
        <v>-41345</v>
      </c>
      <c r="T42" s="198">
        <f>IF(R42="","",IF(LEN(R42)&gt;9,SUMIFS(Options!$AZ$3:$AZ$25,Options!$B$3:$B$25,'Check result'!R42),SUMIFS('Master P&amp;L'!$AE$11:$AE$92,'Master P&amp;L'!$B$11:$B$92,'Check result'!R42)))</f>
        <v>0</v>
      </c>
      <c r="U42" s="198">
        <f t="shared" si="3"/>
        <v>0</v>
      </c>
      <c r="V42" s="197">
        <f t="shared" si="4"/>
        <v>-41345</v>
      </c>
      <c r="W42">
        <f t="shared" si="5"/>
        <v>-0.04</v>
      </c>
    </row>
    <row r="43" spans="1:23">
      <c r="A43" s="258">
        <v>45840</v>
      </c>
      <c r="B43" s="259" t="s">
        <v>210</v>
      </c>
      <c r="C43" s="259" t="s">
        <v>247</v>
      </c>
      <c r="D43" s="259" t="s">
        <v>3</v>
      </c>
      <c r="E43" s="260">
        <v>-39567</v>
      </c>
      <c r="F43" s="259">
        <v>-0.03</v>
      </c>
      <c r="G43" s="197">
        <f t="shared" si="0"/>
        <v>13189000000</v>
      </c>
      <c r="R43" t="str">
        <f t="shared" si="1"/>
        <v>RSP</v>
      </c>
      <c r="S43">
        <f t="shared" si="2"/>
        <v>-39567</v>
      </c>
      <c r="T43" s="198">
        <f>IF(R43="","",IF(LEN(R43)&gt;9,SUMIFS(Options!$AZ$3:$AZ$25,Options!$B$3:$B$25,'Check result'!R43),SUMIFS('Master P&amp;L'!$AE$11:$AE$92,'Master P&amp;L'!$B$11:$B$92,'Check result'!R43)))</f>
        <v>0</v>
      </c>
      <c r="U43" s="198">
        <f t="shared" si="3"/>
        <v>0</v>
      </c>
      <c r="V43" s="197">
        <f t="shared" si="4"/>
        <v>-39567</v>
      </c>
      <c r="W43">
        <f t="shared" si="5"/>
        <v>-3.0000000000000002E-2</v>
      </c>
    </row>
    <row r="44" spans="1:23">
      <c r="A44" s="258">
        <v>45840</v>
      </c>
      <c r="B44" s="259" t="s">
        <v>210</v>
      </c>
      <c r="C44" s="259" t="s">
        <v>247</v>
      </c>
      <c r="D44" s="259" t="s">
        <v>37</v>
      </c>
      <c r="E44" s="260">
        <v>-37821</v>
      </c>
      <c r="F44" s="259">
        <v>-0.03</v>
      </c>
      <c r="G44" s="197">
        <f t="shared" si="0"/>
        <v>12607000000</v>
      </c>
      <c r="R44" t="str">
        <f t="shared" si="1"/>
        <v>IGV</v>
      </c>
      <c r="S44">
        <f t="shared" si="2"/>
        <v>-37821</v>
      </c>
      <c r="T44" s="198">
        <f>IF(R44="","",IF(LEN(R44)&gt;9,SUMIFS(Options!$AZ$3:$AZ$25,Options!$B$3:$B$25,'Check result'!R44),SUMIFS('Master P&amp;L'!$AE$11:$AE$92,'Master P&amp;L'!$B$11:$B$92,'Check result'!R44)))</f>
        <v>0</v>
      </c>
      <c r="U44" s="198">
        <f t="shared" si="3"/>
        <v>0</v>
      </c>
      <c r="V44" s="197">
        <f t="shared" si="4"/>
        <v>-37821</v>
      </c>
      <c r="W44">
        <f t="shared" si="5"/>
        <v>-3.0000000000000002E-2</v>
      </c>
    </row>
    <row r="45" spans="1:23">
      <c r="A45" s="258">
        <v>45840</v>
      </c>
      <c r="B45" s="259" t="s">
        <v>210</v>
      </c>
      <c r="C45" s="259" t="s">
        <v>247</v>
      </c>
      <c r="D45" s="259" t="s">
        <v>365</v>
      </c>
      <c r="E45" s="260">
        <v>-32666</v>
      </c>
      <c r="F45" s="259">
        <v>-0.03</v>
      </c>
      <c r="G45" s="197">
        <f t="shared" si="0"/>
        <v>10888666666.666668</v>
      </c>
      <c r="R45" t="str">
        <f t="shared" si="1"/>
        <v>XHB</v>
      </c>
      <c r="S45">
        <f t="shared" si="2"/>
        <v>-32666</v>
      </c>
      <c r="T45" s="198">
        <f>IF(R45="","",IF(LEN(R45)&gt;9,SUMIFS(Options!$AZ$3:$AZ$25,Options!$B$3:$B$25,'Check result'!R45),SUMIFS('Master P&amp;L'!$AE$11:$AE$92,'Master P&amp;L'!$B$11:$B$92,'Check result'!R45)))</f>
        <v>0</v>
      </c>
      <c r="U45" s="198">
        <f t="shared" si="3"/>
        <v>0</v>
      </c>
      <c r="V45" s="197">
        <f t="shared" si="4"/>
        <v>-32666</v>
      </c>
      <c r="W45">
        <f t="shared" si="5"/>
        <v>-2.9999999999999995E-2</v>
      </c>
    </row>
    <row r="46" spans="1:23">
      <c r="A46" s="258">
        <v>45840</v>
      </c>
      <c r="B46" s="259" t="s">
        <v>210</v>
      </c>
      <c r="C46" s="259" t="s">
        <v>250</v>
      </c>
      <c r="D46" s="259" t="s">
        <v>473</v>
      </c>
      <c r="E46" s="260">
        <v>-32490</v>
      </c>
      <c r="F46" s="259">
        <v>-0.03</v>
      </c>
      <c r="G46" s="197">
        <f t="shared" si="0"/>
        <v>10830000000</v>
      </c>
      <c r="R46" t="str">
        <f t="shared" si="1"/>
        <v>XLF US 07/18/25 P51.5</v>
      </c>
      <c r="S46">
        <f t="shared" si="2"/>
        <v>-32490</v>
      </c>
      <c r="T46" s="198">
        <f>IF(R46="","",IF(LEN(R46)&gt;9,SUMIFS(Options!$AZ$3:$AZ$25,Options!$B$3:$B$25,'Check result'!R46),SUMIFS('Master P&amp;L'!$AE$11:$AE$92,'Master P&amp;L'!$B$11:$B$92,'Check result'!R46)))</f>
        <v>0</v>
      </c>
      <c r="U46" s="198">
        <f t="shared" si="3"/>
        <v>0</v>
      </c>
      <c r="V46" s="197">
        <f t="shared" si="4"/>
        <v>-32490</v>
      </c>
      <c r="W46">
        <f t="shared" si="5"/>
        <v>-3.0000000000000002E-2</v>
      </c>
    </row>
    <row r="47" spans="1:23">
      <c r="A47" s="258">
        <v>45840</v>
      </c>
      <c r="B47" s="259" t="s">
        <v>210</v>
      </c>
      <c r="C47" s="259" t="s">
        <v>247</v>
      </c>
      <c r="D47" s="259" t="s">
        <v>369</v>
      </c>
      <c r="E47" s="260">
        <v>-29155</v>
      </c>
      <c r="F47" s="259">
        <v>-0.03</v>
      </c>
      <c r="G47" s="197">
        <f t="shared" si="0"/>
        <v>9718333333.333334</v>
      </c>
      <c r="R47" t="str">
        <f t="shared" si="1"/>
        <v>ITB</v>
      </c>
      <c r="S47">
        <f t="shared" si="2"/>
        <v>-29155</v>
      </c>
      <c r="T47" s="198">
        <f>IF(R47="","",IF(LEN(R47)&gt;9,SUMIFS(Options!$AZ$3:$AZ$25,Options!$B$3:$B$25,'Check result'!R47),SUMIFS('Master P&amp;L'!$AE$11:$AE$92,'Master P&amp;L'!$B$11:$B$92,'Check result'!R47)))</f>
        <v>0</v>
      </c>
      <c r="U47" s="198">
        <f t="shared" si="3"/>
        <v>0</v>
      </c>
      <c r="V47" s="197">
        <f t="shared" si="4"/>
        <v>-29155</v>
      </c>
      <c r="W47">
        <f t="shared" si="5"/>
        <v>-2.9999999999999995E-2</v>
      </c>
    </row>
    <row r="48" spans="1:23">
      <c r="A48" s="258">
        <v>45840</v>
      </c>
      <c r="B48" s="259" t="s">
        <v>210</v>
      </c>
      <c r="C48" s="259" t="s">
        <v>247</v>
      </c>
      <c r="D48" s="259" t="s">
        <v>19</v>
      </c>
      <c r="E48" s="260">
        <v>-27555</v>
      </c>
      <c r="F48" s="259">
        <v>-0.02</v>
      </c>
      <c r="G48" s="197">
        <f t="shared" si="0"/>
        <v>13777500000</v>
      </c>
      <c r="R48" t="str">
        <f t="shared" si="1"/>
        <v>KRE</v>
      </c>
      <c r="S48">
        <f t="shared" si="2"/>
        <v>-27555</v>
      </c>
      <c r="T48" s="198">
        <f>IF(R48="","",IF(LEN(R48)&gt;9,SUMIFS(Options!$AZ$3:$AZ$25,Options!$B$3:$B$25,'Check result'!R48),SUMIFS('Master P&amp;L'!$AE$11:$AE$92,'Master P&amp;L'!$B$11:$B$92,'Check result'!R48)))</f>
        <v>0</v>
      </c>
      <c r="U48" s="198">
        <f t="shared" si="3"/>
        <v>0</v>
      </c>
      <c r="V48" s="197">
        <f t="shared" si="4"/>
        <v>-27555</v>
      </c>
      <c r="W48">
        <f t="shared" si="5"/>
        <v>-0.02</v>
      </c>
    </row>
    <row r="49" spans="1:23">
      <c r="A49" s="258">
        <v>45840</v>
      </c>
      <c r="B49" s="259" t="s">
        <v>210</v>
      </c>
      <c r="C49" s="259" t="s">
        <v>250</v>
      </c>
      <c r="D49" s="259" t="s">
        <v>388</v>
      </c>
      <c r="E49" s="260">
        <v>-22013</v>
      </c>
      <c r="F49" s="259">
        <v>-0.02</v>
      </c>
      <c r="G49" s="197">
        <f t="shared" si="0"/>
        <v>11006500000</v>
      </c>
      <c r="R49" t="str">
        <f t="shared" si="1"/>
        <v>SMH US 07/18/25 P240</v>
      </c>
      <c r="S49">
        <f t="shared" si="2"/>
        <v>-22013</v>
      </c>
      <c r="T49" s="198">
        <f>IF(R49="","",IF(LEN(R49)&gt;9,SUMIFS(Options!$AZ$3:$AZ$25,Options!$B$3:$B$25,'Check result'!R49),SUMIFS('Master P&amp;L'!$AE$11:$AE$92,'Master P&amp;L'!$B$11:$B$92,'Check result'!R49)))</f>
        <v>0</v>
      </c>
      <c r="U49" s="198">
        <f t="shared" si="3"/>
        <v>0</v>
      </c>
      <c r="V49" s="197">
        <f t="shared" si="4"/>
        <v>-22013</v>
      </c>
      <c r="W49">
        <f t="shared" si="5"/>
        <v>-0.02</v>
      </c>
    </row>
    <row r="50" spans="1:23">
      <c r="A50" s="258">
        <v>45840</v>
      </c>
      <c r="B50" s="259" t="s">
        <v>210</v>
      </c>
      <c r="C50" s="259" t="s">
        <v>247</v>
      </c>
      <c r="D50" s="259" t="s">
        <v>4</v>
      </c>
      <c r="E50" s="260">
        <v>-18023</v>
      </c>
      <c r="F50" s="259">
        <v>-0.02</v>
      </c>
      <c r="G50" s="197">
        <f t="shared" si="0"/>
        <v>9011500000</v>
      </c>
      <c r="R50" t="str">
        <f t="shared" si="1"/>
        <v>XLP</v>
      </c>
      <c r="S50">
        <f t="shared" si="2"/>
        <v>-18023</v>
      </c>
      <c r="T50" s="198">
        <f>IF(R50="","",IF(LEN(R50)&gt;9,SUMIFS(Options!$AZ$3:$AZ$25,Options!$B$3:$B$25,'Check result'!R50),SUMIFS('Master P&amp;L'!$AE$11:$AE$92,'Master P&amp;L'!$B$11:$B$92,'Check result'!R50)))</f>
        <v>0</v>
      </c>
      <c r="U50" s="198">
        <f t="shared" si="3"/>
        <v>0</v>
      </c>
      <c r="V50" s="197">
        <f t="shared" si="4"/>
        <v>-18023</v>
      </c>
      <c r="W50">
        <f t="shared" si="5"/>
        <v>-0.02</v>
      </c>
    </row>
    <row r="51" spans="1:23">
      <c r="A51" s="258">
        <v>45840</v>
      </c>
      <c r="B51" s="259" t="s">
        <v>210</v>
      </c>
      <c r="C51" s="259" t="s">
        <v>344</v>
      </c>
      <c r="D51" s="259" t="s">
        <v>406</v>
      </c>
      <c r="E51" s="260">
        <v>-17992</v>
      </c>
      <c r="F51" s="259">
        <v>-0.02</v>
      </c>
      <c r="G51" s="197">
        <f t="shared" si="0"/>
        <v>8996000000</v>
      </c>
      <c r="R51" t="str">
        <f t="shared" si="1"/>
        <v>SWAP CGCPRSPX 06JUN2025 05NOV2025 97.2738</v>
      </c>
      <c r="S51">
        <f t="shared" si="2"/>
        <v>-17992</v>
      </c>
      <c r="T51" s="198">
        <f>IF(R51="","",IF(LEN(R51)&gt;9,SUMIFS(Options!$AZ$3:$AZ$25,Options!$B$3:$B$25,'Check result'!R51),SUMIFS('Master P&amp;L'!$AE$11:$AE$92,'Master P&amp;L'!$B$11:$B$92,'Check result'!R51)))</f>
        <v>0</v>
      </c>
      <c r="U51" s="198">
        <f t="shared" si="3"/>
        <v>0</v>
      </c>
      <c r="V51" s="197">
        <f t="shared" si="4"/>
        <v>-17992</v>
      </c>
      <c r="W51">
        <f t="shared" si="5"/>
        <v>-0.02</v>
      </c>
    </row>
    <row r="52" spans="1:23">
      <c r="A52" s="258">
        <v>45840</v>
      </c>
      <c r="B52" s="259" t="s">
        <v>210</v>
      </c>
      <c r="C52" s="259" t="s">
        <v>250</v>
      </c>
      <c r="D52" s="259" t="s">
        <v>186</v>
      </c>
      <c r="E52" s="260">
        <v>-17250</v>
      </c>
      <c r="F52" s="259">
        <v>-0.02</v>
      </c>
      <c r="G52" s="197">
        <f t="shared" si="0"/>
        <v>8625000000</v>
      </c>
      <c r="R52" t="str">
        <f t="shared" si="1"/>
        <v>GDX US 07/18/25 C55</v>
      </c>
      <c r="S52">
        <f t="shared" si="2"/>
        <v>-17250</v>
      </c>
      <c r="T52" s="198">
        <f>IF(R52="","",IF(LEN(R52)&gt;9,SUMIFS(Options!$AZ$3:$AZ$25,Options!$B$3:$B$25,'Check result'!R52),SUMIFS('Master P&amp;L'!$AE$11:$AE$92,'Master P&amp;L'!$B$11:$B$92,'Check result'!R52)))</f>
        <v>0</v>
      </c>
      <c r="U52" s="198">
        <f t="shared" si="3"/>
        <v>0</v>
      </c>
      <c r="V52" s="197">
        <f t="shared" si="4"/>
        <v>-17250</v>
      </c>
      <c r="W52">
        <f t="shared" si="5"/>
        <v>-0.02</v>
      </c>
    </row>
    <row r="53" spans="1:23">
      <c r="A53" s="258">
        <v>45840</v>
      </c>
      <c r="B53" s="259" t="s">
        <v>210</v>
      </c>
      <c r="C53" s="259" t="s">
        <v>244</v>
      </c>
      <c r="D53" s="259" t="s">
        <v>30</v>
      </c>
      <c r="E53" s="260">
        <v>-16945</v>
      </c>
      <c r="F53" s="259">
        <v>-0.01</v>
      </c>
      <c r="G53" s="197">
        <f t="shared" si="0"/>
        <v>16945000000</v>
      </c>
      <c r="R53" t="str">
        <f t="shared" si="1"/>
        <v>TTWO</v>
      </c>
      <c r="S53">
        <f t="shared" si="2"/>
        <v>-16945</v>
      </c>
      <c r="T53" s="198">
        <f>IF(R53="","",IF(LEN(R53)&gt;9,SUMIFS(Options!$AZ$3:$AZ$25,Options!$B$3:$B$25,'Check result'!R53),SUMIFS('Master P&amp;L'!$AE$11:$AE$92,'Master P&amp;L'!$B$11:$B$92,'Check result'!R53)))</f>
        <v>0</v>
      </c>
      <c r="U53" s="198">
        <f t="shared" si="3"/>
        <v>0</v>
      </c>
      <c r="V53" s="197">
        <f t="shared" si="4"/>
        <v>-16945</v>
      </c>
      <c r="W53">
        <f t="shared" si="5"/>
        <v>-0.01</v>
      </c>
    </row>
    <row r="54" spans="1:23">
      <c r="A54" s="258">
        <v>45840</v>
      </c>
      <c r="B54" s="259" t="s">
        <v>210</v>
      </c>
      <c r="C54" s="259" t="s">
        <v>246</v>
      </c>
      <c r="D54" s="259" t="s">
        <v>482</v>
      </c>
      <c r="E54" s="260">
        <v>-16069</v>
      </c>
      <c r="F54" s="259">
        <v>-0.01</v>
      </c>
      <c r="G54" s="197">
        <f t="shared" si="0"/>
        <v>16069000000</v>
      </c>
      <c r="R54" t="str">
        <f t="shared" si="1"/>
        <v>PINS US 07/18/25 C36</v>
      </c>
      <c r="S54">
        <f t="shared" si="2"/>
        <v>-16069</v>
      </c>
      <c r="T54" s="198">
        <f>IF(R54="","",IF(LEN(R54)&gt;9,SUMIFS(Options!$AZ$3:$AZ$25,Options!$B$3:$B$25,'Check result'!R54),SUMIFS('Master P&amp;L'!$AE$11:$AE$92,'Master P&amp;L'!$B$11:$B$92,'Check result'!R54)))</f>
        <v>0</v>
      </c>
      <c r="U54" s="198">
        <f t="shared" si="3"/>
        <v>0</v>
      </c>
      <c r="V54" s="197">
        <f t="shared" si="4"/>
        <v>-16069</v>
      </c>
      <c r="W54">
        <f t="shared" si="5"/>
        <v>-0.01</v>
      </c>
    </row>
    <row r="55" spans="1:23">
      <c r="A55" s="258">
        <v>45840</v>
      </c>
      <c r="B55" s="259" t="s">
        <v>210</v>
      </c>
      <c r="C55" s="259" t="s">
        <v>246</v>
      </c>
      <c r="D55" s="259" t="s">
        <v>390</v>
      </c>
      <c r="E55" s="260">
        <v>-13837</v>
      </c>
      <c r="F55" s="259">
        <v>-0.01</v>
      </c>
      <c r="G55" s="197">
        <f t="shared" si="0"/>
        <v>13837000000</v>
      </c>
      <c r="R55" t="str">
        <f t="shared" si="1"/>
        <v>NVDA US 07/18/25 P135</v>
      </c>
      <c r="S55">
        <f t="shared" si="2"/>
        <v>-13837</v>
      </c>
      <c r="T55" s="198">
        <f>IF(R55="","",IF(LEN(R55)&gt;9,SUMIFS(Options!$AZ$3:$AZ$25,Options!$B$3:$B$25,'Check result'!R55),SUMIFS('Master P&amp;L'!$AE$11:$AE$92,'Master P&amp;L'!$B$11:$B$92,'Check result'!R55)))</f>
        <v>0</v>
      </c>
      <c r="U55" s="198">
        <f t="shared" si="3"/>
        <v>0</v>
      </c>
      <c r="V55" s="197">
        <f t="shared" si="4"/>
        <v>-13837</v>
      </c>
      <c r="W55">
        <f t="shared" si="5"/>
        <v>-0.01</v>
      </c>
    </row>
    <row r="56" spans="1:23">
      <c r="A56" s="258">
        <v>45840</v>
      </c>
      <c r="B56" s="259" t="s">
        <v>210</v>
      </c>
      <c r="C56" s="259" t="s">
        <v>247</v>
      </c>
      <c r="D56" s="259" t="s">
        <v>341</v>
      </c>
      <c r="E56" s="260">
        <v>-11755</v>
      </c>
      <c r="F56" s="259">
        <v>-0.01</v>
      </c>
      <c r="G56" s="197">
        <f t="shared" si="0"/>
        <v>11755000000</v>
      </c>
      <c r="R56" t="str">
        <f t="shared" si="1"/>
        <v>EWT</v>
      </c>
      <c r="S56">
        <f t="shared" si="2"/>
        <v>-11755</v>
      </c>
      <c r="T56" s="198">
        <f>IF(R56="","",IF(LEN(R56)&gt;9,SUMIFS(Options!$AZ$3:$AZ$25,Options!$B$3:$B$25,'Check result'!R56),SUMIFS('Master P&amp;L'!$AE$11:$AE$92,'Master P&amp;L'!$B$11:$B$92,'Check result'!R56)))</f>
        <v>0</v>
      </c>
      <c r="U56" s="198">
        <f t="shared" si="3"/>
        <v>0</v>
      </c>
      <c r="V56" s="197">
        <f t="shared" si="4"/>
        <v>-11755</v>
      </c>
      <c r="W56">
        <f t="shared" si="5"/>
        <v>-0.01</v>
      </c>
    </row>
    <row r="57" spans="1:23">
      <c r="A57" s="258">
        <v>45840</v>
      </c>
      <c r="B57" s="259" t="s">
        <v>210</v>
      </c>
      <c r="C57" s="259" t="s">
        <v>246</v>
      </c>
      <c r="D57" s="259" t="s">
        <v>511</v>
      </c>
      <c r="E57" s="260">
        <v>-11370</v>
      </c>
      <c r="F57" s="259">
        <v>-0.01</v>
      </c>
      <c r="G57" s="197">
        <f t="shared" si="0"/>
        <v>11370000000</v>
      </c>
      <c r="R57" t="str">
        <f t="shared" si="1"/>
        <v>CPNG US 09/19/25 C30</v>
      </c>
      <c r="S57">
        <f t="shared" si="2"/>
        <v>-11370</v>
      </c>
      <c r="T57" s="198">
        <f>IF(R57="","",IF(LEN(R57)&gt;9,SUMIFS(Options!$AZ$3:$AZ$25,Options!$B$3:$B$25,'Check result'!R57),SUMIFS('Master P&amp;L'!$AE$11:$AE$92,'Master P&amp;L'!$B$11:$B$92,'Check result'!R57)))</f>
        <v>0</v>
      </c>
      <c r="U57" s="198">
        <f t="shared" si="3"/>
        <v>0</v>
      </c>
      <c r="V57" s="197">
        <f t="shared" si="4"/>
        <v>-11370</v>
      </c>
      <c r="W57">
        <f t="shared" si="5"/>
        <v>-0.01</v>
      </c>
    </row>
    <row r="58" spans="1:23">
      <c r="A58" s="258">
        <v>45840</v>
      </c>
      <c r="B58" s="259" t="s">
        <v>210</v>
      </c>
      <c r="C58" s="259" t="s">
        <v>250</v>
      </c>
      <c r="D58" s="259" t="s">
        <v>403</v>
      </c>
      <c r="E58" s="260">
        <v>-10288</v>
      </c>
      <c r="F58" s="259">
        <v>-0.01</v>
      </c>
      <c r="G58" s="197">
        <f t="shared" si="0"/>
        <v>10288000000</v>
      </c>
      <c r="R58" t="str">
        <f t="shared" si="1"/>
        <v>SOXX US 07/18/25 P215</v>
      </c>
      <c r="S58">
        <f t="shared" si="2"/>
        <v>-10288</v>
      </c>
      <c r="T58" s="198">
        <f>IF(R58="","",IF(LEN(R58)&gt;9,SUMIFS(Options!$AZ$3:$AZ$25,Options!$B$3:$B$25,'Check result'!R58),SUMIFS('Master P&amp;L'!$AE$11:$AE$92,'Master P&amp;L'!$B$11:$B$92,'Check result'!R58)))</f>
        <v>0</v>
      </c>
      <c r="U58" s="198">
        <f t="shared" si="3"/>
        <v>0</v>
      </c>
      <c r="V58" s="197">
        <f t="shared" si="4"/>
        <v>-10288</v>
      </c>
      <c r="W58">
        <f t="shared" si="5"/>
        <v>-0.01</v>
      </c>
    </row>
    <row r="59" spans="1:23">
      <c r="A59" s="258">
        <v>45840</v>
      </c>
      <c r="B59" s="259" t="s">
        <v>210</v>
      </c>
      <c r="C59" s="259" t="s">
        <v>246</v>
      </c>
      <c r="D59" s="259" t="s">
        <v>485</v>
      </c>
      <c r="E59" s="260">
        <v>-10085</v>
      </c>
      <c r="F59" s="259">
        <v>-0.01</v>
      </c>
      <c r="G59" s="197">
        <f t="shared" si="0"/>
        <v>10085000000</v>
      </c>
      <c r="R59" t="str">
        <f t="shared" si="1"/>
        <v>MSFT US 08/15/25 P470</v>
      </c>
      <c r="S59">
        <f t="shared" si="2"/>
        <v>-10085</v>
      </c>
      <c r="T59" s="198">
        <f>IF(R59="","",IF(LEN(R59)&gt;9,SUMIFS(Options!$AZ$3:$AZ$25,Options!$B$3:$B$25,'Check result'!R59),SUMIFS('Master P&amp;L'!$AE$11:$AE$92,'Master P&amp;L'!$B$11:$B$92,'Check result'!R59)))</f>
        <v>0</v>
      </c>
      <c r="U59" s="198">
        <f t="shared" si="3"/>
        <v>0</v>
      </c>
      <c r="V59" s="197">
        <f t="shared" si="4"/>
        <v>-10085</v>
      </c>
      <c r="W59">
        <f t="shared" si="5"/>
        <v>-0.01</v>
      </c>
    </row>
    <row r="60" spans="1:23">
      <c r="A60" s="258">
        <v>45840</v>
      </c>
      <c r="B60" s="259" t="s">
        <v>210</v>
      </c>
      <c r="C60" s="259" t="s">
        <v>246</v>
      </c>
      <c r="D60" s="259" t="s">
        <v>377</v>
      </c>
      <c r="E60" s="260">
        <v>-9651</v>
      </c>
      <c r="F60" s="259">
        <v>-0.01</v>
      </c>
      <c r="G60" s="197">
        <f t="shared" si="0"/>
        <v>9651000000</v>
      </c>
      <c r="R60" t="str">
        <f t="shared" si="1"/>
        <v>UBER US 07/18/25 C90</v>
      </c>
      <c r="S60">
        <f t="shared" si="2"/>
        <v>-9651</v>
      </c>
      <c r="T60" s="198">
        <f>IF(R60="","",IF(LEN(R60)&gt;9,SUMIFS(Options!$AZ$3:$AZ$25,Options!$B$3:$B$25,'Check result'!R60),SUMIFS('Master P&amp;L'!$AE$11:$AE$92,'Master P&amp;L'!$B$11:$B$92,'Check result'!R60)))</f>
        <v>0</v>
      </c>
      <c r="U60" s="198">
        <f t="shared" si="3"/>
        <v>0</v>
      </c>
      <c r="V60" s="197">
        <f t="shared" si="4"/>
        <v>-9651</v>
      </c>
      <c r="W60">
        <f t="shared" si="5"/>
        <v>-0.01</v>
      </c>
    </row>
    <row r="61" spans="1:23">
      <c r="A61" s="258">
        <v>45840</v>
      </c>
      <c r="B61" s="259" t="s">
        <v>210</v>
      </c>
      <c r="C61" s="259" t="s">
        <v>244</v>
      </c>
      <c r="D61" s="259" t="s">
        <v>34</v>
      </c>
      <c r="E61" s="260">
        <v>-9135</v>
      </c>
      <c r="F61" s="259">
        <v>-0.01</v>
      </c>
      <c r="G61" s="197">
        <f t="shared" si="0"/>
        <v>9135000000</v>
      </c>
      <c r="R61" t="str">
        <f t="shared" si="1"/>
        <v>MA</v>
      </c>
      <c r="S61">
        <f t="shared" si="2"/>
        <v>-9135</v>
      </c>
      <c r="T61" s="198">
        <f>IF(R61="","",IF(LEN(R61)&gt;9,SUMIFS(Options!$AZ$3:$AZ$25,Options!$B$3:$B$25,'Check result'!R61),SUMIFS('Master P&amp;L'!$AE$11:$AE$92,'Master P&amp;L'!$B$11:$B$92,'Check result'!R61)))</f>
        <v>0</v>
      </c>
      <c r="U61" s="198">
        <f t="shared" si="3"/>
        <v>0</v>
      </c>
      <c r="V61" s="197">
        <f t="shared" si="4"/>
        <v>-9135</v>
      </c>
      <c r="W61">
        <f t="shared" si="5"/>
        <v>-0.01</v>
      </c>
    </row>
    <row r="62" spans="1:23">
      <c r="A62" s="258">
        <v>45840</v>
      </c>
      <c r="B62" s="259" t="s">
        <v>210</v>
      </c>
      <c r="C62" s="259" t="s">
        <v>338</v>
      </c>
      <c r="D62" s="259" t="s">
        <v>450</v>
      </c>
      <c r="E62" s="260">
        <v>-8852</v>
      </c>
      <c r="F62" s="259">
        <v>-0.01</v>
      </c>
      <c r="G62" s="197">
        <f t="shared" si="0"/>
        <v>8852000000</v>
      </c>
      <c r="R62" t="str">
        <f t="shared" si="1"/>
        <v>CHINAGOV 06/20/30</v>
      </c>
      <c r="S62">
        <f t="shared" si="2"/>
        <v>-8852</v>
      </c>
      <c r="T62" s="198">
        <f>IF(R62="","",IF(LEN(R62)&gt;9,SUMIFS(Options!$AZ$3:$AZ$25,Options!$B$3:$B$25,'Check result'!R62),SUMIFS('Master P&amp;L'!$AE$11:$AE$92,'Master P&amp;L'!$B$11:$B$92,'Check result'!R62)))</f>
        <v>0</v>
      </c>
      <c r="U62" s="198">
        <f t="shared" si="3"/>
        <v>0</v>
      </c>
      <c r="V62" s="197">
        <f t="shared" si="4"/>
        <v>-8852</v>
      </c>
      <c r="W62">
        <f t="shared" si="5"/>
        <v>-0.01</v>
      </c>
    </row>
    <row r="63" spans="1:23">
      <c r="A63" s="258">
        <v>45840</v>
      </c>
      <c r="B63" s="259" t="s">
        <v>210</v>
      </c>
      <c r="C63" s="259" t="s">
        <v>253</v>
      </c>
      <c r="D63" s="259" t="s">
        <v>368</v>
      </c>
      <c r="E63" s="260">
        <v>-8458</v>
      </c>
      <c r="F63" s="259">
        <v>-0.01</v>
      </c>
      <c r="G63" s="197">
        <f t="shared" si="0"/>
        <v>8458000000</v>
      </c>
      <c r="R63" t="str">
        <f t="shared" si="1"/>
        <v>TEVA US 07/18/25 C19</v>
      </c>
      <c r="S63">
        <f t="shared" si="2"/>
        <v>-8458</v>
      </c>
      <c r="T63" s="198">
        <f>IF(R63="","",IF(LEN(R63)&gt;9,SUMIFS(Options!$AZ$3:$AZ$25,Options!$B$3:$B$25,'Check result'!R63),SUMIFS('Master P&amp;L'!$AE$11:$AE$92,'Master P&amp;L'!$B$11:$B$92,'Check result'!R63)))</f>
        <v>0</v>
      </c>
      <c r="U63" s="198">
        <f t="shared" si="3"/>
        <v>0</v>
      </c>
      <c r="V63" s="197">
        <f t="shared" si="4"/>
        <v>-8458</v>
      </c>
      <c r="W63">
        <f t="shared" si="5"/>
        <v>-0.01</v>
      </c>
    </row>
    <row r="64" spans="1:23">
      <c r="A64" s="258">
        <v>45840</v>
      </c>
      <c r="B64" s="259" t="s">
        <v>210</v>
      </c>
      <c r="C64" s="259" t="s">
        <v>246</v>
      </c>
      <c r="D64" s="259" t="s">
        <v>384</v>
      </c>
      <c r="E64" s="260">
        <v>-8344</v>
      </c>
      <c r="F64" s="259">
        <v>-0.01</v>
      </c>
      <c r="G64" s="197">
        <f t="shared" si="0"/>
        <v>8344000000</v>
      </c>
      <c r="R64" t="str">
        <f t="shared" si="1"/>
        <v>MSFT US 07/18/25 P455</v>
      </c>
      <c r="S64">
        <f t="shared" si="2"/>
        <v>-8344</v>
      </c>
      <c r="T64" s="198">
        <f>IF(R64="","",IF(LEN(R64)&gt;9,SUMIFS(Options!$AZ$3:$AZ$25,Options!$B$3:$B$25,'Check result'!R64),SUMIFS('Master P&amp;L'!$AE$11:$AE$92,'Master P&amp;L'!$B$11:$B$92,'Check result'!R64)))</f>
        <v>0</v>
      </c>
      <c r="U64" s="198">
        <f t="shared" si="3"/>
        <v>0</v>
      </c>
      <c r="V64" s="197">
        <f t="shared" si="4"/>
        <v>-8344</v>
      </c>
      <c r="W64">
        <f t="shared" si="5"/>
        <v>-0.01</v>
      </c>
    </row>
    <row r="65" spans="1:23">
      <c r="A65" s="258">
        <v>45840</v>
      </c>
      <c r="B65" s="259" t="s">
        <v>210</v>
      </c>
      <c r="C65" s="259" t="s">
        <v>250</v>
      </c>
      <c r="D65" s="259" t="s">
        <v>408</v>
      </c>
      <c r="E65" s="260">
        <v>-7523</v>
      </c>
      <c r="F65" s="259">
        <v>-0.01</v>
      </c>
      <c r="G65" s="197">
        <f t="shared" si="0"/>
        <v>7523000000</v>
      </c>
      <c r="R65" t="str">
        <f t="shared" si="1"/>
        <v>XLF US 07/18/25 P48</v>
      </c>
      <c r="S65">
        <f t="shared" si="2"/>
        <v>-7523</v>
      </c>
      <c r="T65" s="198">
        <f>IF(R65="","",IF(LEN(R65)&gt;9,SUMIFS(Options!$AZ$3:$AZ$25,Options!$B$3:$B$25,'Check result'!R65),SUMIFS('Master P&amp;L'!$AE$11:$AE$92,'Master P&amp;L'!$B$11:$B$92,'Check result'!R65)))</f>
        <v>0</v>
      </c>
      <c r="U65" s="198">
        <f t="shared" si="3"/>
        <v>0</v>
      </c>
      <c r="V65" s="197">
        <f t="shared" si="4"/>
        <v>-7523</v>
      </c>
      <c r="W65">
        <f t="shared" si="5"/>
        <v>-0.01</v>
      </c>
    </row>
    <row r="66" spans="1:23">
      <c r="A66" s="258">
        <v>45840</v>
      </c>
      <c r="B66" s="259" t="s">
        <v>210</v>
      </c>
      <c r="C66" s="259" t="s">
        <v>246</v>
      </c>
      <c r="D66" s="259" t="s">
        <v>423</v>
      </c>
      <c r="E66" s="260">
        <v>-6029</v>
      </c>
      <c r="F66" s="259">
        <v>-0.01</v>
      </c>
      <c r="G66" s="197">
        <f t="shared" si="0"/>
        <v>6029000000</v>
      </c>
      <c r="R66" t="str">
        <f t="shared" si="1"/>
        <v>MSFT US 07/18/25 P465</v>
      </c>
      <c r="S66">
        <f t="shared" si="2"/>
        <v>-6029</v>
      </c>
      <c r="T66" s="198">
        <f>IF(R66="","",IF(LEN(R66)&gt;9,SUMIFS(Options!$AZ$3:$AZ$25,Options!$B$3:$B$25,'Check result'!R66),SUMIFS('Master P&amp;L'!$AE$11:$AE$92,'Master P&amp;L'!$B$11:$B$92,'Check result'!R66)))</f>
        <v>0</v>
      </c>
      <c r="U66" s="198">
        <f t="shared" si="3"/>
        <v>0</v>
      </c>
      <c r="V66" s="197">
        <f t="shared" si="4"/>
        <v>-6029</v>
      </c>
      <c r="W66">
        <f t="shared" si="5"/>
        <v>-0.01</v>
      </c>
    </row>
    <row r="67" spans="1:23">
      <c r="A67" s="258">
        <v>45840</v>
      </c>
      <c r="B67" s="259" t="s">
        <v>210</v>
      </c>
      <c r="C67" s="259" t="s">
        <v>250</v>
      </c>
      <c r="D67" s="259" t="s">
        <v>451</v>
      </c>
      <c r="E67" s="260">
        <v>-6029</v>
      </c>
      <c r="F67" s="259">
        <v>-0.01</v>
      </c>
      <c r="G67" s="197">
        <f t="shared" ref="G67:G130" si="6">+E67/F67*10000</f>
        <v>6029000000</v>
      </c>
      <c r="R67" t="str">
        <f t="shared" ref="R67:R88" si="7">D67</f>
        <v>GLD US 07/18/25 C325</v>
      </c>
      <c r="S67">
        <f t="shared" ref="S67:S112" si="8">VLOOKUP(R67,$D$2:$F$156,2,FALSE)</f>
        <v>-6029</v>
      </c>
      <c r="T67" s="198">
        <f>IF(R67="","",IF(LEN(R67)&gt;9,SUMIFS(Options!$AZ$3:$AZ$25,Options!$B$3:$B$25,'Check result'!R67),SUMIFS('Master P&amp;L'!$AE$11:$AE$92,'Master P&amp;L'!$B$11:$B$92,'Check result'!R67)))</f>
        <v>0</v>
      </c>
      <c r="U67" s="198">
        <f t="shared" ref="U67:U112" si="9">T67/2</f>
        <v>0</v>
      </c>
      <c r="V67" s="197">
        <f t="shared" ref="V67:V112" si="10">+S67-U67</f>
        <v>-6029</v>
      </c>
      <c r="W67">
        <f t="shared" ref="W67:W112" si="11">+V67/G67*10000</f>
        <v>-0.01</v>
      </c>
    </row>
    <row r="68" spans="1:23">
      <c r="A68" s="258">
        <v>45840</v>
      </c>
      <c r="B68" s="259" t="s">
        <v>210</v>
      </c>
      <c r="C68" s="259" t="s">
        <v>246</v>
      </c>
      <c r="D68" s="259" t="s">
        <v>178</v>
      </c>
      <c r="E68" s="260">
        <v>-5618</v>
      </c>
      <c r="F68" s="259">
        <v>0</v>
      </c>
      <c r="G68" s="197" t="e">
        <f t="shared" si="6"/>
        <v>#DIV/0!</v>
      </c>
      <c r="R68" t="str">
        <f t="shared" si="7"/>
        <v>INTC US 12/19/25 P10</v>
      </c>
      <c r="S68">
        <f t="shared" si="8"/>
        <v>-5618</v>
      </c>
      <c r="T68" s="198">
        <f>IF(R68="","",IF(LEN(R68)&gt;9,SUMIFS(Options!$AZ$3:$AZ$25,Options!$B$3:$B$25,'Check result'!R68),SUMIFS('Master P&amp;L'!$AE$11:$AE$92,'Master P&amp;L'!$B$11:$B$92,'Check result'!R68)))</f>
        <v>0</v>
      </c>
      <c r="U68" s="198">
        <f t="shared" si="9"/>
        <v>0</v>
      </c>
      <c r="V68" s="197">
        <f t="shared" si="10"/>
        <v>-5618</v>
      </c>
      <c r="W68" t="e">
        <f t="shared" si="11"/>
        <v>#DIV/0!</v>
      </c>
    </row>
    <row r="69" spans="1:23">
      <c r="A69" s="258">
        <v>45840</v>
      </c>
      <c r="B69" s="259" t="s">
        <v>210</v>
      </c>
      <c r="C69" s="259" t="s">
        <v>246</v>
      </c>
      <c r="D69" s="259" t="s">
        <v>470</v>
      </c>
      <c r="E69" s="260">
        <v>-5612</v>
      </c>
      <c r="F69" s="259">
        <v>0</v>
      </c>
      <c r="G69" s="197" t="e">
        <f t="shared" si="6"/>
        <v>#DIV/0!</v>
      </c>
      <c r="R69" t="str">
        <f t="shared" si="7"/>
        <v>MSFT US 08/15/25 P460</v>
      </c>
      <c r="S69">
        <f t="shared" si="8"/>
        <v>-5612</v>
      </c>
      <c r="T69" s="198">
        <f>IF(R69="","",IF(LEN(R69)&gt;9,SUMIFS(Options!$AZ$3:$AZ$25,Options!$B$3:$B$25,'Check result'!R69),SUMIFS('Master P&amp;L'!$AE$11:$AE$92,'Master P&amp;L'!$B$11:$B$92,'Check result'!R69)))</f>
        <v>0</v>
      </c>
      <c r="U69" s="198">
        <f t="shared" si="9"/>
        <v>0</v>
      </c>
      <c r="V69" s="197">
        <f t="shared" si="10"/>
        <v>-5612</v>
      </c>
      <c r="W69" t="e">
        <f t="shared" si="11"/>
        <v>#DIV/0!</v>
      </c>
    </row>
    <row r="70" spans="1:23">
      <c r="A70" s="258">
        <v>45840</v>
      </c>
      <c r="B70" s="259" t="s">
        <v>210</v>
      </c>
      <c r="C70" s="259" t="s">
        <v>246</v>
      </c>
      <c r="D70" s="259" t="s">
        <v>475</v>
      </c>
      <c r="E70" s="260">
        <v>-3475</v>
      </c>
      <c r="F70" s="259">
        <v>0</v>
      </c>
      <c r="G70" s="197" t="e">
        <f t="shared" si="6"/>
        <v>#DIV/0!</v>
      </c>
      <c r="R70" t="str">
        <f t="shared" si="7"/>
        <v>MU US 07/18/25 C140</v>
      </c>
      <c r="S70">
        <f t="shared" si="8"/>
        <v>-3475</v>
      </c>
      <c r="T70" s="198">
        <f>IF(R70="","",IF(LEN(R70)&gt;9,SUMIFS(Options!$AZ$3:$AZ$25,Options!$B$3:$B$25,'Check result'!R70),SUMIFS('Master P&amp;L'!$AE$11:$AE$92,'Master P&amp;L'!$B$11:$B$92,'Check result'!R70)))</f>
        <v>0</v>
      </c>
      <c r="U70" s="198">
        <f t="shared" si="9"/>
        <v>0</v>
      </c>
      <c r="V70" s="197">
        <f t="shared" si="10"/>
        <v>-3475</v>
      </c>
      <c r="W70" t="e">
        <f t="shared" si="11"/>
        <v>#DIV/0!</v>
      </c>
    </row>
    <row r="71" spans="1:23">
      <c r="A71" s="258">
        <v>45840</v>
      </c>
      <c r="B71" s="259" t="s">
        <v>210</v>
      </c>
      <c r="C71" s="259" t="s">
        <v>244</v>
      </c>
      <c r="D71" s="259" t="s">
        <v>478</v>
      </c>
      <c r="E71" s="260">
        <v>-2977</v>
      </c>
      <c r="F71" s="259">
        <v>0</v>
      </c>
      <c r="G71" s="197" t="e">
        <f t="shared" si="6"/>
        <v>#DIV/0!</v>
      </c>
      <c r="R71" t="str">
        <f t="shared" si="7"/>
        <v>KKR</v>
      </c>
      <c r="S71">
        <f t="shared" si="8"/>
        <v>-2977</v>
      </c>
      <c r="T71" s="198">
        <f>IF(R71="","",IF(LEN(R71)&gt;9,SUMIFS(Options!$AZ$3:$AZ$25,Options!$B$3:$B$25,'Check result'!R71),SUMIFS('Master P&amp;L'!$AE$11:$AE$92,'Master P&amp;L'!$B$11:$B$92,'Check result'!R71)))</f>
        <v>0</v>
      </c>
      <c r="U71" s="198">
        <f t="shared" si="9"/>
        <v>0</v>
      </c>
      <c r="V71" s="197">
        <f t="shared" si="10"/>
        <v>-2977</v>
      </c>
      <c r="W71" t="e">
        <f t="shared" si="11"/>
        <v>#DIV/0!</v>
      </c>
    </row>
    <row r="72" spans="1:23">
      <c r="A72" s="258">
        <v>45840</v>
      </c>
      <c r="B72" s="259" t="s">
        <v>210</v>
      </c>
      <c r="C72" s="259" t="s">
        <v>246</v>
      </c>
      <c r="D72" s="259" t="s">
        <v>430</v>
      </c>
      <c r="E72" s="260">
        <v>-2451</v>
      </c>
      <c r="F72" s="259">
        <v>0</v>
      </c>
      <c r="G72" s="197" t="e">
        <f t="shared" si="6"/>
        <v>#DIV/0!</v>
      </c>
      <c r="R72" t="str">
        <f t="shared" si="7"/>
        <v>MU US 07/18/25 C135</v>
      </c>
      <c r="S72">
        <f t="shared" si="8"/>
        <v>-2451</v>
      </c>
      <c r="T72" s="198">
        <f>IF(R72="","",IF(LEN(R72)&gt;9,SUMIFS(Options!$AZ$3:$AZ$25,Options!$B$3:$B$25,'Check result'!R72),SUMIFS('Master P&amp;L'!$AE$11:$AE$92,'Master P&amp;L'!$B$11:$B$92,'Check result'!R72)))</f>
        <v>0</v>
      </c>
      <c r="U72" s="198">
        <f t="shared" si="9"/>
        <v>0</v>
      </c>
      <c r="V72" s="197">
        <f t="shared" si="10"/>
        <v>-2451</v>
      </c>
      <c r="W72" t="e">
        <f t="shared" si="11"/>
        <v>#DIV/0!</v>
      </c>
    </row>
    <row r="73" spans="1:23">
      <c r="A73" s="258">
        <v>45840</v>
      </c>
      <c r="B73" s="259" t="s">
        <v>210</v>
      </c>
      <c r="C73" s="259" t="s">
        <v>246</v>
      </c>
      <c r="D73" s="259" t="s">
        <v>426</v>
      </c>
      <c r="E73" s="260">
        <v>-2120</v>
      </c>
      <c r="F73" s="259">
        <v>0</v>
      </c>
      <c r="G73" s="197" t="e">
        <f t="shared" si="6"/>
        <v>#DIV/0!</v>
      </c>
      <c r="R73" t="str">
        <f t="shared" si="7"/>
        <v>META US 07/18/25 P655</v>
      </c>
      <c r="S73">
        <f t="shared" si="8"/>
        <v>-2120</v>
      </c>
      <c r="T73" s="198">
        <f>IF(R73="","",IF(LEN(R73)&gt;9,SUMIFS(Options!$AZ$3:$AZ$25,Options!$B$3:$B$25,'Check result'!R73),SUMIFS('Master P&amp;L'!$AE$11:$AE$92,'Master P&amp;L'!$B$11:$B$92,'Check result'!R73)))</f>
        <v>0</v>
      </c>
      <c r="U73" s="198">
        <f t="shared" si="9"/>
        <v>0</v>
      </c>
      <c r="V73" s="197">
        <f t="shared" si="10"/>
        <v>-2120</v>
      </c>
      <c r="W73" t="e">
        <f t="shared" si="11"/>
        <v>#DIV/0!</v>
      </c>
    </row>
    <row r="74" spans="1:23">
      <c r="A74" s="258">
        <v>45840</v>
      </c>
      <c r="B74" s="259" t="s">
        <v>210</v>
      </c>
      <c r="C74" s="259" t="s">
        <v>250</v>
      </c>
      <c r="D74" s="259" t="s">
        <v>472</v>
      </c>
      <c r="E74" s="260">
        <v>-1937</v>
      </c>
      <c r="F74" s="259">
        <v>0</v>
      </c>
      <c r="G74" s="197" t="e">
        <f t="shared" si="6"/>
        <v>#DIV/0!</v>
      </c>
      <c r="R74" t="str">
        <f t="shared" si="7"/>
        <v>XLF US 07/18/25 P49</v>
      </c>
      <c r="S74">
        <f t="shared" si="8"/>
        <v>-1937</v>
      </c>
      <c r="T74" s="198">
        <f>IF(R74="","",IF(LEN(R74)&gt;9,SUMIFS(Options!$AZ$3:$AZ$25,Options!$B$3:$B$25,'Check result'!R74),SUMIFS('Master P&amp;L'!$AE$11:$AE$92,'Master P&amp;L'!$B$11:$B$92,'Check result'!R74)))</f>
        <v>0</v>
      </c>
      <c r="U74" s="198">
        <f t="shared" si="9"/>
        <v>0</v>
      </c>
      <c r="V74" s="197">
        <f t="shared" si="10"/>
        <v>-1937</v>
      </c>
      <c r="W74" t="e">
        <f t="shared" si="11"/>
        <v>#DIV/0!</v>
      </c>
    </row>
    <row r="75" spans="1:23">
      <c r="A75" s="258">
        <v>45840</v>
      </c>
      <c r="B75" s="259" t="s">
        <v>210</v>
      </c>
      <c r="C75" s="259" t="s">
        <v>246</v>
      </c>
      <c r="D75" s="259" t="s">
        <v>512</v>
      </c>
      <c r="E75" s="260">
        <v>-1895</v>
      </c>
      <c r="F75" s="259">
        <v>0</v>
      </c>
      <c r="G75" s="197" t="e">
        <f t="shared" si="6"/>
        <v>#DIV/0!</v>
      </c>
      <c r="R75" t="str">
        <f t="shared" si="7"/>
        <v>CPNG US 09/19/25 C33</v>
      </c>
      <c r="S75">
        <f t="shared" si="8"/>
        <v>-1895</v>
      </c>
      <c r="T75" s="198">
        <f>IF(R75="","",IF(LEN(R75)&gt;9,SUMIFS(Options!$AZ$3:$AZ$25,Options!$B$3:$B$25,'Check result'!R75),SUMIFS('Master P&amp;L'!$AE$11:$AE$92,'Master P&amp;L'!$B$11:$B$92,'Check result'!R75)))</f>
        <v>0</v>
      </c>
      <c r="U75" s="198">
        <f t="shared" si="9"/>
        <v>0</v>
      </c>
      <c r="V75" s="197">
        <f t="shared" si="10"/>
        <v>-1895</v>
      </c>
      <c r="W75" t="e">
        <f t="shared" si="11"/>
        <v>#DIV/0!</v>
      </c>
    </row>
    <row r="76" spans="1:23">
      <c r="A76" s="258">
        <v>45840</v>
      </c>
      <c r="B76" s="259" t="s">
        <v>210</v>
      </c>
      <c r="C76" s="259" t="s">
        <v>250</v>
      </c>
      <c r="D76" s="259" t="s">
        <v>467</v>
      </c>
      <c r="E76" s="260">
        <v>-1518</v>
      </c>
      <c r="F76" s="259">
        <v>0</v>
      </c>
      <c r="G76" s="197" t="e">
        <f t="shared" si="6"/>
        <v>#DIV/0!</v>
      </c>
      <c r="R76" t="str">
        <f t="shared" si="7"/>
        <v>QQQ US 07/03/25 P525</v>
      </c>
      <c r="S76">
        <f t="shared" si="8"/>
        <v>-1518</v>
      </c>
      <c r="T76" s="198">
        <f>IF(R76="","",IF(LEN(R76)&gt;9,SUMIFS(Options!$AZ$3:$AZ$25,Options!$B$3:$B$25,'Check result'!R76),SUMIFS('Master P&amp;L'!$AE$11:$AE$92,'Master P&amp;L'!$B$11:$B$92,'Check result'!R76)))</f>
        <v>0</v>
      </c>
      <c r="U76" s="198">
        <f t="shared" si="9"/>
        <v>0</v>
      </c>
      <c r="V76" s="197">
        <f t="shared" si="10"/>
        <v>-1518</v>
      </c>
      <c r="W76" t="e">
        <f t="shared" si="11"/>
        <v>#DIV/0!</v>
      </c>
    </row>
    <row r="77" spans="1:23">
      <c r="A77" s="258">
        <v>45840</v>
      </c>
      <c r="B77" s="259" t="s">
        <v>210</v>
      </c>
      <c r="C77" s="259" t="s">
        <v>246</v>
      </c>
      <c r="D77" s="259" t="s">
        <v>461</v>
      </c>
      <c r="E77" s="259">
        <v>-640</v>
      </c>
      <c r="F77" s="259">
        <v>0</v>
      </c>
      <c r="G77" s="197" t="e">
        <f t="shared" si="6"/>
        <v>#DIV/0!</v>
      </c>
      <c r="R77" t="str">
        <f t="shared" si="7"/>
        <v>V US 07/11/25 P335</v>
      </c>
      <c r="S77">
        <f t="shared" si="8"/>
        <v>-640</v>
      </c>
      <c r="T77" s="198">
        <f>IF(R77="","",IF(LEN(R77)&gt;9,SUMIFS(Options!$AZ$3:$AZ$25,Options!$B$3:$B$25,'Check result'!R77),SUMIFS('Master P&amp;L'!$AE$11:$AE$92,'Master P&amp;L'!$B$11:$B$92,'Check result'!R77)))</f>
        <v>0</v>
      </c>
      <c r="U77" s="198">
        <f t="shared" si="9"/>
        <v>0</v>
      </c>
      <c r="V77" s="197">
        <f t="shared" si="10"/>
        <v>-640</v>
      </c>
      <c r="W77" t="e">
        <f t="shared" si="11"/>
        <v>#DIV/0!</v>
      </c>
    </row>
    <row r="78" spans="1:23">
      <c r="A78" s="258">
        <v>45840</v>
      </c>
      <c r="B78" s="259" t="s">
        <v>210</v>
      </c>
      <c r="C78" s="259" t="s">
        <v>253</v>
      </c>
      <c r="D78" s="259" t="s">
        <v>383</v>
      </c>
      <c r="E78" s="259">
        <v>-530</v>
      </c>
      <c r="F78" s="259">
        <v>0</v>
      </c>
      <c r="G78" s="197" t="e">
        <f t="shared" si="6"/>
        <v>#DIV/0!</v>
      </c>
      <c r="R78" t="str">
        <f t="shared" si="7"/>
        <v>TEVA US 07/18/25 C20</v>
      </c>
      <c r="S78">
        <f t="shared" si="8"/>
        <v>-530</v>
      </c>
      <c r="T78" s="198">
        <f>IF(R78="","",IF(LEN(R78)&gt;9,SUMIFS(Options!$AZ$3:$AZ$25,Options!$B$3:$B$25,'Check result'!R78),SUMIFS('Master P&amp;L'!$AE$11:$AE$92,'Master P&amp;L'!$B$11:$B$92,'Check result'!R78)))</f>
        <v>0</v>
      </c>
      <c r="U78" s="198">
        <f t="shared" si="9"/>
        <v>0</v>
      </c>
      <c r="V78" s="197">
        <f t="shared" si="10"/>
        <v>-530</v>
      </c>
      <c r="W78" t="e">
        <f t="shared" si="11"/>
        <v>#DIV/0!</v>
      </c>
    </row>
    <row r="79" spans="1:23">
      <c r="A79" s="258">
        <v>45840</v>
      </c>
      <c r="B79" s="259" t="s">
        <v>210</v>
      </c>
      <c r="C79" s="259" t="s">
        <v>248</v>
      </c>
      <c r="D79" s="259" t="s">
        <v>224</v>
      </c>
      <c r="E79" s="259">
        <v>-417</v>
      </c>
      <c r="F79" s="259">
        <v>0</v>
      </c>
      <c r="G79" s="197" t="e">
        <f t="shared" si="6"/>
        <v>#DIV/0!</v>
      </c>
      <c r="R79" t="str">
        <f t="shared" si="7"/>
        <v>Cash CHF</v>
      </c>
      <c r="S79">
        <f t="shared" si="8"/>
        <v>-417</v>
      </c>
      <c r="T79" s="198">
        <f>IF(R79="","",IF(LEN(R79)&gt;9,SUMIFS(Options!$AZ$3:$AZ$25,Options!$B$3:$B$25,'Check result'!R79),SUMIFS('Master P&amp;L'!$AE$11:$AE$92,'Master P&amp;L'!$B$11:$B$92,'Check result'!R79)))</f>
        <v>0</v>
      </c>
      <c r="U79" s="198">
        <f t="shared" si="9"/>
        <v>0</v>
      </c>
      <c r="V79" s="197">
        <f t="shared" si="10"/>
        <v>-417</v>
      </c>
      <c r="W79" t="e">
        <f t="shared" si="11"/>
        <v>#DIV/0!</v>
      </c>
    </row>
    <row r="80" spans="1:23">
      <c r="A80" s="258">
        <v>45840</v>
      </c>
      <c r="B80" s="259" t="s">
        <v>210</v>
      </c>
      <c r="C80" s="259" t="s">
        <v>246</v>
      </c>
      <c r="D80" s="259" t="s">
        <v>396</v>
      </c>
      <c r="E80" s="259">
        <v>-255</v>
      </c>
      <c r="F80" s="259">
        <v>0</v>
      </c>
      <c r="G80" s="197" t="e">
        <f t="shared" si="6"/>
        <v>#DIV/0!</v>
      </c>
      <c r="R80" t="str">
        <f t="shared" si="7"/>
        <v>META US 07/18/25 P645</v>
      </c>
      <c r="S80">
        <f t="shared" si="8"/>
        <v>-255</v>
      </c>
      <c r="T80" s="198">
        <f>IF(R80="","",IF(LEN(R80)&gt;9,SUMIFS(Options!$AZ$3:$AZ$25,Options!$B$3:$B$25,'Check result'!R80),SUMIFS('Master P&amp;L'!$AE$11:$AE$92,'Master P&amp;L'!$B$11:$B$92,'Check result'!R80)))</f>
        <v>0</v>
      </c>
      <c r="U80" s="198">
        <f t="shared" si="9"/>
        <v>0</v>
      </c>
      <c r="V80" s="197">
        <f t="shared" si="10"/>
        <v>-255</v>
      </c>
      <c r="W80" t="e">
        <f t="shared" si="11"/>
        <v>#DIV/0!</v>
      </c>
    </row>
    <row r="81" spans="1:23">
      <c r="A81" s="258">
        <v>45840</v>
      </c>
      <c r="B81" s="259" t="s">
        <v>210</v>
      </c>
      <c r="C81" s="259" t="s">
        <v>248</v>
      </c>
      <c r="D81" s="259" t="s">
        <v>223</v>
      </c>
      <c r="E81" s="259">
        <v>0</v>
      </c>
      <c r="F81" s="259">
        <v>0</v>
      </c>
      <c r="G81" s="197" t="e">
        <f t="shared" si="6"/>
        <v>#DIV/0!</v>
      </c>
      <c r="R81" t="str">
        <f t="shared" si="7"/>
        <v>Cash CAD</v>
      </c>
      <c r="S81">
        <f t="shared" si="8"/>
        <v>0</v>
      </c>
      <c r="T81" s="198">
        <f>IF(R81="","",IF(LEN(R81)&gt;9,SUMIFS(Options!$AZ$3:$AZ$25,Options!$B$3:$B$25,'Check result'!R81),SUMIFS('Master P&amp;L'!$AE$11:$AE$92,'Master P&amp;L'!$B$11:$B$92,'Check result'!R81)))</f>
        <v>0</v>
      </c>
      <c r="U81" s="198">
        <f t="shared" si="9"/>
        <v>0</v>
      </c>
      <c r="V81" s="197">
        <f t="shared" si="10"/>
        <v>0</v>
      </c>
      <c r="W81" t="e">
        <f t="shared" si="11"/>
        <v>#DIV/0!</v>
      </c>
    </row>
    <row r="82" spans="1:23">
      <c r="A82" s="258">
        <v>45840</v>
      </c>
      <c r="B82" s="259" t="s">
        <v>210</v>
      </c>
      <c r="C82" s="259" t="s">
        <v>246</v>
      </c>
      <c r="D82" s="259" t="s">
        <v>497</v>
      </c>
      <c r="E82" s="259">
        <v>0</v>
      </c>
      <c r="F82" s="259">
        <v>0</v>
      </c>
      <c r="G82" s="197" t="e">
        <f t="shared" si="6"/>
        <v>#DIV/0!</v>
      </c>
      <c r="R82" t="str">
        <f t="shared" si="7"/>
        <v>MU US 07/03/25 C140</v>
      </c>
      <c r="S82">
        <f t="shared" si="8"/>
        <v>0</v>
      </c>
      <c r="T82" s="198">
        <f>IF(R82="","",IF(LEN(R82)&gt;9,SUMIFS(Options!$AZ$3:$AZ$25,Options!$B$3:$B$25,'Check result'!R82),SUMIFS('Master P&amp;L'!$AE$11:$AE$92,'Master P&amp;L'!$B$11:$B$92,'Check result'!R82)))</f>
        <v>0</v>
      </c>
      <c r="U82" s="198">
        <f t="shared" si="9"/>
        <v>0</v>
      </c>
      <c r="V82" s="197">
        <f t="shared" si="10"/>
        <v>0</v>
      </c>
      <c r="W82" t="e">
        <f t="shared" si="11"/>
        <v>#DIV/0!</v>
      </c>
    </row>
    <row r="83" spans="1:23">
      <c r="A83" s="258">
        <v>45840</v>
      </c>
      <c r="B83" s="259" t="s">
        <v>210</v>
      </c>
      <c r="C83" s="259" t="s">
        <v>245</v>
      </c>
      <c r="D83" s="259" t="s">
        <v>455</v>
      </c>
      <c r="E83" s="259">
        <v>0</v>
      </c>
      <c r="F83" s="259">
        <v>0</v>
      </c>
      <c r="G83" s="197" t="e">
        <f t="shared" si="6"/>
        <v>#DIV/0!</v>
      </c>
      <c r="R83" t="str">
        <f t="shared" si="7"/>
        <v>TTE DIVIDEND_</v>
      </c>
      <c r="S83">
        <f t="shared" si="8"/>
        <v>0</v>
      </c>
      <c r="T83" s="198">
        <f>IF(R83="","",IF(LEN(R83)&gt;9,SUMIFS(Options!$AZ$3:$AZ$25,Options!$B$3:$B$25,'Check result'!R83),SUMIFS('Master P&amp;L'!$AE$11:$AE$92,'Master P&amp;L'!$B$11:$B$92,'Check result'!R83)))</f>
        <v>0</v>
      </c>
      <c r="U83" s="198">
        <f t="shared" si="9"/>
        <v>0</v>
      </c>
      <c r="V83" s="197">
        <f t="shared" si="10"/>
        <v>0</v>
      </c>
      <c r="W83" t="e">
        <f t="shared" si="11"/>
        <v>#DIV/0!</v>
      </c>
    </row>
    <row r="84" spans="1:23">
      <c r="A84" s="258">
        <v>45840</v>
      </c>
      <c r="B84" s="259" t="s">
        <v>210</v>
      </c>
      <c r="C84" s="259" t="s">
        <v>245</v>
      </c>
      <c r="D84" s="259" t="s">
        <v>435</v>
      </c>
      <c r="E84" s="259">
        <v>0</v>
      </c>
      <c r="F84" s="259">
        <v>0</v>
      </c>
      <c r="G84" s="197" t="e">
        <f t="shared" si="6"/>
        <v>#DIV/0!</v>
      </c>
      <c r="R84" t="str">
        <f t="shared" si="7"/>
        <v>NVDA DIVIDEND_</v>
      </c>
      <c r="S84">
        <f t="shared" si="8"/>
        <v>0</v>
      </c>
      <c r="T84" s="198">
        <f>IF(R84="","",IF(LEN(R84)&gt;9,SUMIFS(Options!$AZ$3:$AZ$25,Options!$B$3:$B$25,'Check result'!R84),SUMIFS('Master P&amp;L'!$AE$11:$AE$92,'Master P&amp;L'!$B$11:$B$92,'Check result'!R84)))</f>
        <v>0</v>
      </c>
      <c r="U84" s="198">
        <f t="shared" si="9"/>
        <v>0</v>
      </c>
      <c r="V84" s="197">
        <f t="shared" si="10"/>
        <v>0</v>
      </c>
      <c r="W84" t="e">
        <f t="shared" si="11"/>
        <v>#DIV/0!</v>
      </c>
    </row>
    <row r="85" spans="1:23">
      <c r="A85" s="258">
        <v>45840</v>
      </c>
      <c r="B85" s="259" t="s">
        <v>210</v>
      </c>
      <c r="C85" s="259" t="s">
        <v>245</v>
      </c>
      <c r="D85" s="259" t="s">
        <v>437</v>
      </c>
      <c r="E85" s="259">
        <v>0</v>
      </c>
      <c r="F85" s="259">
        <v>0</v>
      </c>
      <c r="G85" s="197" t="e">
        <f t="shared" si="6"/>
        <v>#DIV/0!</v>
      </c>
      <c r="R85" t="str">
        <f t="shared" si="7"/>
        <v>TSM DIVIDEND_</v>
      </c>
      <c r="S85">
        <f t="shared" si="8"/>
        <v>0</v>
      </c>
      <c r="T85" s="198">
        <f>IF(R85="","",IF(LEN(R85)&gt;9,SUMIFS(Options!$AZ$3:$AZ$25,Options!$B$3:$B$25,'Check result'!R85),SUMIFS('Master P&amp;L'!$AE$11:$AE$92,'Master P&amp;L'!$B$11:$B$92,'Check result'!R85)))</f>
        <v>0</v>
      </c>
      <c r="U85" s="198">
        <f t="shared" si="9"/>
        <v>0</v>
      </c>
      <c r="V85" s="197">
        <f t="shared" si="10"/>
        <v>0</v>
      </c>
      <c r="W85" t="e">
        <f t="shared" si="11"/>
        <v>#DIV/0!</v>
      </c>
    </row>
    <row r="86" spans="1:23">
      <c r="A86" s="258">
        <v>45840</v>
      </c>
      <c r="B86" s="259" t="s">
        <v>210</v>
      </c>
      <c r="C86" s="259" t="s">
        <v>245</v>
      </c>
      <c r="D86" s="259" t="s">
        <v>508</v>
      </c>
      <c r="E86" s="259">
        <v>0</v>
      </c>
      <c r="F86" s="259">
        <v>0</v>
      </c>
      <c r="G86" s="197" t="e">
        <f t="shared" si="6"/>
        <v>#DIV/0!</v>
      </c>
      <c r="R86" t="str">
        <f t="shared" si="7"/>
        <v>COPX DIVIDEND_</v>
      </c>
      <c r="S86">
        <f t="shared" si="8"/>
        <v>0</v>
      </c>
      <c r="T86" s="198">
        <f>IF(R86="","",IF(LEN(R86)&gt;9,SUMIFS(Options!$AZ$3:$AZ$25,Options!$B$3:$B$25,'Check result'!R86),SUMIFS('Master P&amp;L'!$AE$11:$AE$92,'Master P&amp;L'!$B$11:$B$92,'Check result'!R86)))</f>
        <v>0</v>
      </c>
      <c r="U86" s="198">
        <f t="shared" si="9"/>
        <v>0</v>
      </c>
      <c r="V86" s="197">
        <f t="shared" si="10"/>
        <v>0</v>
      </c>
      <c r="W86" t="e">
        <f t="shared" si="11"/>
        <v>#DIV/0!</v>
      </c>
    </row>
    <row r="87" spans="1:23">
      <c r="A87" s="258">
        <v>45840</v>
      </c>
      <c r="B87" s="259" t="s">
        <v>210</v>
      </c>
      <c r="C87" s="259" t="s">
        <v>245</v>
      </c>
      <c r="D87" s="259" t="s">
        <v>263</v>
      </c>
      <c r="E87" s="259">
        <v>0</v>
      </c>
      <c r="F87" s="259">
        <v>0</v>
      </c>
      <c r="G87" s="197" t="e">
        <f t="shared" si="6"/>
        <v>#DIV/0!</v>
      </c>
      <c r="R87" t="str">
        <f t="shared" si="7"/>
        <v>Provision US Equity Options USD_</v>
      </c>
      <c r="S87">
        <f t="shared" si="8"/>
        <v>0</v>
      </c>
      <c r="T87" s="198">
        <f>IF(R87="","",IF(LEN(R87)&gt;9,SUMIFS(Options!$AZ$3:$AZ$25,Options!$B$3:$B$25,'Check result'!R87),SUMIFS('Master P&amp;L'!$AE$11:$AE$92,'Master P&amp;L'!$B$11:$B$92,'Check result'!R87)))</f>
        <v>0</v>
      </c>
      <c r="U87" s="198">
        <f t="shared" si="9"/>
        <v>0</v>
      </c>
      <c r="V87" s="197">
        <f t="shared" si="10"/>
        <v>0</v>
      </c>
      <c r="W87" t="e">
        <f t="shared" si="11"/>
        <v>#DIV/0!</v>
      </c>
    </row>
    <row r="88" spans="1:23">
      <c r="A88" s="258">
        <v>45840</v>
      </c>
      <c r="B88" s="259" t="s">
        <v>210</v>
      </c>
      <c r="C88" s="259" t="s">
        <v>245</v>
      </c>
      <c r="D88" s="259" t="s">
        <v>513</v>
      </c>
      <c r="E88" s="259">
        <v>0</v>
      </c>
      <c r="F88" s="259">
        <v>0</v>
      </c>
      <c r="G88" s="197" t="e">
        <f t="shared" si="6"/>
        <v>#DIV/0!</v>
      </c>
      <c r="R88" t="str">
        <f t="shared" si="7"/>
        <v>Total Return Swap Payment USD_</v>
      </c>
      <c r="S88">
        <f t="shared" si="8"/>
        <v>0</v>
      </c>
      <c r="T88" s="198">
        <f>IF(R88="","",IF(LEN(R88)&gt;9,SUMIFS(Options!$AZ$3:$AZ$25,Options!$B$3:$B$25,'Check result'!R88),SUMIFS('Master P&amp;L'!$AE$11:$AE$92,'Master P&amp;L'!$B$11:$B$92,'Check result'!R88)))</f>
        <v>0</v>
      </c>
      <c r="U88" s="198">
        <f t="shared" si="9"/>
        <v>0</v>
      </c>
      <c r="V88" s="197">
        <f t="shared" si="10"/>
        <v>0</v>
      </c>
      <c r="W88" t="e">
        <f t="shared" si="11"/>
        <v>#DIV/0!</v>
      </c>
    </row>
    <row r="89" spans="1:23">
      <c r="A89" s="258">
        <v>45840</v>
      </c>
      <c r="B89" s="259" t="s">
        <v>210</v>
      </c>
      <c r="C89" s="259" t="s">
        <v>245</v>
      </c>
      <c r="D89" s="259" t="s">
        <v>264</v>
      </c>
      <c r="E89" s="259">
        <v>0</v>
      </c>
      <c r="F89" s="259">
        <v>0</v>
      </c>
      <c r="G89" s="197" t="e">
        <f t="shared" si="6"/>
        <v>#DIV/0!</v>
      </c>
      <c r="R89" t="str">
        <f>D89</f>
        <v>QQQ DIVIDEND_</v>
      </c>
      <c r="S89">
        <f t="shared" si="8"/>
        <v>0</v>
      </c>
      <c r="T89" s="198">
        <f>IF(R89="","",IF(LEN(R89)&gt;9,SUMIFS(Options!$AZ$3:$AZ$25,Options!$B$3:$B$25,'Check result'!R89),SUMIFS('Master P&amp;L'!$AE$11:$AE$92,'Master P&amp;L'!$B$11:$B$92,'Check result'!R89)))</f>
        <v>0</v>
      </c>
      <c r="U89" s="198">
        <f t="shared" si="9"/>
        <v>0</v>
      </c>
      <c r="V89" s="197">
        <f t="shared" si="10"/>
        <v>0</v>
      </c>
      <c r="W89" t="e">
        <f t="shared" si="11"/>
        <v>#DIV/0!</v>
      </c>
    </row>
    <row r="90" spans="1:23">
      <c r="A90" s="258">
        <v>45840</v>
      </c>
      <c r="B90" s="259" t="s">
        <v>210</v>
      </c>
      <c r="C90" s="259" t="s">
        <v>245</v>
      </c>
      <c r="D90" s="259" t="s">
        <v>453</v>
      </c>
      <c r="E90" s="259">
        <v>0</v>
      </c>
      <c r="F90" s="259">
        <v>0</v>
      </c>
      <c r="G90" s="197" t="e">
        <f t="shared" si="6"/>
        <v>#DIV/0!</v>
      </c>
      <c r="R90" t="str">
        <f t="shared" ref="R90:R112" si="12">D90</f>
        <v>CRM DIVIDEND_</v>
      </c>
      <c r="S90">
        <f t="shared" si="8"/>
        <v>0</v>
      </c>
      <c r="T90" s="198">
        <f>IF(R90="","",IF(LEN(R90)&gt;9,SUMIFS(Options!$AZ$3:$AZ$25,Options!$B$3:$B$25,'Check result'!R90),SUMIFS('Master P&amp;L'!$AE$11:$AE$92,'Master P&amp;L'!$B$11:$B$92,'Check result'!R90)))</f>
        <v>0</v>
      </c>
      <c r="U90" s="198">
        <f t="shared" si="9"/>
        <v>0</v>
      </c>
      <c r="V90" s="197">
        <f t="shared" si="10"/>
        <v>0</v>
      </c>
      <c r="W90" t="e">
        <f t="shared" si="11"/>
        <v>#DIV/0!</v>
      </c>
    </row>
    <row r="91" spans="1:23">
      <c r="A91" s="258">
        <v>45840</v>
      </c>
      <c r="B91" s="259" t="s">
        <v>210</v>
      </c>
      <c r="C91" s="259" t="s">
        <v>245</v>
      </c>
      <c r="D91" s="259" t="s">
        <v>234</v>
      </c>
      <c r="E91" s="259">
        <v>0</v>
      </c>
      <c r="F91" s="259">
        <v>0</v>
      </c>
      <c r="G91" s="197" t="e">
        <f t="shared" si="6"/>
        <v>#DIV/0!</v>
      </c>
      <c r="R91" t="str">
        <f t="shared" si="12"/>
        <v>Provision ETF USD_</v>
      </c>
      <c r="S91">
        <f t="shared" si="8"/>
        <v>0</v>
      </c>
      <c r="T91" s="198">
        <f>IF(R91="","",IF(LEN(R91)&gt;9,SUMIFS(Options!$AZ$3:$AZ$25,Options!$B$3:$B$25,'Check result'!R91),SUMIFS('Master P&amp;L'!$AE$11:$AE$92,'Master P&amp;L'!$B$11:$B$92,'Check result'!R91)))</f>
        <v>0</v>
      </c>
      <c r="U91" s="198">
        <f t="shared" si="9"/>
        <v>0</v>
      </c>
      <c r="V91" s="197">
        <f t="shared" si="10"/>
        <v>0</v>
      </c>
      <c r="W91" t="e">
        <f t="shared" si="11"/>
        <v>#DIV/0!</v>
      </c>
    </row>
    <row r="92" spans="1:23">
      <c r="A92" s="258">
        <v>45840</v>
      </c>
      <c r="B92" s="259" t="s">
        <v>210</v>
      </c>
      <c r="C92" s="259" t="s">
        <v>245</v>
      </c>
      <c r="D92" s="259" t="s">
        <v>235</v>
      </c>
      <c r="E92" s="259">
        <v>0</v>
      </c>
      <c r="F92" s="259">
        <v>0</v>
      </c>
      <c r="G92" s="197" t="e">
        <f t="shared" si="6"/>
        <v>#DIV/0!</v>
      </c>
      <c r="R92" t="str">
        <f t="shared" si="12"/>
        <v>Provision US Equity USD_</v>
      </c>
      <c r="S92">
        <f t="shared" si="8"/>
        <v>0</v>
      </c>
      <c r="T92" s="198">
        <f>IF(R92="","",IF(LEN(R92)&gt;9,SUMIFS(Options!$AZ$3:$AZ$25,Options!$B$3:$B$25,'Check result'!R92),SUMIFS('Master P&amp;L'!$AE$11:$AE$92,'Master P&amp;L'!$B$11:$B$92,'Check result'!R92)))</f>
        <v>0</v>
      </c>
      <c r="U92" s="198">
        <f t="shared" si="9"/>
        <v>0</v>
      </c>
      <c r="V92" s="197">
        <f t="shared" si="10"/>
        <v>0</v>
      </c>
      <c r="W92" t="e">
        <f t="shared" si="11"/>
        <v>#DIV/0!</v>
      </c>
    </row>
    <row r="93" spans="1:23">
      <c r="A93" s="258">
        <v>45840</v>
      </c>
      <c r="B93" s="259" t="s">
        <v>210</v>
      </c>
      <c r="C93" s="259" t="s">
        <v>245</v>
      </c>
      <c r="D93" s="259" t="s">
        <v>348</v>
      </c>
      <c r="E93" s="259">
        <v>0</v>
      </c>
      <c r="F93" s="259">
        <v>0</v>
      </c>
      <c r="G93" s="197" t="e">
        <f t="shared" si="6"/>
        <v>#DIV/0!</v>
      </c>
      <c r="R93" t="str">
        <f t="shared" si="12"/>
        <v>Provision NYSE USD_</v>
      </c>
      <c r="S93">
        <f t="shared" si="8"/>
        <v>0</v>
      </c>
      <c r="T93" s="198">
        <f>IF(R93="","",IF(LEN(R93)&gt;9,SUMIFS(Options!$AZ$3:$AZ$25,Options!$B$3:$B$25,'Check result'!R93),SUMIFS('Master P&amp;L'!$AE$11:$AE$92,'Master P&amp;L'!$B$11:$B$92,'Check result'!R93)))</f>
        <v>0</v>
      </c>
      <c r="U93" s="198">
        <f t="shared" si="9"/>
        <v>0</v>
      </c>
      <c r="V93" s="197">
        <f t="shared" si="10"/>
        <v>0</v>
      </c>
      <c r="W93" t="e">
        <f t="shared" si="11"/>
        <v>#DIV/0!</v>
      </c>
    </row>
    <row r="94" spans="1:23">
      <c r="A94" s="258">
        <v>45840</v>
      </c>
      <c r="B94" s="259" t="s">
        <v>210</v>
      </c>
      <c r="C94" s="259" t="s">
        <v>250</v>
      </c>
      <c r="D94" s="259" t="s">
        <v>476</v>
      </c>
      <c r="E94" s="259">
        <v>0</v>
      </c>
      <c r="F94" s="259">
        <v>0</v>
      </c>
      <c r="G94" s="197" t="e">
        <f t="shared" si="6"/>
        <v>#DIV/0!</v>
      </c>
      <c r="R94" t="str">
        <f t="shared" si="12"/>
        <v>XLF US 07/18/25 C53.5</v>
      </c>
      <c r="S94">
        <f t="shared" si="8"/>
        <v>0</v>
      </c>
      <c r="T94" s="198">
        <f>IF(R94="","",IF(LEN(R94)&gt;9,SUMIFS(Options!$AZ$3:$AZ$25,Options!$B$3:$B$25,'Check result'!R94),SUMIFS('Master P&amp;L'!$AE$11:$AE$92,'Master P&amp;L'!$B$11:$B$92,'Check result'!R94)))</f>
        <v>0</v>
      </c>
      <c r="U94" s="198">
        <f t="shared" si="9"/>
        <v>0</v>
      </c>
      <c r="V94" s="197">
        <f t="shared" si="10"/>
        <v>0</v>
      </c>
      <c r="W94" t="e">
        <f t="shared" si="11"/>
        <v>#DIV/0!</v>
      </c>
    </row>
    <row r="95" spans="1:23">
      <c r="A95" s="258">
        <v>45840</v>
      </c>
      <c r="B95" s="259" t="s">
        <v>210</v>
      </c>
      <c r="C95" s="259" t="s">
        <v>248</v>
      </c>
      <c r="D95" s="259" t="s">
        <v>228</v>
      </c>
      <c r="E95" s="259">
        <v>0</v>
      </c>
      <c r="F95" s="259">
        <v>0</v>
      </c>
      <c r="G95" s="197" t="e">
        <f t="shared" si="6"/>
        <v>#DIV/0!</v>
      </c>
      <c r="R95" t="str">
        <f t="shared" si="12"/>
        <v>Cash HKD</v>
      </c>
      <c r="S95">
        <f t="shared" si="8"/>
        <v>0</v>
      </c>
      <c r="T95" s="198">
        <f>IF(R95="","",IF(LEN(R95)&gt;9,SUMIFS(Options!$AZ$3:$AZ$25,Options!$B$3:$B$25,'Check result'!R95),SUMIFS('Master P&amp;L'!$AE$11:$AE$92,'Master P&amp;L'!$B$11:$B$92,'Check result'!R95)))</f>
        <v>0</v>
      </c>
      <c r="U95" s="198">
        <f t="shared" si="9"/>
        <v>0</v>
      </c>
      <c r="V95" s="197">
        <f t="shared" si="10"/>
        <v>0</v>
      </c>
      <c r="W95" t="e">
        <f t="shared" si="11"/>
        <v>#DIV/0!</v>
      </c>
    </row>
    <row r="96" spans="1:23">
      <c r="A96" s="258">
        <v>45840</v>
      </c>
      <c r="B96" s="259" t="s">
        <v>210</v>
      </c>
      <c r="C96" s="259" t="s">
        <v>248</v>
      </c>
      <c r="D96" s="259" t="s">
        <v>230</v>
      </c>
      <c r="E96" s="259">
        <v>0</v>
      </c>
      <c r="F96" s="259">
        <v>0</v>
      </c>
      <c r="G96" s="197" t="e">
        <f t="shared" si="6"/>
        <v>#DIV/0!</v>
      </c>
      <c r="R96" t="str">
        <f t="shared" si="12"/>
        <v>Cash USD</v>
      </c>
      <c r="S96">
        <f t="shared" si="8"/>
        <v>0</v>
      </c>
      <c r="T96" s="198">
        <f>IF(R96="","",IF(LEN(R96)&gt;9,SUMIFS(Options!$AZ$3:$AZ$25,Options!$B$3:$B$25,'Check result'!R96),SUMIFS('Master P&amp;L'!$AE$11:$AE$92,'Master P&amp;L'!$B$11:$B$92,'Check result'!R96)))</f>
        <v>0</v>
      </c>
      <c r="U96" s="198">
        <f t="shared" si="9"/>
        <v>0</v>
      </c>
      <c r="V96" s="197">
        <f t="shared" si="10"/>
        <v>0</v>
      </c>
      <c r="W96" t="e">
        <f t="shared" si="11"/>
        <v>#DIV/0!</v>
      </c>
    </row>
    <row r="97" spans="1:23">
      <c r="A97" s="258">
        <v>45840</v>
      </c>
      <c r="B97" s="259" t="s">
        <v>349</v>
      </c>
      <c r="C97" s="259" t="s">
        <v>350</v>
      </c>
      <c r="D97" s="259" t="s">
        <v>351</v>
      </c>
      <c r="E97" s="259">
        <v>0</v>
      </c>
      <c r="F97" s="259">
        <v>0</v>
      </c>
      <c r="G97" s="197" t="e">
        <f t="shared" si="6"/>
        <v>#DIV/0!</v>
      </c>
      <c r="R97" t="str">
        <f t="shared" si="12"/>
        <v>Exposure Transfer USD_</v>
      </c>
      <c r="S97">
        <f t="shared" si="8"/>
        <v>0</v>
      </c>
      <c r="T97" s="198">
        <f>IF(R97="","",IF(LEN(R97)&gt;9,SUMIFS(Options!$AZ$3:$AZ$25,Options!$B$3:$B$25,'Check result'!R97),SUMIFS('Master P&amp;L'!$AE$11:$AE$92,'Master P&amp;L'!$B$11:$B$92,'Check result'!R97)))</f>
        <v>0</v>
      </c>
      <c r="U97" s="198">
        <f t="shared" si="9"/>
        <v>0</v>
      </c>
      <c r="V97" s="197">
        <f t="shared" si="10"/>
        <v>0</v>
      </c>
      <c r="W97" t="e">
        <f t="shared" si="11"/>
        <v>#DIV/0!</v>
      </c>
    </row>
    <row r="98" spans="1:23">
      <c r="A98" s="258">
        <v>45840</v>
      </c>
      <c r="B98" s="259" t="s">
        <v>210</v>
      </c>
      <c r="C98" s="259" t="s">
        <v>248</v>
      </c>
      <c r="D98" s="259" t="s">
        <v>229</v>
      </c>
      <c r="E98" s="259">
        <v>0</v>
      </c>
      <c r="F98" s="259">
        <v>0</v>
      </c>
      <c r="G98" s="197" t="e">
        <f t="shared" si="6"/>
        <v>#DIV/0!</v>
      </c>
      <c r="R98" t="str">
        <f t="shared" si="12"/>
        <v>Cash KRW</v>
      </c>
      <c r="S98">
        <f t="shared" si="8"/>
        <v>0</v>
      </c>
      <c r="T98" s="198">
        <f>IF(R98="","",IF(LEN(R98)&gt;9,SUMIFS(Options!$AZ$3:$AZ$25,Options!$B$3:$B$25,'Check result'!R98),SUMIFS('Master P&amp;L'!$AE$11:$AE$92,'Master P&amp;L'!$B$11:$B$92,'Check result'!R98)))</f>
        <v>0</v>
      </c>
      <c r="U98" s="198">
        <f t="shared" si="9"/>
        <v>0</v>
      </c>
      <c r="V98" s="197">
        <f t="shared" si="10"/>
        <v>0</v>
      </c>
      <c r="W98" t="e">
        <f t="shared" si="11"/>
        <v>#DIV/0!</v>
      </c>
    </row>
    <row r="99" spans="1:23">
      <c r="A99" s="258">
        <v>45840</v>
      </c>
      <c r="B99" s="259" t="s">
        <v>210</v>
      </c>
      <c r="C99" s="259" t="s">
        <v>248</v>
      </c>
      <c r="D99" s="259" t="s">
        <v>225</v>
      </c>
      <c r="E99" s="259">
        <v>0</v>
      </c>
      <c r="F99" s="259">
        <v>0</v>
      </c>
      <c r="G99" s="197" t="e">
        <f t="shared" si="6"/>
        <v>#DIV/0!</v>
      </c>
      <c r="R99" t="str">
        <f t="shared" si="12"/>
        <v>Cash CNH</v>
      </c>
      <c r="S99">
        <f t="shared" si="8"/>
        <v>0</v>
      </c>
      <c r="T99" s="198">
        <f>IF(R99="","",IF(LEN(R99)&gt;9,SUMIFS(Options!$AZ$3:$AZ$25,Options!$B$3:$B$25,'Check result'!R99),SUMIFS('Master P&amp;L'!$AE$11:$AE$92,'Master P&amp;L'!$B$11:$B$92,'Check result'!R99)))</f>
        <v>0</v>
      </c>
      <c r="U99" s="198">
        <f t="shared" si="9"/>
        <v>0</v>
      </c>
      <c r="V99" s="197">
        <f t="shared" si="10"/>
        <v>0</v>
      </c>
      <c r="W99" t="e">
        <f t="shared" si="11"/>
        <v>#DIV/0!</v>
      </c>
    </row>
    <row r="100" spans="1:23">
      <c r="A100" s="258">
        <v>45840</v>
      </c>
      <c r="B100" s="259" t="s">
        <v>210</v>
      </c>
      <c r="C100" s="259" t="s">
        <v>248</v>
      </c>
      <c r="D100" s="259" t="s">
        <v>227</v>
      </c>
      <c r="E100" s="259">
        <v>0</v>
      </c>
      <c r="F100" s="259">
        <v>0</v>
      </c>
      <c r="G100" s="197" t="e">
        <f t="shared" si="6"/>
        <v>#DIV/0!</v>
      </c>
      <c r="R100" t="str">
        <f t="shared" si="12"/>
        <v>Cash GBP</v>
      </c>
      <c r="S100">
        <f t="shared" si="8"/>
        <v>0</v>
      </c>
      <c r="T100" s="198">
        <f>IF(R100="","",IF(LEN(R100)&gt;9,SUMIFS(Options!$AZ$3:$AZ$25,Options!$B$3:$B$25,'Check result'!R100),SUMIFS('Master P&amp;L'!$AE$11:$AE$92,'Master P&amp;L'!$B$11:$B$92,'Check result'!R100)))</f>
        <v>0</v>
      </c>
      <c r="U100" s="198">
        <f t="shared" si="9"/>
        <v>0</v>
      </c>
      <c r="V100" s="197">
        <f t="shared" si="10"/>
        <v>0</v>
      </c>
      <c r="W100" t="e">
        <f t="shared" si="11"/>
        <v>#DIV/0!</v>
      </c>
    </row>
    <row r="101" spans="1:23">
      <c r="A101" s="258">
        <v>45840</v>
      </c>
      <c r="B101" s="259" t="s">
        <v>210</v>
      </c>
      <c r="C101" s="259" t="s">
        <v>246</v>
      </c>
      <c r="D101" s="259" t="s">
        <v>498</v>
      </c>
      <c r="E101" s="259">
        <v>11</v>
      </c>
      <c r="F101" s="259">
        <v>0</v>
      </c>
      <c r="G101" s="197" t="e">
        <f t="shared" si="6"/>
        <v>#DIV/0!</v>
      </c>
      <c r="R101" t="str">
        <f t="shared" si="12"/>
        <v>MU US 07/03/25 C150</v>
      </c>
      <c r="S101">
        <f t="shared" si="8"/>
        <v>11</v>
      </c>
      <c r="T101" s="198">
        <f>IF(R101="","",IF(LEN(R101)&gt;9,SUMIFS(Options!$AZ$3:$AZ$25,Options!$B$3:$B$25,'Check result'!R101),SUMIFS('Master P&amp;L'!$AE$11:$AE$92,'Master P&amp;L'!$B$11:$B$92,'Check result'!R101)))</f>
        <v>0</v>
      </c>
      <c r="U101" s="198">
        <f t="shared" si="9"/>
        <v>0</v>
      </c>
      <c r="V101" s="197">
        <f t="shared" si="10"/>
        <v>11</v>
      </c>
      <c r="W101" t="e">
        <f t="shared" si="11"/>
        <v>#DIV/0!</v>
      </c>
    </row>
    <row r="102" spans="1:23">
      <c r="A102" s="258">
        <v>45840</v>
      </c>
      <c r="B102" s="259" t="s">
        <v>210</v>
      </c>
      <c r="C102" s="259" t="s">
        <v>246</v>
      </c>
      <c r="D102" s="259" t="s">
        <v>462</v>
      </c>
      <c r="E102" s="259">
        <v>160</v>
      </c>
      <c r="F102" s="259">
        <v>0</v>
      </c>
      <c r="G102" s="197" t="e">
        <f t="shared" si="6"/>
        <v>#DIV/0!</v>
      </c>
      <c r="R102" t="str">
        <f t="shared" si="12"/>
        <v>V US 07/11/25 P325</v>
      </c>
      <c r="S102">
        <f t="shared" si="8"/>
        <v>160</v>
      </c>
      <c r="T102" s="198">
        <f>IF(R102="","",IF(LEN(R102)&gt;9,SUMIFS(Options!$AZ$3:$AZ$25,Options!$B$3:$B$25,'Check result'!R102),SUMIFS('Master P&amp;L'!$AE$11:$AE$92,'Master P&amp;L'!$B$11:$B$92,'Check result'!R102)))</f>
        <v>0</v>
      </c>
      <c r="U102" s="198">
        <f t="shared" si="9"/>
        <v>0</v>
      </c>
      <c r="V102" s="197">
        <f t="shared" si="10"/>
        <v>160</v>
      </c>
      <c r="W102" t="e">
        <f t="shared" si="11"/>
        <v>#DIV/0!</v>
      </c>
    </row>
    <row r="103" spans="1:23">
      <c r="A103" s="258">
        <v>45840</v>
      </c>
      <c r="B103" s="259" t="s">
        <v>210</v>
      </c>
      <c r="C103" s="259" t="s">
        <v>248</v>
      </c>
      <c r="D103" s="259" t="s">
        <v>226</v>
      </c>
      <c r="E103" s="259">
        <v>462</v>
      </c>
      <c r="F103" s="259">
        <v>0</v>
      </c>
      <c r="G103" s="197" t="e">
        <f t="shared" si="6"/>
        <v>#DIV/0!</v>
      </c>
      <c r="R103" t="str">
        <f t="shared" si="12"/>
        <v>Cash EUR</v>
      </c>
      <c r="S103">
        <f t="shared" si="8"/>
        <v>462</v>
      </c>
      <c r="T103" s="198">
        <f>IF(R103="","",IF(LEN(R103)&gt;9,SUMIFS(Options!$AZ$3:$AZ$25,Options!$B$3:$B$25,'Check result'!R103),SUMIFS('Master P&amp;L'!$AE$11:$AE$92,'Master P&amp;L'!$B$11:$B$92,'Check result'!R103)))</f>
        <v>0</v>
      </c>
      <c r="U103" s="198">
        <f t="shared" si="9"/>
        <v>0</v>
      </c>
      <c r="V103" s="197">
        <f t="shared" si="10"/>
        <v>462</v>
      </c>
      <c r="W103" t="e">
        <f t="shared" si="11"/>
        <v>#DIV/0!</v>
      </c>
    </row>
    <row r="104" spans="1:23">
      <c r="A104" s="258">
        <v>45840</v>
      </c>
      <c r="B104" s="259" t="s">
        <v>210</v>
      </c>
      <c r="C104" s="259" t="s">
        <v>250</v>
      </c>
      <c r="D104" s="259" t="s">
        <v>468</v>
      </c>
      <c r="E104" s="259">
        <v>759</v>
      </c>
      <c r="F104" s="259">
        <v>0</v>
      </c>
      <c r="G104" s="197" t="e">
        <f t="shared" si="6"/>
        <v>#DIV/0!</v>
      </c>
      <c r="R104" t="str">
        <f t="shared" si="12"/>
        <v>QQQ US 07/03/25 P520</v>
      </c>
      <c r="S104">
        <f t="shared" si="8"/>
        <v>759</v>
      </c>
      <c r="T104" s="198">
        <f>IF(R104="","",IF(LEN(R104)&gt;9,SUMIFS(Options!$AZ$3:$AZ$25,Options!$B$3:$B$25,'Check result'!R104),SUMIFS('Master P&amp;L'!$AE$11:$AE$92,'Master P&amp;L'!$B$11:$B$92,'Check result'!R104)))</f>
        <v>0</v>
      </c>
      <c r="U104" s="198">
        <f t="shared" si="9"/>
        <v>0</v>
      </c>
      <c r="V104" s="197">
        <f t="shared" si="10"/>
        <v>759</v>
      </c>
      <c r="W104" t="e">
        <f t="shared" si="11"/>
        <v>#DIV/0!</v>
      </c>
    </row>
    <row r="105" spans="1:23">
      <c r="A105" s="258">
        <v>45840</v>
      </c>
      <c r="B105" s="259" t="s">
        <v>210</v>
      </c>
      <c r="C105" s="259" t="s">
        <v>244</v>
      </c>
      <c r="D105" s="259" t="s">
        <v>77</v>
      </c>
      <c r="E105" s="259">
        <v>787</v>
      </c>
      <c r="F105" s="259">
        <v>0</v>
      </c>
      <c r="G105" s="197" t="e">
        <f t="shared" si="6"/>
        <v>#DIV/0!</v>
      </c>
      <c r="R105" t="str">
        <f t="shared" si="12"/>
        <v>ABNB</v>
      </c>
      <c r="S105">
        <f t="shared" si="8"/>
        <v>787</v>
      </c>
      <c r="T105" s="198">
        <f>IF(R105="","",IF(LEN(R105)&gt;9,SUMIFS(Options!$AZ$3:$AZ$25,Options!$B$3:$B$25,'Check result'!R105),SUMIFS('Master P&amp;L'!$AE$11:$AE$92,'Master P&amp;L'!$B$11:$B$92,'Check result'!R105)))</f>
        <v>0</v>
      </c>
      <c r="U105" s="198">
        <f t="shared" si="9"/>
        <v>0</v>
      </c>
      <c r="V105" s="197">
        <f t="shared" si="10"/>
        <v>787</v>
      </c>
      <c r="W105" t="e">
        <f t="shared" si="11"/>
        <v>#DIV/0!</v>
      </c>
    </row>
    <row r="106" spans="1:23">
      <c r="A106" s="258">
        <v>45840</v>
      </c>
      <c r="B106" s="259" t="s">
        <v>210</v>
      </c>
      <c r="C106" s="259" t="s">
        <v>246</v>
      </c>
      <c r="D106" s="259" t="s">
        <v>486</v>
      </c>
      <c r="E106" s="260">
        <v>1513</v>
      </c>
      <c r="F106" s="259">
        <v>0</v>
      </c>
      <c r="G106" s="197" t="e">
        <f t="shared" si="6"/>
        <v>#DIV/0!</v>
      </c>
      <c r="R106" t="str">
        <f t="shared" si="12"/>
        <v>MA US 07/18/25 P520</v>
      </c>
      <c r="S106">
        <f t="shared" si="8"/>
        <v>1513</v>
      </c>
      <c r="T106" s="198">
        <f>IF(R106="","",IF(LEN(R106)&gt;9,SUMIFS(Options!$AZ$3:$AZ$25,Options!$B$3:$B$25,'Check result'!R106),SUMIFS('Master P&amp;L'!$AE$11:$AE$92,'Master P&amp;L'!$B$11:$B$92,'Check result'!R106)))</f>
        <v>0</v>
      </c>
      <c r="U106" s="198">
        <f t="shared" si="9"/>
        <v>0</v>
      </c>
      <c r="V106" s="197">
        <f t="shared" si="10"/>
        <v>1513</v>
      </c>
      <c r="W106" t="e">
        <f t="shared" si="11"/>
        <v>#DIV/0!</v>
      </c>
    </row>
    <row r="107" spans="1:23">
      <c r="A107" s="258">
        <v>45840</v>
      </c>
      <c r="B107" s="259" t="s">
        <v>210</v>
      </c>
      <c r="C107" s="259" t="s">
        <v>244</v>
      </c>
      <c r="D107" s="259" t="s">
        <v>31</v>
      </c>
      <c r="E107" s="260">
        <v>1726</v>
      </c>
      <c r="F107" s="259">
        <v>0</v>
      </c>
      <c r="G107" s="197" t="e">
        <f t="shared" si="6"/>
        <v>#DIV/0!</v>
      </c>
      <c r="R107" t="str">
        <f t="shared" si="12"/>
        <v>UBER</v>
      </c>
      <c r="S107">
        <f t="shared" si="8"/>
        <v>1726</v>
      </c>
      <c r="T107" s="198">
        <f>IF(R107="","",IF(LEN(R107)&gt;9,SUMIFS(Options!$AZ$3:$AZ$25,Options!$B$3:$B$25,'Check result'!R107),SUMIFS('Master P&amp;L'!$AE$11:$AE$92,'Master P&amp;L'!$B$11:$B$92,'Check result'!R107)))</f>
        <v>0</v>
      </c>
      <c r="U107" s="198">
        <f t="shared" si="9"/>
        <v>0</v>
      </c>
      <c r="V107" s="197">
        <f t="shared" si="10"/>
        <v>1726</v>
      </c>
      <c r="W107" t="e">
        <f t="shared" si="11"/>
        <v>#DIV/0!</v>
      </c>
    </row>
    <row r="108" spans="1:23">
      <c r="A108" s="258">
        <v>45840</v>
      </c>
      <c r="B108" s="259" t="s">
        <v>210</v>
      </c>
      <c r="C108" s="259" t="s">
        <v>250</v>
      </c>
      <c r="D108" s="259" t="s">
        <v>407</v>
      </c>
      <c r="E108" s="260">
        <v>2508</v>
      </c>
      <c r="F108" s="259">
        <v>0</v>
      </c>
      <c r="G108" s="197" t="e">
        <f t="shared" si="6"/>
        <v>#DIV/0!</v>
      </c>
      <c r="R108" t="str">
        <f t="shared" si="12"/>
        <v>XLF US 07/18/25 P50</v>
      </c>
      <c r="S108">
        <f t="shared" si="8"/>
        <v>2508</v>
      </c>
      <c r="T108" s="198">
        <f>IF(R108="","",IF(LEN(R108)&gt;9,SUMIFS(Options!$AZ$3:$AZ$25,Options!$B$3:$B$25,'Check result'!R108),SUMIFS('Master P&amp;L'!$AE$11:$AE$92,'Master P&amp;L'!$B$11:$B$92,'Check result'!R108)))</f>
        <v>0</v>
      </c>
      <c r="U108" s="198">
        <f t="shared" si="9"/>
        <v>0</v>
      </c>
      <c r="V108" s="197">
        <f t="shared" si="10"/>
        <v>2508</v>
      </c>
      <c r="W108" t="e">
        <f t="shared" si="11"/>
        <v>#DIV/0!</v>
      </c>
    </row>
    <row r="109" spans="1:23">
      <c r="A109" s="258">
        <v>45840</v>
      </c>
      <c r="B109" s="259" t="s">
        <v>210</v>
      </c>
      <c r="C109" s="259" t="s">
        <v>246</v>
      </c>
      <c r="D109" s="259" t="s">
        <v>371</v>
      </c>
      <c r="E109" s="260">
        <v>2521</v>
      </c>
      <c r="F109" s="259">
        <v>0</v>
      </c>
      <c r="G109" s="197" t="e">
        <f t="shared" si="6"/>
        <v>#DIV/0!</v>
      </c>
      <c r="R109" t="str">
        <f t="shared" si="12"/>
        <v>UBER US 07/18/25 C105</v>
      </c>
      <c r="S109">
        <f t="shared" si="8"/>
        <v>2521</v>
      </c>
      <c r="T109" s="198">
        <f>IF(R109="","",IF(LEN(R109)&gt;9,SUMIFS(Options!$AZ$3:$AZ$25,Options!$B$3:$B$25,'Check result'!R109),SUMIFS('Master P&amp;L'!$AE$11:$AE$92,'Master P&amp;L'!$B$11:$B$92,'Check result'!R109)))</f>
        <v>0</v>
      </c>
      <c r="U109" s="198">
        <f t="shared" si="9"/>
        <v>0</v>
      </c>
      <c r="V109" s="197">
        <f t="shared" si="10"/>
        <v>2521</v>
      </c>
      <c r="W109" t="e">
        <f t="shared" si="11"/>
        <v>#DIV/0!</v>
      </c>
    </row>
    <row r="110" spans="1:23">
      <c r="A110" s="258">
        <v>45840</v>
      </c>
      <c r="B110" s="259" t="s">
        <v>210</v>
      </c>
      <c r="C110" s="259" t="s">
        <v>250</v>
      </c>
      <c r="D110" s="259" t="s">
        <v>404</v>
      </c>
      <c r="E110" s="260">
        <v>2806</v>
      </c>
      <c r="F110" s="259">
        <v>0</v>
      </c>
      <c r="G110" s="197" t="e">
        <f t="shared" si="6"/>
        <v>#DIV/0!</v>
      </c>
      <c r="R110" t="str">
        <f t="shared" si="12"/>
        <v>SOXX US 07/18/25 P200</v>
      </c>
      <c r="S110">
        <f t="shared" si="8"/>
        <v>2806</v>
      </c>
      <c r="T110" s="198">
        <f>IF(R110="","",IF(LEN(R110)&gt;9,SUMIFS(Options!$AZ$3:$AZ$25,Options!$B$3:$B$25,'Check result'!R110),SUMIFS('Master P&amp;L'!$AE$11:$AE$92,'Master P&amp;L'!$B$11:$B$92,'Check result'!R110)))</f>
        <v>0</v>
      </c>
      <c r="U110" s="198">
        <f t="shared" si="9"/>
        <v>0</v>
      </c>
      <c r="V110" s="197">
        <f t="shared" si="10"/>
        <v>2806</v>
      </c>
      <c r="W110" t="e">
        <f t="shared" si="11"/>
        <v>#DIV/0!</v>
      </c>
    </row>
    <row r="111" spans="1:23">
      <c r="A111" s="258">
        <v>45840</v>
      </c>
      <c r="B111" s="259" t="s">
        <v>210</v>
      </c>
      <c r="C111" s="259" t="s">
        <v>246</v>
      </c>
      <c r="D111" s="259" t="s">
        <v>391</v>
      </c>
      <c r="E111" s="260">
        <v>4403</v>
      </c>
      <c r="F111" s="259">
        <v>0</v>
      </c>
      <c r="G111" s="197" t="e">
        <f t="shared" si="6"/>
        <v>#DIV/0!</v>
      </c>
      <c r="R111" t="str">
        <f t="shared" si="12"/>
        <v>NVDA US 07/18/25 P125</v>
      </c>
      <c r="S111">
        <f t="shared" si="8"/>
        <v>4403</v>
      </c>
      <c r="T111" s="198">
        <f>IF(R111="","",IF(LEN(R111)&gt;9,SUMIFS(Options!$AZ$3:$AZ$25,Options!$B$3:$B$25,'Check result'!R111),SUMIFS('Master P&amp;L'!$AE$11:$AE$92,'Master P&amp;L'!$B$11:$B$92,'Check result'!R111)))</f>
        <v>0</v>
      </c>
      <c r="U111" s="198">
        <f t="shared" si="9"/>
        <v>0</v>
      </c>
      <c r="V111" s="197">
        <f t="shared" si="10"/>
        <v>4403</v>
      </c>
      <c r="W111" t="e">
        <f t="shared" si="11"/>
        <v>#DIV/0!</v>
      </c>
    </row>
    <row r="112" spans="1:23">
      <c r="A112" s="258">
        <v>45840</v>
      </c>
      <c r="B112" s="259" t="s">
        <v>210</v>
      </c>
      <c r="C112" s="259" t="s">
        <v>246</v>
      </c>
      <c r="D112" s="259" t="s">
        <v>424</v>
      </c>
      <c r="E112" s="260">
        <v>7108</v>
      </c>
      <c r="F112" s="259">
        <v>0.01</v>
      </c>
      <c r="G112" s="197">
        <f t="shared" si="6"/>
        <v>7108000000</v>
      </c>
      <c r="R112" t="str">
        <f t="shared" si="12"/>
        <v>MSFT US 07/18/25 P445</v>
      </c>
      <c r="S112">
        <f t="shared" si="8"/>
        <v>7108</v>
      </c>
      <c r="T112" s="198">
        <f>IF(R112="","",IF(LEN(R112)&gt;9,SUMIFS(Options!$AZ$3:$AZ$25,Options!$B$3:$B$25,'Check result'!R112),SUMIFS('Master P&amp;L'!$AE$11:$AE$92,'Master P&amp;L'!$B$11:$B$92,'Check result'!R112)))</f>
        <v>0</v>
      </c>
      <c r="U112" s="198">
        <f t="shared" si="9"/>
        <v>0</v>
      </c>
      <c r="V112" s="197">
        <f t="shared" si="10"/>
        <v>7108</v>
      </c>
      <c r="W112">
        <f t="shared" si="11"/>
        <v>0.01</v>
      </c>
    </row>
    <row r="113" spans="1:23">
      <c r="A113" s="258">
        <v>45840</v>
      </c>
      <c r="B113" s="259" t="s">
        <v>210</v>
      </c>
      <c r="C113" s="259" t="s">
        <v>246</v>
      </c>
      <c r="D113" s="259" t="s">
        <v>469</v>
      </c>
      <c r="E113" s="260">
        <v>10288</v>
      </c>
      <c r="F113" s="259">
        <v>0.01</v>
      </c>
      <c r="G113" s="197">
        <f t="shared" si="6"/>
        <v>10288000000</v>
      </c>
      <c r="R113" t="str">
        <f t="shared" ref="R113:R165" si="13">D113</f>
        <v>MSFT US 08/15/25 P480</v>
      </c>
      <c r="S113">
        <f t="shared" ref="S113:S155" si="14">VLOOKUP(R113,$D$2:$F$156,2,FALSE)</f>
        <v>10288</v>
      </c>
      <c r="T113" s="198">
        <f>IF(R113="","",IF(LEN(R113)&gt;9,SUMIFS(Options!$AZ$3:$AZ$25,Options!$B$3:$B$25,'Check result'!R113),SUMIFS('Master P&amp;L'!$AE$11:$AE$92,'Master P&amp;L'!$B$11:$B$92,'Check result'!R113)))</f>
        <v>0</v>
      </c>
      <c r="U113" s="198">
        <f t="shared" ref="U113:U165" si="15">T113/2</f>
        <v>0</v>
      </c>
      <c r="V113" s="197">
        <f t="shared" ref="V113:V165" si="16">+S113-U113</f>
        <v>10288</v>
      </c>
      <c r="W113">
        <f t="shared" ref="W113:W165" si="17">+V113/G113*10000</f>
        <v>0.01</v>
      </c>
    </row>
    <row r="114" spans="1:23">
      <c r="A114" s="258">
        <v>45840</v>
      </c>
      <c r="B114" s="259" t="s">
        <v>210</v>
      </c>
      <c r="C114" s="259" t="s">
        <v>246</v>
      </c>
      <c r="D114" s="259" t="s">
        <v>394</v>
      </c>
      <c r="E114" s="260">
        <v>10410</v>
      </c>
      <c r="F114" s="259">
        <v>0.01</v>
      </c>
      <c r="G114" s="197">
        <f t="shared" si="6"/>
        <v>10410000000</v>
      </c>
      <c r="R114" t="str">
        <f t="shared" si="13"/>
        <v>MA US 07/18/25 P550</v>
      </c>
      <c r="S114">
        <f t="shared" si="14"/>
        <v>10410</v>
      </c>
      <c r="T114" s="198">
        <f>IF(R114="","",IF(LEN(R114)&gt;9,SUMIFS(Options!$AZ$3:$AZ$25,Options!$B$3:$B$25,'Check result'!R114),SUMIFS('Master P&amp;L'!$AE$11:$AE$92,'Master P&amp;L'!$B$11:$B$92,'Check result'!R114)))</f>
        <v>0</v>
      </c>
      <c r="U114" s="198">
        <f t="shared" si="15"/>
        <v>0</v>
      </c>
      <c r="V114" s="197">
        <f t="shared" si="16"/>
        <v>10410</v>
      </c>
      <c r="W114">
        <f t="shared" si="17"/>
        <v>0.01</v>
      </c>
    </row>
    <row r="115" spans="1:23">
      <c r="A115" s="258">
        <v>45840</v>
      </c>
      <c r="B115" s="259" t="s">
        <v>210</v>
      </c>
      <c r="C115" s="259" t="s">
        <v>250</v>
      </c>
      <c r="D115" s="259" t="s">
        <v>389</v>
      </c>
      <c r="E115" s="260">
        <v>11950</v>
      </c>
      <c r="F115" s="259">
        <v>0.01</v>
      </c>
      <c r="G115" s="197">
        <f t="shared" si="6"/>
        <v>11950000000</v>
      </c>
      <c r="R115" t="str">
        <f t="shared" si="13"/>
        <v>SMH US 07/18/25 P225</v>
      </c>
      <c r="S115">
        <f t="shared" si="14"/>
        <v>11950</v>
      </c>
      <c r="T115" s="198">
        <f>IF(R115="","",IF(LEN(R115)&gt;9,SUMIFS(Options!$AZ$3:$AZ$25,Options!$B$3:$B$25,'Check result'!R115),SUMIFS('Master P&amp;L'!$AE$11:$AE$92,'Master P&amp;L'!$B$11:$B$92,'Check result'!R115)))</f>
        <v>0</v>
      </c>
      <c r="U115" s="198">
        <f t="shared" si="15"/>
        <v>0</v>
      </c>
      <c r="V115" s="197">
        <f t="shared" si="16"/>
        <v>11950</v>
      </c>
      <c r="W115">
        <f t="shared" si="17"/>
        <v>0.01</v>
      </c>
    </row>
    <row r="116" spans="1:23">
      <c r="A116" s="258">
        <v>45840</v>
      </c>
      <c r="B116" s="259" t="s">
        <v>210</v>
      </c>
      <c r="C116" s="259" t="s">
        <v>246</v>
      </c>
      <c r="D116" s="259" t="s">
        <v>471</v>
      </c>
      <c r="E116" s="260">
        <v>13284</v>
      </c>
      <c r="F116" s="259">
        <v>0.01</v>
      </c>
      <c r="G116" s="197">
        <f t="shared" si="6"/>
        <v>13284000000</v>
      </c>
      <c r="R116" t="str">
        <f t="shared" si="13"/>
        <v>MSFT US 08/15/25 C515</v>
      </c>
      <c r="S116">
        <f t="shared" si="14"/>
        <v>13284</v>
      </c>
      <c r="T116" s="198">
        <f>IF(R116="","",IF(LEN(R116)&gt;9,SUMIFS(Options!$AZ$3:$AZ$25,Options!$B$3:$B$25,'Check result'!R116),SUMIFS('Master P&amp;L'!$AE$11:$AE$92,'Master P&amp;L'!$B$11:$B$92,'Check result'!R116)))</f>
        <v>0</v>
      </c>
      <c r="U116" s="198">
        <f t="shared" si="15"/>
        <v>0</v>
      </c>
      <c r="V116" s="197">
        <f t="shared" si="16"/>
        <v>13284</v>
      </c>
      <c r="W116">
        <f t="shared" si="17"/>
        <v>0.01</v>
      </c>
    </row>
    <row r="117" spans="1:23">
      <c r="A117" s="258">
        <v>45840</v>
      </c>
      <c r="B117" s="259" t="s">
        <v>210</v>
      </c>
      <c r="C117" s="259" t="s">
        <v>247</v>
      </c>
      <c r="D117" s="259" t="s">
        <v>43</v>
      </c>
      <c r="E117" s="260">
        <v>15275</v>
      </c>
      <c r="F117" s="259">
        <v>0.01</v>
      </c>
      <c r="G117" s="197">
        <f t="shared" si="6"/>
        <v>15275000000</v>
      </c>
      <c r="R117" t="str">
        <f t="shared" si="13"/>
        <v>SOXX</v>
      </c>
      <c r="S117">
        <f t="shared" si="14"/>
        <v>15275</v>
      </c>
      <c r="T117" s="198">
        <f>IF(R117="","",IF(LEN(R117)&gt;9,SUMIFS(Options!$AZ$3:$AZ$25,Options!$B$3:$B$25,'Check result'!R117),SUMIFS('Master P&amp;L'!$AE$11:$AE$92,'Master P&amp;L'!$B$11:$B$92,'Check result'!R117)))</f>
        <v>0</v>
      </c>
      <c r="U117" s="198">
        <f t="shared" si="15"/>
        <v>0</v>
      </c>
      <c r="V117" s="197">
        <f t="shared" si="16"/>
        <v>15275</v>
      </c>
      <c r="W117">
        <f t="shared" si="17"/>
        <v>0.01</v>
      </c>
    </row>
    <row r="118" spans="1:23">
      <c r="A118" s="258">
        <v>45840</v>
      </c>
      <c r="B118" s="259" t="s">
        <v>210</v>
      </c>
      <c r="C118" s="259" t="s">
        <v>246</v>
      </c>
      <c r="D118" s="259" t="s">
        <v>483</v>
      </c>
      <c r="E118" s="260">
        <v>15290</v>
      </c>
      <c r="F118" s="259">
        <v>0.01</v>
      </c>
      <c r="G118" s="197">
        <f t="shared" si="6"/>
        <v>15290000000</v>
      </c>
      <c r="R118" t="str">
        <f t="shared" si="13"/>
        <v>MSFT US 08/15/25 C520</v>
      </c>
      <c r="S118">
        <f t="shared" si="14"/>
        <v>15290</v>
      </c>
      <c r="T118" s="198">
        <f>IF(R118="","",IF(LEN(R118)&gt;9,SUMIFS(Options!$AZ$3:$AZ$25,Options!$B$3:$B$25,'Check result'!R118),SUMIFS('Master P&amp;L'!$AE$11:$AE$92,'Master P&amp;L'!$B$11:$B$92,'Check result'!R118)))</f>
        <v>0</v>
      </c>
      <c r="U118" s="198">
        <f t="shared" si="15"/>
        <v>0</v>
      </c>
      <c r="V118" s="197">
        <f t="shared" si="16"/>
        <v>15290</v>
      </c>
      <c r="W118">
        <f t="shared" si="17"/>
        <v>0.01</v>
      </c>
    </row>
    <row r="119" spans="1:23">
      <c r="A119" s="258">
        <v>45840</v>
      </c>
      <c r="B119" s="259" t="s">
        <v>210</v>
      </c>
      <c r="C119" s="259" t="s">
        <v>246</v>
      </c>
      <c r="D119" s="259" t="s">
        <v>425</v>
      </c>
      <c r="E119" s="260">
        <v>16211</v>
      </c>
      <c r="F119" s="259">
        <v>0.01</v>
      </c>
      <c r="G119" s="197">
        <f t="shared" si="6"/>
        <v>16211000000</v>
      </c>
      <c r="R119" t="str">
        <f t="shared" si="13"/>
        <v>META US 07/18/25 P685</v>
      </c>
      <c r="S119">
        <f t="shared" si="14"/>
        <v>16211</v>
      </c>
      <c r="T119" s="198">
        <f>IF(R119="","",IF(LEN(R119)&gt;9,SUMIFS(Options!$AZ$3:$AZ$25,Options!$B$3:$B$25,'Check result'!R119),SUMIFS('Master P&amp;L'!$AE$11:$AE$92,'Master P&amp;L'!$B$11:$B$92,'Check result'!R119)))</f>
        <v>0</v>
      </c>
      <c r="U119" s="198">
        <f t="shared" si="15"/>
        <v>0</v>
      </c>
      <c r="V119" s="197">
        <f t="shared" si="16"/>
        <v>16211</v>
      </c>
      <c r="W119">
        <f t="shared" si="17"/>
        <v>0.01</v>
      </c>
    </row>
    <row r="120" spans="1:23">
      <c r="A120" s="258">
        <v>45840</v>
      </c>
      <c r="B120" s="259" t="s">
        <v>210</v>
      </c>
      <c r="C120" s="259" t="s">
        <v>247</v>
      </c>
      <c r="D120" s="259" t="s">
        <v>432</v>
      </c>
      <c r="E120" s="260">
        <v>16359</v>
      </c>
      <c r="F120" s="259">
        <v>0.01</v>
      </c>
      <c r="G120" s="197">
        <f t="shared" si="6"/>
        <v>16359000000</v>
      </c>
      <c r="R120" t="str">
        <f t="shared" si="13"/>
        <v>EWY</v>
      </c>
      <c r="S120">
        <f t="shared" si="14"/>
        <v>16359</v>
      </c>
      <c r="T120" s="198">
        <f>IF(R120="","",IF(LEN(R120)&gt;9,SUMIFS(Options!$AZ$3:$AZ$25,Options!$B$3:$B$25,'Check result'!R120),SUMIFS('Master P&amp;L'!$AE$11:$AE$92,'Master P&amp;L'!$B$11:$B$92,'Check result'!R120)))</f>
        <v>0</v>
      </c>
      <c r="U120" s="198">
        <f t="shared" si="15"/>
        <v>0</v>
      </c>
      <c r="V120" s="197">
        <f t="shared" si="16"/>
        <v>16359</v>
      </c>
      <c r="W120">
        <f t="shared" si="17"/>
        <v>0.01</v>
      </c>
    </row>
    <row r="121" spans="1:23">
      <c r="A121" s="258">
        <v>45840</v>
      </c>
      <c r="B121" s="259" t="s">
        <v>210</v>
      </c>
      <c r="C121" s="259" t="s">
        <v>250</v>
      </c>
      <c r="D121" s="259" t="s">
        <v>500</v>
      </c>
      <c r="E121" s="260">
        <v>19031</v>
      </c>
      <c r="F121" s="259">
        <v>0.02</v>
      </c>
      <c r="G121" s="197">
        <f t="shared" si="6"/>
        <v>9515500000</v>
      </c>
      <c r="R121" t="str">
        <f t="shared" si="13"/>
        <v>EWT US 09/19/25 P53</v>
      </c>
      <c r="S121">
        <f t="shared" si="14"/>
        <v>19031</v>
      </c>
      <c r="T121" s="198">
        <f>IF(R121="","",IF(LEN(R121)&gt;9,SUMIFS(Options!$AZ$3:$AZ$25,Options!$B$3:$B$25,'Check result'!R121),SUMIFS('Master P&amp;L'!$AE$11:$AE$92,'Master P&amp;L'!$B$11:$B$92,'Check result'!R121)))</f>
        <v>0</v>
      </c>
      <c r="U121" s="198">
        <f t="shared" si="15"/>
        <v>0</v>
      </c>
      <c r="V121" s="197">
        <f t="shared" si="16"/>
        <v>19031</v>
      </c>
      <c r="W121">
        <f t="shared" si="17"/>
        <v>0.02</v>
      </c>
    </row>
    <row r="122" spans="1:23">
      <c r="A122" s="258">
        <v>45840</v>
      </c>
      <c r="B122" s="259" t="s">
        <v>210</v>
      </c>
      <c r="C122" s="259" t="s">
        <v>250</v>
      </c>
      <c r="D122" s="259" t="s">
        <v>464</v>
      </c>
      <c r="E122" s="260">
        <v>21895</v>
      </c>
      <c r="F122" s="259">
        <v>0.02</v>
      </c>
      <c r="G122" s="197">
        <f t="shared" si="6"/>
        <v>10947500000</v>
      </c>
      <c r="R122" t="str">
        <f t="shared" si="13"/>
        <v>EWT US 09/19/25 P50</v>
      </c>
      <c r="S122">
        <f t="shared" si="14"/>
        <v>21895</v>
      </c>
      <c r="T122" s="198">
        <f>IF(R122="","",IF(LEN(R122)&gt;9,SUMIFS(Options!$AZ$3:$AZ$25,Options!$B$3:$B$25,'Check result'!R122),SUMIFS('Master P&amp;L'!$AE$11:$AE$92,'Master P&amp;L'!$B$11:$B$92,'Check result'!R122)))</f>
        <v>0</v>
      </c>
      <c r="U122" s="198">
        <f t="shared" si="15"/>
        <v>0</v>
      </c>
      <c r="V122" s="197">
        <f t="shared" si="16"/>
        <v>21895</v>
      </c>
      <c r="W122">
        <f t="shared" si="17"/>
        <v>0.02</v>
      </c>
    </row>
    <row r="123" spans="1:23">
      <c r="A123" s="258">
        <v>45840</v>
      </c>
      <c r="B123" s="259" t="s">
        <v>210</v>
      </c>
      <c r="C123" s="259" t="s">
        <v>244</v>
      </c>
      <c r="D123" s="259" t="s">
        <v>319</v>
      </c>
      <c r="E123" s="260">
        <v>22327</v>
      </c>
      <c r="F123" s="259">
        <v>0.02</v>
      </c>
      <c r="G123" s="197">
        <f t="shared" si="6"/>
        <v>11163500000</v>
      </c>
      <c r="R123" t="str">
        <f t="shared" si="13"/>
        <v>ACN</v>
      </c>
      <c r="S123">
        <f t="shared" si="14"/>
        <v>22327</v>
      </c>
      <c r="T123" s="198">
        <f>IF(R123="","",IF(LEN(R123)&gt;9,SUMIFS(Options!$AZ$3:$AZ$25,Options!$B$3:$B$25,'Check result'!R123),SUMIFS('Master P&amp;L'!$AE$11:$AE$92,'Master P&amp;L'!$B$11:$B$92,'Check result'!R123)))</f>
        <v>0</v>
      </c>
      <c r="U123" s="198">
        <f t="shared" si="15"/>
        <v>0</v>
      </c>
      <c r="V123" s="197">
        <f t="shared" si="16"/>
        <v>22327</v>
      </c>
      <c r="W123">
        <f t="shared" si="17"/>
        <v>0.02</v>
      </c>
    </row>
    <row r="124" spans="1:23">
      <c r="A124" s="258">
        <v>45840</v>
      </c>
      <c r="B124" s="259" t="s">
        <v>210</v>
      </c>
      <c r="C124" s="259" t="s">
        <v>246</v>
      </c>
      <c r="D124" s="259" t="s">
        <v>484</v>
      </c>
      <c r="E124" s="260">
        <v>24209</v>
      </c>
      <c r="F124" s="259">
        <v>0.02</v>
      </c>
      <c r="G124" s="197">
        <f t="shared" si="6"/>
        <v>12104500000</v>
      </c>
      <c r="R124" t="str">
        <f t="shared" si="13"/>
        <v>MSFT US 08/15/25 P490</v>
      </c>
      <c r="S124">
        <f t="shared" si="14"/>
        <v>24209</v>
      </c>
      <c r="T124" s="198">
        <f>IF(R124="","",IF(LEN(R124)&gt;9,SUMIFS(Options!$AZ$3:$AZ$25,Options!$B$3:$B$25,'Check result'!R124),SUMIFS('Master P&amp;L'!$AE$11:$AE$92,'Master P&amp;L'!$B$11:$B$92,'Check result'!R124)))</f>
        <v>0</v>
      </c>
      <c r="U124" s="198">
        <f t="shared" si="15"/>
        <v>0</v>
      </c>
      <c r="V124" s="197">
        <f t="shared" si="16"/>
        <v>24209</v>
      </c>
      <c r="W124">
        <f t="shared" si="17"/>
        <v>0.02</v>
      </c>
    </row>
    <row r="125" spans="1:23">
      <c r="A125" s="258">
        <v>45840</v>
      </c>
      <c r="B125" s="259" t="s">
        <v>210</v>
      </c>
      <c r="C125" s="259" t="s">
        <v>244</v>
      </c>
      <c r="D125" s="259" t="s">
        <v>35</v>
      </c>
      <c r="E125" s="260">
        <v>25173</v>
      </c>
      <c r="F125" s="259">
        <v>0.02</v>
      </c>
      <c r="G125" s="197">
        <f t="shared" si="6"/>
        <v>12586500000</v>
      </c>
      <c r="R125" t="str">
        <f t="shared" si="13"/>
        <v>V</v>
      </c>
      <c r="S125">
        <f t="shared" si="14"/>
        <v>25173</v>
      </c>
      <c r="T125" s="198">
        <f>IF(R125="","",IF(LEN(R125)&gt;9,SUMIFS(Options!$AZ$3:$AZ$25,Options!$B$3:$B$25,'Check result'!R125),SUMIFS('Master P&amp;L'!$AE$11:$AE$92,'Master P&amp;L'!$B$11:$B$92,'Check result'!R125)))</f>
        <v>0</v>
      </c>
      <c r="U125" s="198">
        <f t="shared" si="15"/>
        <v>0</v>
      </c>
      <c r="V125" s="197">
        <f t="shared" si="16"/>
        <v>25173</v>
      </c>
      <c r="W125">
        <f t="shared" si="17"/>
        <v>0.02</v>
      </c>
    </row>
    <row r="126" spans="1:23">
      <c r="A126" s="258">
        <v>45840</v>
      </c>
      <c r="B126" s="259" t="s">
        <v>210</v>
      </c>
      <c r="C126" s="259" t="s">
        <v>244</v>
      </c>
      <c r="D126" s="259" t="s">
        <v>421</v>
      </c>
      <c r="E126" s="260">
        <v>28939</v>
      </c>
      <c r="F126" s="259">
        <v>0.03</v>
      </c>
      <c r="G126" s="197">
        <f t="shared" si="6"/>
        <v>9646333333.333334</v>
      </c>
      <c r="R126" t="str">
        <f t="shared" si="13"/>
        <v>CPNG</v>
      </c>
      <c r="S126">
        <f t="shared" si="14"/>
        <v>28939</v>
      </c>
      <c r="T126" s="198">
        <f>IF(R126="","",IF(LEN(R126)&gt;9,SUMIFS(Options!$AZ$3:$AZ$25,Options!$B$3:$B$25,'Check result'!R126),SUMIFS('Master P&amp;L'!$AE$11:$AE$92,'Master P&amp;L'!$B$11:$B$92,'Check result'!R126)))</f>
        <v>0</v>
      </c>
      <c r="U126" s="198">
        <f t="shared" si="15"/>
        <v>0</v>
      </c>
      <c r="V126" s="197">
        <f t="shared" si="16"/>
        <v>28939</v>
      </c>
      <c r="W126">
        <f t="shared" si="17"/>
        <v>2.9999999999999995E-2</v>
      </c>
    </row>
    <row r="127" spans="1:23">
      <c r="A127" s="258">
        <v>45840</v>
      </c>
      <c r="B127" s="259" t="s">
        <v>210</v>
      </c>
      <c r="C127" s="259" t="s">
        <v>247</v>
      </c>
      <c r="D127" s="259" t="s">
        <v>373</v>
      </c>
      <c r="E127" s="260">
        <v>29919</v>
      </c>
      <c r="F127" s="259">
        <v>0.03</v>
      </c>
      <c r="G127" s="197">
        <f t="shared" si="6"/>
        <v>9973000000</v>
      </c>
      <c r="R127" t="str">
        <f t="shared" si="13"/>
        <v>GLD</v>
      </c>
      <c r="S127">
        <f t="shared" si="14"/>
        <v>29919</v>
      </c>
      <c r="T127" s="198">
        <f>IF(R127="","",IF(LEN(R127)&gt;9,SUMIFS(Options!$AZ$3:$AZ$25,Options!$B$3:$B$25,'Check result'!R127),SUMIFS('Master P&amp;L'!$AE$11:$AE$92,'Master P&amp;L'!$B$11:$B$92,'Check result'!R127)))</f>
        <v>0</v>
      </c>
      <c r="U127" s="198">
        <f t="shared" si="15"/>
        <v>0</v>
      </c>
      <c r="V127" s="197">
        <f t="shared" si="16"/>
        <v>29919</v>
      </c>
      <c r="W127">
        <f t="shared" si="17"/>
        <v>3.0000000000000002E-2</v>
      </c>
    </row>
    <row r="128" spans="1:23">
      <c r="A128" s="258">
        <v>45840</v>
      </c>
      <c r="B128" s="259" t="s">
        <v>210</v>
      </c>
      <c r="C128" s="259" t="s">
        <v>250</v>
      </c>
      <c r="D128" s="259" t="s">
        <v>441</v>
      </c>
      <c r="E128" s="260">
        <v>31799</v>
      </c>
      <c r="F128" s="259">
        <v>0.03</v>
      </c>
      <c r="G128" s="197">
        <f t="shared" si="6"/>
        <v>10599666666.666668</v>
      </c>
      <c r="R128" t="str">
        <f t="shared" si="13"/>
        <v>GLD US 07/18/25 C315</v>
      </c>
      <c r="S128">
        <f t="shared" si="14"/>
        <v>31799</v>
      </c>
      <c r="T128" s="198">
        <f>IF(R128="","",IF(LEN(R128)&gt;9,SUMIFS(Options!$AZ$3:$AZ$25,Options!$B$3:$B$25,'Check result'!R128),SUMIFS('Master P&amp;L'!$AE$11:$AE$92,'Master P&amp;L'!$B$11:$B$92,'Check result'!R128)))</f>
        <v>0</v>
      </c>
      <c r="U128" s="198">
        <f t="shared" si="15"/>
        <v>0</v>
      </c>
      <c r="V128" s="197">
        <f t="shared" si="16"/>
        <v>31799</v>
      </c>
      <c r="W128">
        <f t="shared" si="17"/>
        <v>2.9999999999999995E-2</v>
      </c>
    </row>
    <row r="129" spans="1:23">
      <c r="A129" s="258">
        <v>45840</v>
      </c>
      <c r="B129" s="259" t="s">
        <v>210</v>
      </c>
      <c r="C129" s="259" t="s">
        <v>250</v>
      </c>
      <c r="D129" s="259" t="s">
        <v>495</v>
      </c>
      <c r="E129" s="260">
        <v>32144</v>
      </c>
      <c r="F129" s="259">
        <v>0.03</v>
      </c>
      <c r="G129" s="197">
        <f t="shared" si="6"/>
        <v>10714666666.666668</v>
      </c>
      <c r="R129" t="str">
        <f t="shared" si="13"/>
        <v>QQQ US 07/18/25 P530</v>
      </c>
      <c r="S129">
        <f t="shared" si="14"/>
        <v>32144</v>
      </c>
      <c r="T129" s="198">
        <f>IF(R129="","",IF(LEN(R129)&gt;9,SUMIFS(Options!$AZ$3:$AZ$25,Options!$B$3:$B$25,'Check result'!R129),SUMIFS('Master P&amp;L'!$AE$11:$AE$92,'Master P&amp;L'!$B$11:$B$92,'Check result'!R129)))</f>
        <v>0</v>
      </c>
      <c r="U129" s="198">
        <f t="shared" si="15"/>
        <v>0</v>
      </c>
      <c r="V129" s="197">
        <f t="shared" si="16"/>
        <v>32144</v>
      </c>
      <c r="W129">
        <f t="shared" si="17"/>
        <v>2.9999999999999995E-2</v>
      </c>
    </row>
    <row r="130" spans="1:23">
      <c r="A130" s="258">
        <v>45840</v>
      </c>
      <c r="B130" s="259" t="s">
        <v>210</v>
      </c>
      <c r="C130" s="259" t="s">
        <v>250</v>
      </c>
      <c r="D130" s="259" t="s">
        <v>457</v>
      </c>
      <c r="E130" s="260">
        <v>32258</v>
      </c>
      <c r="F130" s="259">
        <v>0.03</v>
      </c>
      <c r="G130" s="197">
        <f t="shared" si="6"/>
        <v>10752666666.666668</v>
      </c>
      <c r="R130" t="str">
        <f t="shared" si="13"/>
        <v>QQQ US 07/18/25 P515</v>
      </c>
      <c r="S130">
        <f t="shared" si="14"/>
        <v>32258</v>
      </c>
      <c r="T130" s="198">
        <f>IF(R130="","",IF(LEN(R130)&gt;9,SUMIFS(Options!$AZ$3:$AZ$25,Options!$B$3:$B$25,'Check result'!R130),SUMIFS('Master P&amp;L'!$AE$11:$AE$92,'Master P&amp;L'!$B$11:$B$92,'Check result'!R130)))</f>
        <v>0</v>
      </c>
      <c r="U130" s="198">
        <f t="shared" si="15"/>
        <v>0</v>
      </c>
      <c r="V130" s="197">
        <f t="shared" si="16"/>
        <v>32258</v>
      </c>
      <c r="W130">
        <f t="shared" si="17"/>
        <v>2.9999999999999995E-2</v>
      </c>
    </row>
    <row r="131" spans="1:23">
      <c r="A131" s="258">
        <v>45840</v>
      </c>
      <c r="B131" s="259" t="s">
        <v>210</v>
      </c>
      <c r="C131" s="259" t="s">
        <v>244</v>
      </c>
      <c r="D131" s="259" t="s">
        <v>33</v>
      </c>
      <c r="E131" s="260">
        <v>32799</v>
      </c>
      <c r="F131" s="259">
        <v>0.03</v>
      </c>
      <c r="G131" s="197">
        <f t="shared" ref="G131:G165" si="18">+E131/F131*10000</f>
        <v>10933000000</v>
      </c>
      <c r="R131" t="str">
        <f t="shared" si="13"/>
        <v>BRK/B</v>
      </c>
      <c r="S131">
        <f t="shared" si="14"/>
        <v>32799</v>
      </c>
      <c r="T131" s="198">
        <f>IF(R131="","",IF(LEN(R131)&gt;9,SUMIFS(Options!$AZ$3:$AZ$25,Options!$B$3:$B$25,'Check result'!R131),SUMIFS('Master P&amp;L'!$AE$11:$AE$92,'Master P&amp;L'!$B$11:$B$92,'Check result'!R131)))</f>
        <v>0</v>
      </c>
      <c r="U131" s="198">
        <f t="shared" si="15"/>
        <v>0</v>
      </c>
      <c r="V131" s="197">
        <f t="shared" si="16"/>
        <v>32799</v>
      </c>
      <c r="W131">
        <f t="shared" si="17"/>
        <v>3.0000000000000002E-2</v>
      </c>
    </row>
    <row r="132" spans="1:23">
      <c r="A132" s="258">
        <v>45840</v>
      </c>
      <c r="B132" s="259" t="s">
        <v>210</v>
      </c>
      <c r="C132" s="259" t="s">
        <v>246</v>
      </c>
      <c r="D132" s="259" t="s">
        <v>378</v>
      </c>
      <c r="E132" s="260">
        <v>34180</v>
      </c>
      <c r="F132" s="259">
        <v>0.03</v>
      </c>
      <c r="G132" s="197">
        <f t="shared" si="18"/>
        <v>11393333333.333334</v>
      </c>
      <c r="R132" t="str">
        <f t="shared" si="13"/>
        <v>UBER US 07/18/25 C100</v>
      </c>
      <c r="S132">
        <f t="shared" si="14"/>
        <v>34180</v>
      </c>
      <c r="T132" s="198">
        <f>IF(R132="","",IF(LEN(R132)&gt;9,SUMIFS(Options!$AZ$3:$AZ$25,Options!$B$3:$B$25,'Check result'!R132),SUMIFS('Master P&amp;L'!$AE$11:$AE$92,'Master P&amp;L'!$B$11:$B$92,'Check result'!R132)))</f>
        <v>0</v>
      </c>
      <c r="U132" s="198">
        <f t="shared" si="15"/>
        <v>0</v>
      </c>
      <c r="V132" s="197">
        <f t="shared" si="16"/>
        <v>34180</v>
      </c>
      <c r="W132">
        <f t="shared" si="17"/>
        <v>2.9999999999999995E-2</v>
      </c>
    </row>
    <row r="133" spans="1:23">
      <c r="A133" s="258">
        <v>45840</v>
      </c>
      <c r="B133" s="259" t="s">
        <v>210</v>
      </c>
      <c r="C133" s="259" t="s">
        <v>246</v>
      </c>
      <c r="D133" s="259" t="s">
        <v>474</v>
      </c>
      <c r="E133" s="260">
        <v>36549</v>
      </c>
      <c r="F133" s="259">
        <v>0.03</v>
      </c>
      <c r="G133" s="197">
        <f t="shared" si="18"/>
        <v>12183000000</v>
      </c>
      <c r="R133" t="str">
        <f t="shared" si="13"/>
        <v>MU US 07/18/25 C130</v>
      </c>
      <c r="S133">
        <f t="shared" si="14"/>
        <v>36549</v>
      </c>
      <c r="T133" s="198">
        <f>IF(R133="","",IF(LEN(R133)&gt;9,SUMIFS(Options!$AZ$3:$AZ$25,Options!$B$3:$B$25,'Check result'!R133),SUMIFS('Master P&amp;L'!$AE$11:$AE$92,'Master P&amp;L'!$B$11:$B$92,'Check result'!R133)))</f>
        <v>0</v>
      </c>
      <c r="U133" s="198">
        <f t="shared" si="15"/>
        <v>0</v>
      </c>
      <c r="V133" s="197">
        <f t="shared" si="16"/>
        <v>36549</v>
      </c>
      <c r="W133">
        <f t="shared" si="17"/>
        <v>3.0000000000000002E-2</v>
      </c>
    </row>
    <row r="134" spans="1:23">
      <c r="A134" s="258">
        <v>45840</v>
      </c>
      <c r="B134" s="259" t="s">
        <v>210</v>
      </c>
      <c r="C134" s="259" t="s">
        <v>8</v>
      </c>
      <c r="D134" s="259" t="s">
        <v>366</v>
      </c>
      <c r="E134" s="260">
        <v>42081</v>
      </c>
      <c r="F134" s="259">
        <v>0.04</v>
      </c>
      <c r="G134" s="197">
        <f t="shared" si="18"/>
        <v>10520250000</v>
      </c>
      <c r="R134" t="str">
        <f t="shared" si="13"/>
        <v>TEVA</v>
      </c>
      <c r="S134">
        <f t="shared" si="14"/>
        <v>42081</v>
      </c>
      <c r="T134" s="198">
        <f>IF(R134="","",IF(LEN(R134)&gt;9,SUMIFS(Options!$AZ$3:$AZ$25,Options!$B$3:$B$25,'Check result'!R134),SUMIFS('Master P&amp;L'!$AE$11:$AE$92,'Master P&amp;L'!$B$11:$B$92,'Check result'!R134)))</f>
        <v>0</v>
      </c>
      <c r="U134" s="198">
        <f t="shared" si="15"/>
        <v>0</v>
      </c>
      <c r="V134" s="197">
        <f t="shared" si="16"/>
        <v>42081</v>
      </c>
      <c r="W134">
        <f t="shared" si="17"/>
        <v>0.04</v>
      </c>
    </row>
    <row r="135" spans="1:23">
      <c r="A135" s="258">
        <v>45840</v>
      </c>
      <c r="B135" s="259" t="s">
        <v>210</v>
      </c>
      <c r="C135" s="259" t="s">
        <v>250</v>
      </c>
      <c r="D135" s="259" t="s">
        <v>492</v>
      </c>
      <c r="E135" s="260">
        <v>42819</v>
      </c>
      <c r="F135" s="259">
        <v>0.04</v>
      </c>
      <c r="G135" s="197">
        <f t="shared" si="18"/>
        <v>10704750000</v>
      </c>
      <c r="R135" t="str">
        <f t="shared" si="13"/>
        <v>SOXX US 07/18/25 P220</v>
      </c>
      <c r="S135">
        <f t="shared" si="14"/>
        <v>42819</v>
      </c>
      <c r="T135" s="198">
        <f>IF(R135="","",IF(LEN(R135)&gt;9,SUMIFS(Options!$AZ$3:$AZ$25,Options!$B$3:$B$25,'Check result'!R135),SUMIFS('Master P&amp;L'!$AE$11:$AE$92,'Master P&amp;L'!$B$11:$B$92,'Check result'!R135)))</f>
        <v>0</v>
      </c>
      <c r="U135" s="198">
        <f t="shared" si="15"/>
        <v>0</v>
      </c>
      <c r="V135" s="197">
        <f t="shared" si="16"/>
        <v>42819</v>
      </c>
      <c r="W135">
        <f t="shared" si="17"/>
        <v>0.04</v>
      </c>
    </row>
    <row r="136" spans="1:23">
      <c r="A136" s="258">
        <v>45840</v>
      </c>
      <c r="B136" s="259" t="s">
        <v>210</v>
      </c>
      <c r="C136" s="259" t="s">
        <v>244</v>
      </c>
      <c r="D136" s="259" t="s">
        <v>431</v>
      </c>
      <c r="E136" s="260">
        <v>45078</v>
      </c>
      <c r="F136" s="259">
        <v>0.04</v>
      </c>
      <c r="G136" s="197">
        <f t="shared" si="18"/>
        <v>11269500000</v>
      </c>
      <c r="R136" t="str">
        <f t="shared" si="13"/>
        <v>WDAY</v>
      </c>
      <c r="S136">
        <f t="shared" si="14"/>
        <v>45078</v>
      </c>
      <c r="T136" s="198">
        <f>IF(R136="","",IF(LEN(R136)&gt;9,SUMIFS(Options!$AZ$3:$AZ$25,Options!$B$3:$B$25,'Check result'!R136),SUMIFS('Master P&amp;L'!$AE$11:$AE$92,'Master P&amp;L'!$B$11:$B$92,'Check result'!R136)))</f>
        <v>0</v>
      </c>
      <c r="U136" s="198">
        <f t="shared" si="15"/>
        <v>0</v>
      </c>
      <c r="V136" s="197">
        <f t="shared" si="16"/>
        <v>45078</v>
      </c>
      <c r="W136">
        <f t="shared" si="17"/>
        <v>0.04</v>
      </c>
    </row>
    <row r="137" spans="1:23">
      <c r="A137" s="258">
        <v>45840</v>
      </c>
      <c r="B137" s="259" t="s">
        <v>210</v>
      </c>
      <c r="C137" s="259" t="s">
        <v>246</v>
      </c>
      <c r="D137" s="259" t="s">
        <v>447</v>
      </c>
      <c r="E137" s="260">
        <v>46113</v>
      </c>
      <c r="F137" s="259">
        <v>0.04</v>
      </c>
      <c r="G137" s="197">
        <f t="shared" si="18"/>
        <v>11528250000</v>
      </c>
      <c r="R137" t="str">
        <f t="shared" si="13"/>
        <v>MA US 07/18/25 C580</v>
      </c>
      <c r="S137">
        <f t="shared" si="14"/>
        <v>46113</v>
      </c>
      <c r="T137" s="198">
        <f>IF(R137="","",IF(LEN(R137)&gt;9,SUMIFS(Options!$AZ$3:$AZ$25,Options!$B$3:$B$25,'Check result'!R137),SUMIFS('Master P&amp;L'!$AE$11:$AE$92,'Master P&amp;L'!$B$11:$B$92,'Check result'!R137)))</f>
        <v>0</v>
      </c>
      <c r="U137" s="198">
        <f t="shared" si="15"/>
        <v>0</v>
      </c>
      <c r="V137" s="197">
        <f t="shared" si="16"/>
        <v>46113</v>
      </c>
      <c r="W137">
        <f t="shared" si="17"/>
        <v>0.04</v>
      </c>
    </row>
    <row r="138" spans="1:23">
      <c r="A138" s="258">
        <v>45840</v>
      </c>
      <c r="B138" s="259" t="s">
        <v>210</v>
      </c>
      <c r="C138" s="259" t="s">
        <v>246</v>
      </c>
      <c r="D138" s="259" t="s">
        <v>477</v>
      </c>
      <c r="E138" s="260">
        <v>46520</v>
      </c>
      <c r="F138" s="259">
        <v>0.04</v>
      </c>
      <c r="G138" s="197">
        <f t="shared" si="18"/>
        <v>11630000000</v>
      </c>
      <c r="R138" t="str">
        <f t="shared" si="13"/>
        <v>KKR US 07/18/25 C130</v>
      </c>
      <c r="S138">
        <f t="shared" si="14"/>
        <v>46520</v>
      </c>
      <c r="T138" s="198">
        <f>IF(R138="","",IF(LEN(R138)&gt;9,SUMIFS(Options!$AZ$3:$AZ$25,Options!$B$3:$B$25,'Check result'!R138),SUMIFS('Master P&amp;L'!$AE$11:$AE$92,'Master P&amp;L'!$B$11:$B$92,'Check result'!R138)))</f>
        <v>0</v>
      </c>
      <c r="U138" s="198">
        <f t="shared" si="15"/>
        <v>0</v>
      </c>
      <c r="V138" s="197">
        <f t="shared" si="16"/>
        <v>46520</v>
      </c>
      <c r="W138">
        <f t="shared" si="17"/>
        <v>0.04</v>
      </c>
    </row>
    <row r="139" spans="1:23">
      <c r="A139" s="258">
        <v>45840</v>
      </c>
      <c r="B139" s="259" t="s">
        <v>210</v>
      </c>
      <c r="C139" s="259" t="s">
        <v>250</v>
      </c>
      <c r="D139" s="259" t="s">
        <v>487</v>
      </c>
      <c r="E139" s="260">
        <v>51858</v>
      </c>
      <c r="F139" s="259">
        <v>0.05</v>
      </c>
      <c r="G139" s="197">
        <f t="shared" si="18"/>
        <v>10371600000</v>
      </c>
      <c r="R139" t="str">
        <f t="shared" si="13"/>
        <v>XLF US 07/11/25 P51</v>
      </c>
      <c r="S139">
        <f t="shared" si="14"/>
        <v>51858</v>
      </c>
      <c r="T139" s="198">
        <f>IF(R139="","",IF(LEN(R139)&gt;9,SUMIFS(Options!$AZ$3:$AZ$25,Options!$B$3:$B$25,'Check result'!R139),SUMIFS('Master P&amp;L'!$AE$11:$AE$92,'Master P&amp;L'!$B$11:$B$92,'Check result'!R139)))</f>
        <v>0</v>
      </c>
      <c r="U139" s="198">
        <f t="shared" si="15"/>
        <v>0</v>
      </c>
      <c r="V139" s="197">
        <f t="shared" si="16"/>
        <v>51858</v>
      </c>
      <c r="W139">
        <f t="shared" si="17"/>
        <v>0.05</v>
      </c>
    </row>
    <row r="140" spans="1:23">
      <c r="A140" s="258">
        <v>45840</v>
      </c>
      <c r="B140" s="259" t="s">
        <v>210</v>
      </c>
      <c r="C140" s="259" t="s">
        <v>246</v>
      </c>
      <c r="D140" s="259" t="s">
        <v>463</v>
      </c>
      <c r="E140" s="260">
        <v>51982</v>
      </c>
      <c r="F140" s="259">
        <v>0.05</v>
      </c>
      <c r="G140" s="197">
        <f t="shared" si="18"/>
        <v>10396400000</v>
      </c>
      <c r="R140" t="str">
        <f t="shared" si="13"/>
        <v>V US 07/11/25 C350</v>
      </c>
      <c r="S140">
        <f t="shared" si="14"/>
        <v>51982</v>
      </c>
      <c r="T140" s="198">
        <f>IF(R140="","",IF(LEN(R140)&gt;9,SUMIFS(Options!$AZ$3:$AZ$25,Options!$B$3:$B$25,'Check result'!R140),SUMIFS('Master P&amp;L'!$AE$11:$AE$92,'Master P&amp;L'!$B$11:$B$92,'Check result'!R140)))</f>
        <v>0</v>
      </c>
      <c r="U140" s="198">
        <f t="shared" si="15"/>
        <v>0</v>
      </c>
      <c r="V140" s="197">
        <f t="shared" si="16"/>
        <v>51982</v>
      </c>
      <c r="W140">
        <f t="shared" si="17"/>
        <v>0.05</v>
      </c>
    </row>
    <row r="141" spans="1:23">
      <c r="A141" s="258">
        <v>45840</v>
      </c>
      <c r="B141" s="259" t="s">
        <v>210</v>
      </c>
      <c r="C141" s="259" t="s">
        <v>250</v>
      </c>
      <c r="D141" s="259" t="s">
        <v>415</v>
      </c>
      <c r="E141" s="260">
        <v>54165</v>
      </c>
      <c r="F141" s="259">
        <v>0.05</v>
      </c>
      <c r="G141" s="197">
        <f t="shared" si="18"/>
        <v>10833000000</v>
      </c>
      <c r="R141" t="str">
        <f t="shared" si="13"/>
        <v>SPY US 07/18/25 P580</v>
      </c>
      <c r="S141">
        <f t="shared" si="14"/>
        <v>54165</v>
      </c>
      <c r="T141" s="198">
        <f>IF(R141="","",IF(LEN(R141)&gt;9,SUMIFS(Options!$AZ$3:$AZ$25,Options!$B$3:$B$25,'Check result'!R141),SUMIFS('Master P&amp;L'!$AE$11:$AE$92,'Master P&amp;L'!$B$11:$B$92,'Check result'!R141)))</f>
        <v>0</v>
      </c>
      <c r="U141" s="198">
        <f t="shared" si="15"/>
        <v>0</v>
      </c>
      <c r="V141" s="197">
        <f t="shared" si="16"/>
        <v>54165</v>
      </c>
      <c r="W141">
        <f t="shared" si="17"/>
        <v>0.05</v>
      </c>
    </row>
    <row r="142" spans="1:23">
      <c r="A142" s="258">
        <v>45840</v>
      </c>
      <c r="B142" s="259" t="s">
        <v>210</v>
      </c>
      <c r="C142" s="259" t="s">
        <v>244</v>
      </c>
      <c r="D142" s="259" t="s">
        <v>343</v>
      </c>
      <c r="E142" s="260">
        <v>55012</v>
      </c>
      <c r="F142" s="259">
        <v>0.05</v>
      </c>
      <c r="G142" s="197">
        <f t="shared" si="18"/>
        <v>11002400000</v>
      </c>
      <c r="R142" t="str">
        <f t="shared" si="13"/>
        <v>MU</v>
      </c>
      <c r="S142">
        <f t="shared" si="14"/>
        <v>55012</v>
      </c>
      <c r="T142" s="198">
        <f>IF(R142="","",IF(LEN(R142)&gt;9,SUMIFS(Options!$AZ$3:$AZ$25,Options!$B$3:$B$25,'Check result'!R142),SUMIFS('Master P&amp;L'!$AE$11:$AE$92,'Master P&amp;L'!$B$11:$B$92,'Check result'!R142)))</f>
        <v>0</v>
      </c>
      <c r="U142" s="198">
        <f t="shared" si="15"/>
        <v>0</v>
      </c>
      <c r="V142" s="197">
        <f t="shared" si="16"/>
        <v>55012</v>
      </c>
      <c r="W142">
        <f t="shared" si="17"/>
        <v>0.05</v>
      </c>
    </row>
    <row r="143" spans="1:23">
      <c r="A143" s="258">
        <v>45840</v>
      </c>
      <c r="B143" s="259" t="s">
        <v>210</v>
      </c>
      <c r="C143" s="259" t="s">
        <v>250</v>
      </c>
      <c r="D143" s="259" t="s">
        <v>185</v>
      </c>
      <c r="E143" s="260">
        <v>56117</v>
      </c>
      <c r="F143" s="259">
        <v>0.05</v>
      </c>
      <c r="G143" s="197">
        <f t="shared" si="18"/>
        <v>11223400000</v>
      </c>
      <c r="R143" t="str">
        <f t="shared" si="13"/>
        <v>GDX US 07/18/25 C50</v>
      </c>
      <c r="S143">
        <f t="shared" si="14"/>
        <v>56117</v>
      </c>
      <c r="T143" s="198">
        <f>IF(R143="","",IF(LEN(R143)&gt;9,SUMIFS(Options!$AZ$3:$AZ$25,Options!$B$3:$B$25,'Check result'!R143),SUMIFS('Master P&amp;L'!$AE$11:$AE$92,'Master P&amp;L'!$B$11:$B$92,'Check result'!R143)))</f>
        <v>0</v>
      </c>
      <c r="U143" s="198">
        <f t="shared" si="15"/>
        <v>0</v>
      </c>
      <c r="V143" s="197">
        <f t="shared" si="16"/>
        <v>56117</v>
      </c>
      <c r="W143">
        <f t="shared" si="17"/>
        <v>0.05</v>
      </c>
    </row>
    <row r="144" spans="1:23">
      <c r="A144" s="258">
        <v>45840</v>
      </c>
      <c r="B144" s="259" t="s">
        <v>210</v>
      </c>
      <c r="C144" s="259" t="s">
        <v>244</v>
      </c>
      <c r="D144" s="259" t="s">
        <v>452</v>
      </c>
      <c r="E144" s="260">
        <v>60666</v>
      </c>
      <c r="F144" s="259">
        <v>0.05</v>
      </c>
      <c r="G144" s="197">
        <f t="shared" si="18"/>
        <v>12133200000</v>
      </c>
      <c r="R144" t="str">
        <f t="shared" si="13"/>
        <v>ADBE</v>
      </c>
      <c r="S144">
        <f t="shared" si="14"/>
        <v>60666</v>
      </c>
      <c r="T144" s="198">
        <f>IF(R144="","",IF(LEN(R144)&gt;9,SUMIFS(Options!$AZ$3:$AZ$25,Options!$B$3:$B$25,'Check result'!R144),SUMIFS('Master P&amp;L'!$AE$11:$AE$92,'Master P&amp;L'!$B$11:$B$92,'Check result'!R144)))</f>
        <v>0</v>
      </c>
      <c r="U144" s="198">
        <f t="shared" si="15"/>
        <v>0</v>
      </c>
      <c r="V144" s="197">
        <f t="shared" si="16"/>
        <v>60666</v>
      </c>
      <c r="W144">
        <f t="shared" si="17"/>
        <v>0.05</v>
      </c>
    </row>
    <row r="145" spans="1:23">
      <c r="A145" s="258">
        <v>45840</v>
      </c>
      <c r="B145" s="259" t="s">
        <v>210</v>
      </c>
      <c r="C145" s="259" t="s">
        <v>246</v>
      </c>
      <c r="D145" s="259" t="s">
        <v>399</v>
      </c>
      <c r="E145" s="260">
        <v>65269</v>
      </c>
      <c r="F145" s="259">
        <v>0.06</v>
      </c>
      <c r="G145" s="197">
        <f t="shared" si="18"/>
        <v>10878166666.666668</v>
      </c>
      <c r="R145" t="str">
        <f t="shared" si="13"/>
        <v>NVDA US 07/18/25 P130</v>
      </c>
      <c r="S145">
        <f t="shared" si="14"/>
        <v>65269</v>
      </c>
      <c r="T145" s="198">
        <f>IF(R145="","",IF(LEN(R145)&gt;9,SUMIFS(Options!$AZ$3:$AZ$25,Options!$B$3:$B$25,'Check result'!R145),SUMIFS('Master P&amp;L'!$AE$11:$AE$92,'Master P&amp;L'!$B$11:$B$92,'Check result'!R145)))</f>
        <v>0</v>
      </c>
      <c r="U145" s="198">
        <f t="shared" si="15"/>
        <v>0</v>
      </c>
      <c r="V145" s="197">
        <f t="shared" si="16"/>
        <v>65269</v>
      </c>
      <c r="W145">
        <f t="shared" si="17"/>
        <v>5.9999999999999991E-2</v>
      </c>
    </row>
    <row r="146" spans="1:23">
      <c r="A146" s="258">
        <v>45840</v>
      </c>
      <c r="B146" s="259" t="s">
        <v>210</v>
      </c>
      <c r="C146" s="259" t="s">
        <v>244</v>
      </c>
      <c r="D146" s="259" t="s">
        <v>81</v>
      </c>
      <c r="E146" s="260">
        <v>77763</v>
      </c>
      <c r="F146" s="259">
        <v>7.0000000000000007E-2</v>
      </c>
      <c r="G146" s="197">
        <f t="shared" si="18"/>
        <v>11109000000</v>
      </c>
      <c r="R146" t="str">
        <f t="shared" si="13"/>
        <v>CRM</v>
      </c>
      <c r="S146">
        <f t="shared" si="14"/>
        <v>77763</v>
      </c>
      <c r="T146" s="198">
        <f>IF(R146="","",IF(LEN(R146)&gt;9,SUMIFS(Options!$AZ$3:$AZ$25,Options!$B$3:$B$25,'Check result'!R146),SUMIFS('Master P&amp;L'!$AE$11:$AE$92,'Master P&amp;L'!$B$11:$B$92,'Check result'!R146)))</f>
        <v>0</v>
      </c>
      <c r="U146" s="198">
        <f t="shared" si="15"/>
        <v>0</v>
      </c>
      <c r="V146" s="197">
        <f t="shared" si="16"/>
        <v>77763</v>
      </c>
      <c r="W146">
        <f t="shared" si="17"/>
        <v>6.9999999999999993E-2</v>
      </c>
    </row>
    <row r="147" spans="1:23">
      <c r="A147" s="258">
        <v>45840</v>
      </c>
      <c r="B147" s="259" t="s">
        <v>210</v>
      </c>
      <c r="C147" s="259" t="s">
        <v>250</v>
      </c>
      <c r="D147" s="259" t="s">
        <v>506</v>
      </c>
      <c r="E147" s="260">
        <v>79295</v>
      </c>
      <c r="F147" s="259">
        <v>7.0000000000000007E-2</v>
      </c>
      <c r="G147" s="197">
        <f t="shared" si="18"/>
        <v>11327857142.857141</v>
      </c>
      <c r="R147" t="str">
        <f t="shared" si="13"/>
        <v>EWY US 07/18/25 C72</v>
      </c>
      <c r="S147">
        <f t="shared" si="14"/>
        <v>79295</v>
      </c>
      <c r="T147" s="198">
        <f>IF(R147="","",IF(LEN(R147)&gt;9,SUMIFS(Options!$AZ$3:$AZ$25,Options!$B$3:$B$25,'Check result'!R147),SUMIFS('Master P&amp;L'!$AE$11:$AE$92,'Master P&amp;L'!$B$11:$B$92,'Check result'!R147)))</f>
        <v>0</v>
      </c>
      <c r="U147" s="198">
        <f t="shared" si="15"/>
        <v>0</v>
      </c>
      <c r="V147" s="197">
        <f t="shared" si="16"/>
        <v>79295</v>
      </c>
      <c r="W147">
        <f t="shared" si="17"/>
        <v>7.0000000000000007E-2</v>
      </c>
    </row>
    <row r="148" spans="1:23">
      <c r="A148" s="258">
        <v>45840</v>
      </c>
      <c r="B148" s="259" t="s">
        <v>210</v>
      </c>
      <c r="C148" s="259" t="s">
        <v>246</v>
      </c>
      <c r="D148" s="259" t="s">
        <v>397</v>
      </c>
      <c r="E148" s="260">
        <v>88851</v>
      </c>
      <c r="F148" s="259">
        <v>0.08</v>
      </c>
      <c r="G148" s="197">
        <f t="shared" si="18"/>
        <v>11106375000</v>
      </c>
      <c r="R148" t="str">
        <f t="shared" si="13"/>
        <v>META US 07/18/25 C750</v>
      </c>
      <c r="S148">
        <f t="shared" si="14"/>
        <v>88851</v>
      </c>
      <c r="T148" s="198">
        <f>IF(R148="","",IF(LEN(R148)&gt;9,SUMIFS(Options!$AZ$3:$AZ$25,Options!$B$3:$B$25,'Check result'!R148),SUMIFS('Master P&amp;L'!$AE$11:$AE$92,'Master P&amp;L'!$B$11:$B$92,'Check result'!R148)))</f>
        <v>0</v>
      </c>
      <c r="U148" s="198">
        <f t="shared" si="15"/>
        <v>0</v>
      </c>
      <c r="V148" s="197">
        <f t="shared" si="16"/>
        <v>88851</v>
      </c>
      <c r="W148">
        <f t="shared" si="17"/>
        <v>0.08</v>
      </c>
    </row>
    <row r="149" spans="1:23">
      <c r="A149" s="258">
        <v>45840</v>
      </c>
      <c r="B149" s="259" t="s">
        <v>210</v>
      </c>
      <c r="C149" s="259" t="s">
        <v>244</v>
      </c>
      <c r="D149" s="259" t="s">
        <v>79</v>
      </c>
      <c r="E149" s="260">
        <v>88980</v>
      </c>
      <c r="F149" s="259">
        <v>0.08</v>
      </c>
      <c r="G149" s="197">
        <f t="shared" si="18"/>
        <v>11122500000</v>
      </c>
      <c r="R149" t="str">
        <f t="shared" si="13"/>
        <v>NEM</v>
      </c>
      <c r="S149">
        <f t="shared" si="14"/>
        <v>88980</v>
      </c>
      <c r="T149" s="198">
        <f>IF(R149="","",IF(LEN(R149)&gt;9,SUMIFS(Options!$AZ$3:$AZ$25,Options!$B$3:$B$25,'Check result'!R149),SUMIFS('Master P&amp;L'!$AE$11:$AE$92,'Master P&amp;L'!$B$11:$B$92,'Check result'!R149)))</f>
        <v>0</v>
      </c>
      <c r="U149" s="198">
        <f t="shared" si="15"/>
        <v>0</v>
      </c>
      <c r="V149" s="197">
        <f t="shared" si="16"/>
        <v>88980</v>
      </c>
      <c r="W149">
        <f t="shared" si="17"/>
        <v>0.08</v>
      </c>
    </row>
    <row r="150" spans="1:23">
      <c r="A150" s="258">
        <v>45840</v>
      </c>
      <c r="B150" s="259" t="s">
        <v>210</v>
      </c>
      <c r="C150" s="259" t="s">
        <v>244</v>
      </c>
      <c r="D150" s="259" t="s">
        <v>80</v>
      </c>
      <c r="E150" s="260">
        <v>102710</v>
      </c>
      <c r="F150" s="259">
        <v>0.09</v>
      </c>
      <c r="G150" s="197">
        <f t="shared" si="18"/>
        <v>11412222222.222223</v>
      </c>
      <c r="R150" t="str">
        <f t="shared" si="13"/>
        <v>EXPE</v>
      </c>
      <c r="S150">
        <f t="shared" si="14"/>
        <v>102710</v>
      </c>
      <c r="T150" s="198">
        <f>IF(R150="","",IF(LEN(R150)&gt;9,SUMIFS(Options!$AZ$3:$AZ$25,Options!$B$3:$B$25,'Check result'!R150),SUMIFS('Master P&amp;L'!$AE$11:$AE$92,'Master P&amp;L'!$B$11:$B$92,'Check result'!R150)))</f>
        <v>0</v>
      </c>
      <c r="U150" s="198">
        <f t="shared" si="15"/>
        <v>0</v>
      </c>
      <c r="V150" s="197">
        <f t="shared" si="16"/>
        <v>102710</v>
      </c>
      <c r="W150">
        <f t="shared" si="17"/>
        <v>8.9999999999999983E-2</v>
      </c>
    </row>
    <row r="151" spans="1:23">
      <c r="A151" s="258">
        <v>45840</v>
      </c>
      <c r="B151" s="259" t="s">
        <v>210</v>
      </c>
      <c r="C151" s="259" t="s">
        <v>253</v>
      </c>
      <c r="D151" s="259" t="s">
        <v>367</v>
      </c>
      <c r="E151" s="260">
        <v>118528</v>
      </c>
      <c r="F151" s="259">
        <v>0.1</v>
      </c>
      <c r="G151" s="197">
        <f t="shared" si="18"/>
        <v>11852800000</v>
      </c>
      <c r="R151" t="str">
        <f t="shared" si="13"/>
        <v>TEVA US 07/18/25 C17</v>
      </c>
      <c r="S151">
        <f t="shared" si="14"/>
        <v>118528</v>
      </c>
      <c r="T151" s="198">
        <f>IF(R151="","",IF(LEN(R151)&gt;9,SUMIFS(Options!$AZ$3:$AZ$25,Options!$B$3:$B$25,'Check result'!R151),SUMIFS('Master P&amp;L'!$AE$11:$AE$92,'Master P&amp;L'!$B$11:$B$92,'Check result'!R151)))</f>
        <v>0</v>
      </c>
      <c r="U151" s="198">
        <f t="shared" si="15"/>
        <v>0</v>
      </c>
      <c r="V151" s="197">
        <f t="shared" si="16"/>
        <v>118528</v>
      </c>
      <c r="W151">
        <f t="shared" si="17"/>
        <v>0.1</v>
      </c>
    </row>
    <row r="152" spans="1:23">
      <c r="A152" s="258">
        <v>45840</v>
      </c>
      <c r="B152" s="259" t="s">
        <v>210</v>
      </c>
      <c r="C152" s="259" t="s">
        <v>250</v>
      </c>
      <c r="D152" s="259" t="s">
        <v>392</v>
      </c>
      <c r="E152" s="260">
        <v>120502</v>
      </c>
      <c r="F152" s="259">
        <v>0.11</v>
      </c>
      <c r="G152" s="197">
        <f t="shared" si="18"/>
        <v>10954727272.727272</v>
      </c>
      <c r="R152" t="str">
        <f t="shared" si="13"/>
        <v>GLD US 09/19/25 C315</v>
      </c>
      <c r="S152">
        <f t="shared" si="14"/>
        <v>120502</v>
      </c>
      <c r="T152" s="198">
        <f>IF(R152="","",IF(LEN(R152)&gt;9,SUMIFS(Options!$AZ$3:$AZ$25,Options!$B$3:$B$25,'Check result'!R152),SUMIFS('Master P&amp;L'!$AE$11:$AE$92,'Master P&amp;L'!$B$11:$B$92,'Check result'!R152)))</f>
        <v>0</v>
      </c>
      <c r="U152" s="198">
        <f t="shared" si="15"/>
        <v>0</v>
      </c>
      <c r="V152" s="197">
        <f t="shared" si="16"/>
        <v>120502</v>
      </c>
      <c r="W152">
        <f t="shared" si="17"/>
        <v>0.11000000000000001</v>
      </c>
    </row>
    <row r="153" spans="1:23">
      <c r="A153" s="258">
        <v>45840</v>
      </c>
      <c r="B153" s="259" t="s">
        <v>210</v>
      </c>
      <c r="C153" s="259" t="s">
        <v>246</v>
      </c>
      <c r="D153" s="259" t="s">
        <v>401</v>
      </c>
      <c r="E153" s="260">
        <v>123904</v>
      </c>
      <c r="F153" s="259">
        <v>0.11</v>
      </c>
      <c r="G153" s="197">
        <f t="shared" si="18"/>
        <v>11264000000</v>
      </c>
      <c r="R153" t="str">
        <f t="shared" si="13"/>
        <v>MSFT US 07/18/25 C495</v>
      </c>
      <c r="S153">
        <f t="shared" si="14"/>
        <v>123904</v>
      </c>
      <c r="T153" s="198">
        <f>IF(R153="","",IF(LEN(R153)&gt;9,SUMIFS(Options!$AZ$3:$AZ$25,Options!$B$3:$B$25,'Check result'!R153),SUMIFS('Master P&amp;L'!$AE$11:$AE$92,'Master P&amp;L'!$B$11:$B$92,'Check result'!R153)))</f>
        <v>0</v>
      </c>
      <c r="U153" s="198">
        <f t="shared" si="15"/>
        <v>0</v>
      </c>
      <c r="V153" s="197">
        <f t="shared" si="16"/>
        <v>123904</v>
      </c>
      <c r="W153">
        <f t="shared" si="17"/>
        <v>0.11</v>
      </c>
    </row>
    <row r="154" spans="1:23">
      <c r="A154" s="258">
        <v>45840</v>
      </c>
      <c r="B154" s="259" t="s">
        <v>210</v>
      </c>
      <c r="C154" s="259" t="s">
        <v>244</v>
      </c>
      <c r="D154" s="259" t="s">
        <v>41</v>
      </c>
      <c r="E154" s="260">
        <v>177084</v>
      </c>
      <c r="F154" s="259">
        <v>0.16</v>
      </c>
      <c r="G154" s="197">
        <f t="shared" si="18"/>
        <v>11067750000</v>
      </c>
      <c r="R154" t="str">
        <f t="shared" si="13"/>
        <v>MP</v>
      </c>
      <c r="S154">
        <f t="shared" si="14"/>
        <v>177084</v>
      </c>
      <c r="T154" s="198">
        <f>IF(R154="","",IF(LEN(R154)&gt;9,SUMIFS(Options!$AZ$3:$AZ$25,Options!$B$3:$B$25,'Check result'!R154),SUMIFS('Master P&amp;L'!$AE$11:$AE$92,'Master P&amp;L'!$B$11:$B$92,'Check result'!R154)))</f>
        <v>0</v>
      </c>
      <c r="U154" s="198">
        <f t="shared" si="15"/>
        <v>0</v>
      </c>
      <c r="V154" s="197">
        <f t="shared" si="16"/>
        <v>177084</v>
      </c>
      <c r="W154">
        <f t="shared" si="17"/>
        <v>0.16</v>
      </c>
    </row>
    <row r="155" spans="1:23">
      <c r="A155" s="258">
        <v>45840</v>
      </c>
      <c r="B155" s="259" t="s">
        <v>210</v>
      </c>
      <c r="C155" s="259" t="s">
        <v>244</v>
      </c>
      <c r="D155" s="259" t="s">
        <v>361</v>
      </c>
      <c r="E155" s="260">
        <v>199551</v>
      </c>
      <c r="F155" s="259">
        <v>0.18</v>
      </c>
      <c r="G155" s="197">
        <f t="shared" si="18"/>
        <v>11086166666.666668</v>
      </c>
      <c r="R155" t="str">
        <f t="shared" si="13"/>
        <v>COF</v>
      </c>
      <c r="S155">
        <f t="shared" si="14"/>
        <v>199551</v>
      </c>
      <c r="T155" s="198">
        <f>IF(R155="","",IF(LEN(R155)&gt;9,SUMIFS(Options!$AZ$3:$AZ$25,Options!$B$3:$B$25,'Check result'!R155),SUMIFS('Master P&amp;L'!$AE$11:$AE$92,'Master P&amp;L'!$B$11:$B$92,'Check result'!R155)))</f>
        <v>0</v>
      </c>
      <c r="U155" s="198">
        <f t="shared" si="15"/>
        <v>0</v>
      </c>
      <c r="V155" s="197">
        <f t="shared" si="16"/>
        <v>199551</v>
      </c>
      <c r="W155">
        <f t="shared" si="17"/>
        <v>0.17999999999999997</v>
      </c>
    </row>
    <row r="156" spans="1:23">
      <c r="A156" s="258">
        <v>45840</v>
      </c>
      <c r="B156" s="259" t="s">
        <v>210</v>
      </c>
      <c r="C156" s="259" t="s">
        <v>246</v>
      </c>
      <c r="D156" s="259" t="s">
        <v>509</v>
      </c>
      <c r="E156" s="260">
        <v>214992</v>
      </c>
      <c r="F156" s="259">
        <v>0.19</v>
      </c>
      <c r="G156" s="197">
        <f t="shared" si="18"/>
        <v>11315368421.052631</v>
      </c>
      <c r="R156" t="str">
        <f t="shared" si="13"/>
        <v>MU US 08/15/25 C125</v>
      </c>
      <c r="S156">
        <f>VLOOKUP(R156,$D$2:$F$165,2,FALSE)</f>
        <v>214992</v>
      </c>
      <c r="T156" s="198">
        <f>IF(R156="","",IF(LEN(R156)&gt;9,SUMIFS(Options!$AZ$3:$AZ$25,Options!$B$3:$B$25,'Check result'!R156),SUMIFS('Master P&amp;L'!$AE$11:$AE$92,'Master P&amp;L'!$B$11:$B$92,'Check result'!R156)))</f>
        <v>0</v>
      </c>
      <c r="U156" s="198">
        <f t="shared" si="15"/>
        <v>0</v>
      </c>
      <c r="V156" s="197">
        <f t="shared" si="16"/>
        <v>214992</v>
      </c>
      <c r="W156">
        <f t="shared" si="17"/>
        <v>0.19</v>
      </c>
    </row>
    <row r="157" spans="1:23">
      <c r="A157" s="258">
        <v>45840</v>
      </c>
      <c r="B157" s="259" t="s">
        <v>210</v>
      </c>
      <c r="C157" s="259" t="s">
        <v>246</v>
      </c>
      <c r="D157" s="259" t="s">
        <v>502</v>
      </c>
      <c r="E157" s="260">
        <v>265673</v>
      </c>
      <c r="F157" s="259">
        <v>0.23</v>
      </c>
      <c r="G157" s="197">
        <f t="shared" si="18"/>
        <v>11551000000</v>
      </c>
      <c r="R157" t="str">
        <f t="shared" si="13"/>
        <v>COIN US 07/18/25 C360</v>
      </c>
      <c r="S157">
        <f t="shared" ref="S157:S165" si="19">VLOOKUP(R157,$D$2:$F$165,2,FALSE)</f>
        <v>265673</v>
      </c>
      <c r="T157" s="198">
        <f>IF(R157="","",IF(LEN(R157)&gt;9,SUMIFS(Options!$AZ$3:$AZ$25,Options!$B$3:$B$25,'Check result'!R157),SUMIFS('Master P&amp;L'!$AE$11:$AE$92,'Master P&amp;L'!$B$11:$B$92,'Check result'!R157)))</f>
        <v>0</v>
      </c>
      <c r="U157" s="198">
        <f t="shared" si="15"/>
        <v>0</v>
      </c>
      <c r="V157" s="197">
        <f t="shared" si="16"/>
        <v>265673</v>
      </c>
      <c r="W157">
        <f t="shared" si="17"/>
        <v>0.23</v>
      </c>
    </row>
    <row r="158" spans="1:23">
      <c r="A158" s="258">
        <v>45840</v>
      </c>
      <c r="B158" s="259" t="s">
        <v>210</v>
      </c>
      <c r="C158" s="259" t="s">
        <v>253</v>
      </c>
      <c r="D158" s="259" t="s">
        <v>382</v>
      </c>
      <c r="E158" s="260">
        <v>272398</v>
      </c>
      <c r="F158" s="259">
        <v>0.24</v>
      </c>
      <c r="G158" s="197">
        <f t="shared" si="18"/>
        <v>11349916666.666668</v>
      </c>
      <c r="R158" t="str">
        <f t="shared" si="13"/>
        <v>TEVA US 07/18/25 C18</v>
      </c>
      <c r="S158">
        <f t="shared" si="19"/>
        <v>272398</v>
      </c>
      <c r="T158" s="198">
        <f>IF(R158="","",IF(LEN(R158)&gt;9,SUMIFS(Options!$AZ$3:$AZ$25,Options!$B$3:$B$25,'Check result'!R158),SUMIFS('Master P&amp;L'!$AE$11:$AE$92,'Master P&amp;L'!$B$11:$B$92,'Check result'!R158)))</f>
        <v>0</v>
      </c>
      <c r="U158" s="198">
        <f t="shared" si="15"/>
        <v>0</v>
      </c>
      <c r="V158" s="197">
        <f t="shared" si="16"/>
        <v>272398</v>
      </c>
      <c r="W158">
        <f t="shared" si="17"/>
        <v>0.23999999999999996</v>
      </c>
    </row>
    <row r="159" spans="1:23">
      <c r="A159" s="258">
        <v>45840</v>
      </c>
      <c r="B159" s="259" t="s">
        <v>210</v>
      </c>
      <c r="C159" s="259" t="s">
        <v>8</v>
      </c>
      <c r="D159" s="259" t="s">
        <v>358</v>
      </c>
      <c r="E159" s="260">
        <v>346269</v>
      </c>
      <c r="F159" s="259">
        <v>0.31</v>
      </c>
      <c r="G159" s="197">
        <f t="shared" si="18"/>
        <v>11169967741.935484</v>
      </c>
      <c r="R159" t="str">
        <f t="shared" si="13"/>
        <v>BP</v>
      </c>
      <c r="S159">
        <f t="shared" si="19"/>
        <v>346269</v>
      </c>
      <c r="T159" s="198">
        <f>IF(R159="","",IF(LEN(R159)&gt;9,SUMIFS(Options!$AZ$3:$AZ$25,Options!$B$3:$B$25,'Check result'!R159),SUMIFS('Master P&amp;L'!$AE$11:$AE$92,'Master P&amp;L'!$B$11:$B$92,'Check result'!R159)))</f>
        <v>0</v>
      </c>
      <c r="U159" s="198">
        <f t="shared" si="15"/>
        <v>0</v>
      </c>
      <c r="V159" s="197">
        <f t="shared" si="16"/>
        <v>346269</v>
      </c>
      <c r="W159">
        <f t="shared" si="17"/>
        <v>0.31</v>
      </c>
    </row>
    <row r="160" spans="1:23">
      <c r="A160" s="258">
        <v>45840</v>
      </c>
      <c r="B160" s="259" t="s">
        <v>210</v>
      </c>
      <c r="C160" s="259" t="s">
        <v>250</v>
      </c>
      <c r="D160" s="259" t="s">
        <v>386</v>
      </c>
      <c r="E160" s="260">
        <v>386622</v>
      </c>
      <c r="F160" s="259">
        <v>0.34</v>
      </c>
      <c r="G160" s="197">
        <f t="shared" si="18"/>
        <v>11371235294.117645</v>
      </c>
      <c r="R160" t="str">
        <f t="shared" si="13"/>
        <v>GDX US 09/19/25 C54</v>
      </c>
      <c r="S160">
        <f t="shared" si="19"/>
        <v>386622</v>
      </c>
      <c r="T160" s="198">
        <f>IF(R160="","",IF(LEN(R160)&gt;9,SUMIFS(Options!$AZ$3:$AZ$25,Options!$B$3:$B$25,'Check result'!R160),SUMIFS('Master P&amp;L'!$AE$11:$AE$92,'Master P&amp;L'!$B$11:$B$92,'Check result'!R160)))</f>
        <v>0</v>
      </c>
      <c r="U160" s="198">
        <f t="shared" si="15"/>
        <v>0</v>
      </c>
      <c r="V160" s="197">
        <f t="shared" si="16"/>
        <v>386622</v>
      </c>
      <c r="W160">
        <f t="shared" si="17"/>
        <v>0.34000000000000008</v>
      </c>
    </row>
    <row r="161" spans="1:23">
      <c r="A161" s="258">
        <v>45840</v>
      </c>
      <c r="B161" s="259" t="s">
        <v>210</v>
      </c>
      <c r="C161" s="259" t="s">
        <v>247</v>
      </c>
      <c r="D161" s="259" t="s">
        <v>6</v>
      </c>
      <c r="E161" s="260">
        <v>876541</v>
      </c>
      <c r="F161" s="259">
        <v>0.78</v>
      </c>
      <c r="G161" s="197">
        <f t="shared" si="18"/>
        <v>11237705128.205128</v>
      </c>
      <c r="R161" t="str">
        <f t="shared" si="13"/>
        <v>KBWB</v>
      </c>
      <c r="S161">
        <f t="shared" si="19"/>
        <v>876541</v>
      </c>
      <c r="T161" s="198">
        <f>IF(R161="","",IF(LEN(R161)&gt;9,SUMIFS(Options!$AZ$3:$AZ$25,Options!$B$3:$B$25,'Check result'!R161),SUMIFS('Master P&amp;L'!$AE$11:$AE$92,'Master P&amp;L'!$B$11:$B$92,'Check result'!R161)))</f>
        <v>0</v>
      </c>
      <c r="U161" s="198">
        <f t="shared" si="15"/>
        <v>0</v>
      </c>
      <c r="V161" s="197">
        <f t="shared" si="16"/>
        <v>876541</v>
      </c>
      <c r="W161">
        <f t="shared" si="17"/>
        <v>0.78</v>
      </c>
    </row>
    <row r="162" spans="1:23">
      <c r="A162" s="258">
        <v>45840</v>
      </c>
      <c r="B162" s="259" t="s">
        <v>210</v>
      </c>
      <c r="C162" s="259" t="s">
        <v>246</v>
      </c>
      <c r="D162" s="259" t="s">
        <v>480</v>
      </c>
      <c r="E162" s="260">
        <v>1063451</v>
      </c>
      <c r="F162" s="259">
        <v>0.94</v>
      </c>
      <c r="G162" s="197">
        <f t="shared" si="18"/>
        <v>11313308510.638298</v>
      </c>
      <c r="R162" t="str">
        <f t="shared" si="13"/>
        <v>HOOD US 07/18/25 C90</v>
      </c>
      <c r="S162">
        <f t="shared" si="19"/>
        <v>1063451</v>
      </c>
      <c r="T162" s="198">
        <f>IF(R162="","",IF(LEN(R162)&gt;9,SUMIFS(Options!$AZ$3:$AZ$25,Options!$B$3:$B$25,'Check result'!R162),SUMIFS('Master P&amp;L'!$AE$11:$AE$92,'Master P&amp;L'!$B$11:$B$92,'Check result'!R162)))</f>
        <v>0</v>
      </c>
      <c r="U162" s="198">
        <f t="shared" si="15"/>
        <v>0</v>
      </c>
      <c r="V162" s="197">
        <f t="shared" si="16"/>
        <v>1063451</v>
      </c>
      <c r="W162">
        <f t="shared" si="17"/>
        <v>0.94</v>
      </c>
    </row>
    <row r="163" spans="1:23">
      <c r="A163" s="258">
        <v>45840</v>
      </c>
      <c r="B163" s="259" t="s">
        <v>210</v>
      </c>
      <c r="C163" s="259" t="s">
        <v>253</v>
      </c>
      <c r="D163" s="259" t="s">
        <v>504</v>
      </c>
      <c r="E163" s="260">
        <v>1307030</v>
      </c>
      <c r="F163" s="259">
        <v>1.1599999999999999</v>
      </c>
      <c r="G163" s="197">
        <f t="shared" si="18"/>
        <v>11267500000</v>
      </c>
      <c r="R163" t="str">
        <f t="shared" si="13"/>
        <v>TSM US 07/18/25 C225</v>
      </c>
      <c r="S163">
        <f t="shared" si="19"/>
        <v>1307030</v>
      </c>
      <c r="T163" s="198">
        <f>IF(R163="","",IF(LEN(R163)&gt;9,SUMIFS(Options!$AZ$3:$AZ$25,Options!$B$3:$B$25,'Check result'!R163),SUMIFS('Master P&amp;L'!$AE$11:$AE$92,'Master P&amp;L'!$B$11:$B$92,'Check result'!R163)))</f>
        <v>0</v>
      </c>
      <c r="U163" s="198">
        <f t="shared" si="15"/>
        <v>0</v>
      </c>
      <c r="V163" s="197">
        <f t="shared" si="16"/>
        <v>1307030</v>
      </c>
      <c r="W163">
        <f t="shared" si="17"/>
        <v>1.1599999999999999</v>
      </c>
    </row>
    <row r="164" spans="1:23">
      <c r="A164" s="258">
        <v>45840</v>
      </c>
      <c r="B164" s="259" t="s">
        <v>210</v>
      </c>
      <c r="C164" s="259" t="s">
        <v>244</v>
      </c>
      <c r="D164" s="259" t="s">
        <v>42</v>
      </c>
      <c r="E164" s="260">
        <v>1945989</v>
      </c>
      <c r="F164" s="259">
        <v>1.72</v>
      </c>
      <c r="G164" s="197">
        <f t="shared" si="18"/>
        <v>11313889534.88372</v>
      </c>
      <c r="R164" t="str">
        <f t="shared" si="13"/>
        <v>NVDA</v>
      </c>
      <c r="S164">
        <f t="shared" si="19"/>
        <v>1945989</v>
      </c>
      <c r="T164" s="198">
        <f>IF(R164="","",IF(LEN(R164)&gt;9,SUMIFS(Options!$AZ$3:$AZ$25,Options!$B$3:$B$25,'Check result'!R164),SUMIFS('Master P&amp;L'!$AE$11:$AE$92,'Master P&amp;L'!$B$11:$B$92,'Check result'!R164)))</f>
        <v>0</v>
      </c>
      <c r="U164" s="198">
        <f t="shared" si="15"/>
        <v>0</v>
      </c>
      <c r="V164" s="197">
        <f t="shared" si="16"/>
        <v>1945989</v>
      </c>
      <c r="W164">
        <f t="shared" si="17"/>
        <v>1.72</v>
      </c>
    </row>
    <row r="165" spans="1:23">
      <c r="A165" s="258">
        <v>45840</v>
      </c>
      <c r="B165" s="259" t="s">
        <v>210</v>
      </c>
      <c r="C165" s="259" t="s">
        <v>253</v>
      </c>
      <c r="D165" s="259" t="s">
        <v>411</v>
      </c>
      <c r="E165" s="260">
        <v>2566077</v>
      </c>
      <c r="F165" s="259">
        <v>2.27</v>
      </c>
      <c r="G165" s="197">
        <f t="shared" si="18"/>
        <v>11304303964.75771</v>
      </c>
      <c r="R165" t="str">
        <f t="shared" si="13"/>
        <v>TSM US 10/17/25 C210</v>
      </c>
      <c r="S165">
        <f t="shared" si="19"/>
        <v>2566077</v>
      </c>
      <c r="T165" s="198">
        <f>IF(R165="","",IF(LEN(R165)&gt;9,SUMIFS(Options!$AZ$3:$AZ$25,Options!$B$3:$B$25,'Check result'!R165),SUMIFS('Master P&amp;L'!$AE$11:$AE$92,'Master P&amp;L'!$B$11:$B$92,'Check result'!R165)))</f>
        <v>0</v>
      </c>
      <c r="U165" s="198">
        <f t="shared" si="15"/>
        <v>0</v>
      </c>
      <c r="V165" s="197">
        <f t="shared" si="16"/>
        <v>2566077</v>
      </c>
      <c r="W165">
        <f t="shared" si="17"/>
        <v>2.27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4" name="Button 1">
              <controlPr defaultSize="0" print="0" autoFill="0" autoPict="0">
                <anchor moveWithCells="1" sizeWithCells="1">
                  <from>
                    <xdr:col>8</xdr:col>
                    <xdr:colOff>295275</xdr:colOff>
                    <xdr:row>1</xdr:row>
                    <xdr:rowOff>38100</xdr:rowOff>
                  </from>
                  <to>
                    <xdr:col>14</xdr:col>
                    <xdr:colOff>266700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A6914-26DE-474B-89BB-6512C7DC2FB2}">
  <sheetPr codeName="Sheet4"/>
  <dimension ref="A1:X153"/>
  <sheetViews>
    <sheetView workbookViewId="0">
      <selection sqref="A1:Q153"/>
    </sheetView>
  </sheetViews>
  <sheetFormatPr defaultRowHeight="15"/>
  <sheetData>
    <row r="1" spans="1:24">
      <c r="A1" s="438" t="s">
        <v>265</v>
      </c>
      <c r="B1" s="439" t="s">
        <v>585</v>
      </c>
      <c r="C1" s="440" t="s">
        <v>586</v>
      </c>
      <c r="D1" s="441" t="s">
        <v>587</v>
      </c>
      <c r="E1" s="442" t="s">
        <v>588</v>
      </c>
      <c r="F1" s="442" t="s">
        <v>589</v>
      </c>
      <c r="G1" s="442" t="s">
        <v>147</v>
      </c>
      <c r="H1" s="442" t="s">
        <v>162</v>
      </c>
      <c r="I1" s="442" t="s">
        <v>590</v>
      </c>
      <c r="J1" s="442" t="s">
        <v>591</v>
      </c>
      <c r="K1" s="443" t="s">
        <v>592</v>
      </c>
      <c r="L1" s="444" t="s">
        <v>593</v>
      </c>
      <c r="M1" s="445" t="s">
        <v>594</v>
      </c>
      <c r="N1" s="441" t="s">
        <v>595</v>
      </c>
      <c r="O1" s="436" t="s">
        <v>596</v>
      </c>
      <c r="P1" s="446" t="s">
        <v>1</v>
      </c>
      <c r="Q1" s="463" t="s">
        <v>597</v>
      </c>
    </row>
    <row r="2" spans="1:24">
      <c r="A2" s="435">
        <v>46056</v>
      </c>
      <c r="B2" s="447" t="s">
        <v>568</v>
      </c>
      <c r="C2" s="448" t="s">
        <v>601</v>
      </c>
      <c r="D2" s="360" t="s">
        <v>602</v>
      </c>
      <c r="E2" s="361">
        <v>46101</v>
      </c>
      <c r="F2" s="360" t="s">
        <v>603</v>
      </c>
      <c r="G2" s="360" t="s">
        <v>604</v>
      </c>
      <c r="H2" s="360" t="s">
        <v>817</v>
      </c>
      <c r="I2" s="360" t="s">
        <v>599</v>
      </c>
      <c r="J2" s="449">
        <v>111.25</v>
      </c>
      <c r="K2" s="360">
        <v>7.25</v>
      </c>
      <c r="L2" s="368">
        <v>8.8699999999999992</v>
      </c>
      <c r="M2" s="450">
        <v>8.8699999999999992</v>
      </c>
      <c r="N2" s="449">
        <v>8.8699999999999992</v>
      </c>
      <c r="O2" s="451">
        <v>8.8699999999999992</v>
      </c>
      <c r="P2" s="452">
        <v>27.697855310000001</v>
      </c>
      <c r="Q2" s="464" t="s">
        <v>600</v>
      </c>
      <c r="R2" s="342">
        <f>L2-L3</f>
        <v>7.3099999999999987</v>
      </c>
      <c r="T2" s="368">
        <v>8.64</v>
      </c>
      <c r="U2" s="342">
        <f>T2-T3</f>
        <v>7.08</v>
      </c>
      <c r="W2" s="368">
        <v>11.6</v>
      </c>
      <c r="X2" s="342">
        <f>W2-W3</f>
        <v>8.8999999999999986</v>
      </c>
    </row>
    <row r="3" spans="1:24">
      <c r="A3" s="435">
        <v>46056</v>
      </c>
      <c r="B3" s="447" t="s">
        <v>569</v>
      </c>
      <c r="C3" s="448" t="s">
        <v>606</v>
      </c>
      <c r="D3" s="360" t="s">
        <v>602</v>
      </c>
      <c r="E3" s="361">
        <v>46101</v>
      </c>
      <c r="F3" s="360" t="s">
        <v>603</v>
      </c>
      <c r="G3" s="360" t="s">
        <v>604</v>
      </c>
      <c r="H3" s="360" t="s">
        <v>818</v>
      </c>
      <c r="I3" s="360" t="s">
        <v>599</v>
      </c>
      <c r="J3" s="449">
        <v>111.25</v>
      </c>
      <c r="K3" s="360">
        <v>0</v>
      </c>
      <c r="L3" s="368">
        <v>1.56</v>
      </c>
      <c r="M3" s="450">
        <v>1.56</v>
      </c>
      <c r="N3" s="449">
        <v>1.56</v>
      </c>
      <c r="O3" s="451">
        <v>1.56</v>
      </c>
      <c r="P3" s="452">
        <v>26.948894800000001</v>
      </c>
      <c r="Q3" s="464" t="s">
        <v>605</v>
      </c>
      <c r="T3" s="368">
        <v>1.56</v>
      </c>
      <c r="W3" s="368">
        <v>2.7</v>
      </c>
    </row>
    <row r="4" spans="1:24">
      <c r="A4" s="435">
        <v>46056</v>
      </c>
      <c r="B4" s="447" t="s">
        <v>611</v>
      </c>
      <c r="C4" s="448" t="s">
        <v>612</v>
      </c>
      <c r="D4" s="360" t="s">
        <v>613</v>
      </c>
      <c r="E4" s="361">
        <v>46280</v>
      </c>
      <c r="F4" s="360" t="s">
        <v>603</v>
      </c>
      <c r="G4" s="360" t="s">
        <v>604</v>
      </c>
      <c r="H4" s="360" t="s">
        <v>819</v>
      </c>
      <c r="I4" s="360" t="s">
        <v>599</v>
      </c>
      <c r="J4" s="453">
        <v>8206</v>
      </c>
      <c r="K4" s="360">
        <v>718.7510000000002</v>
      </c>
      <c r="L4" s="454">
        <v>936.57297176147915</v>
      </c>
      <c r="M4" s="455">
        <v>936.57297176147915</v>
      </c>
      <c r="N4" s="360">
        <v>936.57297176147915</v>
      </c>
      <c r="O4" s="456">
        <v>801.91115559483933</v>
      </c>
      <c r="P4" s="457">
        <v>21.006895142169128</v>
      </c>
      <c r="Q4" s="464" t="s">
        <v>600</v>
      </c>
    </row>
    <row r="5" spans="1:24">
      <c r="A5" s="435">
        <v>46056</v>
      </c>
      <c r="B5" s="447" t="s">
        <v>614</v>
      </c>
      <c r="C5" s="448" t="s">
        <v>615</v>
      </c>
      <c r="D5" s="360" t="s">
        <v>613</v>
      </c>
      <c r="E5" s="361">
        <v>46280</v>
      </c>
      <c r="F5" s="360" t="s">
        <v>603</v>
      </c>
      <c r="G5" s="360" t="s">
        <v>604</v>
      </c>
      <c r="H5" s="360" t="s">
        <v>820</v>
      </c>
      <c r="I5" s="360" t="s">
        <v>599</v>
      </c>
      <c r="J5" s="453">
        <v>8206</v>
      </c>
      <c r="K5" s="360">
        <v>5.6797000000005937</v>
      </c>
      <c r="L5" s="454">
        <v>531.26121723643962</v>
      </c>
      <c r="M5" s="455">
        <v>531.26121723643962</v>
      </c>
      <c r="N5" s="360">
        <v>531.26121723643962</v>
      </c>
      <c r="O5" s="456">
        <v>435.93881961861177</v>
      </c>
      <c r="P5" s="457">
        <v>21.006895142169128</v>
      </c>
      <c r="Q5" s="464" t="s">
        <v>600</v>
      </c>
    </row>
    <row r="6" spans="1:24">
      <c r="A6" s="435">
        <v>46056</v>
      </c>
      <c r="B6" s="457" t="s">
        <v>616</v>
      </c>
      <c r="C6" s="448" t="s">
        <v>617</v>
      </c>
      <c r="D6" s="360" t="s">
        <v>618</v>
      </c>
      <c r="E6" s="361">
        <v>46129</v>
      </c>
      <c r="F6" s="360" t="s">
        <v>603</v>
      </c>
      <c r="G6" s="360" t="s">
        <v>138</v>
      </c>
      <c r="H6" s="360" t="s">
        <v>821</v>
      </c>
      <c r="I6" s="360"/>
      <c r="J6" s="458">
        <v>2.9</v>
      </c>
      <c r="K6" s="360">
        <v>0.35000000000000009</v>
      </c>
      <c r="L6" s="459">
        <v>0.39667955403047622</v>
      </c>
      <c r="M6" s="460">
        <v>0.39667955403047622</v>
      </c>
      <c r="N6" s="360">
        <v>0.39667955403047622</v>
      </c>
      <c r="O6" s="360">
        <v>0.39667955403047622</v>
      </c>
      <c r="P6" s="457">
        <v>28.00727962438177</v>
      </c>
      <c r="Q6" s="464" t="s">
        <v>600</v>
      </c>
    </row>
    <row r="7" spans="1:24">
      <c r="A7" s="435">
        <v>46056</v>
      </c>
      <c r="B7" s="457" t="s">
        <v>619</v>
      </c>
      <c r="C7" s="448" t="s">
        <v>620</v>
      </c>
      <c r="D7" s="360" t="s">
        <v>618</v>
      </c>
      <c r="E7" s="361">
        <v>46129</v>
      </c>
      <c r="F7" s="360" t="s">
        <v>598</v>
      </c>
      <c r="G7" s="360" t="s">
        <v>138</v>
      </c>
      <c r="H7" s="360" t="s">
        <v>822</v>
      </c>
      <c r="I7" s="360"/>
      <c r="J7" s="458">
        <v>2.9</v>
      </c>
      <c r="K7" s="360">
        <v>0</v>
      </c>
      <c r="L7" s="459">
        <v>8.4711341454793004E-3</v>
      </c>
      <c r="M7" s="460">
        <v>8.4711341454793004E-3</v>
      </c>
      <c r="N7" s="360">
        <v>8.4711341454793004E-3</v>
      </c>
      <c r="O7" s="360">
        <v>8.4711341454793004E-3</v>
      </c>
      <c r="P7" s="457">
        <v>51.419789529065916</v>
      </c>
      <c r="Q7" s="464" t="s">
        <v>600</v>
      </c>
    </row>
    <row r="8" spans="1:24">
      <c r="A8" s="435">
        <v>46056</v>
      </c>
      <c r="B8" s="457" t="s">
        <v>621</v>
      </c>
      <c r="C8" s="448" t="s">
        <v>622</v>
      </c>
      <c r="D8" s="360" t="s">
        <v>618</v>
      </c>
      <c r="E8" s="361">
        <v>46129</v>
      </c>
      <c r="F8" s="360" t="s">
        <v>598</v>
      </c>
      <c r="G8" s="360" t="s">
        <v>138</v>
      </c>
      <c r="H8" s="360" t="s">
        <v>823</v>
      </c>
      <c r="I8" s="360"/>
      <c r="J8" s="458">
        <v>2.9</v>
      </c>
      <c r="K8" s="360">
        <v>0</v>
      </c>
      <c r="L8" s="459">
        <v>1.1978093619325749E-2</v>
      </c>
      <c r="M8" s="460">
        <v>1.1978093619325749E-2</v>
      </c>
      <c r="N8" s="360">
        <v>1.1978093619325749E-2</v>
      </c>
      <c r="O8" s="360">
        <v>1.1978093619325749E-2</v>
      </c>
      <c r="P8" s="457">
        <v>38.407832370765718</v>
      </c>
      <c r="Q8" s="464" t="s">
        <v>600</v>
      </c>
    </row>
    <row r="9" spans="1:24">
      <c r="A9" s="435">
        <v>46056</v>
      </c>
      <c r="B9" s="457" t="s">
        <v>689</v>
      </c>
      <c r="C9" s="448" t="s">
        <v>695</v>
      </c>
      <c r="D9" s="360" t="s">
        <v>610</v>
      </c>
      <c r="E9" s="361">
        <v>46191</v>
      </c>
      <c r="F9" s="360" t="s">
        <v>603</v>
      </c>
      <c r="G9" s="360" t="s">
        <v>138</v>
      </c>
      <c r="H9" s="360" t="s">
        <v>824</v>
      </c>
      <c r="I9" s="360"/>
      <c r="J9" s="458">
        <v>335.75</v>
      </c>
      <c r="K9" s="360">
        <v>35.75</v>
      </c>
      <c r="L9" s="459">
        <v>54.75</v>
      </c>
      <c r="M9" s="460">
        <v>56.1</v>
      </c>
      <c r="N9" s="360">
        <v>55.424999999999997</v>
      </c>
      <c r="O9" s="360">
        <v>55.424999999999997</v>
      </c>
      <c r="P9" s="457"/>
      <c r="Q9" s="464" t="s">
        <v>607</v>
      </c>
    </row>
    <row r="10" spans="1:24">
      <c r="A10" s="435">
        <v>46056</v>
      </c>
      <c r="B10" s="457" t="s">
        <v>688</v>
      </c>
      <c r="C10" s="448" t="s">
        <v>696</v>
      </c>
      <c r="D10" s="360" t="s">
        <v>610</v>
      </c>
      <c r="E10" s="361">
        <v>46191</v>
      </c>
      <c r="F10" s="360" t="s">
        <v>603</v>
      </c>
      <c r="G10" s="360" t="s">
        <v>138</v>
      </c>
      <c r="H10" s="360" t="s">
        <v>825</v>
      </c>
      <c r="I10" s="360"/>
      <c r="J10" s="458">
        <v>335.75</v>
      </c>
      <c r="K10" s="360">
        <v>0</v>
      </c>
      <c r="L10" s="459">
        <v>19.899999999999999</v>
      </c>
      <c r="M10" s="460">
        <v>21.7</v>
      </c>
      <c r="N10" s="360">
        <v>20.799999999999997</v>
      </c>
      <c r="O10" s="360">
        <v>20.799999999999997</v>
      </c>
      <c r="P10" s="457"/>
      <c r="Q10" s="464" t="s">
        <v>607</v>
      </c>
    </row>
    <row r="11" spans="1:24">
      <c r="A11" s="435">
        <v>46056</v>
      </c>
      <c r="B11" s="457" t="s">
        <v>691</v>
      </c>
      <c r="C11" s="448" t="s">
        <v>697</v>
      </c>
      <c r="D11" s="360" t="s">
        <v>610</v>
      </c>
      <c r="E11" s="361">
        <v>46191</v>
      </c>
      <c r="F11" s="360" t="s">
        <v>598</v>
      </c>
      <c r="G11" s="360" t="s">
        <v>138</v>
      </c>
      <c r="H11" s="360" t="s">
        <v>826</v>
      </c>
      <c r="I11" s="360"/>
      <c r="J11" s="458">
        <v>335.75</v>
      </c>
      <c r="K11" s="360">
        <v>0</v>
      </c>
      <c r="L11" s="459">
        <v>5.15</v>
      </c>
      <c r="M11" s="460">
        <v>5.75</v>
      </c>
      <c r="N11" s="360">
        <v>5.45</v>
      </c>
      <c r="O11" s="360">
        <v>5.45</v>
      </c>
      <c r="P11" s="457"/>
      <c r="Q11" s="464" t="s">
        <v>607</v>
      </c>
    </row>
    <row r="12" spans="1:24">
      <c r="A12" s="435">
        <v>46056</v>
      </c>
      <c r="B12" s="457" t="s">
        <v>690</v>
      </c>
      <c r="C12" s="448" t="s">
        <v>698</v>
      </c>
      <c r="D12" s="360" t="s">
        <v>610</v>
      </c>
      <c r="E12" s="361">
        <v>46191</v>
      </c>
      <c r="F12" s="360" t="s">
        <v>598</v>
      </c>
      <c r="G12" s="360" t="s">
        <v>138</v>
      </c>
      <c r="H12" s="360" t="s">
        <v>827</v>
      </c>
      <c r="I12" s="360"/>
      <c r="J12" s="458">
        <v>335.75</v>
      </c>
      <c r="K12" s="360">
        <v>0</v>
      </c>
      <c r="L12" s="459">
        <v>1.93</v>
      </c>
      <c r="M12" s="460">
        <v>2.52</v>
      </c>
      <c r="N12" s="360">
        <v>2.2250000000000001</v>
      </c>
      <c r="O12" s="360">
        <v>2.2250000000000001</v>
      </c>
      <c r="P12" s="457"/>
      <c r="Q12" s="464" t="s">
        <v>607</v>
      </c>
    </row>
    <row r="13" spans="1:24">
      <c r="A13" s="435">
        <v>46056</v>
      </c>
      <c r="B13" s="457" t="s">
        <v>694</v>
      </c>
      <c r="C13" s="448" t="s">
        <v>699</v>
      </c>
      <c r="D13" s="360" t="s">
        <v>609</v>
      </c>
      <c r="E13" s="361">
        <v>46191</v>
      </c>
      <c r="F13" s="360" t="s">
        <v>598</v>
      </c>
      <c r="G13" s="360" t="s">
        <v>138</v>
      </c>
      <c r="H13" s="360" t="s">
        <v>828</v>
      </c>
      <c r="I13" s="360"/>
      <c r="J13" s="458">
        <v>411.21</v>
      </c>
      <c r="K13" s="360">
        <v>13.79000000000002</v>
      </c>
      <c r="L13" s="459">
        <v>33.4</v>
      </c>
      <c r="M13" s="460">
        <v>33.6</v>
      </c>
      <c r="N13" s="360">
        <v>33.5</v>
      </c>
      <c r="O13" s="360">
        <v>33.5</v>
      </c>
      <c r="P13" s="457"/>
      <c r="Q13" s="464" t="s">
        <v>607</v>
      </c>
    </row>
    <row r="14" spans="1:24">
      <c r="A14" s="435">
        <v>46056</v>
      </c>
      <c r="B14" s="457" t="s">
        <v>693</v>
      </c>
      <c r="C14" s="448" t="s">
        <v>700</v>
      </c>
      <c r="D14" s="360" t="s">
        <v>609</v>
      </c>
      <c r="E14" s="361">
        <v>46191</v>
      </c>
      <c r="F14" s="360" t="s">
        <v>603</v>
      </c>
      <c r="G14" s="360" t="s">
        <v>138</v>
      </c>
      <c r="H14" s="360" t="s">
        <v>829</v>
      </c>
      <c r="I14" s="360"/>
      <c r="J14" s="458">
        <v>411.21</v>
      </c>
      <c r="K14" s="360">
        <v>0</v>
      </c>
      <c r="L14" s="459">
        <v>4.05</v>
      </c>
      <c r="M14" s="460">
        <v>4.1500000000000004</v>
      </c>
      <c r="N14" s="360">
        <v>4.0999999999999996</v>
      </c>
      <c r="O14" s="360">
        <v>4.0999999999999996</v>
      </c>
      <c r="P14" s="457"/>
      <c r="Q14" s="464" t="s">
        <v>607</v>
      </c>
    </row>
    <row r="15" spans="1:24">
      <c r="A15" s="435">
        <v>46056</v>
      </c>
      <c r="B15" s="457" t="s">
        <v>692</v>
      </c>
      <c r="C15" s="448" t="s">
        <v>701</v>
      </c>
      <c r="D15" s="360" t="s">
        <v>609</v>
      </c>
      <c r="E15" s="361">
        <v>46191</v>
      </c>
      <c r="F15" s="360" t="s">
        <v>603</v>
      </c>
      <c r="G15" s="360" t="s">
        <v>138</v>
      </c>
      <c r="H15" s="360" t="s">
        <v>830</v>
      </c>
      <c r="I15" s="360"/>
      <c r="J15" s="458">
        <v>411.21</v>
      </c>
      <c r="K15" s="360">
        <v>0</v>
      </c>
      <c r="L15" s="459">
        <v>1.1200000000000001</v>
      </c>
      <c r="M15" s="460">
        <v>1.18</v>
      </c>
      <c r="N15" s="360">
        <v>1.1499999999999999</v>
      </c>
      <c r="O15" s="360">
        <v>1.1499999999999999</v>
      </c>
      <c r="P15" s="457"/>
      <c r="Q15" s="464" t="s">
        <v>607</v>
      </c>
    </row>
    <row r="16" spans="1:24">
      <c r="A16" s="435">
        <v>46056</v>
      </c>
      <c r="B16" s="457" t="s">
        <v>703</v>
      </c>
      <c r="C16" s="448" t="s">
        <v>704</v>
      </c>
      <c r="D16" s="360" t="s">
        <v>623</v>
      </c>
      <c r="E16" s="361">
        <v>46101</v>
      </c>
      <c r="F16" s="360" t="s">
        <v>598</v>
      </c>
      <c r="G16" s="360" t="s">
        <v>138</v>
      </c>
      <c r="H16" s="360" t="s">
        <v>831</v>
      </c>
      <c r="I16" s="360"/>
      <c r="J16" s="458">
        <v>616.52</v>
      </c>
      <c r="K16" s="360">
        <v>0</v>
      </c>
      <c r="L16" s="459">
        <v>3.59</v>
      </c>
      <c r="M16" s="460">
        <v>3.69</v>
      </c>
      <c r="N16" s="360">
        <v>3.6399999999999997</v>
      </c>
      <c r="O16" s="360">
        <v>3.6399999999999997</v>
      </c>
      <c r="P16" s="457"/>
      <c r="Q16" s="464" t="s">
        <v>607</v>
      </c>
    </row>
    <row r="17" spans="1:17">
      <c r="A17" s="435">
        <v>46056</v>
      </c>
      <c r="B17" s="457" t="s">
        <v>702</v>
      </c>
      <c r="C17" s="448" t="s">
        <v>706</v>
      </c>
      <c r="D17" s="360" t="s">
        <v>623</v>
      </c>
      <c r="E17" s="361">
        <v>46101</v>
      </c>
      <c r="F17" s="360" t="s">
        <v>598</v>
      </c>
      <c r="G17" s="360" t="s">
        <v>138</v>
      </c>
      <c r="H17" s="360" t="s">
        <v>832</v>
      </c>
      <c r="I17" s="360"/>
      <c r="J17" s="458">
        <v>616.52</v>
      </c>
      <c r="K17" s="360">
        <v>0</v>
      </c>
      <c r="L17" s="459">
        <v>7.21</v>
      </c>
      <c r="M17" s="460">
        <v>7.33</v>
      </c>
      <c r="N17" s="360">
        <v>7.27</v>
      </c>
      <c r="O17" s="360">
        <v>7.27</v>
      </c>
      <c r="P17" s="457"/>
      <c r="Q17" s="464" t="s">
        <v>607</v>
      </c>
    </row>
    <row r="18" spans="1:17">
      <c r="A18" s="435">
        <v>46056</v>
      </c>
      <c r="B18" s="457" t="s">
        <v>707</v>
      </c>
      <c r="C18" s="448" t="s">
        <v>710</v>
      </c>
      <c r="D18" s="360" t="s">
        <v>705</v>
      </c>
      <c r="E18" s="361">
        <v>46191</v>
      </c>
      <c r="F18" s="360" t="s">
        <v>603</v>
      </c>
      <c r="G18" s="360" t="s">
        <v>138</v>
      </c>
      <c r="H18" s="360" t="s">
        <v>833</v>
      </c>
      <c r="I18" s="360"/>
      <c r="J18" s="458">
        <v>238.62</v>
      </c>
      <c r="K18" s="360">
        <v>8.6200000000000045</v>
      </c>
      <c r="L18" s="459">
        <v>27.25</v>
      </c>
      <c r="M18" s="460">
        <v>28</v>
      </c>
      <c r="N18" s="360">
        <v>27.625</v>
      </c>
      <c r="O18" s="360">
        <v>27.625</v>
      </c>
      <c r="P18" s="457"/>
      <c r="Q18" s="464" t="s">
        <v>607</v>
      </c>
    </row>
    <row r="19" spans="1:17">
      <c r="A19" s="435">
        <v>46056</v>
      </c>
      <c r="B19" s="457" t="s">
        <v>708</v>
      </c>
      <c r="C19" s="448" t="s">
        <v>711</v>
      </c>
      <c r="D19" s="360" t="s">
        <v>705</v>
      </c>
      <c r="E19" s="361">
        <v>46191</v>
      </c>
      <c r="F19" s="360" t="s">
        <v>603</v>
      </c>
      <c r="G19" s="360" t="s">
        <v>138</v>
      </c>
      <c r="H19" s="360" t="s">
        <v>834</v>
      </c>
      <c r="I19" s="360"/>
      <c r="J19" s="458">
        <v>238.62</v>
      </c>
      <c r="K19" s="360">
        <v>0</v>
      </c>
      <c r="L19" s="459">
        <v>13.85</v>
      </c>
      <c r="M19" s="460">
        <v>14</v>
      </c>
      <c r="N19" s="360">
        <v>13.925000000000001</v>
      </c>
      <c r="O19" s="360">
        <v>13.925000000000001</v>
      </c>
      <c r="P19" s="457"/>
      <c r="Q19" s="464" t="s">
        <v>607</v>
      </c>
    </row>
    <row r="20" spans="1:17">
      <c r="A20" s="435">
        <v>46056</v>
      </c>
      <c r="B20" s="457" t="s">
        <v>709</v>
      </c>
      <c r="C20" s="448" t="s">
        <v>712</v>
      </c>
      <c r="D20" s="360" t="s">
        <v>705</v>
      </c>
      <c r="E20" s="361">
        <v>46191</v>
      </c>
      <c r="F20" s="360" t="s">
        <v>598</v>
      </c>
      <c r="G20" s="360" t="s">
        <v>138</v>
      </c>
      <c r="H20" s="360" t="s">
        <v>835</v>
      </c>
      <c r="I20" s="360"/>
      <c r="J20" s="458">
        <v>238.62</v>
      </c>
      <c r="K20" s="360">
        <v>0</v>
      </c>
      <c r="L20" s="459">
        <v>6.25</v>
      </c>
      <c r="M20" s="460">
        <v>6.35</v>
      </c>
      <c r="N20" s="360">
        <v>6.3</v>
      </c>
      <c r="O20" s="360">
        <v>6.3</v>
      </c>
      <c r="P20" s="457"/>
      <c r="Q20" s="464" t="s">
        <v>607</v>
      </c>
    </row>
    <row r="21" spans="1:17">
      <c r="A21" s="435">
        <v>46056</v>
      </c>
      <c r="B21" s="457" t="s">
        <v>720</v>
      </c>
      <c r="C21" s="448" t="s">
        <v>723</v>
      </c>
      <c r="D21" s="360" t="s">
        <v>609</v>
      </c>
      <c r="E21" s="361">
        <v>46101</v>
      </c>
      <c r="F21" s="360" t="s">
        <v>603</v>
      </c>
      <c r="G21" s="360" t="s">
        <v>138</v>
      </c>
      <c r="H21" s="360" t="s">
        <v>837</v>
      </c>
      <c r="I21" s="360"/>
      <c r="J21" s="458">
        <v>411.21</v>
      </c>
      <c r="K21" s="360">
        <v>0</v>
      </c>
      <c r="L21" s="459">
        <v>0.81</v>
      </c>
      <c r="M21" s="460">
        <v>0.85</v>
      </c>
      <c r="N21" s="360">
        <v>0.83000000000000007</v>
      </c>
      <c r="O21" s="360">
        <v>0.83000000000000007</v>
      </c>
      <c r="P21" s="457"/>
      <c r="Q21" s="464" t="s">
        <v>607</v>
      </c>
    </row>
    <row r="22" spans="1:17">
      <c r="A22" s="435">
        <v>46056</v>
      </c>
      <c r="B22" s="457" t="s">
        <v>719</v>
      </c>
      <c r="C22" s="448" t="s">
        <v>724</v>
      </c>
      <c r="D22" s="360" t="s">
        <v>609</v>
      </c>
      <c r="E22" s="361">
        <v>46101</v>
      </c>
      <c r="F22" s="360" t="s">
        <v>603</v>
      </c>
      <c r="G22" s="360" t="s">
        <v>138</v>
      </c>
      <c r="H22" s="360" t="s">
        <v>829</v>
      </c>
      <c r="I22" s="360"/>
      <c r="J22" s="458">
        <v>411.21</v>
      </c>
      <c r="K22" s="360">
        <v>0</v>
      </c>
      <c r="L22" s="459">
        <v>0.43</v>
      </c>
      <c r="M22" s="460">
        <v>0.47</v>
      </c>
      <c r="N22" s="360">
        <v>0.44999999999999996</v>
      </c>
      <c r="O22" s="360">
        <v>0.44999999999999996</v>
      </c>
      <c r="P22" s="457"/>
      <c r="Q22" s="464" t="s">
        <v>607</v>
      </c>
    </row>
    <row r="23" spans="1:17" ht="45">
      <c r="A23" s="435">
        <v>46056</v>
      </c>
      <c r="B23" s="437" t="s">
        <v>722</v>
      </c>
      <c r="C23" s="448" t="s">
        <v>725</v>
      </c>
      <c r="D23" s="360" t="s">
        <v>609</v>
      </c>
      <c r="E23" s="361">
        <v>46101</v>
      </c>
      <c r="F23" s="360" t="s">
        <v>598</v>
      </c>
      <c r="G23" s="360" t="s">
        <v>138</v>
      </c>
      <c r="H23" s="360" t="s">
        <v>838</v>
      </c>
      <c r="I23" s="360"/>
      <c r="J23" s="458">
        <v>411.21</v>
      </c>
      <c r="K23" s="360">
        <v>43.79000000000002</v>
      </c>
      <c r="L23" s="459">
        <v>44.85</v>
      </c>
      <c r="M23" s="460">
        <v>47.05</v>
      </c>
      <c r="N23" s="360">
        <v>45.95</v>
      </c>
      <c r="O23" s="360">
        <v>45.95</v>
      </c>
      <c r="P23" s="457"/>
      <c r="Q23" s="464" t="s">
        <v>607</v>
      </c>
    </row>
    <row r="24" spans="1:17" ht="45">
      <c r="A24" s="435">
        <v>46056</v>
      </c>
      <c r="B24" s="437" t="s">
        <v>721</v>
      </c>
      <c r="C24" s="448" t="s">
        <v>726</v>
      </c>
      <c r="D24" s="360" t="s">
        <v>609</v>
      </c>
      <c r="E24" s="361">
        <v>46101</v>
      </c>
      <c r="F24" s="360" t="s">
        <v>598</v>
      </c>
      <c r="G24" s="360" t="s">
        <v>138</v>
      </c>
      <c r="H24" s="360" t="s">
        <v>839</v>
      </c>
      <c r="I24" s="360"/>
      <c r="J24" s="458">
        <v>411.21</v>
      </c>
      <c r="K24" s="360">
        <v>53.79000000000002</v>
      </c>
      <c r="L24" s="459">
        <v>54.4</v>
      </c>
      <c r="M24" s="460">
        <v>57.1</v>
      </c>
      <c r="N24" s="360">
        <v>55.75</v>
      </c>
      <c r="O24" s="360">
        <v>55.75</v>
      </c>
      <c r="P24" s="457"/>
      <c r="Q24" s="464" t="s">
        <v>607</v>
      </c>
    </row>
    <row r="25" spans="1:17" ht="45">
      <c r="A25" s="435">
        <v>46056</v>
      </c>
      <c r="B25" s="437" t="s">
        <v>730</v>
      </c>
      <c r="C25" s="448" t="s">
        <v>732</v>
      </c>
      <c r="D25" s="360" t="s">
        <v>733</v>
      </c>
      <c r="E25" s="361">
        <v>46101</v>
      </c>
      <c r="F25" s="360" t="s">
        <v>598</v>
      </c>
      <c r="G25" s="360" t="s">
        <v>138</v>
      </c>
      <c r="H25" s="360" t="s">
        <v>840</v>
      </c>
      <c r="I25" s="360"/>
      <c r="J25" s="458">
        <v>75.540000000000006</v>
      </c>
      <c r="K25" s="360">
        <v>4.4599999999999937</v>
      </c>
      <c r="L25" s="459">
        <v>9.1999999999999993</v>
      </c>
      <c r="M25" s="460">
        <v>9.4</v>
      </c>
      <c r="N25" s="360">
        <v>9.3000000000000007</v>
      </c>
      <c r="O25" s="360">
        <v>9.3000000000000007</v>
      </c>
      <c r="P25" s="457"/>
      <c r="Q25" s="464" t="s">
        <v>607</v>
      </c>
    </row>
    <row r="26" spans="1:17" ht="45">
      <c r="A26" s="435">
        <v>46056</v>
      </c>
      <c r="B26" s="437" t="s">
        <v>731</v>
      </c>
      <c r="C26" s="448" t="s">
        <v>734</v>
      </c>
      <c r="D26" s="360" t="s">
        <v>733</v>
      </c>
      <c r="E26" s="361">
        <v>46101</v>
      </c>
      <c r="F26" s="360" t="s">
        <v>598</v>
      </c>
      <c r="G26" s="360" t="s">
        <v>138</v>
      </c>
      <c r="H26" s="360" t="s">
        <v>841</v>
      </c>
      <c r="I26" s="360"/>
      <c r="J26" s="458">
        <v>75.540000000000006</v>
      </c>
      <c r="K26" s="360">
        <v>14.459999999999994</v>
      </c>
      <c r="L26" s="459">
        <v>16.149999999999999</v>
      </c>
      <c r="M26" s="460">
        <v>17.899999999999999</v>
      </c>
      <c r="N26" s="360">
        <v>17.024999999999999</v>
      </c>
      <c r="O26" s="360">
        <v>17.024999999999999</v>
      </c>
      <c r="P26" s="457"/>
      <c r="Q26" s="464" t="s">
        <v>607</v>
      </c>
    </row>
    <row r="27" spans="1:17" ht="45">
      <c r="A27" s="435">
        <v>46056</v>
      </c>
      <c r="B27" s="437" t="s">
        <v>737</v>
      </c>
      <c r="C27" s="448" t="s">
        <v>738</v>
      </c>
      <c r="D27" s="360" t="s">
        <v>608</v>
      </c>
      <c r="E27" s="361">
        <v>46038</v>
      </c>
      <c r="F27" s="360" t="s">
        <v>598</v>
      </c>
      <c r="G27" s="360" t="s">
        <v>138</v>
      </c>
      <c r="H27" s="360" t="s">
        <v>842</v>
      </c>
      <c r="I27" s="360"/>
      <c r="J27" s="453">
        <v>38.04</v>
      </c>
      <c r="K27" s="360">
        <v>0</v>
      </c>
      <c r="L27" s="454">
        <v>0.83499999999999996</v>
      </c>
      <c r="M27" s="455">
        <v>0.83499999999999996</v>
      </c>
      <c r="N27" s="360">
        <v>0.83499999999999996</v>
      </c>
      <c r="O27" s="360">
        <v>0.83499999999999996</v>
      </c>
      <c r="P27" s="457">
        <v>0</v>
      </c>
      <c r="Q27" s="464" t="s">
        <v>600</v>
      </c>
    </row>
    <row r="28" spans="1:17" ht="45">
      <c r="A28" s="435">
        <v>46056</v>
      </c>
      <c r="B28" s="437" t="s">
        <v>740</v>
      </c>
      <c r="C28" s="448" t="s">
        <v>742</v>
      </c>
      <c r="D28" s="360" t="s">
        <v>743</v>
      </c>
      <c r="E28" s="361">
        <v>46129</v>
      </c>
      <c r="F28" s="360" t="s">
        <v>603</v>
      </c>
      <c r="G28" s="360" t="s">
        <v>138</v>
      </c>
      <c r="H28" s="360" t="s">
        <v>843</v>
      </c>
      <c r="I28" s="360"/>
      <c r="J28" s="458">
        <v>691.7</v>
      </c>
      <c r="K28" s="360">
        <v>1.7000000000000455</v>
      </c>
      <c r="L28" s="459">
        <v>40.25</v>
      </c>
      <c r="M28" s="460">
        <v>40.5</v>
      </c>
      <c r="N28" s="360">
        <v>40.375</v>
      </c>
      <c r="O28" s="360">
        <v>40.375</v>
      </c>
      <c r="P28" s="457"/>
      <c r="Q28" s="464" t="s">
        <v>607</v>
      </c>
    </row>
    <row r="29" spans="1:17">
      <c r="A29" s="435">
        <v>46056</v>
      </c>
      <c r="B29" s="447" t="s">
        <v>739</v>
      </c>
      <c r="C29" s="448" t="s">
        <v>744</v>
      </c>
      <c r="D29" s="360" t="s">
        <v>743</v>
      </c>
      <c r="E29" s="361">
        <v>46129</v>
      </c>
      <c r="F29" s="360" t="s">
        <v>603</v>
      </c>
      <c r="G29" s="360" t="s">
        <v>138</v>
      </c>
      <c r="H29" s="360" t="s">
        <v>844</v>
      </c>
      <c r="I29" s="360"/>
      <c r="J29" s="458">
        <v>691.7</v>
      </c>
      <c r="K29" s="360">
        <v>0</v>
      </c>
      <c r="L29" s="459">
        <v>16.55</v>
      </c>
      <c r="M29" s="460">
        <v>16.75</v>
      </c>
      <c r="N29" s="360">
        <v>16.649999999999999</v>
      </c>
      <c r="O29" s="360">
        <v>16.649999999999999</v>
      </c>
      <c r="P29" s="457"/>
      <c r="Q29" s="464" t="s">
        <v>607</v>
      </c>
    </row>
    <row r="30" spans="1:17" ht="45">
      <c r="A30" s="435">
        <v>46056</v>
      </c>
      <c r="B30" s="437" t="s">
        <v>741</v>
      </c>
      <c r="C30" s="448" t="s">
        <v>745</v>
      </c>
      <c r="D30" s="360" t="s">
        <v>743</v>
      </c>
      <c r="E30" s="361">
        <v>46129</v>
      </c>
      <c r="F30" s="360" t="s">
        <v>598</v>
      </c>
      <c r="G30" s="360" t="s">
        <v>138</v>
      </c>
      <c r="H30" s="360" t="s">
        <v>845</v>
      </c>
      <c r="I30" s="360"/>
      <c r="J30" s="458">
        <v>691.7</v>
      </c>
      <c r="K30" s="360">
        <v>0</v>
      </c>
      <c r="L30" s="459">
        <v>7</v>
      </c>
      <c r="M30" s="460">
        <v>7.1</v>
      </c>
      <c r="N30" s="360">
        <v>7.05</v>
      </c>
      <c r="O30" s="360">
        <v>7.05</v>
      </c>
      <c r="P30" s="457"/>
      <c r="Q30" s="464" t="s">
        <v>607</v>
      </c>
    </row>
    <row r="31" spans="1:17" ht="45">
      <c r="A31" s="435">
        <v>46056</v>
      </c>
      <c r="B31" s="437" t="s">
        <v>747</v>
      </c>
      <c r="C31" s="448" t="s">
        <v>752</v>
      </c>
      <c r="D31" s="360" t="s">
        <v>753</v>
      </c>
      <c r="E31" s="361">
        <v>46073</v>
      </c>
      <c r="F31" s="360" t="s">
        <v>603</v>
      </c>
      <c r="G31" s="360" t="s">
        <v>138</v>
      </c>
      <c r="H31" s="360" t="s">
        <v>846</v>
      </c>
      <c r="I31" s="360"/>
      <c r="J31" s="458">
        <v>435.1</v>
      </c>
      <c r="K31" s="360">
        <v>0</v>
      </c>
      <c r="L31" s="459">
        <v>38.200000000000003</v>
      </c>
      <c r="M31" s="460">
        <v>41.5</v>
      </c>
      <c r="N31" s="360">
        <v>39.85</v>
      </c>
      <c r="O31" s="360">
        <v>39.85</v>
      </c>
      <c r="P31" s="457"/>
      <c r="Q31" s="464" t="s">
        <v>607</v>
      </c>
    </row>
    <row r="32" spans="1:17" ht="45">
      <c r="A32" s="435">
        <v>46056</v>
      </c>
      <c r="B32" s="437" t="s">
        <v>746</v>
      </c>
      <c r="C32" s="448" t="s">
        <v>754</v>
      </c>
      <c r="D32" s="360" t="s">
        <v>753</v>
      </c>
      <c r="E32" s="361">
        <v>46073</v>
      </c>
      <c r="F32" s="360" t="s">
        <v>603</v>
      </c>
      <c r="G32" s="360" t="s">
        <v>138</v>
      </c>
      <c r="H32" s="360" t="s">
        <v>847</v>
      </c>
      <c r="I32" s="360"/>
      <c r="J32" s="458">
        <v>435.1</v>
      </c>
      <c r="K32" s="360">
        <v>35.100000000000023</v>
      </c>
      <c r="L32" s="459">
        <v>62.7</v>
      </c>
      <c r="M32" s="460">
        <v>66.400000000000006</v>
      </c>
      <c r="N32" s="360">
        <v>64.550000000000011</v>
      </c>
      <c r="O32" s="360">
        <v>64.550000000000011</v>
      </c>
      <c r="P32" s="457"/>
      <c r="Q32" s="464" t="s">
        <v>607</v>
      </c>
    </row>
    <row r="33" spans="1:17" ht="45">
      <c r="A33" s="435">
        <v>46056</v>
      </c>
      <c r="B33" s="437" t="s">
        <v>750</v>
      </c>
      <c r="C33" s="448" t="s">
        <v>755</v>
      </c>
      <c r="D33" s="360" t="s">
        <v>756</v>
      </c>
      <c r="E33" s="361">
        <v>46101</v>
      </c>
      <c r="F33" s="360" t="s">
        <v>603</v>
      </c>
      <c r="G33" s="360" t="s">
        <v>138</v>
      </c>
      <c r="H33" s="360" t="s">
        <v>827</v>
      </c>
      <c r="I33" s="360"/>
      <c r="J33" s="458">
        <v>229.18</v>
      </c>
      <c r="K33" s="360">
        <v>19.180000000000007</v>
      </c>
      <c r="L33" s="459">
        <v>38.4</v>
      </c>
      <c r="M33" s="460">
        <v>41.3</v>
      </c>
      <c r="N33" s="360">
        <v>39.849999999999994</v>
      </c>
      <c r="O33" s="360">
        <v>39.849999999999994</v>
      </c>
      <c r="P33" s="457"/>
      <c r="Q33" s="464" t="s">
        <v>607</v>
      </c>
    </row>
    <row r="34" spans="1:17" ht="45">
      <c r="A34" s="435">
        <v>46056</v>
      </c>
      <c r="B34" s="437" t="s">
        <v>751</v>
      </c>
      <c r="C34" s="448" t="s">
        <v>757</v>
      </c>
      <c r="D34" s="360" t="s">
        <v>756</v>
      </c>
      <c r="E34" s="361">
        <v>46101</v>
      </c>
      <c r="F34" s="360" t="s">
        <v>603</v>
      </c>
      <c r="G34" s="360" t="s">
        <v>138</v>
      </c>
      <c r="H34" s="360" t="s">
        <v>826</v>
      </c>
      <c r="I34" s="360"/>
      <c r="J34" s="458">
        <v>229.18</v>
      </c>
      <c r="K34" s="360">
        <v>0</v>
      </c>
      <c r="L34" s="459">
        <v>21.3</v>
      </c>
      <c r="M34" s="460">
        <v>23</v>
      </c>
      <c r="N34" s="360">
        <v>22.15</v>
      </c>
      <c r="O34" s="360">
        <v>22.15</v>
      </c>
      <c r="P34" s="457"/>
      <c r="Q34" s="464" t="s">
        <v>607</v>
      </c>
    </row>
    <row r="35" spans="1:17" ht="45">
      <c r="A35" s="435">
        <v>46056</v>
      </c>
      <c r="B35" s="437" t="s">
        <v>760</v>
      </c>
      <c r="C35" s="448" t="s">
        <v>762</v>
      </c>
      <c r="D35" s="360" t="s">
        <v>763</v>
      </c>
      <c r="E35" s="361">
        <v>46101</v>
      </c>
      <c r="F35" s="360" t="s">
        <v>603</v>
      </c>
      <c r="G35" s="360" t="s">
        <v>138</v>
      </c>
      <c r="H35" s="360" t="s">
        <v>817</v>
      </c>
      <c r="I35" s="360"/>
      <c r="J35" s="458">
        <v>79.94</v>
      </c>
      <c r="K35" s="360">
        <v>0</v>
      </c>
      <c r="L35" s="459">
        <v>0.14000000000000001</v>
      </c>
      <c r="M35" s="460">
        <v>0.19</v>
      </c>
      <c r="N35" s="360">
        <v>0.16500000000000001</v>
      </c>
      <c r="O35" s="360">
        <v>0.16500000000000001</v>
      </c>
      <c r="P35" s="457"/>
      <c r="Q35" s="464" t="s">
        <v>607</v>
      </c>
    </row>
    <row r="36" spans="1:17" ht="45">
      <c r="A36" s="435">
        <v>46056</v>
      </c>
      <c r="B36" s="437" t="s">
        <v>761</v>
      </c>
      <c r="C36" s="448" t="s">
        <v>764</v>
      </c>
      <c r="D36" s="360" t="s">
        <v>763</v>
      </c>
      <c r="E36" s="361">
        <v>46101</v>
      </c>
      <c r="F36" s="360" t="s">
        <v>598</v>
      </c>
      <c r="G36" s="360" t="s">
        <v>138</v>
      </c>
      <c r="H36" s="360" t="s">
        <v>848</v>
      </c>
      <c r="I36" s="360"/>
      <c r="J36" s="458">
        <v>79.94</v>
      </c>
      <c r="K36" s="360">
        <v>3.0600000000000023</v>
      </c>
      <c r="L36" s="459">
        <v>5.35</v>
      </c>
      <c r="M36" s="460">
        <v>5.55</v>
      </c>
      <c r="N36" s="360">
        <v>5.4499999999999993</v>
      </c>
      <c r="O36" s="360">
        <v>5.4499999999999993</v>
      </c>
      <c r="P36" s="457"/>
      <c r="Q36" s="464" t="s">
        <v>607</v>
      </c>
    </row>
    <row r="37" spans="1:17" ht="45">
      <c r="A37" s="435">
        <v>46056</v>
      </c>
      <c r="B37" s="437" t="s">
        <v>759</v>
      </c>
      <c r="C37" s="448" t="s">
        <v>765</v>
      </c>
      <c r="D37" s="360" t="s">
        <v>763</v>
      </c>
      <c r="E37" s="361">
        <v>46101</v>
      </c>
      <c r="F37" s="360" t="s">
        <v>598</v>
      </c>
      <c r="G37" s="360" t="s">
        <v>138</v>
      </c>
      <c r="H37" s="360" t="s">
        <v>849</v>
      </c>
      <c r="I37" s="360"/>
      <c r="J37" s="458">
        <v>79.94</v>
      </c>
      <c r="K37" s="360">
        <v>12.060000000000002</v>
      </c>
      <c r="L37" s="459">
        <v>12.25</v>
      </c>
      <c r="M37" s="460">
        <v>12.8</v>
      </c>
      <c r="N37" s="360">
        <v>12.525</v>
      </c>
      <c r="O37" s="360">
        <v>12.525</v>
      </c>
      <c r="P37" s="457"/>
      <c r="Q37" s="464" t="s">
        <v>607</v>
      </c>
    </row>
    <row r="38" spans="1:17" ht="45">
      <c r="A38" s="435">
        <v>46056</v>
      </c>
      <c r="B38" s="437" t="s">
        <v>767</v>
      </c>
      <c r="C38" s="448" t="s">
        <v>770</v>
      </c>
      <c r="D38" s="360" t="s">
        <v>733</v>
      </c>
      <c r="E38" s="361">
        <v>46101</v>
      </c>
      <c r="F38" s="360" t="s">
        <v>598</v>
      </c>
      <c r="G38" s="360" t="s">
        <v>138</v>
      </c>
      <c r="H38" s="360" t="s">
        <v>850</v>
      </c>
      <c r="I38" s="360"/>
      <c r="J38" s="458">
        <v>75.540000000000006</v>
      </c>
      <c r="K38" s="360">
        <v>0</v>
      </c>
      <c r="L38" s="459">
        <v>6.25</v>
      </c>
      <c r="M38" s="460">
        <v>6.5</v>
      </c>
      <c r="N38" s="360">
        <v>6.375</v>
      </c>
      <c r="O38" s="360">
        <v>6.375</v>
      </c>
      <c r="P38" s="457"/>
      <c r="Q38" s="464" t="s">
        <v>607</v>
      </c>
    </row>
    <row r="39" spans="1:17" ht="45">
      <c r="A39" s="435">
        <v>46056</v>
      </c>
      <c r="B39" s="437" t="s">
        <v>766</v>
      </c>
      <c r="C39" s="448" t="s">
        <v>771</v>
      </c>
      <c r="D39" s="360" t="s">
        <v>733</v>
      </c>
      <c r="E39" s="361">
        <v>46101</v>
      </c>
      <c r="F39" s="360" t="s">
        <v>598</v>
      </c>
      <c r="G39" s="360" t="s">
        <v>138</v>
      </c>
      <c r="H39" s="360" t="s">
        <v>851</v>
      </c>
      <c r="I39" s="360"/>
      <c r="J39" s="458">
        <v>75.540000000000006</v>
      </c>
      <c r="K39" s="360">
        <v>9.4599999999999937</v>
      </c>
      <c r="L39" s="459">
        <v>12.5</v>
      </c>
      <c r="M39" s="460">
        <v>12.85</v>
      </c>
      <c r="N39" s="360">
        <v>12.675000000000001</v>
      </c>
      <c r="O39" s="360">
        <v>12.675000000000001</v>
      </c>
      <c r="P39" s="457"/>
      <c r="Q39" s="464" t="s">
        <v>607</v>
      </c>
    </row>
    <row r="40" spans="1:17" ht="45">
      <c r="A40" s="435">
        <v>46056</v>
      </c>
      <c r="B40" s="437" t="s">
        <v>774</v>
      </c>
      <c r="C40" s="448" t="s">
        <v>780</v>
      </c>
      <c r="D40" s="360" t="s">
        <v>781</v>
      </c>
      <c r="E40" s="361">
        <v>46191</v>
      </c>
      <c r="F40" s="360" t="s">
        <v>603</v>
      </c>
      <c r="G40" s="360" t="s">
        <v>138</v>
      </c>
      <c r="H40" s="360" t="s">
        <v>852</v>
      </c>
      <c r="I40" s="360"/>
      <c r="J40" s="458">
        <v>320.33</v>
      </c>
      <c r="K40" s="360">
        <v>0</v>
      </c>
      <c r="L40" s="459">
        <v>29.75</v>
      </c>
      <c r="M40" s="460">
        <v>30.6</v>
      </c>
      <c r="N40" s="360">
        <v>30.175000000000001</v>
      </c>
      <c r="O40" s="360">
        <v>30.175000000000001</v>
      </c>
      <c r="P40" s="457"/>
      <c r="Q40" s="464" t="s">
        <v>607</v>
      </c>
    </row>
    <row r="41" spans="1:17" ht="45">
      <c r="A41" s="435">
        <v>46056</v>
      </c>
      <c r="B41" s="437" t="s">
        <v>776</v>
      </c>
      <c r="C41" s="448" t="s">
        <v>782</v>
      </c>
      <c r="D41" s="360" t="s">
        <v>781</v>
      </c>
      <c r="E41" s="361">
        <v>46191</v>
      </c>
      <c r="F41" s="360" t="s">
        <v>603</v>
      </c>
      <c r="G41" s="360" t="s">
        <v>138</v>
      </c>
      <c r="H41" s="360" t="s">
        <v>853</v>
      </c>
      <c r="I41" s="360"/>
      <c r="J41" s="458">
        <v>320.33</v>
      </c>
      <c r="K41" s="360">
        <v>0</v>
      </c>
      <c r="L41" s="459">
        <v>14.2</v>
      </c>
      <c r="M41" s="460">
        <v>14.75</v>
      </c>
      <c r="N41" s="360">
        <v>14.475</v>
      </c>
      <c r="O41" s="360">
        <v>14.475</v>
      </c>
      <c r="P41" s="457"/>
      <c r="Q41" s="464" t="s">
        <v>607</v>
      </c>
    </row>
    <row r="42" spans="1:17" ht="45">
      <c r="A42" s="435">
        <v>46056</v>
      </c>
      <c r="B42" s="437" t="s">
        <v>775</v>
      </c>
      <c r="C42" s="448" t="s">
        <v>783</v>
      </c>
      <c r="D42" s="360" t="s">
        <v>781</v>
      </c>
      <c r="E42" s="361">
        <v>46191</v>
      </c>
      <c r="F42" s="360" t="s">
        <v>598</v>
      </c>
      <c r="G42" s="360" t="s">
        <v>138</v>
      </c>
      <c r="H42" s="360" t="s">
        <v>854</v>
      </c>
      <c r="I42" s="360"/>
      <c r="J42" s="458">
        <v>320.33</v>
      </c>
      <c r="K42" s="360">
        <v>0</v>
      </c>
      <c r="L42" s="459">
        <v>17</v>
      </c>
      <c r="M42" s="460">
        <v>17.600000000000001</v>
      </c>
      <c r="N42" s="360">
        <v>17.3</v>
      </c>
      <c r="O42" s="360">
        <v>17.3</v>
      </c>
      <c r="P42" s="457"/>
      <c r="Q42" s="464" t="s">
        <v>607</v>
      </c>
    </row>
    <row r="43" spans="1:17" ht="45">
      <c r="A43" s="435">
        <v>46056</v>
      </c>
      <c r="B43" s="437" t="s">
        <v>773</v>
      </c>
      <c r="C43" s="448" t="s">
        <v>784</v>
      </c>
      <c r="D43" s="360" t="s">
        <v>781</v>
      </c>
      <c r="E43" s="361">
        <v>46191</v>
      </c>
      <c r="F43" s="360" t="s">
        <v>598</v>
      </c>
      <c r="G43" s="360" t="s">
        <v>138</v>
      </c>
      <c r="H43" s="360" t="s">
        <v>824</v>
      </c>
      <c r="I43" s="360"/>
      <c r="J43" s="458">
        <v>320.33</v>
      </c>
      <c r="K43" s="360">
        <v>0</v>
      </c>
      <c r="L43" s="459">
        <v>28.2</v>
      </c>
      <c r="M43" s="460">
        <v>28.75</v>
      </c>
      <c r="N43" s="360">
        <v>28.475000000000001</v>
      </c>
      <c r="O43" s="360">
        <v>28.475000000000001</v>
      </c>
      <c r="P43" s="457"/>
      <c r="Q43" s="464" t="s">
        <v>607</v>
      </c>
    </row>
    <row r="44" spans="1:17" ht="45">
      <c r="A44" s="435">
        <v>46056</v>
      </c>
      <c r="B44" s="437" t="s">
        <v>777</v>
      </c>
      <c r="C44" s="448" t="s">
        <v>785</v>
      </c>
      <c r="D44" s="360" t="s">
        <v>743</v>
      </c>
      <c r="E44" s="361">
        <v>46129</v>
      </c>
      <c r="F44" s="360" t="s">
        <v>598</v>
      </c>
      <c r="G44" s="360" t="s">
        <v>138</v>
      </c>
      <c r="H44" s="360" t="s">
        <v>855</v>
      </c>
      <c r="I44" s="360"/>
      <c r="J44" s="458">
        <v>691.7</v>
      </c>
      <c r="K44" s="360">
        <v>0</v>
      </c>
      <c r="L44" s="459">
        <v>8.1999999999999993</v>
      </c>
      <c r="M44" s="460">
        <v>8.35</v>
      </c>
      <c r="N44" s="360">
        <v>8.2749999999999986</v>
      </c>
      <c r="O44" s="360">
        <v>8.2749999999999986</v>
      </c>
      <c r="P44" s="457"/>
      <c r="Q44" s="464" t="s">
        <v>607</v>
      </c>
    </row>
    <row r="45" spans="1:17" ht="45">
      <c r="A45" s="435">
        <v>46056</v>
      </c>
      <c r="B45" s="437" t="s">
        <v>769</v>
      </c>
      <c r="C45" s="448" t="s">
        <v>786</v>
      </c>
      <c r="D45" s="360" t="s">
        <v>610</v>
      </c>
      <c r="E45" s="361">
        <v>46101</v>
      </c>
      <c r="F45" s="360" t="s">
        <v>603</v>
      </c>
      <c r="G45" s="360" t="s">
        <v>138</v>
      </c>
      <c r="H45" s="360" t="s">
        <v>836</v>
      </c>
      <c r="I45" s="360"/>
      <c r="J45" s="458">
        <v>335.75</v>
      </c>
      <c r="K45" s="360">
        <v>5.75</v>
      </c>
      <c r="L45" s="459">
        <v>21.05</v>
      </c>
      <c r="M45" s="460">
        <v>23.05</v>
      </c>
      <c r="N45" s="360">
        <v>22.05</v>
      </c>
      <c r="O45" s="360">
        <v>22.05</v>
      </c>
      <c r="P45" s="457"/>
      <c r="Q45" s="464" t="s">
        <v>607</v>
      </c>
    </row>
    <row r="46" spans="1:17" ht="45">
      <c r="A46" s="435">
        <v>46056</v>
      </c>
      <c r="B46" s="437" t="s">
        <v>768</v>
      </c>
      <c r="C46" s="448" t="s">
        <v>787</v>
      </c>
      <c r="D46" s="360" t="s">
        <v>610</v>
      </c>
      <c r="E46" s="361">
        <v>46101</v>
      </c>
      <c r="F46" s="360" t="s">
        <v>603</v>
      </c>
      <c r="G46" s="360" t="s">
        <v>138</v>
      </c>
      <c r="H46" s="360" t="s">
        <v>824</v>
      </c>
      <c r="I46" s="360"/>
      <c r="J46" s="458">
        <v>335.75</v>
      </c>
      <c r="K46" s="360">
        <v>35.75</v>
      </c>
      <c r="L46" s="459">
        <v>41.7</v>
      </c>
      <c r="M46" s="460">
        <v>43.9</v>
      </c>
      <c r="N46" s="360">
        <v>42.8</v>
      </c>
      <c r="O46" s="360">
        <v>42.8</v>
      </c>
      <c r="P46" s="457"/>
      <c r="Q46" s="464" t="s">
        <v>607</v>
      </c>
    </row>
    <row r="47" spans="1:17" ht="45">
      <c r="A47" s="435">
        <v>46056</v>
      </c>
      <c r="B47" s="437" t="s">
        <v>778</v>
      </c>
      <c r="C47" s="448" t="s">
        <v>788</v>
      </c>
      <c r="D47" s="360" t="s">
        <v>743</v>
      </c>
      <c r="E47" s="361">
        <v>46129</v>
      </c>
      <c r="F47" s="360" t="s">
        <v>598</v>
      </c>
      <c r="G47" s="360" t="s">
        <v>138</v>
      </c>
      <c r="H47" s="360" t="s">
        <v>856</v>
      </c>
      <c r="I47" s="360"/>
      <c r="J47" s="458">
        <v>691.7</v>
      </c>
      <c r="K47" s="360">
        <v>0</v>
      </c>
      <c r="L47" s="459">
        <v>5</v>
      </c>
      <c r="M47" s="460">
        <v>5.0999999999999996</v>
      </c>
      <c r="N47" s="360">
        <v>5.05</v>
      </c>
      <c r="O47" s="360">
        <v>5.05</v>
      </c>
      <c r="P47" s="457"/>
      <c r="Q47" s="464" t="s">
        <v>607</v>
      </c>
    </row>
    <row r="48" spans="1:17">
      <c r="A48" s="435">
        <v>46056</v>
      </c>
      <c r="B48" s="461" t="s">
        <v>896</v>
      </c>
      <c r="C48" s="448" t="s">
        <v>898</v>
      </c>
      <c r="D48" s="360" t="s">
        <v>610</v>
      </c>
      <c r="E48" s="361">
        <v>46191</v>
      </c>
      <c r="F48" s="360" t="s">
        <v>603</v>
      </c>
      <c r="G48" s="360" t="s">
        <v>138</v>
      </c>
      <c r="H48" s="360" t="s">
        <v>899</v>
      </c>
      <c r="I48" s="360"/>
      <c r="J48" s="458">
        <v>335.75</v>
      </c>
      <c r="K48" s="360">
        <v>0</v>
      </c>
      <c r="L48" s="459">
        <v>32.25</v>
      </c>
      <c r="M48" s="460">
        <v>33.6</v>
      </c>
      <c r="N48" s="360">
        <v>32.924999999999997</v>
      </c>
      <c r="O48" s="360">
        <v>32.924999999999997</v>
      </c>
      <c r="P48" s="457"/>
      <c r="Q48" s="464" t="s">
        <v>607</v>
      </c>
    </row>
    <row r="49" spans="1:17">
      <c r="A49" s="435">
        <v>46056</v>
      </c>
      <c r="B49" s="461" t="s">
        <v>897</v>
      </c>
      <c r="C49" s="448" t="s">
        <v>900</v>
      </c>
      <c r="D49" s="360" t="s">
        <v>610</v>
      </c>
      <c r="E49" s="361">
        <v>46191</v>
      </c>
      <c r="F49" s="360" t="s">
        <v>603</v>
      </c>
      <c r="G49" s="360" t="s">
        <v>138</v>
      </c>
      <c r="H49" s="360" t="s">
        <v>901</v>
      </c>
      <c r="I49" s="360"/>
      <c r="J49" s="458">
        <v>335.75</v>
      </c>
      <c r="K49" s="360">
        <v>0</v>
      </c>
      <c r="L49" s="459">
        <v>17.55</v>
      </c>
      <c r="M49" s="460">
        <v>18.3</v>
      </c>
      <c r="N49" s="360">
        <v>17.925000000000001</v>
      </c>
      <c r="O49" s="360">
        <v>17.925000000000001</v>
      </c>
      <c r="P49" s="457"/>
      <c r="Q49" s="464" t="s">
        <v>607</v>
      </c>
    </row>
    <row r="50" spans="1:17">
      <c r="A50" s="435">
        <v>46056</v>
      </c>
      <c r="B50" s="461" t="s">
        <v>895</v>
      </c>
      <c r="C50" s="448" t="s">
        <v>902</v>
      </c>
      <c r="D50" s="360" t="s">
        <v>903</v>
      </c>
      <c r="E50" s="361">
        <v>46073</v>
      </c>
      <c r="F50" s="360" t="s">
        <v>603</v>
      </c>
      <c r="G50" s="360" t="s">
        <v>138</v>
      </c>
      <c r="H50" s="360" t="s">
        <v>904</v>
      </c>
      <c r="I50" s="360"/>
      <c r="J50" s="453">
        <v>33.24</v>
      </c>
      <c r="K50" s="360">
        <v>0</v>
      </c>
      <c r="L50" s="454">
        <v>8.8666321527705205E-2</v>
      </c>
      <c r="M50" s="455">
        <v>8.8666321527705205E-2</v>
      </c>
      <c r="N50" s="360">
        <v>8.8666321527705205E-2</v>
      </c>
      <c r="O50" s="360">
        <v>9.037163967070784E-2</v>
      </c>
      <c r="P50" s="457">
        <v>19.900490532652899</v>
      </c>
      <c r="Q50" s="464" t="s">
        <v>600</v>
      </c>
    </row>
    <row r="51" spans="1:17">
      <c r="A51" s="435">
        <v>46056</v>
      </c>
      <c r="B51" s="461" t="s">
        <v>925</v>
      </c>
      <c r="C51" s="448" t="s">
        <v>927</v>
      </c>
      <c r="D51" s="360" t="s">
        <v>928</v>
      </c>
      <c r="E51" s="361">
        <v>46283</v>
      </c>
      <c r="F51" s="360" t="s">
        <v>603</v>
      </c>
      <c r="G51" s="360" t="s">
        <v>138</v>
      </c>
      <c r="H51" s="360" t="s">
        <v>929</v>
      </c>
      <c r="I51" s="360"/>
      <c r="J51" s="458">
        <v>98.22</v>
      </c>
      <c r="K51" s="360">
        <v>0</v>
      </c>
      <c r="L51" s="459">
        <v>8.9</v>
      </c>
      <c r="M51" s="460">
        <v>9.3000000000000007</v>
      </c>
      <c r="N51" s="360">
        <v>9.1000000000000014</v>
      </c>
      <c r="O51" s="360">
        <v>9.1000000000000014</v>
      </c>
      <c r="P51" s="457"/>
      <c r="Q51" s="464" t="s">
        <v>607</v>
      </c>
    </row>
    <row r="52" spans="1:17">
      <c r="A52" s="435">
        <v>46056</v>
      </c>
      <c r="B52" s="461" t="s">
        <v>924</v>
      </c>
      <c r="C52" s="448" t="s">
        <v>930</v>
      </c>
      <c r="D52" s="360" t="s">
        <v>928</v>
      </c>
      <c r="E52" s="361">
        <v>46283</v>
      </c>
      <c r="F52" s="360" t="s">
        <v>603</v>
      </c>
      <c r="G52" s="360" t="s">
        <v>138</v>
      </c>
      <c r="H52" s="360" t="s">
        <v>931</v>
      </c>
      <c r="I52" s="360"/>
      <c r="J52" s="458">
        <v>98.22</v>
      </c>
      <c r="K52" s="360">
        <v>0</v>
      </c>
      <c r="L52" s="459">
        <v>11.45</v>
      </c>
      <c r="M52" s="460">
        <v>12.95</v>
      </c>
      <c r="N52" s="360">
        <v>12.2</v>
      </c>
      <c r="O52" s="360">
        <v>12.2</v>
      </c>
      <c r="P52" s="457"/>
      <c r="Q52" s="464" t="s">
        <v>607</v>
      </c>
    </row>
    <row r="53" spans="1:17">
      <c r="A53" s="435">
        <v>46056</v>
      </c>
      <c r="B53" s="461" t="s">
        <v>934</v>
      </c>
      <c r="C53" s="448" t="s">
        <v>938</v>
      </c>
      <c r="D53" s="360" t="s">
        <v>939</v>
      </c>
      <c r="E53" s="361">
        <v>46073</v>
      </c>
      <c r="F53" s="360" t="s">
        <v>603</v>
      </c>
      <c r="G53" s="360" t="s">
        <v>138</v>
      </c>
      <c r="H53" s="360" t="s">
        <v>940</v>
      </c>
      <c r="I53" s="360"/>
      <c r="J53" s="458">
        <v>695.51</v>
      </c>
      <c r="K53" s="360">
        <v>195.51</v>
      </c>
      <c r="L53" s="459">
        <v>197</v>
      </c>
      <c r="M53" s="460">
        <v>207.5</v>
      </c>
      <c r="N53" s="360">
        <v>202.25</v>
      </c>
      <c r="O53" s="360">
        <v>202.25</v>
      </c>
      <c r="P53" s="457"/>
      <c r="Q53" s="464" t="s">
        <v>607</v>
      </c>
    </row>
    <row r="54" spans="1:17">
      <c r="A54" s="435">
        <v>46056</v>
      </c>
      <c r="B54" s="461" t="s">
        <v>941</v>
      </c>
      <c r="C54" s="448" t="s">
        <v>942</v>
      </c>
      <c r="D54" s="360" t="s">
        <v>608</v>
      </c>
      <c r="E54" s="361">
        <v>46073</v>
      </c>
      <c r="F54" s="360" t="s">
        <v>603</v>
      </c>
      <c r="G54" s="360" t="s">
        <v>138</v>
      </c>
      <c r="H54" s="360" t="s">
        <v>904</v>
      </c>
      <c r="I54" s="360"/>
      <c r="J54" s="453">
        <v>38.04</v>
      </c>
      <c r="K54" s="360">
        <v>3.0399999999999991</v>
      </c>
      <c r="L54" s="454">
        <v>3.2910983117555408</v>
      </c>
      <c r="M54" s="455">
        <v>3.2910983117555408</v>
      </c>
      <c r="N54" s="360">
        <v>3.2910983117555408</v>
      </c>
      <c r="O54" s="360">
        <v>3.2950623941973474</v>
      </c>
      <c r="P54" s="457">
        <v>36.285137905641221</v>
      </c>
      <c r="Q54" s="464" t="s">
        <v>600</v>
      </c>
    </row>
    <row r="55" spans="1:17">
      <c r="A55" s="435">
        <v>46056</v>
      </c>
      <c r="B55" t="s">
        <v>935</v>
      </c>
      <c r="C55" s="448" t="s">
        <v>943</v>
      </c>
      <c r="D55" s="360" t="s">
        <v>733</v>
      </c>
      <c r="E55" s="361">
        <v>46101</v>
      </c>
      <c r="F55" s="360" t="s">
        <v>598</v>
      </c>
      <c r="G55" s="360" t="s">
        <v>138</v>
      </c>
      <c r="H55" s="360" t="s">
        <v>944</v>
      </c>
      <c r="I55" s="360"/>
      <c r="J55" s="458">
        <v>75.540000000000006</v>
      </c>
      <c r="K55" s="360">
        <v>0</v>
      </c>
      <c r="L55" s="459">
        <v>3.95</v>
      </c>
      <c r="M55" s="460">
        <v>4.25</v>
      </c>
      <c r="N55" s="360">
        <v>4.0999999999999996</v>
      </c>
      <c r="O55" s="360">
        <v>4.0999999999999996</v>
      </c>
      <c r="P55" s="457"/>
      <c r="Q55" s="464" t="s">
        <v>607</v>
      </c>
    </row>
    <row r="56" spans="1:17">
      <c r="A56" s="435">
        <v>46056</v>
      </c>
      <c r="B56" t="s">
        <v>946</v>
      </c>
      <c r="C56" s="448" t="s">
        <v>953</v>
      </c>
      <c r="D56" s="360" t="s">
        <v>939</v>
      </c>
      <c r="E56" s="361">
        <v>46073</v>
      </c>
      <c r="F56" s="360" t="s">
        <v>603</v>
      </c>
      <c r="G56" s="360" t="s">
        <v>138</v>
      </c>
      <c r="H56" s="360" t="s">
        <v>831</v>
      </c>
      <c r="I56" s="360"/>
      <c r="J56" s="458">
        <v>695.51</v>
      </c>
      <c r="K56" s="360">
        <v>145.51</v>
      </c>
      <c r="L56" s="459">
        <v>158.30000000000001</v>
      </c>
      <c r="M56" s="460">
        <v>165.8</v>
      </c>
      <c r="N56" s="360">
        <v>162.05000000000001</v>
      </c>
      <c r="O56" s="360">
        <v>162.05000000000001</v>
      </c>
      <c r="P56" s="457"/>
      <c r="Q56" s="464" t="s">
        <v>607</v>
      </c>
    </row>
    <row r="57" spans="1:17">
      <c r="A57" s="435">
        <v>46056</v>
      </c>
      <c r="B57" t="s">
        <v>949</v>
      </c>
      <c r="C57" s="448" t="s">
        <v>954</v>
      </c>
      <c r="D57" s="360" t="s">
        <v>743</v>
      </c>
      <c r="E57" s="361">
        <v>46220</v>
      </c>
      <c r="F57" s="360" t="s">
        <v>603</v>
      </c>
      <c r="G57" s="360" t="s">
        <v>138</v>
      </c>
      <c r="H57" s="360" t="s">
        <v>955</v>
      </c>
      <c r="I57" s="360"/>
      <c r="J57" s="458">
        <v>691.7</v>
      </c>
      <c r="K57" s="360">
        <v>21.700000000000045</v>
      </c>
      <c r="L57" s="459">
        <v>77.55</v>
      </c>
      <c r="M57" s="460">
        <v>79.8</v>
      </c>
      <c r="N57" s="360">
        <v>78.674999999999997</v>
      </c>
      <c r="O57" s="360">
        <v>78.674999999999997</v>
      </c>
      <c r="P57" s="457"/>
      <c r="Q57" s="464" t="s">
        <v>607</v>
      </c>
    </row>
    <row r="58" spans="1:17">
      <c r="A58" s="435">
        <v>46056</v>
      </c>
      <c r="B58" t="s">
        <v>948</v>
      </c>
      <c r="C58" s="448" t="s">
        <v>956</v>
      </c>
      <c r="D58" s="360" t="s">
        <v>705</v>
      </c>
      <c r="E58" s="361">
        <v>46220</v>
      </c>
      <c r="F58" s="360" t="s">
        <v>603</v>
      </c>
      <c r="G58" s="360" t="s">
        <v>138</v>
      </c>
      <c r="H58" s="360" t="s">
        <v>957</v>
      </c>
      <c r="I58" s="360"/>
      <c r="J58" s="458">
        <v>238.62</v>
      </c>
      <c r="K58" s="360">
        <v>0</v>
      </c>
      <c r="L58" s="459">
        <v>21.8</v>
      </c>
      <c r="M58" s="460">
        <v>21.95</v>
      </c>
      <c r="N58" s="360">
        <v>21.875</v>
      </c>
      <c r="O58" s="360">
        <v>21.875</v>
      </c>
      <c r="P58" s="457"/>
      <c r="Q58" s="464" t="s">
        <v>607</v>
      </c>
    </row>
    <row r="59" spans="1:17">
      <c r="A59" s="435">
        <v>46056</v>
      </c>
      <c r="B59" s="457" t="s">
        <v>958</v>
      </c>
      <c r="C59" s="448" t="s">
        <v>959</v>
      </c>
      <c r="D59" s="360" t="s">
        <v>960</v>
      </c>
      <c r="E59" s="361">
        <v>46366</v>
      </c>
      <c r="F59" s="360" t="s">
        <v>603</v>
      </c>
      <c r="G59" s="360" t="s">
        <v>779</v>
      </c>
      <c r="H59" s="360" t="s">
        <v>961</v>
      </c>
      <c r="I59" s="360"/>
      <c r="J59" s="453">
        <v>779.54</v>
      </c>
      <c r="K59" s="360">
        <v>0</v>
      </c>
      <c r="L59" s="453">
        <v>36.134112814727679</v>
      </c>
      <c r="M59" s="453">
        <v>36.134112814727679</v>
      </c>
      <c r="N59" s="453">
        <v>36.134112814727679</v>
      </c>
      <c r="O59" s="453">
        <v>36.161097780951721</v>
      </c>
      <c r="P59" s="360">
        <v>34.266160443359723</v>
      </c>
      <c r="Q59" s="464" t="s">
        <v>600</v>
      </c>
    </row>
    <row r="60" spans="1:17">
      <c r="A60" s="435">
        <v>46056</v>
      </c>
      <c r="B60" t="s">
        <v>947</v>
      </c>
      <c r="C60" s="448" t="s">
        <v>962</v>
      </c>
      <c r="D60" s="360" t="s">
        <v>753</v>
      </c>
      <c r="E60" s="361">
        <v>46101</v>
      </c>
      <c r="F60" s="360" t="s">
        <v>603</v>
      </c>
      <c r="G60" s="360" t="s">
        <v>138</v>
      </c>
      <c r="H60" s="360" t="s">
        <v>963</v>
      </c>
      <c r="I60" s="360"/>
      <c r="J60" s="458">
        <v>435.1</v>
      </c>
      <c r="K60" s="360">
        <v>15.100000000000023</v>
      </c>
      <c r="L60" s="459">
        <v>73.5</v>
      </c>
      <c r="M60" s="460">
        <v>77.3</v>
      </c>
      <c r="N60" s="360">
        <v>75.400000000000006</v>
      </c>
      <c r="O60" s="360">
        <v>75.400000000000006</v>
      </c>
      <c r="P60" s="457"/>
      <c r="Q60" s="464" t="s">
        <v>607</v>
      </c>
    </row>
    <row r="61" spans="1:17">
      <c r="A61" s="435">
        <v>46056</v>
      </c>
      <c r="B61" t="s">
        <v>950</v>
      </c>
      <c r="C61" s="448" t="s">
        <v>964</v>
      </c>
      <c r="D61" s="360" t="s">
        <v>609</v>
      </c>
      <c r="E61" s="361">
        <v>46220</v>
      </c>
      <c r="F61" s="360" t="s">
        <v>603</v>
      </c>
      <c r="G61" s="360" t="s">
        <v>138</v>
      </c>
      <c r="H61" s="360" t="s">
        <v>839</v>
      </c>
      <c r="I61" s="360"/>
      <c r="J61" s="458">
        <v>411.21</v>
      </c>
      <c r="K61" s="360">
        <v>0</v>
      </c>
      <c r="L61" s="459">
        <v>13.7</v>
      </c>
      <c r="M61" s="460">
        <v>13.85</v>
      </c>
      <c r="N61" s="360">
        <v>13.774999999999999</v>
      </c>
      <c r="O61" s="360">
        <v>13.774999999999999</v>
      </c>
      <c r="P61" s="457"/>
      <c r="Q61" s="464" t="s">
        <v>607</v>
      </c>
    </row>
    <row r="62" spans="1:17">
      <c r="A62" s="435">
        <v>46056</v>
      </c>
      <c r="B62" t="s">
        <v>951</v>
      </c>
      <c r="C62" s="448" t="s">
        <v>965</v>
      </c>
      <c r="D62" s="360" t="s">
        <v>623</v>
      </c>
      <c r="E62" s="361">
        <v>46059</v>
      </c>
      <c r="F62" s="360" t="s">
        <v>603</v>
      </c>
      <c r="G62" s="360" t="s">
        <v>138</v>
      </c>
      <c r="H62" s="360" t="s">
        <v>966</v>
      </c>
      <c r="I62" s="360"/>
      <c r="J62" s="458">
        <v>616.52</v>
      </c>
      <c r="K62" s="360">
        <v>0</v>
      </c>
      <c r="L62" s="459">
        <v>0.73</v>
      </c>
      <c r="M62" s="460">
        <v>0.76</v>
      </c>
      <c r="N62" s="360">
        <v>0.745</v>
      </c>
      <c r="O62" s="360">
        <v>0.745</v>
      </c>
      <c r="P62" s="457"/>
      <c r="Q62" s="464" t="s">
        <v>607</v>
      </c>
    </row>
    <row r="63" spans="1:17">
      <c r="A63" s="435">
        <v>46056</v>
      </c>
      <c r="B63" s="447" t="s">
        <v>987</v>
      </c>
      <c r="C63" s="448" t="s">
        <v>988</v>
      </c>
      <c r="D63" s="360" t="s">
        <v>608</v>
      </c>
      <c r="E63" s="361">
        <v>46073</v>
      </c>
      <c r="F63" s="360" t="s">
        <v>603</v>
      </c>
      <c r="G63" s="360" t="s">
        <v>138</v>
      </c>
      <c r="H63" s="360" t="s">
        <v>989</v>
      </c>
      <c r="I63" s="360"/>
      <c r="J63" s="453">
        <v>38.04</v>
      </c>
      <c r="K63" s="360">
        <v>1.0399999999999991</v>
      </c>
      <c r="L63" s="453">
        <v>1.7061329060592549</v>
      </c>
      <c r="M63" s="453">
        <v>1.7061329060592549</v>
      </c>
      <c r="N63" s="453">
        <v>1.7061329060592549</v>
      </c>
      <c r="O63" s="453">
        <v>1.7119460503021833</v>
      </c>
      <c r="P63" s="360">
        <v>33.271757625569009</v>
      </c>
      <c r="Q63" s="464" t="s">
        <v>600</v>
      </c>
    </row>
    <row r="64" spans="1:17">
      <c r="A64" s="435">
        <v>46056</v>
      </c>
      <c r="B64" s="447" t="s">
        <v>984</v>
      </c>
      <c r="C64" s="448" t="s">
        <v>990</v>
      </c>
      <c r="D64" s="360" t="s">
        <v>991</v>
      </c>
      <c r="E64" s="361">
        <v>46220</v>
      </c>
      <c r="F64" s="360" t="s">
        <v>603</v>
      </c>
      <c r="G64" s="360" t="s">
        <v>138</v>
      </c>
      <c r="H64" s="360" t="s">
        <v>992</v>
      </c>
      <c r="I64" s="360"/>
      <c r="J64" s="458">
        <v>49.25</v>
      </c>
      <c r="K64" s="360">
        <v>0</v>
      </c>
      <c r="L64" s="459">
        <v>8</v>
      </c>
      <c r="M64" s="460">
        <v>8.4</v>
      </c>
      <c r="N64" s="360">
        <v>8.1999999999999993</v>
      </c>
      <c r="O64" s="360">
        <v>8.1999999999999993</v>
      </c>
      <c r="P64" s="457"/>
      <c r="Q64" s="464" t="s">
        <v>607</v>
      </c>
    </row>
    <row r="65" spans="1:17">
      <c r="A65" s="435">
        <v>46056</v>
      </c>
      <c r="B65" s="447" t="s">
        <v>985</v>
      </c>
      <c r="C65" s="448" t="s">
        <v>993</v>
      </c>
      <c r="D65" s="360" t="s">
        <v>991</v>
      </c>
      <c r="E65" s="361">
        <v>46220</v>
      </c>
      <c r="F65" s="360" t="s">
        <v>603</v>
      </c>
      <c r="G65" s="360" t="s">
        <v>138</v>
      </c>
      <c r="H65" s="360" t="s">
        <v>994</v>
      </c>
      <c r="I65" s="360"/>
      <c r="J65" s="458">
        <v>49.25</v>
      </c>
      <c r="K65" s="360">
        <v>0</v>
      </c>
      <c r="L65" s="459">
        <v>4.95</v>
      </c>
      <c r="M65" s="460">
        <v>5.35</v>
      </c>
      <c r="N65" s="360">
        <v>5.15</v>
      </c>
      <c r="O65" s="360">
        <v>5.15</v>
      </c>
      <c r="P65" s="457"/>
      <c r="Q65" s="464" t="s">
        <v>607</v>
      </c>
    </row>
    <row r="66" spans="1:17">
      <c r="A66" s="435">
        <v>46056</v>
      </c>
      <c r="B66" s="447" t="s">
        <v>983</v>
      </c>
      <c r="C66" s="448" t="s">
        <v>995</v>
      </c>
      <c r="D66" s="360" t="s">
        <v>991</v>
      </c>
      <c r="E66" s="361">
        <v>46220</v>
      </c>
      <c r="F66" s="360" t="s">
        <v>598</v>
      </c>
      <c r="G66" s="360" t="s">
        <v>138</v>
      </c>
      <c r="H66" s="360" t="s">
        <v>996</v>
      </c>
      <c r="I66" s="360"/>
      <c r="J66" s="458">
        <v>49.25</v>
      </c>
      <c r="K66" s="360">
        <v>0</v>
      </c>
      <c r="L66" s="459">
        <v>2.87</v>
      </c>
      <c r="M66" s="460">
        <v>3.35</v>
      </c>
      <c r="N66" s="360">
        <v>3.1100000000000003</v>
      </c>
      <c r="O66" s="360">
        <v>3.1100000000000003</v>
      </c>
      <c r="P66" s="457"/>
      <c r="Q66" s="464" t="s">
        <v>607</v>
      </c>
    </row>
    <row r="67" spans="1:17">
      <c r="A67" s="435">
        <v>46056</v>
      </c>
      <c r="B67" s="447" t="s">
        <v>986</v>
      </c>
      <c r="C67" s="448" t="s">
        <v>997</v>
      </c>
      <c r="D67" s="360" t="s">
        <v>609</v>
      </c>
      <c r="E67" s="361">
        <v>46220</v>
      </c>
      <c r="F67" s="360" t="s">
        <v>603</v>
      </c>
      <c r="G67" s="360" t="s">
        <v>138</v>
      </c>
      <c r="H67" s="360" t="s">
        <v>998</v>
      </c>
      <c r="I67" s="360"/>
      <c r="J67" s="458">
        <v>411.21</v>
      </c>
      <c r="K67" s="360">
        <v>0</v>
      </c>
      <c r="L67" s="459">
        <v>11.4</v>
      </c>
      <c r="M67" s="460">
        <v>11.55</v>
      </c>
      <c r="N67" s="360">
        <v>11.475000000000001</v>
      </c>
      <c r="O67" s="360">
        <v>11.475000000000001</v>
      </c>
      <c r="P67" s="457"/>
      <c r="Q67" s="464" t="s">
        <v>607</v>
      </c>
    </row>
    <row r="68" spans="1:17">
      <c r="A68" s="435">
        <v>46056</v>
      </c>
      <c r="B68" s="461" t="s">
        <v>1014</v>
      </c>
      <c r="C68" s="448" t="s">
        <v>1027</v>
      </c>
      <c r="D68" s="360" t="s">
        <v>609</v>
      </c>
      <c r="E68" s="361">
        <v>46220</v>
      </c>
      <c r="F68" s="360" t="s">
        <v>603</v>
      </c>
      <c r="G68" s="360" t="s">
        <v>138</v>
      </c>
      <c r="H68" s="360" t="s">
        <v>940</v>
      </c>
      <c r="I68" s="360"/>
      <c r="J68" s="458">
        <v>411.21</v>
      </c>
      <c r="K68" s="360">
        <v>0</v>
      </c>
      <c r="L68" s="459">
        <v>7.1</v>
      </c>
      <c r="M68" s="460">
        <v>7.25</v>
      </c>
      <c r="N68" s="360">
        <v>7.1749999999999998</v>
      </c>
      <c r="O68" s="360">
        <v>7.1749999999999998</v>
      </c>
      <c r="P68" s="457"/>
      <c r="Q68" s="464" t="s">
        <v>607</v>
      </c>
    </row>
    <row r="69" spans="1:17">
      <c r="A69" s="435">
        <v>46056</v>
      </c>
      <c r="B69" s="461" t="s">
        <v>1028</v>
      </c>
      <c r="C69" s="448" t="s">
        <v>1029</v>
      </c>
      <c r="D69" s="360" t="s">
        <v>1030</v>
      </c>
      <c r="E69" s="361">
        <v>46129</v>
      </c>
      <c r="F69" s="360" t="s">
        <v>603</v>
      </c>
      <c r="G69" s="360" t="s">
        <v>138</v>
      </c>
      <c r="H69" s="360" t="s">
        <v>1031</v>
      </c>
      <c r="I69" s="360"/>
      <c r="J69" s="458">
        <v>59.6</v>
      </c>
      <c r="K69" s="360">
        <v>0</v>
      </c>
      <c r="L69" s="459">
        <v>1.59</v>
      </c>
      <c r="M69" s="460">
        <v>1.69</v>
      </c>
      <c r="N69" s="360">
        <v>1.6400000000000001</v>
      </c>
      <c r="O69" s="360">
        <v>1.6400000000000001</v>
      </c>
      <c r="P69" s="457"/>
      <c r="Q69" s="464" t="s">
        <v>607</v>
      </c>
    </row>
    <row r="70" spans="1:17">
      <c r="A70" s="435">
        <v>46056</v>
      </c>
      <c r="B70" s="461" t="s">
        <v>1032</v>
      </c>
      <c r="C70" s="448" t="s">
        <v>1033</v>
      </c>
      <c r="D70" s="360" t="s">
        <v>1030</v>
      </c>
      <c r="E70" s="361">
        <v>46129</v>
      </c>
      <c r="F70" s="360" t="s">
        <v>603</v>
      </c>
      <c r="G70" s="360" t="s">
        <v>138</v>
      </c>
      <c r="H70" s="360" t="s">
        <v>1034</v>
      </c>
      <c r="I70" s="360"/>
      <c r="J70" s="458">
        <v>59.6</v>
      </c>
      <c r="K70" s="360">
        <v>0</v>
      </c>
      <c r="L70" s="459">
        <v>0.4</v>
      </c>
      <c r="M70" s="460">
        <v>0.5</v>
      </c>
      <c r="N70" s="360">
        <v>0.45</v>
      </c>
      <c r="O70" s="360">
        <v>0.45</v>
      </c>
      <c r="P70" s="457"/>
      <c r="Q70" s="464" t="s">
        <v>607</v>
      </c>
    </row>
    <row r="71" spans="1:17">
      <c r="A71" s="435">
        <v>46056</v>
      </c>
      <c r="B71" t="s">
        <v>1035</v>
      </c>
      <c r="C71" s="448" t="s">
        <v>1036</v>
      </c>
      <c r="D71" s="360" t="s">
        <v>1030</v>
      </c>
      <c r="E71" s="361">
        <v>46073</v>
      </c>
      <c r="F71" s="360" t="s">
        <v>603</v>
      </c>
      <c r="G71" s="360" t="s">
        <v>138</v>
      </c>
      <c r="H71" s="360" t="s">
        <v>1031</v>
      </c>
      <c r="I71" s="360"/>
      <c r="J71" s="458">
        <v>59.6</v>
      </c>
      <c r="K71" s="360">
        <v>0</v>
      </c>
      <c r="L71" s="459">
        <v>0.47</v>
      </c>
      <c r="M71" s="460">
        <v>0.53</v>
      </c>
      <c r="N71" s="360">
        <v>0.5</v>
      </c>
      <c r="O71" s="360">
        <v>0.5</v>
      </c>
      <c r="P71" s="457"/>
      <c r="Q71" s="464" t="s">
        <v>607</v>
      </c>
    </row>
    <row r="72" spans="1:17">
      <c r="A72" s="435">
        <v>46056</v>
      </c>
      <c r="B72" t="s">
        <v>1044</v>
      </c>
      <c r="C72" s="448" t="s">
        <v>1063</v>
      </c>
      <c r="D72" s="360" t="s">
        <v>1064</v>
      </c>
      <c r="E72" s="361">
        <v>46059</v>
      </c>
      <c r="F72" s="360" t="s">
        <v>603</v>
      </c>
      <c r="G72" s="360" t="s">
        <v>138</v>
      </c>
      <c r="H72" s="360" t="s">
        <v>1065</v>
      </c>
      <c r="I72" s="360"/>
      <c r="J72" s="458">
        <v>180.34</v>
      </c>
      <c r="K72" s="360">
        <v>0</v>
      </c>
      <c r="L72" s="459">
        <v>0.11</v>
      </c>
      <c r="M72" s="460">
        <v>0.12</v>
      </c>
      <c r="N72" s="360">
        <v>0.11499999999999999</v>
      </c>
      <c r="O72" s="360">
        <v>0.11499999999999999</v>
      </c>
      <c r="P72" s="457"/>
      <c r="Q72" s="464" t="s">
        <v>607</v>
      </c>
    </row>
    <row r="73" spans="1:17">
      <c r="A73" s="435">
        <v>46056</v>
      </c>
      <c r="B73" t="s">
        <v>1045</v>
      </c>
      <c r="C73" s="448" t="s">
        <v>1066</v>
      </c>
      <c r="D73" s="360" t="s">
        <v>1064</v>
      </c>
      <c r="E73" s="361">
        <v>46066</v>
      </c>
      <c r="F73" s="360" t="s">
        <v>603</v>
      </c>
      <c r="G73" s="360" t="s">
        <v>138</v>
      </c>
      <c r="H73" s="360" t="s">
        <v>1067</v>
      </c>
      <c r="I73" s="360"/>
      <c r="J73" s="458">
        <v>180.34</v>
      </c>
      <c r="K73" s="360">
        <v>0</v>
      </c>
      <c r="L73" s="459">
        <v>0.28999999999999998</v>
      </c>
      <c r="M73" s="460">
        <v>0.31</v>
      </c>
      <c r="N73" s="360">
        <v>0.3</v>
      </c>
      <c r="O73" s="360">
        <v>0.3</v>
      </c>
      <c r="P73" s="457"/>
      <c r="Q73" s="464" t="s">
        <v>607</v>
      </c>
    </row>
    <row r="74" spans="1:17">
      <c r="A74" s="435">
        <v>46056</v>
      </c>
      <c r="B74" t="s">
        <v>1043</v>
      </c>
      <c r="C74" s="448" t="s">
        <v>1068</v>
      </c>
      <c r="D74" s="360" t="s">
        <v>1064</v>
      </c>
      <c r="E74" s="361">
        <v>46157</v>
      </c>
      <c r="F74" s="360" t="s">
        <v>603</v>
      </c>
      <c r="G74" s="360" t="s">
        <v>138</v>
      </c>
      <c r="H74" s="360" t="s">
        <v>835</v>
      </c>
      <c r="I74" s="360"/>
      <c r="J74" s="458">
        <v>180.34</v>
      </c>
      <c r="K74" s="360">
        <v>0</v>
      </c>
      <c r="L74" s="459">
        <v>10.15</v>
      </c>
      <c r="M74" s="460">
        <v>10.199999999999999</v>
      </c>
      <c r="N74" s="360">
        <v>10.175000000000001</v>
      </c>
      <c r="O74" s="360">
        <v>10.175000000000001</v>
      </c>
      <c r="P74" s="457"/>
      <c r="Q74" s="464" t="s">
        <v>607</v>
      </c>
    </row>
    <row r="75" spans="1:17">
      <c r="A75" s="435">
        <v>46056</v>
      </c>
      <c r="B75" t="s">
        <v>1056</v>
      </c>
      <c r="C75" s="448" t="s">
        <v>1069</v>
      </c>
      <c r="D75" s="360" t="s">
        <v>743</v>
      </c>
      <c r="E75" s="361">
        <v>46220</v>
      </c>
      <c r="F75" s="360" t="s">
        <v>603</v>
      </c>
      <c r="G75" s="360" t="s">
        <v>138</v>
      </c>
      <c r="H75" s="360" t="s">
        <v>1070</v>
      </c>
      <c r="I75" s="360"/>
      <c r="J75" s="458">
        <v>691.7</v>
      </c>
      <c r="K75" s="360">
        <v>0</v>
      </c>
      <c r="L75" s="459">
        <v>62.95</v>
      </c>
      <c r="M75" s="460">
        <v>63.3</v>
      </c>
      <c r="N75" s="360">
        <v>63.125</v>
      </c>
      <c r="O75" s="360">
        <v>63.125</v>
      </c>
      <c r="P75" s="457"/>
      <c r="Q75" s="464" t="s">
        <v>607</v>
      </c>
    </row>
    <row r="76" spans="1:17">
      <c r="A76" s="435">
        <v>46056</v>
      </c>
      <c r="B76" t="s">
        <v>1095</v>
      </c>
      <c r="C76" s="448" t="s">
        <v>1103</v>
      </c>
      <c r="D76" s="360" t="s">
        <v>1104</v>
      </c>
      <c r="E76" s="361">
        <v>46129</v>
      </c>
      <c r="F76" s="360" t="s">
        <v>603</v>
      </c>
      <c r="G76" s="360" t="s">
        <v>138</v>
      </c>
      <c r="H76" s="360" t="s">
        <v>834</v>
      </c>
      <c r="I76" s="360"/>
      <c r="J76" s="458">
        <v>269.48</v>
      </c>
      <c r="K76" s="360">
        <v>9.4800000000000182</v>
      </c>
      <c r="L76" s="459">
        <v>18.05</v>
      </c>
      <c r="M76" s="460">
        <v>18.55</v>
      </c>
      <c r="N76" s="360">
        <v>18.3</v>
      </c>
      <c r="O76" s="360">
        <v>18.3</v>
      </c>
      <c r="P76" s="457"/>
      <c r="Q76" s="464" t="s">
        <v>607</v>
      </c>
    </row>
    <row r="77" spans="1:17">
      <c r="A77" s="435">
        <v>46056</v>
      </c>
      <c r="B77" t="s">
        <v>1096</v>
      </c>
      <c r="C77" s="448" t="s">
        <v>1105</v>
      </c>
      <c r="D77" s="360" t="s">
        <v>1104</v>
      </c>
      <c r="E77" s="361">
        <v>46129</v>
      </c>
      <c r="F77" s="360" t="s">
        <v>603</v>
      </c>
      <c r="G77" s="360" t="s">
        <v>138</v>
      </c>
      <c r="H77" s="360" t="s">
        <v>1106</v>
      </c>
      <c r="I77" s="360"/>
      <c r="J77" s="458">
        <v>269.48</v>
      </c>
      <c r="K77" s="360">
        <v>0</v>
      </c>
      <c r="L77" s="459">
        <v>7.4</v>
      </c>
      <c r="M77" s="460">
        <v>7.5</v>
      </c>
      <c r="N77" s="360">
        <v>7.45</v>
      </c>
      <c r="O77" s="360">
        <v>7.45</v>
      </c>
      <c r="P77" s="457"/>
      <c r="Q77" s="464" t="s">
        <v>607</v>
      </c>
    </row>
    <row r="78" spans="1:17">
      <c r="A78" s="435">
        <v>46056</v>
      </c>
      <c r="B78" t="s">
        <v>1094</v>
      </c>
      <c r="C78" s="448" t="s">
        <v>1107</v>
      </c>
      <c r="D78" s="360" t="s">
        <v>743</v>
      </c>
      <c r="E78" s="361">
        <v>46220</v>
      </c>
      <c r="F78" s="360" t="s">
        <v>603</v>
      </c>
      <c r="G78" s="360" t="s">
        <v>138</v>
      </c>
      <c r="H78" s="360" t="s">
        <v>844</v>
      </c>
      <c r="I78" s="360"/>
      <c r="J78" s="458">
        <v>691.7</v>
      </c>
      <c r="K78" s="360">
        <v>0</v>
      </c>
      <c r="L78" s="459">
        <v>41.8</v>
      </c>
      <c r="M78" s="460">
        <v>42.15</v>
      </c>
      <c r="N78" s="360">
        <v>41.974999999999994</v>
      </c>
      <c r="O78" s="360">
        <v>41.974999999999994</v>
      </c>
      <c r="P78" s="457"/>
      <c r="Q78" s="464" t="s">
        <v>607</v>
      </c>
    </row>
    <row r="79" spans="1:17">
      <c r="A79" s="435">
        <v>46056</v>
      </c>
      <c r="B79" t="s">
        <v>1119</v>
      </c>
      <c r="C79" s="448" t="s">
        <v>1122</v>
      </c>
      <c r="D79" s="360" t="s">
        <v>623</v>
      </c>
      <c r="E79" s="361">
        <v>46059</v>
      </c>
      <c r="F79" s="360" t="s">
        <v>598</v>
      </c>
      <c r="G79" s="360" t="s">
        <v>138</v>
      </c>
      <c r="H79" s="360" t="s">
        <v>1123</v>
      </c>
      <c r="I79" s="360"/>
      <c r="J79" s="458">
        <v>616.52</v>
      </c>
      <c r="K79" s="360">
        <v>0</v>
      </c>
      <c r="L79" s="459">
        <v>4.87</v>
      </c>
      <c r="M79" s="460">
        <v>5.36</v>
      </c>
      <c r="N79" s="360">
        <v>5.1150000000000002</v>
      </c>
      <c r="O79" s="360">
        <v>5.1150000000000002</v>
      </c>
      <c r="P79" s="457"/>
      <c r="Q79" s="464" t="s">
        <v>607</v>
      </c>
    </row>
    <row r="80" spans="1:17">
      <c r="A80" s="435">
        <v>46056</v>
      </c>
      <c r="B80" t="s">
        <v>1118</v>
      </c>
      <c r="C80" s="448" t="s">
        <v>1124</v>
      </c>
      <c r="D80" s="360" t="s">
        <v>623</v>
      </c>
      <c r="E80" s="361">
        <v>46059</v>
      </c>
      <c r="F80" s="360" t="s">
        <v>598</v>
      </c>
      <c r="G80" s="360" t="s">
        <v>138</v>
      </c>
      <c r="H80" s="360" t="s">
        <v>1093</v>
      </c>
      <c r="I80" s="360"/>
      <c r="J80" s="458">
        <v>616.52</v>
      </c>
      <c r="K80" s="360">
        <v>3.4800000000000182</v>
      </c>
      <c r="L80" s="459">
        <v>6.5</v>
      </c>
      <c r="M80" s="460">
        <v>8.5399999999999991</v>
      </c>
      <c r="N80" s="360">
        <v>7.52</v>
      </c>
      <c r="O80" s="360">
        <v>7.52</v>
      </c>
      <c r="P80" s="457"/>
      <c r="Q80" s="464" t="s">
        <v>607</v>
      </c>
    </row>
    <row r="81" spans="1:17">
      <c r="A81" s="435">
        <v>46056</v>
      </c>
      <c r="B81" t="s">
        <v>1138</v>
      </c>
      <c r="C81" s="448" t="s">
        <v>1152</v>
      </c>
      <c r="D81" s="360" t="s">
        <v>733</v>
      </c>
      <c r="E81" s="361">
        <v>46101</v>
      </c>
      <c r="F81" s="360" t="s">
        <v>598</v>
      </c>
      <c r="G81" s="360" t="s">
        <v>138</v>
      </c>
      <c r="H81" s="360" t="s">
        <v>994</v>
      </c>
      <c r="I81" s="360"/>
      <c r="J81" s="458">
        <v>75.540000000000006</v>
      </c>
      <c r="K81" s="360">
        <v>0</v>
      </c>
      <c r="L81" s="459">
        <v>1.35</v>
      </c>
      <c r="M81" s="460">
        <v>1.46</v>
      </c>
      <c r="N81" s="360">
        <v>1.405</v>
      </c>
      <c r="O81" s="360">
        <v>1.405</v>
      </c>
      <c r="P81" s="457"/>
      <c r="Q81" s="464" t="s">
        <v>607</v>
      </c>
    </row>
    <row r="82" spans="1:17">
      <c r="A82" s="435">
        <v>46056</v>
      </c>
      <c r="B82" t="s">
        <v>1139</v>
      </c>
      <c r="C82" s="448" t="s">
        <v>1153</v>
      </c>
      <c r="D82" s="360" t="s">
        <v>763</v>
      </c>
      <c r="E82" s="361">
        <v>46157</v>
      </c>
      <c r="F82" s="360" t="s">
        <v>603</v>
      </c>
      <c r="G82" s="360" t="s">
        <v>138</v>
      </c>
      <c r="H82" s="360" t="s">
        <v>841</v>
      </c>
      <c r="I82" s="360"/>
      <c r="J82" s="458">
        <v>79.94</v>
      </c>
      <c r="K82" s="360">
        <v>0</v>
      </c>
      <c r="L82" s="459">
        <v>3.1</v>
      </c>
      <c r="M82" s="460">
        <v>3.25</v>
      </c>
      <c r="N82" s="360">
        <v>3.1749999999999998</v>
      </c>
      <c r="O82" s="360">
        <v>3.1749999999999998</v>
      </c>
      <c r="P82" s="457"/>
      <c r="Q82" s="464" t="s">
        <v>607</v>
      </c>
    </row>
    <row r="83" spans="1:17">
      <c r="A83" s="435">
        <v>46056</v>
      </c>
      <c r="B83" t="s">
        <v>1140</v>
      </c>
      <c r="C83" s="448" t="s">
        <v>1154</v>
      </c>
      <c r="D83" s="360" t="s">
        <v>763</v>
      </c>
      <c r="E83" s="361">
        <v>46157</v>
      </c>
      <c r="F83" s="360" t="s">
        <v>598</v>
      </c>
      <c r="G83" s="360" t="s">
        <v>138</v>
      </c>
      <c r="H83" s="360" t="s">
        <v>944</v>
      </c>
      <c r="I83" s="360"/>
      <c r="J83" s="458">
        <v>79.94</v>
      </c>
      <c r="K83" s="360">
        <v>0</v>
      </c>
      <c r="L83" s="459">
        <v>2.0099999999999998</v>
      </c>
      <c r="M83" s="460">
        <v>2.5299999999999998</v>
      </c>
      <c r="N83" s="360">
        <v>2.2699999999999996</v>
      </c>
      <c r="O83" s="360">
        <v>2.2699999999999996</v>
      </c>
      <c r="P83" s="457"/>
      <c r="Q83" s="464" t="s">
        <v>607</v>
      </c>
    </row>
    <row r="84" spans="1:17">
      <c r="A84" s="435">
        <v>46056</v>
      </c>
      <c r="B84" t="s">
        <v>1144</v>
      </c>
      <c r="C84" s="448" t="s">
        <v>1155</v>
      </c>
      <c r="D84" s="360" t="s">
        <v>623</v>
      </c>
      <c r="E84" s="361">
        <v>46056</v>
      </c>
      <c r="F84" s="360" t="s">
        <v>598</v>
      </c>
      <c r="G84" s="360" t="s">
        <v>138</v>
      </c>
      <c r="H84" s="360" t="s">
        <v>1156</v>
      </c>
      <c r="I84" s="360"/>
      <c r="J84" s="458">
        <v>616.52</v>
      </c>
      <c r="K84" s="360">
        <v>0</v>
      </c>
      <c r="L84" s="459">
        <v>0</v>
      </c>
      <c r="M84" s="460">
        <v>0.01</v>
      </c>
      <c r="N84" s="360">
        <v>5.0000000000000001E-3</v>
      </c>
      <c r="O84" s="360">
        <v>0</v>
      </c>
      <c r="P84" s="457"/>
      <c r="Q84" s="464" t="s">
        <v>607</v>
      </c>
    </row>
    <row r="85" spans="1:17">
      <c r="A85" s="435">
        <v>46056</v>
      </c>
      <c r="B85" t="s">
        <v>1143</v>
      </c>
      <c r="C85" s="448" t="s">
        <v>1157</v>
      </c>
      <c r="D85" s="360" t="s">
        <v>623</v>
      </c>
      <c r="E85" s="361">
        <v>46056</v>
      </c>
      <c r="F85" s="360" t="s">
        <v>598</v>
      </c>
      <c r="G85" s="360" t="s">
        <v>138</v>
      </c>
      <c r="H85" s="360" t="s">
        <v>1158</v>
      </c>
      <c r="I85" s="360"/>
      <c r="J85" s="458">
        <v>616.52</v>
      </c>
      <c r="K85" s="360">
        <v>0</v>
      </c>
      <c r="L85" s="459">
        <v>0.01</v>
      </c>
      <c r="M85" s="460">
        <v>0.02</v>
      </c>
      <c r="N85" s="360">
        <v>1.4999999999999999E-2</v>
      </c>
      <c r="O85" s="360">
        <v>0</v>
      </c>
      <c r="P85" s="457"/>
      <c r="Q85" s="464" t="s">
        <v>607</v>
      </c>
    </row>
    <row r="86" spans="1:17">
      <c r="A86" s="435">
        <v>46056</v>
      </c>
      <c r="B86" s="457" t="s">
        <v>713</v>
      </c>
      <c r="C86" s="448" t="s">
        <v>713</v>
      </c>
      <c r="D86" s="360" t="s">
        <v>624</v>
      </c>
      <c r="E86" s="361">
        <v>46073</v>
      </c>
      <c r="F86" s="360" t="s">
        <v>603</v>
      </c>
      <c r="G86" s="360" t="s">
        <v>138</v>
      </c>
      <c r="H86" s="360" t="s">
        <v>857</v>
      </c>
      <c r="I86" s="360" t="s">
        <v>599</v>
      </c>
      <c r="J86" s="458">
        <v>0.01</v>
      </c>
      <c r="K86" s="360">
        <v>0</v>
      </c>
      <c r="L86" s="459">
        <v>0</v>
      </c>
      <c r="M86" s="460">
        <v>0</v>
      </c>
      <c r="N86" s="360">
        <v>0</v>
      </c>
      <c r="O86" s="360">
        <v>2.0628201584594973E-4</v>
      </c>
      <c r="P86" s="457">
        <v>28.021664881715502</v>
      </c>
      <c r="Q86" s="464" t="s">
        <v>625</v>
      </c>
    </row>
    <row r="87" spans="1:17">
      <c r="A87" s="435">
        <v>46056</v>
      </c>
      <c r="B87" s="457" t="s">
        <v>714</v>
      </c>
      <c r="C87" s="448" t="s">
        <v>714</v>
      </c>
      <c r="D87" s="360" t="s">
        <v>624</v>
      </c>
      <c r="E87" s="361">
        <v>46073</v>
      </c>
      <c r="F87" s="360" t="s">
        <v>598</v>
      </c>
      <c r="G87" s="360" t="s">
        <v>138</v>
      </c>
      <c r="H87" s="360" t="s">
        <v>858</v>
      </c>
      <c r="I87" s="360" t="s">
        <v>599</v>
      </c>
      <c r="J87" s="458">
        <v>0.18</v>
      </c>
      <c r="K87" s="360">
        <v>21.39</v>
      </c>
      <c r="L87" s="459">
        <v>0</v>
      </c>
      <c r="M87" s="460">
        <v>0</v>
      </c>
      <c r="N87" s="360">
        <v>0</v>
      </c>
      <c r="O87" s="360">
        <v>2.2061892433835814E-2</v>
      </c>
      <c r="P87" s="457">
        <v>38.686065062401497</v>
      </c>
      <c r="Q87" s="464" t="s">
        <v>625</v>
      </c>
    </row>
    <row r="88" spans="1:17">
      <c r="A88" s="435">
        <v>46056</v>
      </c>
      <c r="B88" s="457" t="s">
        <v>715</v>
      </c>
      <c r="C88" s="448" t="s">
        <v>715</v>
      </c>
      <c r="D88" s="360" t="s">
        <v>624</v>
      </c>
      <c r="E88" s="361">
        <v>46073</v>
      </c>
      <c r="F88" s="360" t="s">
        <v>598</v>
      </c>
      <c r="G88" s="360" t="s">
        <v>138</v>
      </c>
      <c r="H88" s="360" t="s">
        <v>859</v>
      </c>
      <c r="I88" s="360" t="s">
        <v>599</v>
      </c>
      <c r="J88" s="458">
        <v>1.36</v>
      </c>
      <c r="K88" s="360">
        <v>22.71</v>
      </c>
      <c r="L88" s="459">
        <v>0</v>
      </c>
      <c r="M88" s="460">
        <v>0</v>
      </c>
      <c r="N88" s="360">
        <v>0</v>
      </c>
      <c r="O88" s="360">
        <v>0.17975291321693171</v>
      </c>
      <c r="P88" s="457">
        <v>33.442266783114704</v>
      </c>
      <c r="Q88" s="464" t="s">
        <v>625</v>
      </c>
    </row>
    <row r="89" spans="1:17">
      <c r="A89" s="435">
        <v>46056</v>
      </c>
      <c r="B89" s="457" t="s">
        <v>716</v>
      </c>
      <c r="C89" s="448" t="s">
        <v>716</v>
      </c>
      <c r="D89" s="360" t="s">
        <v>624</v>
      </c>
      <c r="E89" s="361">
        <v>46073</v>
      </c>
      <c r="F89" s="360" t="s">
        <v>603</v>
      </c>
      <c r="G89" s="360" t="s">
        <v>138</v>
      </c>
      <c r="H89" s="360" t="s">
        <v>860</v>
      </c>
      <c r="I89" s="360" t="s">
        <v>599</v>
      </c>
      <c r="J89" s="458">
        <v>0.04</v>
      </c>
      <c r="K89" s="360">
        <v>0</v>
      </c>
      <c r="L89" s="459">
        <v>0</v>
      </c>
      <c r="M89" s="460">
        <v>0</v>
      </c>
      <c r="N89" s="360">
        <v>0</v>
      </c>
      <c r="O89" s="360">
        <v>2.5248882300064893E-5</v>
      </c>
      <c r="P89" s="457">
        <v>27.274870158080997</v>
      </c>
      <c r="Q89" s="464" t="s">
        <v>625</v>
      </c>
    </row>
    <row r="90" spans="1:17">
      <c r="A90" s="435">
        <v>46056</v>
      </c>
      <c r="B90" s="457" t="s">
        <v>717</v>
      </c>
      <c r="C90" s="448" t="s">
        <v>717</v>
      </c>
      <c r="D90" s="360" t="s">
        <v>624</v>
      </c>
      <c r="E90" s="361">
        <v>46073</v>
      </c>
      <c r="F90" s="360" t="s">
        <v>598</v>
      </c>
      <c r="G90" s="360" t="s">
        <v>138</v>
      </c>
      <c r="H90" s="360" t="s">
        <v>861</v>
      </c>
      <c r="I90" s="360" t="s">
        <v>599</v>
      </c>
      <c r="J90" s="458">
        <v>0.81</v>
      </c>
      <c r="K90" s="360">
        <v>23.01</v>
      </c>
      <c r="L90" s="459">
        <v>0</v>
      </c>
      <c r="M90" s="460">
        <v>0</v>
      </c>
      <c r="N90" s="360">
        <v>0</v>
      </c>
      <c r="O90" s="360">
        <v>0.15232931322257048</v>
      </c>
      <c r="P90" s="457">
        <v>33.953358870349902</v>
      </c>
      <c r="Q90" s="464" t="s">
        <v>625</v>
      </c>
    </row>
    <row r="91" spans="1:17">
      <c r="A91" s="435">
        <v>46056</v>
      </c>
      <c r="B91" s="457" t="s">
        <v>718</v>
      </c>
      <c r="C91" s="448" t="s">
        <v>718</v>
      </c>
      <c r="D91" s="360" t="s">
        <v>624</v>
      </c>
      <c r="E91" s="361">
        <v>46073</v>
      </c>
      <c r="F91" s="360" t="s">
        <v>598</v>
      </c>
      <c r="G91" s="360" t="s">
        <v>138</v>
      </c>
      <c r="H91" s="360" t="s">
        <v>862</v>
      </c>
      <c r="I91" s="360" t="s">
        <v>599</v>
      </c>
      <c r="J91" s="458">
        <v>2.61</v>
      </c>
      <c r="K91" s="360">
        <v>23.71</v>
      </c>
      <c r="L91" s="459">
        <v>0</v>
      </c>
      <c r="M91" s="460">
        <v>0</v>
      </c>
      <c r="N91" s="360">
        <v>0</v>
      </c>
      <c r="O91" s="360">
        <v>0.53318628064210316</v>
      </c>
      <c r="P91" s="457">
        <v>29.562694738680801</v>
      </c>
      <c r="Q91" s="464" t="s">
        <v>625</v>
      </c>
    </row>
    <row r="92" spans="1:17">
      <c r="A92" s="435">
        <v>46056</v>
      </c>
      <c r="B92" s="457" t="s">
        <v>727</v>
      </c>
      <c r="C92" s="448" t="s">
        <v>727</v>
      </c>
      <c r="D92" s="360" t="s">
        <v>728</v>
      </c>
      <c r="E92" s="361">
        <v>46073</v>
      </c>
      <c r="F92" s="360" t="s">
        <v>598</v>
      </c>
      <c r="G92" s="360" t="s">
        <v>138</v>
      </c>
      <c r="H92" s="360" t="s">
        <v>863</v>
      </c>
      <c r="I92" s="360" t="s">
        <v>599</v>
      </c>
      <c r="J92" s="458">
        <v>0.11</v>
      </c>
      <c r="K92" s="360">
        <v>18.89</v>
      </c>
      <c r="L92" s="459">
        <v>0</v>
      </c>
      <c r="M92" s="460">
        <v>0</v>
      </c>
      <c r="N92" s="360">
        <v>0</v>
      </c>
      <c r="O92" s="360">
        <v>3.8096223426832242E-2</v>
      </c>
      <c r="P92" s="457">
        <v>55.567454583516799</v>
      </c>
      <c r="Q92" s="464" t="s">
        <v>625</v>
      </c>
    </row>
    <row r="93" spans="1:17">
      <c r="A93" s="435">
        <v>46056</v>
      </c>
      <c r="B93" s="457" t="s">
        <v>729</v>
      </c>
      <c r="C93" s="448" t="s">
        <v>729</v>
      </c>
      <c r="D93" s="360" t="s">
        <v>728</v>
      </c>
      <c r="E93" s="361">
        <v>46073</v>
      </c>
      <c r="F93" s="360" t="s">
        <v>598</v>
      </c>
      <c r="G93" s="360" t="s">
        <v>138</v>
      </c>
      <c r="H93" s="360" t="s">
        <v>864</v>
      </c>
      <c r="I93" s="360" t="s">
        <v>599</v>
      </c>
      <c r="J93" s="458">
        <v>0.42</v>
      </c>
      <c r="K93" s="360">
        <v>20.079999999999998</v>
      </c>
      <c r="L93" s="459">
        <v>0</v>
      </c>
      <c r="M93" s="460">
        <v>0</v>
      </c>
      <c r="N93" s="360">
        <v>0</v>
      </c>
      <c r="O93" s="360">
        <v>0.10764537386894864</v>
      </c>
      <c r="P93" s="457">
        <v>52.318288990515896</v>
      </c>
      <c r="Q93" s="464" t="s">
        <v>625</v>
      </c>
    </row>
    <row r="94" spans="1:17">
      <c r="A94" s="435">
        <v>46056</v>
      </c>
      <c r="B94" s="457" t="s">
        <v>748</v>
      </c>
      <c r="C94" s="448" t="s">
        <v>748</v>
      </c>
      <c r="D94" s="360" t="s">
        <v>626</v>
      </c>
      <c r="E94" s="361">
        <v>46073</v>
      </c>
      <c r="F94" s="360" t="s">
        <v>598</v>
      </c>
      <c r="G94" s="360" t="s">
        <v>138</v>
      </c>
      <c r="H94" s="360" t="s">
        <v>865</v>
      </c>
      <c r="I94" s="360" t="s">
        <v>599</v>
      </c>
      <c r="J94" s="458">
        <v>0.01</v>
      </c>
      <c r="K94" s="360">
        <v>12.1</v>
      </c>
      <c r="L94" s="459">
        <v>0</v>
      </c>
      <c r="M94" s="460">
        <v>0</v>
      </c>
      <c r="N94" s="360">
        <v>0</v>
      </c>
      <c r="O94" s="360">
        <v>2.2217222616601769E-5</v>
      </c>
      <c r="P94" s="457">
        <v>42.950380262526799</v>
      </c>
      <c r="Q94" s="464" t="s">
        <v>625</v>
      </c>
    </row>
    <row r="95" spans="1:17">
      <c r="A95" s="435">
        <v>46056</v>
      </c>
      <c r="B95" s="457" t="s">
        <v>749</v>
      </c>
      <c r="C95" s="448" t="s">
        <v>749</v>
      </c>
      <c r="D95" s="360" t="s">
        <v>626</v>
      </c>
      <c r="E95" s="361">
        <v>46073</v>
      </c>
      <c r="F95" s="360" t="s">
        <v>598</v>
      </c>
      <c r="G95" s="360" t="s">
        <v>138</v>
      </c>
      <c r="H95" s="360" t="s">
        <v>866</v>
      </c>
      <c r="I95" s="360" t="s">
        <v>599</v>
      </c>
      <c r="J95" s="458">
        <v>0.01</v>
      </c>
      <c r="K95" s="360">
        <v>13.35</v>
      </c>
      <c r="L95" s="459">
        <v>0</v>
      </c>
      <c r="M95" s="460">
        <v>0</v>
      </c>
      <c r="N95" s="360">
        <v>0</v>
      </c>
      <c r="O95" s="360">
        <v>8.1335470412414101E-4</v>
      </c>
      <c r="P95" s="457">
        <v>41.112565383828198</v>
      </c>
      <c r="Q95" s="464" t="s">
        <v>625</v>
      </c>
    </row>
    <row r="96" spans="1:17">
      <c r="A96" s="435">
        <v>46056</v>
      </c>
      <c r="B96" s="457" t="s">
        <v>789</v>
      </c>
      <c r="C96" s="448" t="s">
        <v>789</v>
      </c>
      <c r="D96" s="360" t="s">
        <v>790</v>
      </c>
      <c r="E96" s="361">
        <v>46073</v>
      </c>
      <c r="F96" s="360" t="s">
        <v>603</v>
      </c>
      <c r="G96" s="360" t="s">
        <v>138</v>
      </c>
      <c r="H96" s="360" t="s">
        <v>867</v>
      </c>
      <c r="I96" s="360" t="s">
        <v>599</v>
      </c>
      <c r="J96" s="458">
        <v>5.21</v>
      </c>
      <c r="K96" s="360">
        <v>0</v>
      </c>
      <c r="L96" s="459">
        <v>0</v>
      </c>
      <c r="M96" s="460">
        <v>0</v>
      </c>
      <c r="N96" s="360">
        <v>0</v>
      </c>
      <c r="O96" s="360">
        <v>0.9358578237426538</v>
      </c>
      <c r="P96" s="457">
        <v>40.6332703182279</v>
      </c>
      <c r="Q96" s="464" t="s">
        <v>625</v>
      </c>
    </row>
    <row r="97" spans="1:17">
      <c r="A97" s="435">
        <v>46056</v>
      </c>
      <c r="B97" s="457" t="s">
        <v>791</v>
      </c>
      <c r="C97" s="448" t="s">
        <v>791</v>
      </c>
      <c r="D97" s="360" t="s">
        <v>790</v>
      </c>
      <c r="E97" s="361">
        <v>46073</v>
      </c>
      <c r="F97" s="360" t="s">
        <v>598</v>
      </c>
      <c r="G97" s="360" t="s">
        <v>138</v>
      </c>
      <c r="H97" s="360" t="s">
        <v>868</v>
      </c>
      <c r="I97" s="360" t="s">
        <v>599</v>
      </c>
      <c r="J97" s="458">
        <v>0.03</v>
      </c>
      <c r="K97" s="360">
        <v>47.79</v>
      </c>
      <c r="L97" s="459">
        <v>0</v>
      </c>
      <c r="M97" s="460">
        <v>0</v>
      </c>
      <c r="N97" s="360">
        <v>0</v>
      </c>
      <c r="O97" s="360">
        <v>3.0762573364007863E-3</v>
      </c>
      <c r="P97" s="457">
        <v>51.215920714146698</v>
      </c>
      <c r="Q97" s="464" t="s">
        <v>625</v>
      </c>
    </row>
    <row r="98" spans="1:17">
      <c r="A98" s="435">
        <v>46056</v>
      </c>
      <c r="B98" s="457" t="s">
        <v>792</v>
      </c>
      <c r="C98" s="448" t="s">
        <v>792</v>
      </c>
      <c r="D98" s="360" t="s">
        <v>790</v>
      </c>
      <c r="E98" s="361">
        <v>46073</v>
      </c>
      <c r="F98" s="360" t="s">
        <v>598</v>
      </c>
      <c r="G98" s="360" t="s">
        <v>138</v>
      </c>
      <c r="H98" s="360" t="s">
        <v>869</v>
      </c>
      <c r="I98" s="360" t="s">
        <v>599</v>
      </c>
      <c r="J98" s="458">
        <v>0.09</v>
      </c>
      <c r="K98" s="360">
        <v>51.73</v>
      </c>
      <c r="L98" s="459">
        <v>0</v>
      </c>
      <c r="M98" s="460">
        <v>0</v>
      </c>
      <c r="N98" s="360">
        <v>0</v>
      </c>
      <c r="O98" s="360">
        <v>1.5257183501834535E-2</v>
      </c>
      <c r="P98" s="457">
        <v>46.8215159036477</v>
      </c>
      <c r="Q98" s="464" t="s">
        <v>625</v>
      </c>
    </row>
    <row r="99" spans="1:17">
      <c r="A99" s="435">
        <v>46056</v>
      </c>
      <c r="B99" s="457" t="s">
        <v>797</v>
      </c>
      <c r="C99" s="448" t="s">
        <v>797</v>
      </c>
      <c r="D99" s="360" t="s">
        <v>758</v>
      </c>
      <c r="E99" s="361">
        <v>46073</v>
      </c>
      <c r="F99" s="360" t="s">
        <v>598</v>
      </c>
      <c r="G99" s="360" t="s">
        <v>138</v>
      </c>
      <c r="H99" s="360" t="s">
        <v>870</v>
      </c>
      <c r="I99" s="360" t="s">
        <v>599</v>
      </c>
      <c r="J99" s="458">
        <v>0.1</v>
      </c>
      <c r="K99" s="360">
        <v>42.9</v>
      </c>
      <c r="L99" s="459">
        <v>0</v>
      </c>
      <c r="M99" s="460">
        <v>0</v>
      </c>
      <c r="N99" s="360">
        <v>0</v>
      </c>
      <c r="O99" s="360">
        <v>9.6286147286226908E-6</v>
      </c>
      <c r="P99" s="457">
        <v>35.2506413003521</v>
      </c>
      <c r="Q99" s="464" t="s">
        <v>625</v>
      </c>
    </row>
    <row r="100" spans="1:17">
      <c r="A100" s="435">
        <v>46056</v>
      </c>
      <c r="B100" s="457" t="s">
        <v>798</v>
      </c>
      <c r="C100" s="448" t="s">
        <v>798</v>
      </c>
      <c r="D100" s="360" t="s">
        <v>758</v>
      </c>
      <c r="E100" s="361">
        <v>46073</v>
      </c>
      <c r="F100" s="360" t="s">
        <v>598</v>
      </c>
      <c r="G100" s="360" t="s">
        <v>138</v>
      </c>
      <c r="H100" s="360" t="s">
        <v>871</v>
      </c>
      <c r="I100" s="360" t="s">
        <v>599</v>
      </c>
      <c r="J100" s="458">
        <v>0.04</v>
      </c>
      <c r="K100" s="360">
        <v>47.96</v>
      </c>
      <c r="L100" s="459">
        <v>0</v>
      </c>
      <c r="M100" s="460">
        <v>0</v>
      </c>
      <c r="N100" s="360">
        <v>0</v>
      </c>
      <c r="O100" s="360">
        <v>1.2276538545247938E-3</v>
      </c>
      <c r="P100" s="457">
        <v>32.751384315773301</v>
      </c>
      <c r="Q100" s="464" t="s">
        <v>625</v>
      </c>
    </row>
    <row r="101" spans="1:17">
      <c r="A101" s="435">
        <v>46056</v>
      </c>
      <c r="B101" s="447" t="s">
        <v>803</v>
      </c>
      <c r="C101" s="447" t="s">
        <v>803</v>
      </c>
      <c r="D101" s="360" t="s">
        <v>804</v>
      </c>
      <c r="E101" s="361">
        <v>46073</v>
      </c>
      <c r="F101" s="360" t="s">
        <v>598</v>
      </c>
      <c r="G101" s="360" t="s">
        <v>138</v>
      </c>
      <c r="H101" s="360" t="s">
        <v>872</v>
      </c>
      <c r="I101" s="360" t="s">
        <v>599</v>
      </c>
      <c r="J101" s="458">
        <v>1.86</v>
      </c>
      <c r="K101" s="360">
        <v>48.52</v>
      </c>
      <c r="L101" s="459">
        <v>0</v>
      </c>
      <c r="M101" s="460">
        <v>0</v>
      </c>
      <c r="N101" s="360">
        <v>0</v>
      </c>
      <c r="O101" s="360">
        <v>0.36665694044893204</v>
      </c>
      <c r="P101" s="457">
        <v>33.2043188743664</v>
      </c>
      <c r="Q101" s="464" t="s">
        <v>625</v>
      </c>
    </row>
    <row r="102" spans="1:17">
      <c r="A102" s="435">
        <v>46056</v>
      </c>
      <c r="B102" s="447" t="s">
        <v>810</v>
      </c>
      <c r="C102" s="447" t="s">
        <v>810</v>
      </c>
      <c r="D102" s="360" t="s">
        <v>626</v>
      </c>
      <c r="E102" s="361">
        <v>46073</v>
      </c>
      <c r="F102" s="360" t="s">
        <v>598</v>
      </c>
      <c r="G102" s="360" t="s">
        <v>138</v>
      </c>
      <c r="H102" s="360" t="s">
        <v>873</v>
      </c>
      <c r="I102" s="360" t="s">
        <v>599</v>
      </c>
      <c r="J102" s="458">
        <v>0.01</v>
      </c>
      <c r="K102" s="360">
        <v>11.41</v>
      </c>
      <c r="L102" s="459">
        <v>0</v>
      </c>
      <c r="M102" s="460">
        <v>0</v>
      </c>
      <c r="N102" s="360">
        <v>0</v>
      </c>
      <c r="O102" s="360">
        <v>2.2217222616601769E-5</v>
      </c>
      <c r="P102" s="457">
        <v>42.950380262526799</v>
      </c>
      <c r="Q102" s="464" t="s">
        <v>625</v>
      </c>
    </row>
    <row r="103" spans="1:17">
      <c r="A103" s="435">
        <v>46056</v>
      </c>
      <c r="B103" s="447" t="s">
        <v>811</v>
      </c>
      <c r="C103" s="447" t="s">
        <v>811</v>
      </c>
      <c r="D103" s="360" t="s">
        <v>626</v>
      </c>
      <c r="E103" s="361">
        <v>46073</v>
      </c>
      <c r="F103" s="360" t="s">
        <v>598</v>
      </c>
      <c r="G103" s="360" t="s">
        <v>138</v>
      </c>
      <c r="H103" s="360" t="s">
        <v>874</v>
      </c>
      <c r="I103" s="360" t="s">
        <v>599</v>
      </c>
      <c r="J103" s="458">
        <v>0.01</v>
      </c>
      <c r="K103" s="360">
        <v>12.66</v>
      </c>
      <c r="L103" s="459">
        <v>0</v>
      </c>
      <c r="M103" s="460">
        <v>0</v>
      </c>
      <c r="N103" s="360">
        <v>0</v>
      </c>
      <c r="O103" s="360">
        <v>8.1335470412414101E-4</v>
      </c>
      <c r="P103" s="457">
        <v>41.112565383828198</v>
      </c>
      <c r="Q103" s="464" t="s">
        <v>625</v>
      </c>
    </row>
    <row r="104" spans="1:17">
      <c r="A104" s="435">
        <v>46056</v>
      </c>
      <c r="B104" s="447" t="s">
        <v>812</v>
      </c>
      <c r="C104" s="447" t="s">
        <v>812</v>
      </c>
      <c r="D104" s="360" t="s">
        <v>626</v>
      </c>
      <c r="E104" s="361">
        <v>46073</v>
      </c>
      <c r="F104" s="360" t="s">
        <v>598</v>
      </c>
      <c r="G104" s="360" t="s">
        <v>138</v>
      </c>
      <c r="H104" s="360" t="s">
        <v>875</v>
      </c>
      <c r="I104" s="360" t="s">
        <v>599</v>
      </c>
      <c r="J104" s="458">
        <v>0.05</v>
      </c>
      <c r="K104" s="360">
        <v>13.62</v>
      </c>
      <c r="L104" s="459">
        <v>0</v>
      </c>
      <c r="M104" s="460">
        <v>0</v>
      </c>
      <c r="N104" s="360">
        <v>0</v>
      </c>
      <c r="O104" s="360">
        <v>6.4687750533811653E-3</v>
      </c>
      <c r="P104" s="457">
        <v>38.877802078062501</v>
      </c>
      <c r="Q104" s="464" t="s">
        <v>625</v>
      </c>
    </row>
    <row r="105" spans="1:17">
      <c r="A105" s="435">
        <v>46056</v>
      </c>
      <c r="B105" s="447" t="s">
        <v>813</v>
      </c>
      <c r="C105" s="447" t="s">
        <v>813</v>
      </c>
      <c r="D105" s="360" t="s">
        <v>814</v>
      </c>
      <c r="E105" s="361">
        <v>46073</v>
      </c>
      <c r="F105" s="360" t="s">
        <v>598</v>
      </c>
      <c r="G105" s="360" t="s">
        <v>138</v>
      </c>
      <c r="H105" s="360" t="s">
        <v>876</v>
      </c>
      <c r="I105" s="360" t="s">
        <v>599</v>
      </c>
      <c r="J105" s="458">
        <v>0.02</v>
      </c>
      <c r="K105" s="360">
        <v>12.02</v>
      </c>
      <c r="L105" s="459">
        <v>0</v>
      </c>
      <c r="M105" s="460">
        <v>0</v>
      </c>
      <c r="N105" s="360">
        <v>0</v>
      </c>
      <c r="O105" s="360">
        <v>1.5706905928347839E-3</v>
      </c>
      <c r="P105" s="457">
        <v>57.747587142977395</v>
      </c>
      <c r="Q105" s="464" t="s">
        <v>625</v>
      </c>
    </row>
    <row r="106" spans="1:17">
      <c r="A106" s="435">
        <v>46056</v>
      </c>
      <c r="B106" s="447" t="s">
        <v>815</v>
      </c>
      <c r="C106" s="447" t="s">
        <v>815</v>
      </c>
      <c r="D106" s="360" t="s">
        <v>814</v>
      </c>
      <c r="E106" s="361">
        <v>46073</v>
      </c>
      <c r="F106" s="360" t="s">
        <v>598</v>
      </c>
      <c r="G106" s="360" t="s">
        <v>138</v>
      </c>
      <c r="H106" s="360" t="s">
        <v>877</v>
      </c>
      <c r="I106" s="360" t="s">
        <v>599</v>
      </c>
      <c r="J106" s="458">
        <v>0.04</v>
      </c>
      <c r="K106" s="360">
        <v>13</v>
      </c>
      <c r="L106" s="459">
        <v>0</v>
      </c>
      <c r="M106" s="460">
        <v>0</v>
      </c>
      <c r="N106" s="360">
        <v>0</v>
      </c>
      <c r="O106" s="360">
        <v>5.5924148915836771E-3</v>
      </c>
      <c r="P106" s="457">
        <v>52.380341228223202</v>
      </c>
      <c r="Q106" s="464" t="s">
        <v>625</v>
      </c>
    </row>
    <row r="107" spans="1:17">
      <c r="A107" s="435">
        <v>46056</v>
      </c>
      <c r="B107" s="448" t="s">
        <v>878</v>
      </c>
      <c r="C107" s="448" t="s">
        <v>878</v>
      </c>
      <c r="D107" s="360" t="s">
        <v>758</v>
      </c>
      <c r="E107" s="361">
        <v>46073</v>
      </c>
      <c r="F107" s="360" t="s">
        <v>603</v>
      </c>
      <c r="G107" s="360" t="s">
        <v>138</v>
      </c>
      <c r="H107" s="360" t="s">
        <v>879</v>
      </c>
      <c r="I107" s="360" t="s">
        <v>599</v>
      </c>
      <c r="J107" s="458">
        <v>3.24</v>
      </c>
      <c r="K107" s="360">
        <v>0</v>
      </c>
      <c r="L107" s="459">
        <v>0</v>
      </c>
      <c r="M107" s="460">
        <v>0</v>
      </c>
      <c r="N107" s="360">
        <v>0</v>
      </c>
      <c r="O107" s="360">
        <v>0.56519499957708552</v>
      </c>
      <c r="P107" s="457">
        <v>27.904512853583</v>
      </c>
      <c r="Q107" s="464" t="s">
        <v>625</v>
      </c>
    </row>
    <row r="108" spans="1:17">
      <c r="A108" s="435">
        <v>46056</v>
      </c>
      <c r="B108" s="448" t="s">
        <v>880</v>
      </c>
      <c r="C108" s="448" t="s">
        <v>880</v>
      </c>
      <c r="D108" s="360" t="s">
        <v>758</v>
      </c>
      <c r="E108" s="361">
        <v>46073</v>
      </c>
      <c r="F108" s="360" t="s">
        <v>598</v>
      </c>
      <c r="G108" s="360" t="s">
        <v>138</v>
      </c>
      <c r="H108" s="360" t="s">
        <v>881</v>
      </c>
      <c r="I108" s="360" t="s">
        <v>599</v>
      </c>
      <c r="J108" s="458">
        <v>0.03</v>
      </c>
      <c r="K108" s="360">
        <v>46.97</v>
      </c>
      <c r="L108" s="459">
        <v>0</v>
      </c>
      <c r="M108" s="460">
        <v>0</v>
      </c>
      <c r="N108" s="360">
        <v>0</v>
      </c>
      <c r="O108" s="360">
        <v>5.3652031462326306E-4</v>
      </c>
      <c r="P108" s="457">
        <v>33.335996043373903</v>
      </c>
      <c r="Q108" s="464" t="s">
        <v>625</v>
      </c>
    </row>
    <row r="109" spans="1:17">
      <c r="A109" s="435">
        <v>46056</v>
      </c>
      <c r="B109" s="448" t="s">
        <v>882</v>
      </c>
      <c r="C109" s="448" t="s">
        <v>882</v>
      </c>
      <c r="D109" s="360" t="s">
        <v>758</v>
      </c>
      <c r="E109" s="361">
        <v>46073</v>
      </c>
      <c r="F109" s="360" t="s">
        <v>598</v>
      </c>
      <c r="G109" s="360" t="s">
        <v>138</v>
      </c>
      <c r="H109" s="360" t="s">
        <v>883</v>
      </c>
      <c r="I109" s="360" t="s">
        <v>599</v>
      </c>
      <c r="J109" s="458">
        <v>0.12</v>
      </c>
      <c r="K109" s="360">
        <v>50.38</v>
      </c>
      <c r="L109" s="459">
        <v>0</v>
      </c>
      <c r="M109" s="460">
        <v>0</v>
      </c>
      <c r="N109" s="360">
        <v>0</v>
      </c>
      <c r="O109" s="360">
        <v>7.5591985506403654E-3</v>
      </c>
      <c r="P109" s="457">
        <v>31.086886009799397</v>
      </c>
      <c r="Q109" s="464" t="s">
        <v>625</v>
      </c>
    </row>
    <row r="110" spans="1:17">
      <c r="A110" s="435">
        <v>46056</v>
      </c>
      <c r="B110" s="447" t="s">
        <v>884</v>
      </c>
      <c r="C110" s="447" t="s">
        <v>884</v>
      </c>
      <c r="D110" s="360" t="s">
        <v>624</v>
      </c>
      <c r="E110" s="361">
        <v>46101</v>
      </c>
      <c r="F110" s="360" t="s">
        <v>603</v>
      </c>
      <c r="G110" s="360" t="s">
        <v>138</v>
      </c>
      <c r="H110" s="360" t="s">
        <v>885</v>
      </c>
      <c r="I110" s="360" t="s">
        <v>599</v>
      </c>
      <c r="J110" s="458">
        <v>0.52</v>
      </c>
      <c r="K110" s="360">
        <v>0</v>
      </c>
      <c r="L110" s="459">
        <v>0</v>
      </c>
      <c r="M110" s="460">
        <v>0</v>
      </c>
      <c r="N110" s="360">
        <v>0</v>
      </c>
      <c r="O110" s="360">
        <v>5.1285107919048882E-2</v>
      </c>
      <c r="P110" s="457">
        <v>31.663683466181599</v>
      </c>
      <c r="Q110" s="464" t="s">
        <v>625</v>
      </c>
    </row>
    <row r="111" spans="1:17">
      <c r="A111" s="435">
        <v>46056</v>
      </c>
      <c r="B111" s="447" t="s">
        <v>886</v>
      </c>
      <c r="C111" s="447" t="s">
        <v>886</v>
      </c>
      <c r="D111" s="360" t="s">
        <v>624</v>
      </c>
      <c r="E111" s="361">
        <v>46101</v>
      </c>
      <c r="F111" s="360" t="s">
        <v>598</v>
      </c>
      <c r="G111" s="360" t="s">
        <v>138</v>
      </c>
      <c r="H111" s="360" t="s">
        <v>887</v>
      </c>
      <c r="I111" s="360" t="s">
        <v>599</v>
      </c>
      <c r="J111" s="458">
        <v>0.65</v>
      </c>
      <c r="K111" s="360">
        <v>20.66</v>
      </c>
      <c r="L111" s="459">
        <v>0</v>
      </c>
      <c r="M111" s="460">
        <v>0</v>
      </c>
      <c r="N111" s="360">
        <v>0</v>
      </c>
      <c r="O111" s="360">
        <v>9.3474867931435099E-2</v>
      </c>
      <c r="P111" s="457">
        <v>36.441880860966101</v>
      </c>
      <c r="Q111" s="464" t="s">
        <v>625</v>
      </c>
    </row>
    <row r="112" spans="1:17">
      <c r="A112" s="435">
        <v>46056</v>
      </c>
      <c r="B112" s="447" t="s">
        <v>888</v>
      </c>
      <c r="C112" s="447" t="s">
        <v>888</v>
      </c>
      <c r="D112" s="360" t="s">
        <v>624</v>
      </c>
      <c r="E112" s="361">
        <v>46101</v>
      </c>
      <c r="F112" s="360" t="s">
        <v>598</v>
      </c>
      <c r="G112" s="360" t="s">
        <v>138</v>
      </c>
      <c r="H112" s="360" t="s">
        <v>889</v>
      </c>
      <c r="I112" s="360" t="s">
        <v>599</v>
      </c>
      <c r="J112" s="458">
        <v>1.5</v>
      </c>
      <c r="K112" s="360">
        <v>21.81</v>
      </c>
      <c r="L112" s="459">
        <v>0</v>
      </c>
      <c r="M112" s="460">
        <v>0</v>
      </c>
      <c r="N112" s="360">
        <v>0</v>
      </c>
      <c r="O112" s="360">
        <v>0.24368245212404763</v>
      </c>
      <c r="P112" s="457">
        <v>33.9005894763105</v>
      </c>
      <c r="Q112" s="464" t="s">
        <v>625</v>
      </c>
    </row>
    <row r="113" spans="1:17">
      <c r="A113" s="435">
        <v>46056</v>
      </c>
      <c r="B113" s="447" t="s">
        <v>890</v>
      </c>
      <c r="C113" s="447" t="s">
        <v>890</v>
      </c>
      <c r="D113" s="360" t="s">
        <v>891</v>
      </c>
      <c r="E113" s="361">
        <v>46073</v>
      </c>
      <c r="F113" s="360" t="s">
        <v>603</v>
      </c>
      <c r="G113" s="360" t="s">
        <v>138</v>
      </c>
      <c r="H113" s="360" t="s">
        <v>892</v>
      </c>
      <c r="I113" s="360" t="s">
        <v>599</v>
      </c>
      <c r="J113" s="458">
        <v>13.6</v>
      </c>
      <c r="K113" s="360">
        <v>0</v>
      </c>
      <c r="L113" s="459">
        <v>0</v>
      </c>
      <c r="M113" s="460">
        <v>0</v>
      </c>
      <c r="N113" s="360">
        <v>0</v>
      </c>
      <c r="O113" s="360">
        <v>2.6328235801912774</v>
      </c>
      <c r="P113" s="457">
        <v>51.888723073431201</v>
      </c>
      <c r="Q113" s="464" t="s">
        <v>625</v>
      </c>
    </row>
    <row r="114" spans="1:17">
      <c r="A114" s="435">
        <v>46056</v>
      </c>
      <c r="B114" s="447" t="s">
        <v>893</v>
      </c>
      <c r="C114" s="447" t="s">
        <v>893</v>
      </c>
      <c r="D114" s="360" t="s">
        <v>891</v>
      </c>
      <c r="E114" s="361">
        <v>46073</v>
      </c>
      <c r="F114" s="360" t="s">
        <v>603</v>
      </c>
      <c r="G114" s="360" t="s">
        <v>138</v>
      </c>
      <c r="H114" s="360" t="s">
        <v>894</v>
      </c>
      <c r="I114" s="360" t="s">
        <v>599</v>
      </c>
      <c r="J114" s="458">
        <v>8.92</v>
      </c>
      <c r="K114" s="360">
        <v>0</v>
      </c>
      <c r="L114" s="459">
        <v>0</v>
      </c>
      <c r="M114" s="460">
        <v>0</v>
      </c>
      <c r="N114" s="360">
        <v>0</v>
      </c>
      <c r="O114" s="360">
        <v>1.7319857746352909</v>
      </c>
      <c r="P114" s="457">
        <v>43.073409711501199</v>
      </c>
      <c r="Q114" s="464" t="s">
        <v>625</v>
      </c>
    </row>
    <row r="115" spans="1:17">
      <c r="A115" s="435">
        <v>46056</v>
      </c>
      <c r="B115" s="462" t="s">
        <v>905</v>
      </c>
      <c r="C115" s="462" t="s">
        <v>905</v>
      </c>
      <c r="D115" s="360" t="s">
        <v>626</v>
      </c>
      <c r="E115" s="361">
        <v>46073</v>
      </c>
      <c r="F115" s="360" t="s">
        <v>603</v>
      </c>
      <c r="G115" s="360" t="s">
        <v>138</v>
      </c>
      <c r="H115" s="360" t="s">
        <v>906</v>
      </c>
      <c r="I115" s="360" t="s">
        <v>599</v>
      </c>
      <c r="J115" s="458">
        <v>0.7</v>
      </c>
      <c r="K115" s="360">
        <v>0</v>
      </c>
      <c r="L115" s="459">
        <v>0</v>
      </c>
      <c r="M115" s="460">
        <v>0</v>
      </c>
      <c r="N115" s="360">
        <v>0</v>
      </c>
      <c r="O115" s="360">
        <v>0.14535905626474627</v>
      </c>
      <c r="P115" s="457">
        <v>35.8524426669996</v>
      </c>
      <c r="Q115" s="464" t="s">
        <v>625</v>
      </c>
    </row>
    <row r="116" spans="1:17">
      <c r="A116" s="435">
        <v>46056</v>
      </c>
      <c r="B116" s="462" t="s">
        <v>907</v>
      </c>
      <c r="C116" s="462" t="s">
        <v>907</v>
      </c>
      <c r="D116" s="360" t="s">
        <v>687</v>
      </c>
      <c r="E116" s="361">
        <v>46071</v>
      </c>
      <c r="F116" s="360" t="s">
        <v>598</v>
      </c>
      <c r="G116" s="360" t="s">
        <v>138</v>
      </c>
      <c r="H116" s="360" t="s">
        <v>908</v>
      </c>
      <c r="I116" s="360" t="s">
        <v>599</v>
      </c>
      <c r="J116" s="458">
        <v>130</v>
      </c>
      <c r="K116" s="360">
        <v>160870</v>
      </c>
      <c r="L116" s="459">
        <v>0</v>
      </c>
      <c r="M116" s="460">
        <v>0</v>
      </c>
      <c r="N116" s="360">
        <v>0</v>
      </c>
      <c r="O116" s="360">
        <v>3.213958016123144</v>
      </c>
      <c r="P116" s="457">
        <v>30.521099553574203</v>
      </c>
      <c r="Q116" s="464" t="s">
        <v>625</v>
      </c>
    </row>
    <row r="117" spans="1:17">
      <c r="A117" s="435">
        <v>46056</v>
      </c>
      <c r="B117" s="462" t="s">
        <v>909</v>
      </c>
      <c r="C117" s="462" t="s">
        <v>909</v>
      </c>
      <c r="D117" s="360" t="s">
        <v>772</v>
      </c>
      <c r="E117" s="361">
        <v>46073</v>
      </c>
      <c r="F117" s="360" t="s">
        <v>598</v>
      </c>
      <c r="G117" s="360" t="s">
        <v>138</v>
      </c>
      <c r="H117" s="360" t="s">
        <v>910</v>
      </c>
      <c r="I117" s="360" t="s">
        <v>599</v>
      </c>
      <c r="J117" s="458">
        <v>0.15</v>
      </c>
      <c r="K117" s="360">
        <v>107.85</v>
      </c>
      <c r="L117" s="459">
        <v>0</v>
      </c>
      <c r="M117" s="460">
        <v>0</v>
      </c>
      <c r="N117" s="360">
        <v>0</v>
      </c>
      <c r="O117" s="360">
        <v>2.5736858018778553E-2</v>
      </c>
      <c r="P117" s="457">
        <v>43.211567977457904</v>
      </c>
      <c r="Q117" s="464" t="s">
        <v>625</v>
      </c>
    </row>
    <row r="118" spans="1:17">
      <c r="A118" s="435">
        <v>46056</v>
      </c>
      <c r="B118" s="462" t="s">
        <v>911</v>
      </c>
      <c r="C118" s="462" t="s">
        <v>911</v>
      </c>
      <c r="D118" s="360" t="s">
        <v>772</v>
      </c>
      <c r="E118" s="361">
        <v>46073</v>
      </c>
      <c r="F118" s="360" t="s">
        <v>598</v>
      </c>
      <c r="G118" s="360" t="s">
        <v>138</v>
      </c>
      <c r="H118" s="360" t="s">
        <v>912</v>
      </c>
      <c r="I118" s="360" t="s">
        <v>599</v>
      </c>
      <c r="J118" s="458">
        <v>0.4</v>
      </c>
      <c r="K118" s="360">
        <v>112.6</v>
      </c>
      <c r="L118" s="459">
        <v>0</v>
      </c>
      <c r="M118" s="460">
        <v>0</v>
      </c>
      <c r="N118" s="360">
        <v>0</v>
      </c>
      <c r="O118" s="360">
        <v>5.375067579760423E-2</v>
      </c>
      <c r="P118" s="457">
        <v>38.624494763474502</v>
      </c>
      <c r="Q118" s="464" t="s">
        <v>625</v>
      </c>
    </row>
    <row r="119" spans="1:17">
      <c r="A119" s="435">
        <v>46056</v>
      </c>
      <c r="B119" s="447" t="s">
        <v>915</v>
      </c>
      <c r="C119" s="447" t="s">
        <v>915</v>
      </c>
      <c r="D119" s="360" t="s">
        <v>772</v>
      </c>
      <c r="E119" s="361">
        <v>46073</v>
      </c>
      <c r="F119" s="360" t="s">
        <v>598</v>
      </c>
      <c r="G119" s="360" t="s">
        <v>138</v>
      </c>
      <c r="H119" s="360" t="s">
        <v>916</v>
      </c>
      <c r="I119" s="360" t="s">
        <v>599</v>
      </c>
      <c r="J119" s="458">
        <v>0.34</v>
      </c>
      <c r="K119" s="360">
        <v>113.66</v>
      </c>
      <c r="L119" s="459">
        <v>0</v>
      </c>
      <c r="M119" s="460">
        <v>0</v>
      </c>
      <c r="N119" s="360">
        <v>0</v>
      </c>
      <c r="O119" s="360">
        <v>6.2529488672017422E-2</v>
      </c>
      <c r="P119" s="457">
        <v>37.719079574755895</v>
      </c>
      <c r="Q119" s="464" t="s">
        <v>625</v>
      </c>
    </row>
    <row r="120" spans="1:17">
      <c r="A120" s="435">
        <v>46056</v>
      </c>
      <c r="B120" s="447" t="s">
        <v>917</v>
      </c>
      <c r="C120" s="447" t="s">
        <v>917</v>
      </c>
      <c r="D120" s="360" t="s">
        <v>918</v>
      </c>
      <c r="E120" s="361">
        <v>46073</v>
      </c>
      <c r="F120" s="360" t="s">
        <v>603</v>
      </c>
      <c r="G120" s="360" t="s">
        <v>138</v>
      </c>
      <c r="H120" s="360" t="s">
        <v>919</v>
      </c>
      <c r="I120" s="360" t="s">
        <v>599</v>
      </c>
      <c r="J120" s="458">
        <v>0.76</v>
      </c>
      <c r="K120" s="360">
        <v>0</v>
      </c>
      <c r="L120" s="459">
        <v>0</v>
      </c>
      <c r="M120" s="460">
        <v>0</v>
      </c>
      <c r="N120" s="360">
        <v>0</v>
      </c>
      <c r="O120" s="360">
        <v>5.3836096892560525E-2</v>
      </c>
      <c r="P120" s="457">
        <v>29.029568372855099</v>
      </c>
      <c r="Q120" s="464" t="s">
        <v>625</v>
      </c>
    </row>
    <row r="121" spans="1:17">
      <c r="A121" s="435">
        <v>46056</v>
      </c>
      <c r="B121" s="447" t="s">
        <v>920</v>
      </c>
      <c r="C121" s="447" t="s">
        <v>920</v>
      </c>
      <c r="D121" s="360" t="s">
        <v>918</v>
      </c>
      <c r="E121" s="361">
        <v>46073</v>
      </c>
      <c r="F121" s="360" t="s">
        <v>598</v>
      </c>
      <c r="G121" s="360" t="s">
        <v>138</v>
      </c>
      <c r="H121" s="360" t="s">
        <v>921</v>
      </c>
      <c r="I121" s="360" t="s">
        <v>599</v>
      </c>
      <c r="J121" s="458">
        <v>0.14000000000000001</v>
      </c>
      <c r="K121" s="360">
        <v>25.75</v>
      </c>
      <c r="L121" s="459">
        <v>0</v>
      </c>
      <c r="M121" s="460">
        <v>0</v>
      </c>
      <c r="N121" s="360">
        <v>0</v>
      </c>
      <c r="O121" s="360">
        <v>1.1140342704481544E-2</v>
      </c>
      <c r="P121" s="457">
        <v>35.882293806759698</v>
      </c>
      <c r="Q121" s="464" t="s">
        <v>625</v>
      </c>
    </row>
    <row r="122" spans="1:17">
      <c r="A122" s="435">
        <v>46056</v>
      </c>
      <c r="B122" s="447" t="s">
        <v>922</v>
      </c>
      <c r="C122" s="447" t="s">
        <v>922</v>
      </c>
      <c r="D122" s="360" t="s">
        <v>918</v>
      </c>
      <c r="E122" s="361">
        <v>46073</v>
      </c>
      <c r="F122" s="360" t="s">
        <v>598</v>
      </c>
      <c r="G122" s="360" t="s">
        <v>138</v>
      </c>
      <c r="H122" s="360" t="s">
        <v>923</v>
      </c>
      <c r="I122" s="360" t="s">
        <v>599</v>
      </c>
      <c r="J122" s="458">
        <v>0.64</v>
      </c>
      <c r="K122" s="360">
        <v>27.5</v>
      </c>
      <c r="L122" s="459">
        <v>0</v>
      </c>
      <c r="M122" s="460">
        <v>0</v>
      </c>
      <c r="N122" s="360">
        <v>0</v>
      </c>
      <c r="O122" s="360">
        <v>7.8833916234467227E-2</v>
      </c>
      <c r="P122" s="457">
        <v>32.2790378950261</v>
      </c>
      <c r="Q122" s="464" t="s">
        <v>625</v>
      </c>
    </row>
    <row r="123" spans="1:17">
      <c r="A123" s="435">
        <v>46056</v>
      </c>
      <c r="B123" s="462" t="s">
        <v>932</v>
      </c>
      <c r="C123" s="462" t="s">
        <v>932</v>
      </c>
      <c r="D123" s="360" t="s">
        <v>687</v>
      </c>
      <c r="E123" s="361">
        <v>46071</v>
      </c>
      <c r="F123" s="360" t="s">
        <v>598</v>
      </c>
      <c r="G123" s="360" t="s">
        <v>138</v>
      </c>
      <c r="H123" s="360" t="s">
        <v>945</v>
      </c>
      <c r="I123" s="360" t="s">
        <v>599</v>
      </c>
      <c r="J123" s="458">
        <v>200</v>
      </c>
      <c r="K123" s="360">
        <v>162800</v>
      </c>
      <c r="L123" s="459">
        <v>0</v>
      </c>
      <c r="M123" s="460">
        <v>0</v>
      </c>
      <c r="N123" s="360">
        <v>0</v>
      </c>
      <c r="O123" s="360">
        <v>5.8506410730611051</v>
      </c>
      <c r="P123" s="457">
        <v>30.289815594499199</v>
      </c>
      <c r="Q123" s="464" t="s">
        <v>625</v>
      </c>
    </row>
    <row r="124" spans="1:17">
      <c r="A124" s="435">
        <v>46056</v>
      </c>
      <c r="B124" s="447" t="s">
        <v>967</v>
      </c>
      <c r="C124" s="447" t="s">
        <v>967</v>
      </c>
      <c r="D124" s="360" t="s">
        <v>808</v>
      </c>
      <c r="E124" s="361">
        <v>46073</v>
      </c>
      <c r="F124" s="360" t="s">
        <v>598</v>
      </c>
      <c r="G124" s="360" t="s">
        <v>138</v>
      </c>
      <c r="H124" s="360" t="s">
        <v>968</v>
      </c>
      <c r="I124" s="360" t="s">
        <v>599</v>
      </c>
      <c r="J124" s="458">
        <v>0.12</v>
      </c>
      <c r="K124" s="360">
        <v>34.03</v>
      </c>
      <c r="L124" s="459">
        <v>0</v>
      </c>
      <c r="M124" s="460">
        <v>0</v>
      </c>
      <c r="N124" s="360">
        <v>0</v>
      </c>
      <c r="O124" s="360">
        <v>2.3533094978794987E-2</v>
      </c>
      <c r="P124" s="457">
        <v>37.1580638548593</v>
      </c>
      <c r="Q124" s="464" t="s">
        <v>625</v>
      </c>
    </row>
    <row r="125" spans="1:17">
      <c r="A125" s="435">
        <v>46056</v>
      </c>
      <c r="B125" s="447" t="s">
        <v>969</v>
      </c>
      <c r="C125" s="447" t="s">
        <v>969</v>
      </c>
      <c r="D125" s="360" t="s">
        <v>970</v>
      </c>
      <c r="E125" s="361">
        <v>46073</v>
      </c>
      <c r="F125" s="360" t="s">
        <v>598</v>
      </c>
      <c r="G125" s="360" t="s">
        <v>138</v>
      </c>
      <c r="H125" s="360" t="s">
        <v>971</v>
      </c>
      <c r="I125" s="360" t="s">
        <v>599</v>
      </c>
      <c r="J125" s="458">
        <v>0.08</v>
      </c>
      <c r="K125" s="360">
        <v>43.17</v>
      </c>
      <c r="L125" s="459">
        <v>0</v>
      </c>
      <c r="M125" s="460">
        <v>0</v>
      </c>
      <c r="N125" s="360">
        <v>0</v>
      </c>
      <c r="O125" s="360">
        <v>4.7846652084027712E-3</v>
      </c>
      <c r="P125" s="457">
        <v>40.913357320975699</v>
      </c>
      <c r="Q125" s="464" t="s">
        <v>625</v>
      </c>
    </row>
    <row r="126" spans="1:17">
      <c r="A126" s="435">
        <v>46056</v>
      </c>
      <c r="B126" s="447" t="s">
        <v>972</v>
      </c>
      <c r="C126" s="447" t="s">
        <v>972</v>
      </c>
      <c r="D126" s="360" t="s">
        <v>970</v>
      </c>
      <c r="E126" s="361">
        <v>46073</v>
      </c>
      <c r="F126" s="360" t="s">
        <v>598</v>
      </c>
      <c r="G126" s="360" t="s">
        <v>138</v>
      </c>
      <c r="H126" s="360" t="s">
        <v>973</v>
      </c>
      <c r="I126" s="360" t="s">
        <v>599</v>
      </c>
      <c r="J126" s="458">
        <v>0.13</v>
      </c>
      <c r="K126" s="360">
        <v>46.12</v>
      </c>
      <c r="L126" s="459">
        <v>0</v>
      </c>
      <c r="M126" s="460">
        <v>0</v>
      </c>
      <c r="N126" s="360">
        <v>0</v>
      </c>
      <c r="O126" s="360">
        <v>2.7524213805762442E-2</v>
      </c>
      <c r="P126" s="457">
        <v>38.797321142865499</v>
      </c>
      <c r="Q126" s="464" t="s">
        <v>625</v>
      </c>
    </row>
    <row r="127" spans="1:17">
      <c r="A127" s="435">
        <v>46056</v>
      </c>
      <c r="B127" s="447" t="s">
        <v>974</v>
      </c>
      <c r="C127" s="447" t="s">
        <v>974</v>
      </c>
      <c r="D127" s="360" t="s">
        <v>970</v>
      </c>
      <c r="E127" s="361">
        <v>46101</v>
      </c>
      <c r="F127" s="360" t="s">
        <v>603</v>
      </c>
      <c r="G127" s="360" t="s">
        <v>138</v>
      </c>
      <c r="H127" s="360" t="s">
        <v>883</v>
      </c>
      <c r="I127" s="360" t="s">
        <v>599</v>
      </c>
      <c r="J127" s="458">
        <v>3.45</v>
      </c>
      <c r="K127" s="360">
        <v>0</v>
      </c>
      <c r="L127" s="459">
        <v>0</v>
      </c>
      <c r="M127" s="460">
        <v>0</v>
      </c>
      <c r="N127" s="360">
        <v>0</v>
      </c>
      <c r="O127" s="360">
        <v>0.68004417332784828</v>
      </c>
      <c r="P127" s="457">
        <v>35.800262565507097</v>
      </c>
      <c r="Q127" s="464" t="s">
        <v>625</v>
      </c>
    </row>
    <row r="128" spans="1:17">
      <c r="A128" s="435">
        <v>46056</v>
      </c>
      <c r="B128" s="447" t="s">
        <v>975</v>
      </c>
      <c r="C128" s="447" t="s">
        <v>975</v>
      </c>
      <c r="D128" s="360" t="s">
        <v>970</v>
      </c>
      <c r="E128" s="361">
        <v>46101</v>
      </c>
      <c r="F128" s="360" t="s">
        <v>598</v>
      </c>
      <c r="G128" s="360" t="s">
        <v>138</v>
      </c>
      <c r="H128" s="360" t="s">
        <v>976</v>
      </c>
      <c r="I128" s="360" t="s">
        <v>599</v>
      </c>
      <c r="J128" s="458">
        <v>0.23</v>
      </c>
      <c r="K128" s="360">
        <v>42.27</v>
      </c>
      <c r="L128" s="459">
        <v>0</v>
      </c>
      <c r="M128" s="460">
        <v>0</v>
      </c>
      <c r="N128" s="360">
        <v>0</v>
      </c>
      <c r="O128" s="360">
        <v>3.9434798228749998E-2</v>
      </c>
      <c r="P128" s="457">
        <v>40.547718228872995</v>
      </c>
      <c r="Q128" s="464" t="s">
        <v>625</v>
      </c>
    </row>
    <row r="129" spans="1:17">
      <c r="A129" s="435">
        <v>46056</v>
      </c>
      <c r="B129" s="447" t="s">
        <v>977</v>
      </c>
      <c r="C129" s="447" t="s">
        <v>977</v>
      </c>
      <c r="D129" s="360" t="s">
        <v>970</v>
      </c>
      <c r="E129" s="361">
        <v>46101</v>
      </c>
      <c r="F129" s="360" t="s">
        <v>598</v>
      </c>
      <c r="G129" s="360" t="s">
        <v>138</v>
      </c>
      <c r="H129" s="360" t="s">
        <v>978</v>
      </c>
      <c r="I129" s="360" t="s">
        <v>599</v>
      </c>
      <c r="J129" s="458">
        <v>0.67</v>
      </c>
      <c r="K129" s="360">
        <v>45.83</v>
      </c>
      <c r="L129" s="459">
        <v>0</v>
      </c>
      <c r="M129" s="460">
        <v>0</v>
      </c>
      <c r="N129" s="360">
        <v>0</v>
      </c>
      <c r="O129" s="360">
        <v>0.11745954270202398</v>
      </c>
      <c r="P129" s="457">
        <v>37.092379959976299</v>
      </c>
      <c r="Q129" s="464" t="s">
        <v>625</v>
      </c>
    </row>
    <row r="130" spans="1:17">
      <c r="A130" s="435">
        <v>46056</v>
      </c>
      <c r="B130" s="447" t="s">
        <v>999</v>
      </c>
      <c r="C130" s="447" t="s">
        <v>999</v>
      </c>
      <c r="D130" s="360" t="s">
        <v>1000</v>
      </c>
      <c r="E130" s="361">
        <v>46073</v>
      </c>
      <c r="F130" s="360" t="s">
        <v>598</v>
      </c>
      <c r="G130" s="360" t="s">
        <v>138</v>
      </c>
      <c r="H130" s="360" t="s">
        <v>1001</v>
      </c>
      <c r="I130" s="360" t="s">
        <v>599</v>
      </c>
      <c r="J130" s="458">
        <v>0.11</v>
      </c>
      <c r="K130" s="360">
        <v>40.83</v>
      </c>
      <c r="L130" s="459">
        <v>0</v>
      </c>
      <c r="M130" s="460">
        <v>0</v>
      </c>
      <c r="N130" s="360">
        <v>0</v>
      </c>
      <c r="O130" s="360">
        <v>1.5457059119184741E-2</v>
      </c>
      <c r="P130" s="457">
        <v>37.890207738349098</v>
      </c>
      <c r="Q130" s="464" t="s">
        <v>625</v>
      </c>
    </row>
    <row r="131" spans="1:17">
      <c r="A131" s="435">
        <v>46056</v>
      </c>
      <c r="B131" s="447" t="s">
        <v>1002</v>
      </c>
      <c r="C131" s="447" t="s">
        <v>1002</v>
      </c>
      <c r="D131" s="360" t="s">
        <v>1000</v>
      </c>
      <c r="E131" s="361">
        <v>46073</v>
      </c>
      <c r="F131" s="360" t="s">
        <v>598</v>
      </c>
      <c r="G131" s="360" t="s">
        <v>138</v>
      </c>
      <c r="H131" s="360" t="s">
        <v>1003</v>
      </c>
      <c r="I131" s="360" t="s">
        <v>599</v>
      </c>
      <c r="J131" s="458">
        <v>0.24</v>
      </c>
      <c r="K131" s="360">
        <v>42.64</v>
      </c>
      <c r="L131" s="459">
        <v>0</v>
      </c>
      <c r="M131" s="460">
        <v>0</v>
      </c>
      <c r="N131" s="360">
        <v>0</v>
      </c>
      <c r="O131" s="360">
        <v>4.5218330239765042E-2</v>
      </c>
      <c r="P131" s="457">
        <v>35.516290344296003</v>
      </c>
      <c r="Q131" s="464" t="s">
        <v>625</v>
      </c>
    </row>
    <row r="132" spans="1:17">
      <c r="A132" s="435">
        <v>46056</v>
      </c>
      <c r="B132" s="462" t="s">
        <v>1007</v>
      </c>
      <c r="C132" s="462" t="s">
        <v>1007</v>
      </c>
      <c r="D132" s="360" t="s">
        <v>772</v>
      </c>
      <c r="E132" s="361">
        <v>46073</v>
      </c>
      <c r="F132" s="360" t="s">
        <v>598</v>
      </c>
      <c r="G132" s="360" t="s">
        <v>138</v>
      </c>
      <c r="H132" s="360" t="s">
        <v>1008</v>
      </c>
      <c r="I132" s="360" t="s">
        <v>599</v>
      </c>
      <c r="J132" s="458">
        <v>0.84</v>
      </c>
      <c r="K132" s="360">
        <v>119.16</v>
      </c>
      <c r="L132" s="459">
        <v>0</v>
      </c>
      <c r="M132" s="460">
        <v>0</v>
      </c>
      <c r="N132" s="360">
        <v>0</v>
      </c>
      <c r="O132" s="360">
        <v>0.16493065084732933</v>
      </c>
      <c r="P132" s="457">
        <v>32.837905122475597</v>
      </c>
      <c r="Q132" s="464" t="s">
        <v>625</v>
      </c>
    </row>
    <row r="133" spans="1:17">
      <c r="A133" s="435">
        <v>46056</v>
      </c>
      <c r="B133" s="462" t="s">
        <v>1009</v>
      </c>
      <c r="C133" s="462" t="s">
        <v>1009</v>
      </c>
      <c r="D133" s="360" t="s">
        <v>891</v>
      </c>
      <c r="E133" s="361">
        <v>46073</v>
      </c>
      <c r="F133" s="360" t="s">
        <v>598</v>
      </c>
      <c r="G133" s="360" t="s">
        <v>138</v>
      </c>
      <c r="H133" s="360" t="s">
        <v>1010</v>
      </c>
      <c r="I133" s="360" t="s">
        <v>599</v>
      </c>
      <c r="J133" s="458">
        <v>0.37</v>
      </c>
      <c r="K133" s="360">
        <v>77.53</v>
      </c>
      <c r="L133" s="459">
        <v>0</v>
      </c>
      <c r="M133" s="460">
        <v>0</v>
      </c>
      <c r="N133" s="360">
        <v>0</v>
      </c>
      <c r="O133" s="360">
        <v>6.0789864628312408E-2</v>
      </c>
      <c r="P133" s="457">
        <v>48.189101341101598</v>
      </c>
      <c r="Q133" s="464" t="s">
        <v>625</v>
      </c>
    </row>
    <row r="134" spans="1:17">
      <c r="A134" s="435">
        <v>46056</v>
      </c>
      <c r="B134" s="462" t="s">
        <v>1011</v>
      </c>
      <c r="C134" s="462" t="s">
        <v>1011</v>
      </c>
      <c r="D134" s="360" t="s">
        <v>891</v>
      </c>
      <c r="E134" s="361">
        <v>46073</v>
      </c>
      <c r="F134" s="360" t="s">
        <v>598</v>
      </c>
      <c r="G134" s="360" t="s">
        <v>138</v>
      </c>
      <c r="H134" s="360" t="s">
        <v>1012</v>
      </c>
      <c r="I134" s="360" t="s">
        <v>599</v>
      </c>
      <c r="J134" s="458">
        <v>0.79</v>
      </c>
      <c r="K134" s="360">
        <v>82.11</v>
      </c>
      <c r="L134" s="459">
        <v>0</v>
      </c>
      <c r="M134" s="460">
        <v>0</v>
      </c>
      <c r="N134" s="360">
        <v>0</v>
      </c>
      <c r="O134" s="360">
        <v>0.13398133144549748</v>
      </c>
      <c r="P134" s="457">
        <v>40.220941613445703</v>
      </c>
      <c r="Q134" s="464" t="s">
        <v>625</v>
      </c>
    </row>
    <row r="135" spans="1:17">
      <c r="A135" s="435">
        <v>46056</v>
      </c>
      <c r="B135" s="447" t="s">
        <v>1037</v>
      </c>
      <c r="C135" s="447" t="s">
        <v>1037</v>
      </c>
      <c r="D135" s="360" t="s">
        <v>626</v>
      </c>
      <c r="E135" s="361">
        <v>46073</v>
      </c>
      <c r="F135" s="360" t="s">
        <v>598</v>
      </c>
      <c r="G135" s="360" t="s">
        <v>138</v>
      </c>
      <c r="H135" s="360" t="s">
        <v>1038</v>
      </c>
      <c r="I135" s="360" t="s">
        <v>599</v>
      </c>
      <c r="J135" s="458">
        <v>0.19</v>
      </c>
      <c r="K135" s="360">
        <v>14.48</v>
      </c>
      <c r="L135" s="459">
        <v>0</v>
      </c>
      <c r="M135" s="460">
        <v>0</v>
      </c>
      <c r="N135" s="360">
        <v>0</v>
      </c>
      <c r="O135" s="360">
        <v>3.186616630517268E-2</v>
      </c>
      <c r="P135" s="457">
        <v>36.290712697751303</v>
      </c>
      <c r="Q135" s="464" t="s">
        <v>625</v>
      </c>
    </row>
    <row r="136" spans="1:17">
      <c r="A136" s="435">
        <v>46056</v>
      </c>
      <c r="B136" s="447" t="s">
        <v>1039</v>
      </c>
      <c r="C136" s="447" t="s">
        <v>1039</v>
      </c>
      <c r="D136" s="360" t="s">
        <v>1040</v>
      </c>
      <c r="E136" s="361">
        <v>46101</v>
      </c>
      <c r="F136" s="360" t="s">
        <v>598</v>
      </c>
      <c r="G136" s="360" t="s">
        <v>138</v>
      </c>
      <c r="H136" s="360" t="s">
        <v>887</v>
      </c>
      <c r="I136" s="360" t="s">
        <v>599</v>
      </c>
      <c r="J136" s="458">
        <v>0.36</v>
      </c>
      <c r="K136" s="360">
        <v>20.95</v>
      </c>
      <c r="L136" s="459">
        <v>0</v>
      </c>
      <c r="M136" s="460">
        <v>0</v>
      </c>
      <c r="N136" s="360">
        <v>0</v>
      </c>
      <c r="O136" s="360">
        <v>6.7068133160696139E-2</v>
      </c>
      <c r="P136" s="457">
        <v>35.531256967637702</v>
      </c>
      <c r="Q136" s="464" t="s">
        <v>625</v>
      </c>
    </row>
    <row r="137" spans="1:17">
      <c r="A137" s="435">
        <v>46056</v>
      </c>
      <c r="B137" s="447" t="s">
        <v>1041</v>
      </c>
      <c r="C137" s="447" t="s">
        <v>1041</v>
      </c>
      <c r="D137" s="360" t="s">
        <v>1040</v>
      </c>
      <c r="E137" s="361">
        <v>46101</v>
      </c>
      <c r="F137" s="360" t="s">
        <v>598</v>
      </c>
      <c r="G137" s="360" t="s">
        <v>138</v>
      </c>
      <c r="H137" s="360" t="s">
        <v>1042</v>
      </c>
      <c r="I137" s="360" t="s">
        <v>599</v>
      </c>
      <c r="J137" s="458">
        <v>0.85</v>
      </c>
      <c r="K137" s="360">
        <v>21.959999999999997</v>
      </c>
      <c r="L137" s="459">
        <v>0</v>
      </c>
      <c r="M137" s="460">
        <v>0</v>
      </c>
      <c r="N137" s="360">
        <v>0</v>
      </c>
      <c r="O137" s="360">
        <v>0.1522332696191244</v>
      </c>
      <c r="P137" s="457">
        <v>33.852381836598504</v>
      </c>
      <c r="Q137" s="464" t="s">
        <v>625</v>
      </c>
    </row>
    <row r="138" spans="1:17">
      <c r="A138" s="435">
        <v>46056</v>
      </c>
      <c r="B138" s="447" t="s">
        <v>1071</v>
      </c>
      <c r="C138" s="447" t="s">
        <v>1071</v>
      </c>
      <c r="D138" s="360" t="s">
        <v>1072</v>
      </c>
      <c r="E138" s="361">
        <v>46073</v>
      </c>
      <c r="F138" s="360" t="s">
        <v>598</v>
      </c>
      <c r="G138" s="360" t="s">
        <v>138</v>
      </c>
      <c r="H138" s="360" t="s">
        <v>1073</v>
      </c>
      <c r="I138" s="360" t="s">
        <v>599</v>
      </c>
      <c r="J138" s="458">
        <v>0.08</v>
      </c>
      <c r="K138" s="360">
        <v>12.4</v>
      </c>
      <c r="L138" s="459">
        <v>0</v>
      </c>
      <c r="M138" s="460">
        <v>0</v>
      </c>
      <c r="N138" s="360">
        <v>0</v>
      </c>
      <c r="O138" s="360">
        <v>2.7263924584267252E-3</v>
      </c>
      <c r="P138" s="457">
        <v>25.438321993451499</v>
      </c>
      <c r="Q138" s="464" t="s">
        <v>625</v>
      </c>
    </row>
    <row r="139" spans="1:17">
      <c r="A139" s="435">
        <v>46056</v>
      </c>
      <c r="B139" s="447" t="s">
        <v>1074</v>
      </c>
      <c r="C139" s="447" t="s">
        <v>1074</v>
      </c>
      <c r="D139" s="360" t="s">
        <v>1072</v>
      </c>
      <c r="E139" s="361">
        <v>46073</v>
      </c>
      <c r="F139" s="360" t="s">
        <v>598</v>
      </c>
      <c r="G139" s="360" t="s">
        <v>138</v>
      </c>
      <c r="H139" s="360" t="s">
        <v>1075</v>
      </c>
      <c r="I139" s="360" t="s">
        <v>599</v>
      </c>
      <c r="J139" s="458">
        <v>0.26</v>
      </c>
      <c r="K139" s="360">
        <v>12.97</v>
      </c>
      <c r="L139" s="459">
        <v>0</v>
      </c>
      <c r="M139" s="460">
        <v>0</v>
      </c>
      <c r="N139" s="360">
        <v>0</v>
      </c>
      <c r="O139" s="360">
        <v>2.0057190107067014E-2</v>
      </c>
      <c r="P139" s="457">
        <v>22.822208226487803</v>
      </c>
      <c r="Q139" s="464" t="s">
        <v>625</v>
      </c>
    </row>
    <row r="140" spans="1:17">
      <c r="A140" s="435">
        <v>46056</v>
      </c>
      <c r="B140" s="447" t="s">
        <v>1076</v>
      </c>
      <c r="C140" s="447" t="s">
        <v>1076</v>
      </c>
      <c r="D140" s="360" t="s">
        <v>1077</v>
      </c>
      <c r="E140" s="361">
        <v>46101</v>
      </c>
      <c r="F140" s="360" t="s">
        <v>603</v>
      </c>
      <c r="G140" s="360" t="s">
        <v>138</v>
      </c>
      <c r="H140" s="360" t="s">
        <v>1078</v>
      </c>
      <c r="I140" s="360" t="s">
        <v>599</v>
      </c>
      <c r="J140" s="458">
        <v>0.9</v>
      </c>
      <c r="K140" s="360">
        <v>0</v>
      </c>
      <c r="L140" s="459">
        <v>0</v>
      </c>
      <c r="M140" s="460">
        <v>0</v>
      </c>
      <c r="N140" s="360">
        <v>0</v>
      </c>
      <c r="O140" s="360">
        <v>0.18671726774823369</v>
      </c>
      <c r="P140" s="457">
        <v>30.941646778578299</v>
      </c>
      <c r="Q140" s="464" t="s">
        <v>625</v>
      </c>
    </row>
    <row r="141" spans="1:17">
      <c r="A141" s="435">
        <v>46056</v>
      </c>
      <c r="B141" s="447" t="s">
        <v>1079</v>
      </c>
      <c r="C141" s="447" t="s">
        <v>1079</v>
      </c>
      <c r="D141" s="360" t="s">
        <v>1080</v>
      </c>
      <c r="E141" s="361">
        <v>46101</v>
      </c>
      <c r="F141" s="360" t="s">
        <v>603</v>
      </c>
      <c r="G141" s="360" t="s">
        <v>138</v>
      </c>
      <c r="H141" s="360" t="s">
        <v>1081</v>
      </c>
      <c r="I141" s="360" t="s">
        <v>599</v>
      </c>
      <c r="J141" s="458">
        <v>1.47</v>
      </c>
      <c r="K141" s="360">
        <v>0</v>
      </c>
      <c r="L141" s="459">
        <v>0</v>
      </c>
      <c r="M141" s="460">
        <v>0</v>
      </c>
      <c r="N141" s="360">
        <v>0</v>
      </c>
      <c r="O141" s="360">
        <v>0.29295283487098167</v>
      </c>
      <c r="P141" s="457">
        <v>39.782796983722598</v>
      </c>
      <c r="Q141" s="464" t="s">
        <v>625</v>
      </c>
    </row>
    <row r="142" spans="1:17">
      <c r="A142" s="435">
        <v>46056</v>
      </c>
      <c r="B142" s="447" t="s">
        <v>1082</v>
      </c>
      <c r="C142" s="447" t="s">
        <v>1082</v>
      </c>
      <c r="D142" s="360" t="s">
        <v>1080</v>
      </c>
      <c r="E142" s="361">
        <v>46101</v>
      </c>
      <c r="F142" s="360" t="s">
        <v>598</v>
      </c>
      <c r="G142" s="360" t="s">
        <v>138</v>
      </c>
      <c r="H142" s="360" t="s">
        <v>1083</v>
      </c>
      <c r="I142" s="360" t="s">
        <v>599</v>
      </c>
      <c r="J142" s="458">
        <v>0.24</v>
      </c>
      <c r="K142" s="360">
        <v>22.150000000000002</v>
      </c>
      <c r="L142" s="459">
        <v>0</v>
      </c>
      <c r="M142" s="460">
        <v>0</v>
      </c>
      <c r="N142" s="360">
        <v>0</v>
      </c>
      <c r="O142" s="360">
        <v>3.8464469819485703E-2</v>
      </c>
      <c r="P142" s="457">
        <v>44.803803800146397</v>
      </c>
      <c r="Q142" s="464" t="s">
        <v>625</v>
      </c>
    </row>
    <row r="143" spans="1:17">
      <c r="A143" s="435">
        <v>46056</v>
      </c>
      <c r="B143" s="447" t="s">
        <v>1084</v>
      </c>
      <c r="C143" s="447" t="s">
        <v>1084</v>
      </c>
      <c r="D143" s="360" t="s">
        <v>1080</v>
      </c>
      <c r="E143" s="361">
        <v>46101</v>
      </c>
      <c r="F143" s="360" t="s">
        <v>598</v>
      </c>
      <c r="G143" s="360" t="s">
        <v>138</v>
      </c>
      <c r="H143" s="360" t="s">
        <v>1085</v>
      </c>
      <c r="I143" s="360" t="s">
        <v>599</v>
      </c>
      <c r="J143" s="458">
        <v>0.76</v>
      </c>
      <c r="K143" s="360">
        <v>24.08</v>
      </c>
      <c r="L143" s="459">
        <v>0</v>
      </c>
      <c r="M143" s="460">
        <v>0</v>
      </c>
      <c r="N143" s="360">
        <v>0</v>
      </c>
      <c r="O143" s="360">
        <v>0.12107377708766741</v>
      </c>
      <c r="P143" s="457">
        <v>42.183916919648304</v>
      </c>
      <c r="Q143" s="464" t="s">
        <v>625</v>
      </c>
    </row>
    <row r="144" spans="1:17">
      <c r="A144" s="435">
        <v>46056</v>
      </c>
      <c r="B144" s="447" t="s">
        <v>1086</v>
      </c>
      <c r="C144" s="447" t="s">
        <v>1086</v>
      </c>
      <c r="D144" s="360" t="s">
        <v>1087</v>
      </c>
      <c r="E144" s="361">
        <v>46073</v>
      </c>
      <c r="F144" s="360" t="s">
        <v>603</v>
      </c>
      <c r="G144" s="360" t="s">
        <v>138</v>
      </c>
      <c r="H144" s="360" t="s">
        <v>1088</v>
      </c>
      <c r="I144" s="360" t="s">
        <v>599</v>
      </c>
      <c r="J144" s="458">
        <v>0.17</v>
      </c>
      <c r="K144" s="360">
        <v>0</v>
      </c>
      <c r="L144" s="459">
        <v>0</v>
      </c>
      <c r="M144" s="460">
        <v>0</v>
      </c>
      <c r="N144" s="360">
        <v>0</v>
      </c>
      <c r="O144" s="360">
        <v>3.5137143457474637E-2</v>
      </c>
      <c r="P144" s="457">
        <v>57.946811451913099</v>
      </c>
      <c r="Q144" s="464" t="s">
        <v>625</v>
      </c>
    </row>
    <row r="145" spans="1:17">
      <c r="A145" s="435">
        <v>46056</v>
      </c>
      <c r="B145" s="447" t="s">
        <v>1089</v>
      </c>
      <c r="C145" s="447" t="s">
        <v>1089</v>
      </c>
      <c r="D145" s="360" t="s">
        <v>1087</v>
      </c>
      <c r="E145" s="361">
        <v>46073</v>
      </c>
      <c r="F145" s="360" t="s">
        <v>603</v>
      </c>
      <c r="G145" s="360" t="s">
        <v>138</v>
      </c>
      <c r="H145" s="360" t="s">
        <v>1090</v>
      </c>
      <c r="I145" s="360" t="s">
        <v>599</v>
      </c>
      <c r="J145" s="458">
        <v>0.02</v>
      </c>
      <c r="K145" s="360">
        <v>0</v>
      </c>
      <c r="L145" s="459">
        <v>0</v>
      </c>
      <c r="M145" s="460">
        <v>0</v>
      </c>
      <c r="N145" s="360">
        <v>0</v>
      </c>
      <c r="O145" s="360">
        <v>9.9276693545930095E-3</v>
      </c>
      <c r="P145" s="457">
        <v>62.944307755670799</v>
      </c>
      <c r="Q145" s="464" t="s">
        <v>625</v>
      </c>
    </row>
    <row r="146" spans="1:17">
      <c r="A146" s="435">
        <v>46056</v>
      </c>
      <c r="B146" s="462" t="s">
        <v>1108</v>
      </c>
      <c r="C146" s="462" t="s">
        <v>1108</v>
      </c>
      <c r="D146" s="360" t="s">
        <v>1109</v>
      </c>
      <c r="E146" s="361">
        <v>46073</v>
      </c>
      <c r="F146" s="360" t="s">
        <v>603</v>
      </c>
      <c r="G146" s="360" t="s">
        <v>138</v>
      </c>
      <c r="H146" s="360" t="s">
        <v>1110</v>
      </c>
      <c r="I146" s="360" t="s">
        <v>599</v>
      </c>
      <c r="J146" s="458">
        <v>0.2</v>
      </c>
      <c r="K146" s="360">
        <v>0</v>
      </c>
      <c r="L146" s="459">
        <v>0</v>
      </c>
      <c r="M146" s="460">
        <v>0</v>
      </c>
      <c r="N146" s="360">
        <v>0</v>
      </c>
      <c r="O146" s="360">
        <v>3.7492078741953011E-2</v>
      </c>
      <c r="P146" s="457">
        <v>41.962965821095004</v>
      </c>
      <c r="Q146" s="464" t="s">
        <v>625</v>
      </c>
    </row>
    <row r="147" spans="1:17">
      <c r="A147" s="435">
        <v>46056</v>
      </c>
      <c r="B147" s="462" t="s">
        <v>1111</v>
      </c>
      <c r="C147" s="462" t="s">
        <v>1111</v>
      </c>
      <c r="D147" s="360" t="s">
        <v>1112</v>
      </c>
      <c r="E147" s="361">
        <v>46073</v>
      </c>
      <c r="F147" s="360" t="s">
        <v>603</v>
      </c>
      <c r="G147" s="360" t="s">
        <v>138</v>
      </c>
      <c r="H147" s="360" t="s">
        <v>1113</v>
      </c>
      <c r="I147" s="360" t="s">
        <v>599</v>
      </c>
      <c r="J147" s="458">
        <v>0.23</v>
      </c>
      <c r="K147" s="360">
        <v>0</v>
      </c>
      <c r="L147" s="459">
        <v>0</v>
      </c>
      <c r="M147" s="460">
        <v>0</v>
      </c>
      <c r="N147" s="360">
        <v>0</v>
      </c>
      <c r="O147" s="360">
        <v>8.0107718107502862E-3</v>
      </c>
      <c r="P147" s="457">
        <v>17.027635436824301</v>
      </c>
      <c r="Q147" s="464" t="s">
        <v>625</v>
      </c>
    </row>
    <row r="148" spans="1:17">
      <c r="A148" s="435">
        <v>46056</v>
      </c>
      <c r="B148" s="447" t="s">
        <v>1125</v>
      </c>
      <c r="C148" s="447" t="s">
        <v>1125</v>
      </c>
      <c r="D148" s="360" t="s">
        <v>970</v>
      </c>
      <c r="E148" s="361">
        <v>46129</v>
      </c>
      <c r="F148" s="360" t="s">
        <v>598</v>
      </c>
      <c r="G148" s="360" t="s">
        <v>138</v>
      </c>
      <c r="H148" s="360" t="s">
        <v>1126</v>
      </c>
      <c r="I148" s="360" t="s">
        <v>599</v>
      </c>
      <c r="J148" s="458">
        <v>0.8</v>
      </c>
      <c r="K148" s="360">
        <v>44.7</v>
      </c>
      <c r="L148" s="459">
        <v>0</v>
      </c>
      <c r="M148" s="460">
        <v>0</v>
      </c>
      <c r="N148" s="360">
        <v>0</v>
      </c>
      <c r="O148" s="360">
        <v>0.16307366037300589</v>
      </c>
      <c r="P148" s="457">
        <v>38.583225744160195</v>
      </c>
      <c r="Q148" s="464" t="s">
        <v>625</v>
      </c>
    </row>
    <row r="149" spans="1:17">
      <c r="A149" s="435">
        <v>46056</v>
      </c>
      <c r="B149" s="447" t="s">
        <v>1127</v>
      </c>
      <c r="C149" s="447" t="s">
        <v>1127</v>
      </c>
      <c r="D149" s="360" t="s">
        <v>970</v>
      </c>
      <c r="E149" s="361">
        <v>46129</v>
      </c>
      <c r="F149" s="360" t="s">
        <v>598</v>
      </c>
      <c r="G149" s="360" t="s">
        <v>138</v>
      </c>
      <c r="H149" s="360" t="s">
        <v>1128</v>
      </c>
      <c r="I149" s="360" t="s">
        <v>599</v>
      </c>
      <c r="J149" s="458">
        <v>1.93</v>
      </c>
      <c r="K149" s="360">
        <v>47.57</v>
      </c>
      <c r="L149" s="459">
        <v>0</v>
      </c>
      <c r="M149" s="460">
        <v>0</v>
      </c>
      <c r="N149" s="360">
        <v>0</v>
      </c>
      <c r="O149" s="360">
        <v>0.34662222896917844</v>
      </c>
      <c r="P149" s="457">
        <v>36.2955499245192</v>
      </c>
      <c r="Q149" s="464" t="s">
        <v>625</v>
      </c>
    </row>
    <row r="150" spans="1:17">
      <c r="A150" s="435">
        <v>46056</v>
      </c>
      <c r="B150" s="447" t="s">
        <v>1159</v>
      </c>
      <c r="C150" s="447" t="s">
        <v>1159</v>
      </c>
      <c r="D150" s="360" t="s">
        <v>1160</v>
      </c>
      <c r="E150" s="361">
        <v>46101</v>
      </c>
      <c r="F150" s="360" t="s">
        <v>598</v>
      </c>
      <c r="G150" s="360" t="s">
        <v>138</v>
      </c>
      <c r="H150" s="360" t="s">
        <v>1161</v>
      </c>
      <c r="I150" s="360" t="s">
        <v>599</v>
      </c>
      <c r="J150" s="458">
        <v>0.4</v>
      </c>
      <c r="K150" s="360">
        <v>18.470000000000002</v>
      </c>
      <c r="L150" s="459">
        <v>0</v>
      </c>
      <c r="M150" s="460">
        <v>0</v>
      </c>
      <c r="N150" s="360">
        <v>0</v>
      </c>
      <c r="O150" s="360">
        <v>7.1189146123731367E-2</v>
      </c>
      <c r="P150" s="457">
        <v>25.131764759469998</v>
      </c>
      <c r="Q150" s="464" t="s">
        <v>625</v>
      </c>
    </row>
    <row r="151" spans="1:17">
      <c r="A151" s="435">
        <v>46056</v>
      </c>
      <c r="B151" s="447" t="s">
        <v>1162</v>
      </c>
      <c r="C151" s="447" t="s">
        <v>1162</v>
      </c>
      <c r="D151" s="360" t="s">
        <v>918</v>
      </c>
      <c r="E151" s="361">
        <v>46073</v>
      </c>
      <c r="F151" s="360" t="s">
        <v>603</v>
      </c>
      <c r="G151" s="360" t="s">
        <v>138</v>
      </c>
      <c r="H151" s="360" t="s">
        <v>1163</v>
      </c>
      <c r="I151" s="360" t="s">
        <v>599</v>
      </c>
      <c r="J151" s="458">
        <v>0.53</v>
      </c>
      <c r="K151" s="360">
        <v>0</v>
      </c>
      <c r="L151" s="459">
        <v>0</v>
      </c>
      <c r="M151" s="460">
        <v>0</v>
      </c>
      <c r="N151" s="360">
        <v>0</v>
      </c>
      <c r="O151" s="360">
        <v>3.1552715317866104E-2</v>
      </c>
      <c r="P151" s="457">
        <v>28.289966522810001</v>
      </c>
      <c r="Q151" s="464" t="s">
        <v>625</v>
      </c>
    </row>
    <row r="152" spans="1:17">
      <c r="A152" s="435">
        <v>46056</v>
      </c>
      <c r="B152" s="447" t="s">
        <v>1164</v>
      </c>
      <c r="C152" s="447" t="s">
        <v>1164</v>
      </c>
      <c r="D152" s="360" t="s">
        <v>918</v>
      </c>
      <c r="E152" s="361">
        <v>46073</v>
      </c>
      <c r="F152" s="360" t="s">
        <v>598</v>
      </c>
      <c r="G152" s="360" t="s">
        <v>138</v>
      </c>
      <c r="H152" s="360" t="s">
        <v>1165</v>
      </c>
      <c r="I152" s="360" t="s">
        <v>599</v>
      </c>
      <c r="J152" s="458">
        <v>0.27</v>
      </c>
      <c r="K152" s="360">
        <v>26.37</v>
      </c>
      <c r="L152" s="459">
        <v>0</v>
      </c>
      <c r="M152" s="460">
        <v>0</v>
      </c>
      <c r="N152" s="360">
        <v>0</v>
      </c>
      <c r="O152" s="360">
        <v>2.296453082120108E-2</v>
      </c>
      <c r="P152" s="457">
        <v>34.741732346075096</v>
      </c>
      <c r="Q152" s="464" t="s">
        <v>625</v>
      </c>
    </row>
    <row r="153" spans="1:17">
      <c r="A153" s="435">
        <v>46056</v>
      </c>
      <c r="B153" s="447" t="s">
        <v>1166</v>
      </c>
      <c r="C153" s="447" t="s">
        <v>1166</v>
      </c>
      <c r="D153" s="360" t="s">
        <v>918</v>
      </c>
      <c r="E153" s="361">
        <v>46073</v>
      </c>
      <c r="F153" s="360" t="s">
        <v>598</v>
      </c>
      <c r="G153" s="360" t="s">
        <v>138</v>
      </c>
      <c r="H153" s="360" t="s">
        <v>1167</v>
      </c>
      <c r="I153" s="360" t="s">
        <v>599</v>
      </c>
      <c r="J153" s="458">
        <v>0.83</v>
      </c>
      <c r="K153" s="360">
        <v>27.810000000000002</v>
      </c>
      <c r="L153" s="459">
        <v>0</v>
      </c>
      <c r="M153" s="460">
        <v>0</v>
      </c>
      <c r="N153" s="360">
        <v>0</v>
      </c>
      <c r="O153" s="360">
        <v>0.1121203191228636</v>
      </c>
      <c r="P153" s="457">
        <v>31.440900336122802</v>
      </c>
      <c r="Q153" s="464" t="s">
        <v>625</v>
      </c>
    </row>
  </sheetData>
  <conditionalFormatting sqref="T2:T3">
    <cfRule type="cellIs" dxfId="40" priority="41" operator="equal">
      <formula>0</formula>
    </cfRule>
  </conditionalFormatting>
  <conditionalFormatting sqref="W2:W3">
    <cfRule type="cellIs" dxfId="39" priority="40" operator="equal">
      <formula>0</formula>
    </cfRule>
  </conditionalFormatting>
  <conditionalFormatting sqref="B71:B85">
    <cfRule type="duplicateValues" dxfId="38" priority="38" stopIfTrue="1"/>
    <cfRule type="duplicateValues" dxfId="37" priority="38"/>
  </conditionalFormatting>
  <conditionalFormatting sqref="B92:B94">
    <cfRule type="duplicateValues" dxfId="36" priority="37"/>
  </conditionalFormatting>
  <conditionalFormatting sqref="B95:B99 B1 B104:B107 B109:B116 B48:B65 B71:B91">
    <cfRule type="duplicateValues" dxfId="35" priority="35" stopIfTrue="1"/>
    <cfRule type="duplicateValues" dxfId="34" priority="35"/>
  </conditionalFormatting>
  <conditionalFormatting sqref="B95:B99 B1:B17 B104:B107 B109:B116 B48:B65 B71:B91">
    <cfRule type="duplicateValues" dxfId="33" priority="34"/>
  </conditionalFormatting>
  <conditionalFormatting sqref="B95:B99 B104:B107 B109:B116 B1:B65 B71:B91">
    <cfRule type="duplicateValues" dxfId="32" priority="33"/>
  </conditionalFormatting>
  <conditionalFormatting sqref="C2:C85">
    <cfRule type="duplicateValues" dxfId="31" priority="39"/>
  </conditionalFormatting>
  <conditionalFormatting sqref="C6:C70">
    <cfRule type="duplicateValues" dxfId="30" priority="42"/>
  </conditionalFormatting>
  <conditionalFormatting sqref="C71:C85">
    <cfRule type="duplicateValues" dxfId="29" priority="36" stopIfTrue="1"/>
    <cfRule type="duplicateValues" dxfId="28" priority="43"/>
  </conditionalFormatting>
  <conditionalFormatting sqref="C74:C76">
    <cfRule type="duplicateValues" dxfId="27" priority="32" stopIfTrue="1"/>
    <cfRule type="duplicateValues" dxfId="26" priority="44"/>
  </conditionalFormatting>
  <conditionalFormatting sqref="C77:C80">
    <cfRule type="duplicateValues" dxfId="25" priority="30"/>
    <cfRule type="duplicateValues" dxfId="24" priority="31" stopIfTrue="1"/>
  </conditionalFormatting>
  <conditionalFormatting sqref="C86">
    <cfRule type="duplicateValues" dxfId="23" priority="28"/>
    <cfRule type="duplicateValues" dxfId="22" priority="29" stopIfTrue="1"/>
  </conditionalFormatting>
  <conditionalFormatting sqref="C87:C91">
    <cfRule type="duplicateValues" dxfId="21" priority="19"/>
    <cfRule type="duplicateValues" dxfId="20" priority="20" stopIfTrue="1"/>
    <cfRule type="duplicateValues" dxfId="19" priority="21"/>
    <cfRule type="duplicateValues" dxfId="18" priority="22"/>
  </conditionalFormatting>
  <conditionalFormatting sqref="C92:C94 C1:C85">
    <cfRule type="duplicateValues" dxfId="17" priority="24"/>
  </conditionalFormatting>
  <conditionalFormatting sqref="C95:C99">
    <cfRule type="duplicateValues" dxfId="16" priority="14"/>
    <cfRule type="duplicateValues" dxfId="15" priority="15" stopIfTrue="1"/>
    <cfRule type="duplicateValues" dxfId="14" priority="16"/>
    <cfRule type="duplicateValues" dxfId="13" priority="17"/>
  </conditionalFormatting>
  <conditionalFormatting sqref="C104:C107">
    <cfRule type="duplicateValues" dxfId="12" priority="10"/>
    <cfRule type="duplicateValues" dxfId="11" priority="11" stopIfTrue="1"/>
    <cfRule type="duplicateValues" dxfId="10" priority="12"/>
    <cfRule type="duplicateValues" dxfId="9" priority="13"/>
  </conditionalFormatting>
  <conditionalFormatting sqref="C109:C114">
    <cfRule type="duplicateValues" dxfId="8" priority="6"/>
    <cfRule type="duplicateValues" dxfId="7" priority="7" stopIfTrue="1"/>
    <cfRule type="duplicateValues" dxfId="6" priority="8"/>
    <cfRule type="duplicateValues" dxfId="5" priority="9"/>
  </conditionalFormatting>
  <conditionalFormatting sqref="C115:C116">
    <cfRule type="duplicateValues" dxfId="4" priority="2"/>
    <cfRule type="duplicateValues" dxfId="3" priority="2" stopIfTrue="1"/>
    <cfRule type="duplicateValues" dxfId="2" priority="3"/>
    <cfRule type="duplicateValues" dxfId="1" priority="4"/>
  </conditionalFormatting>
  <conditionalFormatting sqref="L1:M116">
    <cfRule type="cellIs" dxfId="0" priority="5" operator="equal">
      <formula>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A442C-2CB6-44D6-9707-3255DFA11C10}">
  <sheetPr>
    <tabColor rgb="FF0000FF"/>
  </sheetPr>
  <dimension ref="A1:O78"/>
  <sheetViews>
    <sheetView workbookViewId="0">
      <selection activeCell="A2" sqref="A2"/>
    </sheetView>
  </sheetViews>
  <sheetFormatPr defaultRowHeight="15"/>
  <sheetData>
    <row r="1" spans="1:10">
      <c r="A1" s="516" t="s">
        <v>117</v>
      </c>
      <c r="B1" s="516" t="s">
        <v>1179</v>
      </c>
      <c r="C1" s="516" t="s">
        <v>1180</v>
      </c>
      <c r="D1" s="516" t="s">
        <v>1181</v>
      </c>
      <c r="E1" s="516" t="s">
        <v>1182</v>
      </c>
      <c r="F1" s="516" t="s">
        <v>1183</v>
      </c>
      <c r="G1" s="516" t="s">
        <v>1184</v>
      </c>
      <c r="H1" s="516" t="s">
        <v>1185</v>
      </c>
      <c r="I1" s="516" t="s">
        <v>1186</v>
      </c>
      <c r="J1" s="516" t="s">
        <v>1187</v>
      </c>
    </row>
    <row r="2" spans="1:10">
      <c r="A2" t="s">
        <v>84</v>
      </c>
      <c r="B2" t="s">
        <v>1188</v>
      </c>
      <c r="C2">
        <f>_xll.BDP("AVGO Equity","LAST_PRICE")</f>
        <v>308.05</v>
      </c>
      <c r="D2">
        <f>_xll.BDP("AVGO Equity","PX_YEST_CLOSE")</f>
        <v>308.05</v>
      </c>
      <c r="E2">
        <f>IFERROR(C2/D2-1,0)</f>
        <v>0</v>
      </c>
      <c r="F2">
        <f>_xll.BDP("AVGO Equity","VOLATILITY_10D")</f>
        <v>33.425159254612367</v>
      </c>
      <c r="G2">
        <f>IFERROR(_xll.BDP("AVGO Equity","EQY_BETA"),"-")</f>
        <v>2.0298333168029785</v>
      </c>
      <c r="H2" t="str">
        <f>_xll.BDP("AVGO Equity","EXPECTED_REPORT_DT")</f>
        <v>04/03/2026</v>
      </c>
      <c r="I2" t="str">
        <f>_xll.BDP("AVGO Equity","DVD_EX_DT")</f>
        <v>22/12/2025</v>
      </c>
    </row>
    <row r="3" spans="1:10">
      <c r="A3" t="s">
        <v>42</v>
      </c>
      <c r="B3" t="s">
        <v>1188</v>
      </c>
      <c r="C3">
        <f>_xll.BDP("NVDA Equity","LAST_PRICE")</f>
        <v>174.19</v>
      </c>
      <c r="D3">
        <f>_xll.BDP("NVDA Equity","PX_YEST_CLOSE")</f>
        <v>174.19</v>
      </c>
      <c r="E3">
        <f>IFERROR(C3/D3-1,0)</f>
        <v>0</v>
      </c>
      <c r="F3">
        <f>_xll.BDP("NVDA Equity","VOLATILITY_10D")</f>
        <v>32.351065904057364</v>
      </c>
      <c r="G3">
        <f>IFERROR(_xll.BDP("NVDA Equity","EQY_BETA"),"-")</f>
        <v>1.8413189649581909</v>
      </c>
      <c r="H3" t="str">
        <f>_xll.BDP("NVDA Equity","EXPECTED_REPORT_DT")</f>
        <v>25/02/2026</v>
      </c>
      <c r="I3" t="str">
        <f>_xll.BDP("NVDA Equity","DVD_EX_DT")</f>
        <v>04/12/2025</v>
      </c>
    </row>
    <row r="4" spans="1:10">
      <c r="A4" t="s">
        <v>44</v>
      </c>
      <c r="B4" t="s">
        <v>1188</v>
      </c>
      <c r="C4">
        <f>_xll.BDP("TSM Equity","LAST_PRICE")</f>
        <v>325.74</v>
      </c>
      <c r="D4">
        <f>_xll.BDP("TSM Equity","PX_YEST_CLOSE")</f>
        <v>325.74</v>
      </c>
      <c r="E4">
        <f>IFERROR(C4/D4-1,0)</f>
        <v>0</v>
      </c>
      <c r="F4">
        <f>_xll.BDP("TSM Equity","VOLATILITY_10D")</f>
        <v>35.958623427977841</v>
      </c>
      <c r="G4">
        <f>IFERROR(_xll.BDP("TSM Equity","EQY_BETA"),"-")</f>
        <v>1.4615918397903442</v>
      </c>
      <c r="H4" t="str">
        <f>_xll.BDP("TSM Equity","EXPECTED_REPORT_DT")</f>
        <v>17/04/2026</v>
      </c>
      <c r="I4" t="str">
        <f>_xll.BDP("TSM Equity","DVD_EX_DT")</f>
        <v>17/03/2026</v>
      </c>
    </row>
    <row r="5" spans="1:10">
      <c r="A5" t="s">
        <v>334</v>
      </c>
      <c r="B5" t="s">
        <v>1188</v>
      </c>
      <c r="C5">
        <f>_xll.BDP("AMD Equity","LAST_PRICE")</f>
        <v>200.19</v>
      </c>
      <c r="D5">
        <f>_xll.BDP("AMD Equity","PX_YEST_CLOSE")</f>
        <v>200.19</v>
      </c>
      <c r="E5">
        <f>IFERROR(C5/D5-1,0)</f>
        <v>0</v>
      </c>
      <c r="F5">
        <f>_xll.BDP("AMD Equity","VOLATILITY_10D")</f>
        <v>110.22965347871785</v>
      </c>
      <c r="G5">
        <f>IFERROR(_xll.BDP("AMD Equity","EQY_BETA"),"-")</f>
        <v>1.5664284229278564</v>
      </c>
      <c r="H5" t="str">
        <f>_xll.BDP("AMD Equity","EXPECTED_REPORT_DT")</f>
        <v>06/05/2026</v>
      </c>
      <c r="I5" t="str">
        <f>_xll.BDP("AMD Equity","DVD_EX_DT")</f>
        <v>27/04/1995</v>
      </c>
    </row>
    <row r="6" spans="1:10">
      <c r="A6" t="s">
        <v>318</v>
      </c>
      <c r="B6" t="s">
        <v>1188</v>
      </c>
      <c r="C6">
        <f>_xll.BDP("AMZN Equity","LAST_PRICE")</f>
        <v>232.99</v>
      </c>
      <c r="D6">
        <f>_xll.BDP("AMZN Equity","PX_YEST_CLOSE")</f>
        <v>232.99</v>
      </c>
      <c r="E6">
        <f>IFERROR(C6/D6-1,0)</f>
        <v>0</v>
      </c>
      <c r="F6">
        <f>_xll.BDP("AMZN Equity","VOLATILITY_10D")</f>
        <v>27.895758892397925</v>
      </c>
      <c r="G6">
        <f>IFERROR(_xll.BDP("AMZN Equity","EQY_BETA"),"-")</f>
        <v>1.2695776224136353</v>
      </c>
      <c r="H6" t="str">
        <f>_xll.BDP("AMZN Equity","EXPECTED_REPORT_DT")</f>
        <v>05/02/2026</v>
      </c>
      <c r="I6" t="str">
        <f>_xll.BDP("AMZN Equity","DVD_EX_DT")</f>
        <v>#N/A Field Not Applicable</v>
      </c>
    </row>
    <row r="7" spans="1:10">
      <c r="A7" t="s">
        <v>27</v>
      </c>
      <c r="B7" t="s">
        <v>1188</v>
      </c>
      <c r="C7">
        <f>_xll.BDP("AAPL Equity","LAST_PRICE")</f>
        <v>276.49</v>
      </c>
      <c r="D7">
        <f>_xll.BDP("AAPL Equity","PX_YEST_CLOSE")</f>
        <v>276.49</v>
      </c>
      <c r="E7">
        <f>IFERROR(C7/D7-1,0)</f>
        <v>0</v>
      </c>
      <c r="F7">
        <f>_xll.BDP("AAPL Equity","VOLATILITY_10D")</f>
        <v>25.948006308384713</v>
      </c>
      <c r="G7">
        <f>IFERROR(_xll.BDP("AAPL Equity","EQY_BETA"),"-")</f>
        <v>1.0708433389663696</v>
      </c>
      <c r="H7" t="str">
        <f>_xll.BDP("AAPL Equity","EXPECTED_REPORT_DT")</f>
        <v>01/05/2026</v>
      </c>
      <c r="I7" t="str">
        <f>_xll.BDP("AAPL Equity","DVD_EX_DT")</f>
        <v>09/02/2026</v>
      </c>
    </row>
    <row r="8" spans="1:10">
      <c r="A8" t="s">
        <v>38</v>
      </c>
      <c r="B8" t="s">
        <v>1188</v>
      </c>
      <c r="C8">
        <f>_xll.BDP("MSFT Equity","LAST_PRICE")</f>
        <v>414.19</v>
      </c>
      <c r="D8">
        <f>_xll.BDP("MSFT Equity","PX_YEST_CLOSE")</f>
        <v>414.19</v>
      </c>
      <c r="E8">
        <f>IFERROR(C8/D8-1,0)</f>
        <v>0</v>
      </c>
      <c r="F8">
        <f>_xll.BDP("MSFT Equity","VOLATILITY_10D")</f>
        <v>65.239594700115049</v>
      </c>
      <c r="G8">
        <f>IFERROR(_xll.BDP("MSFT Equity","EQY_BETA"),"-")</f>
        <v>1.0179988145828247</v>
      </c>
      <c r="H8" t="str">
        <f>_xll.BDP("MSFT Equity","EXPECTED_REPORT_DT")</f>
        <v>30/04/2026</v>
      </c>
      <c r="I8" t="str">
        <f>_xll.BDP("MSFT Equity","DVD_EX_DT")</f>
        <v>19/02/2026</v>
      </c>
    </row>
    <row r="9" spans="1:10">
      <c r="A9" t="s">
        <v>231</v>
      </c>
      <c r="B9" t="s">
        <v>1188</v>
      </c>
      <c r="C9">
        <f>_xll.BDP("GOOGL Equity","LAST_PRICE")</f>
        <v>333.04</v>
      </c>
      <c r="D9">
        <f>_xll.BDP("GOOGL Equity","PX_YEST_CLOSE")</f>
        <v>333.04</v>
      </c>
      <c r="E9">
        <f>IFERROR(C9/D9-1,0)</f>
        <v>0</v>
      </c>
      <c r="F9">
        <f>_xll.BDP("GOOGL Equity","VOLATILITY_10D")</f>
        <v>19.770192790742662</v>
      </c>
      <c r="G9">
        <f>IFERROR(_xll.BDP("GOOGL Equity","EQY_BETA"),"-")</f>
        <v>1.0385246276855469</v>
      </c>
      <c r="H9" t="str">
        <f>_xll.BDP("GOOGL Equity","EXPECTED_REPORT_DT")</f>
        <v>24/04/2026</v>
      </c>
      <c r="I9" t="str">
        <f>_xll.BDP("GOOGL Equity","DVD_EX_DT")</f>
        <v>09/03/2026</v>
      </c>
    </row>
    <row r="10" spans="1:10">
      <c r="A10" t="s">
        <v>29</v>
      </c>
      <c r="B10" t="s">
        <v>1188</v>
      </c>
      <c r="C10">
        <f>_xll.BDP("META Equity","LAST_PRICE")</f>
        <v>668.99</v>
      </c>
      <c r="D10">
        <f>_xll.BDP("META Equity","PX_YEST_CLOSE")</f>
        <v>668.99</v>
      </c>
      <c r="E10">
        <f>IFERROR(C10/D10-1,0)</f>
        <v>0</v>
      </c>
      <c r="F10">
        <f>_xll.BDP("META Equity","VOLATILITY_10D")</f>
        <v>65.217022484935498</v>
      </c>
      <c r="G10">
        <f>IFERROR(_xll.BDP("META Equity","EQY_BETA"),"-")</f>
        <v>1.183393120765686</v>
      </c>
      <c r="H10" t="str">
        <f>_xll.BDP("META Equity","EXPECTED_REPORT_DT")</f>
        <v>30/04/2026</v>
      </c>
      <c r="I10" t="str">
        <f>_xll.BDP("META Equity","DVD_EX_DT")</f>
        <v>15/12/2025</v>
      </c>
    </row>
    <row r="11" spans="1:10">
      <c r="A11" t="s">
        <v>559</v>
      </c>
      <c r="B11" t="s">
        <v>1188</v>
      </c>
      <c r="C11">
        <f>_xll.BDP("ORCL Equity","LAST_PRICE")</f>
        <v>146.66999999999999</v>
      </c>
      <c r="D11">
        <f>_xll.BDP("ORCL Equity","PX_YEST_CLOSE")</f>
        <v>146.66999999999999</v>
      </c>
      <c r="E11">
        <f>IFERROR(C11/D11-1,0)</f>
        <v>0</v>
      </c>
      <c r="F11">
        <f>_xll.BDP("ORCL Equity","VOLATILITY_10D")</f>
        <v>38.587231790658734</v>
      </c>
      <c r="G11">
        <f>IFERROR(_xll.BDP("ORCL Equity","EQY_BETA"),"-")</f>
        <v>1.3928695917129517</v>
      </c>
      <c r="H11" t="str">
        <f>_xll.BDP("ORCL Equity","EXPECTED_REPORT_DT")</f>
        <v>10/03/2026</v>
      </c>
      <c r="I11" t="str">
        <f>_xll.BDP("ORCL Equity","DVD_EX_DT")</f>
        <v>09/01/2026</v>
      </c>
    </row>
    <row r="12" spans="1:10">
      <c r="A12" t="s">
        <v>336</v>
      </c>
      <c r="B12" t="s">
        <v>1188</v>
      </c>
      <c r="C12">
        <f>_xll.BDP("BABA Equity","LAST_PRICE")</f>
        <v>159.13999999999999</v>
      </c>
      <c r="D12">
        <f>_xll.BDP("BABA Equity","PX_YEST_CLOSE")</f>
        <v>159.13999999999999</v>
      </c>
      <c r="E12">
        <f>IFERROR(C12/D12-1,0)</f>
        <v>0</v>
      </c>
      <c r="F12">
        <f>_xll.BDP("BABA Equity","VOLATILITY_10D")</f>
        <v>26.394815320720777</v>
      </c>
      <c r="G12">
        <f>IFERROR(_xll.BDP("BABA Equity","EQY_BETA"),"-")</f>
        <v>0.85906678438186646</v>
      </c>
      <c r="H12" t="str">
        <f>_xll.BDP("BABA Equity","EXPECTED_REPORT_DT")</f>
        <v>20/02/2026</v>
      </c>
      <c r="I12" t="str">
        <f>_xll.BDP("BABA Equity","DVD_EX_DT")</f>
        <v>12/06/2025</v>
      </c>
    </row>
    <row r="13" spans="1:10">
      <c r="A13" t="s">
        <v>809</v>
      </c>
      <c r="B13" t="s">
        <v>1188</v>
      </c>
      <c r="C13">
        <f>_xll.BDP("BIDU Equity","LAST_PRICE")</f>
        <v>137.94999999999999</v>
      </c>
      <c r="D13">
        <f>_xll.BDP("BIDU Equity","PX_YEST_CLOSE")</f>
        <v>137.94999999999999</v>
      </c>
      <c r="E13">
        <f>IFERROR(C13/D13-1,0)</f>
        <v>0</v>
      </c>
      <c r="F13">
        <f>_xll.BDP("BIDU Equity","VOLATILITY_10D")</f>
        <v>31.424934519507541</v>
      </c>
      <c r="G13">
        <f>IFERROR(_xll.BDP("BIDU Equity","EQY_BETA"),"-")</f>
        <v>1.0344743728637695</v>
      </c>
      <c r="H13" t="str">
        <f>_xll.BDP("BIDU Equity","EXPECTED_REPORT_DT")</f>
        <v>26/02/2026</v>
      </c>
      <c r="I13" t="str">
        <f>_xll.BDP("BIDU Equity","DVD_EX_DT")</f>
        <v>#N/A Field Not Applicable</v>
      </c>
    </row>
    <row r="14" spans="1:10">
      <c r="A14" t="s">
        <v>7</v>
      </c>
      <c r="B14" t="s">
        <v>1188</v>
      </c>
      <c r="C14">
        <f>_xll.BDP("ASHR Equity","LAST_PRICE")</f>
        <v>33.479999999999997</v>
      </c>
      <c r="D14">
        <f>_xll.BDP("ASHR Equity","PX_YEST_CLOSE")</f>
        <v>33.479999999999997</v>
      </c>
      <c r="E14">
        <f>IFERROR(C14/D14-1,0)</f>
        <v>0</v>
      </c>
      <c r="F14">
        <f>_xll.BDP("ASHR Equity","VOLATILITY_10D")</f>
        <v>13.154604284425849</v>
      </c>
      <c r="G14">
        <f>IFERROR(_xll.BDP("ASHR Equity","EQY_BETA"),"-")</f>
        <v>1.1438689231872559</v>
      </c>
      <c r="H14" t="str">
        <f>_xll.BDP("ASHR Equity","EXPECTED_REPORT_DT")</f>
        <v>#N/A N/A</v>
      </c>
      <c r="I14" t="str">
        <f>_xll.BDP("ASHR Equity","DVD_EX_DT")</f>
        <v>19/12/2025</v>
      </c>
    </row>
    <row r="15" spans="1:10">
      <c r="A15" t="s">
        <v>82</v>
      </c>
      <c r="B15" t="s">
        <v>1188</v>
      </c>
      <c r="C15">
        <f>_xll.BDP("QQQ Equity","LAST_PRICE")</f>
        <v>605.75</v>
      </c>
      <c r="D15">
        <f>_xll.BDP("QQQ Equity","PX_YEST_CLOSE")</f>
        <v>605.75</v>
      </c>
      <c r="E15">
        <f>IFERROR(C15/D15-1,0)</f>
        <v>0</v>
      </c>
      <c r="F15">
        <f>_xll.BDP("QQQ Equity","VOLATILITY_10D")</f>
        <v>16.46563778588116</v>
      </c>
      <c r="G15">
        <f>IFERROR(_xll.BDP("QQQ Equity","EQY_BETA"),"-")</f>
        <v>1.0008987188339233</v>
      </c>
      <c r="H15" t="str">
        <f>_xll.BDP("QQQ Equity","EXPECTED_REPORT_DT")</f>
        <v>#N/A N/A</v>
      </c>
      <c r="I15" t="str">
        <f>_xll.BDP("QQQ Equity","DVD_EX_DT")</f>
        <v>22/12/2025</v>
      </c>
    </row>
    <row r="16" spans="1:10">
      <c r="A16" t="s">
        <v>816</v>
      </c>
      <c r="B16" t="s">
        <v>1188</v>
      </c>
      <c r="C16">
        <f>_xll.BDP("GOOG Equity","LAST_PRICE")</f>
        <v>333.34</v>
      </c>
      <c r="D16">
        <f>_xll.BDP("GOOG Equity","PX_YEST_CLOSE")</f>
        <v>333.34</v>
      </c>
      <c r="E16">
        <f>IFERROR(C16/D16-1,0)</f>
        <v>0</v>
      </c>
      <c r="F16">
        <f>_xll.BDP("GOOG Equity","VOLATILITY_10D")</f>
        <v>20.922923609673923</v>
      </c>
      <c r="G16">
        <f>IFERROR(_xll.BDP("GOOG Equity","EQY_BETA"),"-")</f>
        <v>1.028867244720459</v>
      </c>
      <c r="H16" t="str">
        <f>_xll.BDP("GOOG Equity","EXPECTED_REPORT_DT")</f>
        <v>24/04/2026</v>
      </c>
      <c r="I16" t="str">
        <f>_xll.BDP("GOOG Equity","DVD_EX_DT")</f>
        <v>09/03/2026</v>
      </c>
    </row>
    <row r="17" spans="1:9">
      <c r="A17" t="s">
        <v>1141</v>
      </c>
      <c r="B17" t="s">
        <v>1188</v>
      </c>
      <c r="C17">
        <f>_xll.BDP("NFLX Equity","LAST_PRICE")</f>
        <v>80.16</v>
      </c>
      <c r="D17">
        <f>_xll.BDP("NFLX Equity","PX_YEST_CLOSE")</f>
        <v>80.16</v>
      </c>
      <c r="E17">
        <f>IFERROR(C17/D17-1,0)</f>
        <v>0</v>
      </c>
      <c r="F17">
        <f>_xll.BDP("NFLX Equity","VOLATILITY_10D")</f>
        <v>28.486779296364904</v>
      </c>
      <c r="G17">
        <f>IFERROR(_xll.BDP("NFLX Equity","EQY_BETA"),"-")</f>
        <v>1.104103684425354</v>
      </c>
      <c r="H17" t="str">
        <f>_xll.BDP("NFLX Equity","EXPECTED_REPORT_DT")</f>
        <v>17/04/2026</v>
      </c>
      <c r="I17" t="str">
        <f>_xll.BDP("NFLX Equity","DVD_EX_DT")</f>
        <v>#N/A Field Not Applicable</v>
      </c>
    </row>
    <row r="18" spans="1:9">
      <c r="A18" t="s">
        <v>342</v>
      </c>
      <c r="B18" t="s">
        <v>1188</v>
      </c>
      <c r="C18">
        <f>_xll.BDP("MELI Equity","LAST_PRICE")</f>
        <v>2052.7800000000002</v>
      </c>
      <c r="D18">
        <f>_xll.BDP("MELI Equity","PX_YEST_CLOSE")</f>
        <v>2052.7800000000002</v>
      </c>
      <c r="E18">
        <f>IFERROR(C18/D18-1,0)</f>
        <v>0</v>
      </c>
      <c r="F18">
        <f>_xll.BDP("MELI Equity","VOLATILITY_10D")</f>
        <v>40.428544700891692</v>
      </c>
      <c r="G18">
        <f>IFERROR(_xll.BDP("MELI Equity","EQY_BETA"),"-")</f>
        <v>0.95221108198165894</v>
      </c>
      <c r="H18" t="str">
        <f>_xll.BDP("MELI Equity","EXPECTED_REPORT_DT")</f>
        <v>24/02/2026</v>
      </c>
      <c r="I18" t="str">
        <f>_xll.BDP("MELI Equity","DVD_EX_DT")</f>
        <v>29/03/2018</v>
      </c>
    </row>
    <row r="19" spans="1:9">
      <c r="A19" t="s">
        <v>37</v>
      </c>
      <c r="B19" t="s">
        <v>1188</v>
      </c>
      <c r="C19">
        <f>_xll.BDP("IGV Equity","LAST_PRICE")</f>
        <v>83.84</v>
      </c>
      <c r="D19">
        <f>_xll.BDP("IGV Equity","PX_YEST_CLOSE")</f>
        <v>83.84</v>
      </c>
      <c r="E19">
        <f>IFERROR(C19/D19-1,0)</f>
        <v>0</v>
      </c>
      <c r="F19">
        <f>_xll.BDP("IGV Equity","VOLATILITY_10D")</f>
        <v>34.57312940725712</v>
      </c>
      <c r="G19">
        <f>IFERROR(_xll.BDP("IGV Equity","EQY_BETA"),"-")</f>
        <v>0.99890363216400146</v>
      </c>
      <c r="H19" t="str">
        <f>_xll.BDP("IGV Equity","EXPECTED_REPORT_DT")</f>
        <v>#N/A N/A</v>
      </c>
      <c r="I19" t="str">
        <f>_xll.BDP("IGV Equity","DVD_EX_DT")</f>
        <v>21/03/2024</v>
      </c>
    </row>
    <row r="20" spans="1:9">
      <c r="A20" t="s">
        <v>432</v>
      </c>
      <c r="B20" t="s">
        <v>1188</v>
      </c>
      <c r="C20">
        <f>_xll.BDP("EWY Equity","LAST_PRICE")</f>
        <v>120.26</v>
      </c>
      <c r="D20">
        <f>_xll.BDP("EWY Equity","PX_YEST_CLOSE")</f>
        <v>120.26</v>
      </c>
      <c r="E20">
        <f>IFERROR(C20/D20-1,0)</f>
        <v>0</v>
      </c>
      <c r="F20">
        <f>_xll.BDP("EWY Equity","VOLATILITY_10D")</f>
        <v>40.657782056867283</v>
      </c>
      <c r="G20">
        <f>IFERROR(_xll.BDP("EWY Equity","EQY_BETA"),"-")</f>
        <v>0.92397761344909668</v>
      </c>
      <c r="H20" t="str">
        <f>_xll.BDP("EWY Equity","EXPECTED_REPORT_DT")</f>
        <v>#N/A N/A</v>
      </c>
      <c r="I20" t="str">
        <f>_xll.BDP("EWY Equity","DVD_EX_DT")</f>
        <v>16/12/2025</v>
      </c>
    </row>
    <row r="21" spans="1:9">
      <c r="A21" t="s">
        <v>735</v>
      </c>
      <c r="B21" t="s">
        <v>1188</v>
      </c>
      <c r="C21">
        <f>_xll.BDP("LITE Equity","LAST_PRICE")</f>
        <v>465.54</v>
      </c>
      <c r="D21">
        <f>_xll.BDP("LITE Equity","PX_YEST_CLOSE")</f>
        <v>465.54</v>
      </c>
      <c r="E21">
        <f>IFERROR(C21/D21-1,0)</f>
        <v>0</v>
      </c>
      <c r="F21">
        <f>_xll.BDP("LITE Equity","VOLATILITY_10D")</f>
        <v>79.620701902433538</v>
      </c>
      <c r="G21">
        <f>IFERROR(_xll.BDP("LITE Equity","EQY_BETA"),"-")</f>
        <v>2.0447275638580322</v>
      </c>
      <c r="H21" t="str">
        <f>_xll.BDP("LITE Equity","EXPECTED_REPORT_DT")</f>
        <v>06/05/2026</v>
      </c>
      <c r="I21" t="str">
        <f>_xll.BDP("LITE Equity","DVD_EX_DT")</f>
        <v>#N/A N/A</v>
      </c>
    </row>
    <row r="22" spans="1:9">
      <c r="A22" t="s">
        <v>1004</v>
      </c>
      <c r="B22" t="s">
        <v>1188</v>
      </c>
      <c r="C22">
        <f>_xll.BDP("CSCO Equity","LAST_PRICE")</f>
        <v>81.16</v>
      </c>
      <c r="D22">
        <f>_xll.BDP("CSCO Equity","PX_YEST_CLOSE")</f>
        <v>81.16</v>
      </c>
      <c r="E22">
        <f>IFERROR(C22/D22-1,0)</f>
        <v>0</v>
      </c>
      <c r="F22">
        <f>_xll.BDP("CSCO Equity","VOLATILITY_10D")</f>
        <v>31.325374841447097</v>
      </c>
      <c r="G22">
        <f>IFERROR(_xll.BDP("CSCO Equity","EQY_BETA"),"-")</f>
        <v>0.934051513671875</v>
      </c>
      <c r="H22" t="str">
        <f>_xll.BDP("CSCO Equity","EXPECTED_REPORT_DT")</f>
        <v>11/02/2026</v>
      </c>
      <c r="I22" t="str">
        <f>_xll.BDP("CSCO Equity","DVD_EX_DT")</f>
        <v>02/01/2026</v>
      </c>
    </row>
    <row r="23" spans="1:9">
      <c r="A23" t="s">
        <v>345</v>
      </c>
      <c r="B23" t="s">
        <v>1188</v>
      </c>
      <c r="C23">
        <f>_xll.BDP("INTC Equity","LAST_PRICE")</f>
        <v>48.6</v>
      </c>
      <c r="D23">
        <f>_xll.BDP("INTC Equity","PX_YEST_CLOSE")</f>
        <v>48.6</v>
      </c>
      <c r="E23">
        <f>IFERROR(C23/D23-1,0)</f>
        <v>0</v>
      </c>
      <c r="F23">
        <f>_xll.BDP("INTC Equity","VOLATILITY_10D")</f>
        <v>132.25797537721013</v>
      </c>
      <c r="G23">
        <f>IFERROR(_xll.BDP("INTC Equity","EQY_BETA"),"-")</f>
        <v>1.4726675748825073</v>
      </c>
      <c r="H23" t="str">
        <f>_xll.BDP("INTC Equity","EXPECTED_REPORT_DT")</f>
        <v>24/04/2026</v>
      </c>
      <c r="I23" t="str">
        <f>_xll.BDP("INTC Equity","DVD_EX_DT")</f>
        <v>03/09/2024</v>
      </c>
    </row>
    <row r="24" spans="1:9">
      <c r="A24" t="s">
        <v>85</v>
      </c>
      <c r="B24" t="s">
        <v>1188</v>
      </c>
      <c r="C24">
        <f>_xll.BDP("MRVL Equity","LAST_PRICE")</f>
        <v>73.73</v>
      </c>
      <c r="D24">
        <f>_xll.BDP("MRVL Equity","PX_YEST_CLOSE")</f>
        <v>73.73</v>
      </c>
      <c r="E24">
        <f>IFERROR(C24/D24-1,0)</f>
        <v>0</v>
      </c>
      <c r="F24">
        <f>_xll.BDP("MRVL Equity","VOLATILITY_10D")</f>
        <v>36.889500289115631</v>
      </c>
      <c r="G24">
        <f>IFERROR(_xll.BDP("MRVL Equity","EQY_BETA"),"-")</f>
        <v>1.9849085807800293</v>
      </c>
      <c r="H24" t="str">
        <f>_xll.BDP("MRVL Equity","EXPECTED_REPORT_DT")</f>
        <v>05/03/2026</v>
      </c>
      <c r="I24" t="str">
        <f>_xll.BDP("MRVL Equity","DVD_EX_DT")</f>
        <v>09/01/2026</v>
      </c>
    </row>
    <row r="25" spans="1:9">
      <c r="A25" t="s">
        <v>799</v>
      </c>
      <c r="B25" t="s">
        <v>1188</v>
      </c>
      <c r="C25">
        <f>_xll.BDP("RIOT Equity","LAST_PRICE")</f>
        <v>14.14</v>
      </c>
      <c r="D25">
        <f>_xll.BDP("RIOT Equity","PX_YEST_CLOSE")</f>
        <v>14.14</v>
      </c>
      <c r="E25">
        <f>IFERROR(C25/D25-1,0)</f>
        <v>0</v>
      </c>
      <c r="F25">
        <f>_xll.BDP("RIOT Equity","VOLATILITY_10D")</f>
        <v>85.779248012281315</v>
      </c>
      <c r="G25">
        <f>IFERROR(_xll.BDP("RIOT Equity","EQY_BETA"),"-")</f>
        <v>2.030651330947876</v>
      </c>
      <c r="H25" t="str">
        <f>_xll.BDP("RIOT Equity","EXPECTED_REPORT_DT")</f>
        <v>24/02/2026</v>
      </c>
      <c r="I25" t="str">
        <f>_xll.BDP("RIOT Equity","DVD_EX_DT")</f>
        <v>12/10/2017</v>
      </c>
    </row>
    <row r="26" spans="1:9">
      <c r="A26" t="s">
        <v>1131</v>
      </c>
      <c r="B26" t="s">
        <v>1188</v>
      </c>
      <c r="C26">
        <f>_xll.BDP("WMB Equity","LAST_PRICE")</f>
        <v>66.459999999999994</v>
      </c>
      <c r="D26">
        <f>_xll.BDP("WMB Equity","PX_YEST_CLOSE")</f>
        <v>66.459999999999994</v>
      </c>
      <c r="E26">
        <f>IFERROR(C26/D26-1,0)</f>
        <v>0</v>
      </c>
      <c r="F26">
        <f>_xll.BDP("WMB Equity","VOLATILITY_10D")</f>
        <v>32.47385597877777</v>
      </c>
      <c r="G26">
        <f>IFERROR(_xll.BDP("WMB Equity","EQY_BETA"),"-")</f>
        <v>0.69100040197372437</v>
      </c>
      <c r="H26" t="str">
        <f>_xll.BDP("WMB Equity","EXPECTED_REPORT_DT")</f>
        <v>10/02/2026</v>
      </c>
      <c r="I26" t="str">
        <f>_xll.BDP("WMB Equity","DVD_EX_DT")</f>
        <v>13/03/2026</v>
      </c>
    </row>
    <row r="27" spans="1:9">
      <c r="A27" t="s">
        <v>36</v>
      </c>
      <c r="B27" t="s">
        <v>1188</v>
      </c>
      <c r="C27">
        <f>_xll.BDP("XLF Equity","LAST_PRICE")</f>
        <v>53.96</v>
      </c>
      <c r="D27">
        <f>_xll.BDP("XLF Equity","PX_YEST_CLOSE")</f>
        <v>53.96</v>
      </c>
      <c r="E27">
        <f>IFERROR(C27/D27-1,0)</f>
        <v>0</v>
      </c>
      <c r="F27">
        <f>_xll.BDP("XLF Equity","VOLATILITY_10D")</f>
        <v>14.831569800644036</v>
      </c>
      <c r="G27">
        <f>IFERROR(_xll.BDP("XLF Equity","EQY_BETA"),"-")</f>
        <v>0.999855637550354</v>
      </c>
      <c r="H27" t="str">
        <f>_xll.BDP("XLF Equity","EXPECTED_REPORT_DT")</f>
        <v>#N/A N/A</v>
      </c>
      <c r="I27" t="str">
        <f>_xll.BDP("XLF Equity","DVD_EX_DT")</f>
        <v>22/12/2025</v>
      </c>
    </row>
    <row r="28" spans="1:9">
      <c r="A28" t="s">
        <v>6</v>
      </c>
      <c r="B28" t="s">
        <v>1188</v>
      </c>
      <c r="C28">
        <f>_xll.BDP("KBWB Equity","LAST_PRICE")</f>
        <v>89.1</v>
      </c>
      <c r="D28">
        <f>_xll.BDP("KBWB Equity","PX_YEST_CLOSE")</f>
        <v>89.1</v>
      </c>
      <c r="E28">
        <f>IFERROR(C28/D28-1,0)</f>
        <v>0</v>
      </c>
      <c r="F28">
        <f>_xll.BDP("KBWB Equity","VOLATILITY_10D")</f>
        <v>18.63239251775255</v>
      </c>
      <c r="G28">
        <f>IFERROR(_xll.BDP("KBWB Equity","EQY_BETA"),"-")</f>
        <v>0.99613022804260254</v>
      </c>
      <c r="H28" t="str">
        <f>_xll.BDP("KBWB Equity","EXPECTED_REPORT_DT")</f>
        <v>#N/A N/A</v>
      </c>
      <c r="I28" t="str">
        <f>_xll.BDP("KBWB Equity","DVD_EX_DT")</f>
        <v>22/12/2025</v>
      </c>
    </row>
    <row r="29" spans="1:9">
      <c r="A29" t="s">
        <v>926</v>
      </c>
      <c r="B29" t="s">
        <v>1188</v>
      </c>
      <c r="C29">
        <f>_xll.BDP("KHC Equity","LAST_PRICE")</f>
        <v>24.48</v>
      </c>
      <c r="D29">
        <f>_xll.BDP("KHC Equity","PX_YEST_CLOSE")</f>
        <v>24.48</v>
      </c>
      <c r="E29">
        <f>IFERROR(C29/D29-1,0)</f>
        <v>0</v>
      </c>
      <c r="F29">
        <f>_xll.BDP("KHC Equity","VOLATILITY_10D")</f>
        <v>26.894060063031418</v>
      </c>
      <c r="G29">
        <f>IFERROR(_xll.BDP("KHC Equity","EQY_BETA"),"-")</f>
        <v>0.37148067355155945</v>
      </c>
      <c r="H29" t="str">
        <f>_xll.BDP("KHC Equity","EXPECTED_REPORT_DT")</f>
        <v>11/02/2026</v>
      </c>
      <c r="I29" t="str">
        <f>_xll.BDP("KHC Equity","DVD_EX_DT")</f>
        <v>28/11/2025</v>
      </c>
    </row>
    <row r="30" spans="1:9">
      <c r="A30" t="s">
        <v>4</v>
      </c>
      <c r="B30" t="s">
        <v>1188</v>
      </c>
      <c r="C30">
        <f>_xll.BDP("XLP Equity","LAST_PRICE")</f>
        <v>86.99</v>
      </c>
      <c r="D30">
        <f>_xll.BDP("XLP Equity","PX_YEST_CLOSE")</f>
        <v>86.99</v>
      </c>
      <c r="E30">
        <f>IFERROR(C30/D30-1,0)</f>
        <v>0</v>
      </c>
      <c r="F30">
        <f>_xll.BDP("XLP Equity","VOLATILITY_10D")</f>
        <v>14.966719050105759</v>
      </c>
      <c r="G30">
        <f>IFERROR(_xll.BDP("XLP Equity","EQY_BETA"),"-")</f>
        <v>1.0028607845306396</v>
      </c>
      <c r="H30" t="str">
        <f>_xll.BDP("XLP Equity","EXPECTED_REPORT_DT")</f>
        <v>#N/A N/A</v>
      </c>
      <c r="I30" t="str">
        <f>_xll.BDP("XLP Equity","DVD_EX_DT")</f>
        <v>22/12/2025</v>
      </c>
    </row>
    <row r="31" spans="1:9">
      <c r="A31" t="s">
        <v>1134</v>
      </c>
      <c r="B31" t="s">
        <v>1188</v>
      </c>
      <c r="C31">
        <f>_xll.BDP("SNDK Equity","LAST_PRICE")</f>
        <v>584.54999999999995</v>
      </c>
      <c r="D31">
        <f>_xll.BDP("SNDK Equity","PX_YEST_CLOSE")</f>
        <v>584.54999999999995</v>
      </c>
      <c r="E31">
        <f>IFERROR(C31/D31-1,0)</f>
        <v>0</v>
      </c>
      <c r="F31">
        <f>_xll.BDP("SNDK Equity","VOLATILITY_10D")</f>
        <v>148.45513112122012</v>
      </c>
      <c r="G31" t="str">
        <f>IFERROR(_xll.BDP("SNDK Equity","EQY_BETA"),"-")</f>
        <v>#N/A N/A</v>
      </c>
      <c r="H31" t="str">
        <f>_xll.BDP("SNDK Equity","EXPECTED_REPORT_DT")</f>
        <v>22/05/2026</v>
      </c>
      <c r="I31" t="str">
        <f>_xll.BDP("SNDK Equity","DVD_EX_DT")</f>
        <v>#N/A N/A</v>
      </c>
    </row>
    <row r="32" spans="1:9">
      <c r="A32" t="s">
        <v>343</v>
      </c>
      <c r="B32" t="s">
        <v>1188</v>
      </c>
      <c r="C32">
        <f>_xll.BDP("MU Equity","LAST_PRICE")</f>
        <v>379.4</v>
      </c>
      <c r="D32">
        <f>_xll.BDP("MU Equity","PX_YEST_CLOSE")</f>
        <v>379.4</v>
      </c>
      <c r="E32">
        <f>IFERROR(C32/D32-1,0)</f>
        <v>0</v>
      </c>
      <c r="F32">
        <f>_xll.BDP("MU Equity","VOLATILITY_10D")</f>
        <v>88.363095317144627</v>
      </c>
      <c r="G32">
        <f>IFERROR(_xll.BDP("MU Equity","EQY_BETA"),"-")</f>
        <v>2.0644869804382324</v>
      </c>
      <c r="H32" t="str">
        <f>_xll.BDP("MU Equity","EXPECTED_REPORT_DT")</f>
        <v>20/03/2026</v>
      </c>
      <c r="I32" t="str">
        <f>_xll.BDP("MU Equity","DVD_EX_DT")</f>
        <v>29/12/2025</v>
      </c>
    </row>
    <row r="33" spans="1:9">
      <c r="A33" t="s">
        <v>335</v>
      </c>
      <c r="B33" t="s">
        <v>1188</v>
      </c>
      <c r="C33">
        <f>_xll.BDP("ASML Equity","LAST_PRICE")</f>
        <v>1339.13</v>
      </c>
      <c r="D33">
        <f>_xll.BDP("ASML Equity","PX_YEST_CLOSE")</f>
        <v>1339.13</v>
      </c>
      <c r="E33">
        <f>IFERROR(C33/D33-1,0)</f>
        <v>0</v>
      </c>
      <c r="F33">
        <f>_xll.BDP("ASML Equity","VOLATILITY_10D")</f>
        <v>41.751988269551731</v>
      </c>
      <c r="G33">
        <f>IFERROR(_xll.BDP("ASML Equity","EQY_BETA"),"-")</f>
        <v>1.357283353805542</v>
      </c>
      <c r="H33" t="str">
        <f>_xll.BDP("ASML Equity","EXPECTED_REPORT_DT")</f>
        <v>15/04/2026</v>
      </c>
      <c r="I33" t="str">
        <f>_xll.BDP("ASML Equity","DVD_EX_DT")</f>
        <v>10/02/2026</v>
      </c>
    </row>
    <row r="34" spans="1:9">
      <c r="A34" t="s">
        <v>1135</v>
      </c>
      <c r="B34" t="s">
        <v>1188</v>
      </c>
      <c r="C34">
        <f>_xll.BDP("AMAT Equity","LAST_PRICE")</f>
        <v>297.60000000000002</v>
      </c>
      <c r="D34">
        <f>_xll.BDP("AMAT Equity","PX_YEST_CLOSE")</f>
        <v>297.60000000000002</v>
      </c>
      <c r="E34">
        <f>IFERROR(C34/D34-1,0)</f>
        <v>0</v>
      </c>
      <c r="F34">
        <f>_xll.BDP("AMAT Equity","VOLATILITY_10D")</f>
        <v>59.475173993501059</v>
      </c>
      <c r="G34">
        <f>IFERROR(_xll.BDP("AMAT Equity","EQY_BETA"),"-")</f>
        <v>1.5368843078613281</v>
      </c>
      <c r="H34" t="str">
        <f>_xll.BDP("AMAT Equity","EXPECTED_REPORT_DT")</f>
        <v>12/02/2026</v>
      </c>
      <c r="I34" t="str">
        <f>_xll.BDP("AMAT Equity","DVD_EX_DT")</f>
        <v>19/02/2026</v>
      </c>
    </row>
    <row r="35" spans="1:9">
      <c r="A35" t="s">
        <v>1136</v>
      </c>
      <c r="B35" t="s">
        <v>1188</v>
      </c>
      <c r="C35">
        <f>_xll.BDP("KLAC Equity","LAST_PRICE")</f>
        <v>1307.22</v>
      </c>
      <c r="D35">
        <f>_xll.BDP("KLAC Equity","PX_YEST_CLOSE")</f>
        <v>1307.22</v>
      </c>
      <c r="E35">
        <f>IFERROR(C35/D35-1,0)</f>
        <v>0</v>
      </c>
      <c r="F35">
        <f>_xll.BDP("KLAC Equity","VOLATILITY_10D")</f>
        <v>102.23001808289487</v>
      </c>
      <c r="G35">
        <f>IFERROR(_xll.BDP("KLAC Equity","EQY_BETA"),"-")</f>
        <v>1.629304051399231</v>
      </c>
      <c r="H35" t="str">
        <f>_xll.BDP("KLAC Equity","EXPECTED_REPORT_DT")</f>
        <v>30/04/2026</v>
      </c>
      <c r="I35" t="str">
        <f>_xll.BDP("KLAC Equity","DVD_EX_DT")</f>
        <v>17/11/2025</v>
      </c>
    </row>
    <row r="36" spans="1:9">
      <c r="A36" t="s">
        <v>1137</v>
      </c>
      <c r="B36" t="s">
        <v>1188</v>
      </c>
      <c r="C36">
        <f>_xll.BDP("LRCX Equity","LAST_PRICE")</f>
        <v>209.78</v>
      </c>
      <c r="D36">
        <f>_xll.BDP("LRCX Equity","PX_YEST_CLOSE")</f>
        <v>209.78</v>
      </c>
      <c r="E36">
        <f>IFERROR(C36/D36-1,0)</f>
        <v>0</v>
      </c>
      <c r="F36">
        <f>_xll.BDP("LRCX Equity","VOLATILITY_10D")</f>
        <v>80.187602642797003</v>
      </c>
      <c r="G36">
        <f>IFERROR(_xll.BDP("LRCX Equity","EQY_BETA"),"-")</f>
        <v>1.7034631967544556</v>
      </c>
      <c r="H36" t="str">
        <f>_xll.BDP("LRCX Equity","EXPECTED_REPORT_DT")</f>
        <v>23/04/2026</v>
      </c>
      <c r="I36" t="str">
        <f>_xll.BDP("LRCX Equity","DVD_EX_DT")</f>
        <v>03/12/2025</v>
      </c>
    </row>
    <row r="37" spans="1:9">
      <c r="A37" t="s">
        <v>1142</v>
      </c>
      <c r="B37" t="s">
        <v>1188</v>
      </c>
      <c r="C37">
        <f>_xll.BDP("WDC Equity","LAST_PRICE")</f>
        <v>269.41000000000003</v>
      </c>
      <c r="D37">
        <f>_xll.BDP("WDC Equity","PX_YEST_CLOSE")</f>
        <v>269.41000000000003</v>
      </c>
      <c r="E37">
        <f>IFERROR(C37/D37-1,0)</f>
        <v>0</v>
      </c>
      <c r="F37">
        <f>_xll.BDP("WDC Equity","VOLATILITY_10D")</f>
        <v>114.90012342824896</v>
      </c>
      <c r="G37">
        <f>IFERROR(_xll.BDP("WDC Equity","EQY_BETA"),"-")</f>
        <v>1.8362432718276978</v>
      </c>
      <c r="H37" t="str">
        <f>_xll.BDP("WDC Equity","EXPECTED_REPORT_DT")</f>
        <v>30/04/2026</v>
      </c>
      <c r="I37" t="str">
        <f>_xll.BDP("WDC Equity","DVD_EX_DT")</f>
        <v>05/03/2026</v>
      </c>
    </row>
    <row r="38" spans="1:9">
      <c r="A38" t="s">
        <v>282</v>
      </c>
      <c r="B38" t="s">
        <v>1188</v>
      </c>
      <c r="C38">
        <f>_xll.BDP("STX Equity","LAST_PRICE")</f>
        <v>418.63</v>
      </c>
      <c r="D38">
        <f>_xll.BDP("STX Equity","PX_YEST_CLOSE")</f>
        <v>418.63</v>
      </c>
      <c r="E38">
        <f>IFERROR(C38/D38-1,0)</f>
        <v>0</v>
      </c>
      <c r="F38">
        <f>_xll.BDP("STX Equity","VOLATILITY_10D")</f>
        <v>121.63258646325332</v>
      </c>
      <c r="G38">
        <f>IFERROR(_xll.BDP("STX Equity","EQY_BETA"),"-")</f>
        <v>1.6607462167739868</v>
      </c>
      <c r="H38" t="str">
        <f>_xll.BDP("STX Equity","EXPECTED_REPORT_DT")</f>
        <v>29/04/2026</v>
      </c>
      <c r="I38" t="str">
        <f>_xll.BDP("STX Equity","DVD_EX_DT")</f>
        <v>25/03/2026</v>
      </c>
    </row>
    <row r="39" spans="1:9">
      <c r="A39" t="s">
        <v>1168</v>
      </c>
      <c r="B39" t="s">
        <v>1188</v>
      </c>
      <c r="C39">
        <f>_xll.BDP("SAP Equity","LAST_PRICE")</f>
        <v>199.68</v>
      </c>
      <c r="D39">
        <f>_xll.BDP("SAP Equity","PX_YEST_CLOSE")</f>
        <v>199.68</v>
      </c>
      <c r="E39">
        <f>IFERROR(C39/D39-1,0)</f>
        <v>0</v>
      </c>
      <c r="F39">
        <f>_xll.BDP("SAP Equity","VOLATILITY_10D")</f>
        <v>101.20420771560215</v>
      </c>
      <c r="G39">
        <f>IFERROR(_xll.BDP("SAP Equity","EQY_BETA"),"-")</f>
        <v>0.99592387676239014</v>
      </c>
      <c r="H39" t="str">
        <f>_xll.BDP("SAP Equity","EXPECTED_REPORT_DT")</f>
        <v>23/04/2026</v>
      </c>
      <c r="I39" t="str">
        <f>_xll.BDP("SAP Equity","DVD_EX_DT")</f>
        <v>13/05/2025</v>
      </c>
    </row>
    <row r="40" spans="1:9">
      <c r="A40" t="s">
        <v>273</v>
      </c>
      <c r="B40" t="s">
        <v>1188</v>
      </c>
      <c r="C40">
        <f>_xll.BDP("NOW Equity","LAST_PRICE")</f>
        <v>111.07</v>
      </c>
      <c r="D40">
        <f>_xll.BDP("NOW Equity","PX_YEST_CLOSE")</f>
        <v>111.07</v>
      </c>
      <c r="E40">
        <f>IFERROR(C40/D40-1,0)</f>
        <v>0</v>
      </c>
      <c r="F40">
        <f>_xll.BDP("NOW Equity","VOLATILITY_10D")</f>
        <v>74.868301681644965</v>
      </c>
      <c r="G40">
        <f>IFERROR(_xll.BDP("NOW Equity","EQY_BETA"),"-")</f>
        <v>1.2842992544174194</v>
      </c>
      <c r="H40" t="str">
        <f>_xll.BDP("NOW Equity","EXPECTED_REPORT_DT")</f>
        <v>23/04/2026</v>
      </c>
      <c r="I40" t="str">
        <f>_xll.BDP("NOW Equity","DVD_EX_DT")</f>
        <v>#N/A Field Not Applicable</v>
      </c>
    </row>
    <row r="41" spans="1:9">
      <c r="A41" t="s">
        <v>3</v>
      </c>
      <c r="B41" t="s">
        <v>1188</v>
      </c>
      <c r="C41">
        <f>_xll.BDP("RSP Equity","LAST_PRICE")</f>
        <v>200.3</v>
      </c>
      <c r="D41">
        <f>_xll.BDP("RSP Equity","PX_YEST_CLOSE")</f>
        <v>200.3</v>
      </c>
      <c r="E41">
        <f>IFERROR(C41/D41-1,0)</f>
        <v>0</v>
      </c>
      <c r="F41">
        <f>_xll.BDP("RSP Equity","VOLATILITY_10D")</f>
        <v>7.064948572984167</v>
      </c>
      <c r="G41">
        <f>IFERROR(_xll.BDP("RSP Equity","EQY_BETA"),"-")</f>
        <v>0.99625557661056519</v>
      </c>
      <c r="H41" t="str">
        <f>_xll.BDP("RSP Equity","EXPECTED_REPORT_DT")</f>
        <v>#N/A N/A</v>
      </c>
      <c r="I41" t="str">
        <f>_xll.BDP("RSP Equity","DVD_EX_DT")</f>
        <v>22/12/2025</v>
      </c>
    </row>
    <row r="42" spans="1:9">
      <c r="A42" t="s">
        <v>88</v>
      </c>
      <c r="B42" t="s">
        <v>1188</v>
      </c>
      <c r="C42">
        <f>_xll.BDP("QQQE Equity","LAST_PRICE")</f>
        <v>101.97</v>
      </c>
      <c r="D42">
        <f>_xll.BDP("QQQE Equity","PX_YEST_CLOSE")</f>
        <v>101.97</v>
      </c>
      <c r="E42">
        <f>IFERROR(C42/D42-1,0)</f>
        <v>0</v>
      </c>
      <c r="F42">
        <f>_xll.BDP("QQQE Equity","VOLATILITY_10D")</f>
        <v>14.612814247752246</v>
      </c>
      <c r="G42">
        <f>IFERROR(_xll.BDP("QQQE Equity","EQY_BETA"),"-")</f>
        <v>0.99776738882064819</v>
      </c>
      <c r="H42" t="str">
        <f>_xll.BDP("QQQE Equity","EXPECTED_REPORT_DT")</f>
        <v>#N/A N/A</v>
      </c>
      <c r="I42" t="str">
        <f>_xll.BDP("QQQE Equity","DVD_EX_DT")</f>
        <v>23/12/2025</v>
      </c>
    </row>
    <row r="43" spans="1:9">
      <c r="A43" t="s">
        <v>89</v>
      </c>
      <c r="B43" t="s">
        <v>1188</v>
      </c>
      <c r="C43">
        <f>_xll.BDP("IWM Equity","LAST_PRICE")</f>
        <v>260.52</v>
      </c>
      <c r="D43">
        <f>_xll.BDP("IWM Equity","PX_YEST_CLOSE")</f>
        <v>260.52</v>
      </c>
      <c r="E43">
        <f>IFERROR(C43/D43-1,0)</f>
        <v>0</v>
      </c>
      <c r="F43">
        <f>_xll.BDP("IWM Equity","VOLATILITY_10D")</f>
        <v>14.363745473799034</v>
      </c>
      <c r="G43">
        <f>IFERROR(_xll.BDP("IWM Equity","EQY_BETA"),"-")</f>
        <v>1.0030680894851685</v>
      </c>
      <c r="H43" t="str">
        <f>_xll.BDP("IWM Equity","EXPECTED_REPORT_DT")</f>
        <v>#N/A N/A</v>
      </c>
      <c r="I43" t="str">
        <f>_xll.BDP("IWM Equity","DVD_EX_DT")</f>
        <v>16/12/2025</v>
      </c>
    </row>
    <row r="44" spans="1:9">
      <c r="A44" t="s">
        <v>339</v>
      </c>
      <c r="B44" t="s">
        <v>1188</v>
      </c>
      <c r="C44">
        <f>_xll.BDP("COPX Equity","LAST_PRICE")</f>
        <v>86.61</v>
      </c>
      <c r="D44">
        <f>_xll.BDP("COPX Equity","PX_YEST_CLOSE")</f>
        <v>86.61</v>
      </c>
      <c r="E44">
        <f>IFERROR(C44/D44-1,0)</f>
        <v>0</v>
      </c>
      <c r="F44">
        <f>_xll.BDP("COPX Equity","VOLATILITY_10D")</f>
        <v>82.911647208128059</v>
      </c>
      <c r="G44">
        <f>IFERROR(_xll.BDP("COPX Equity","EQY_BETA"),"-")</f>
        <v>1.027824878692627</v>
      </c>
      <c r="H44" t="str">
        <f>_xll.BDP("COPX Equity","EXPECTED_REPORT_DT")</f>
        <v>#N/A N/A</v>
      </c>
      <c r="I44" t="str">
        <f>_xll.BDP("COPX Equity","DVD_EX_DT")</f>
        <v>30/12/2025</v>
      </c>
    </row>
    <row r="45" spans="1:9">
      <c r="A45" t="s">
        <v>78</v>
      </c>
      <c r="B45" t="s">
        <v>1188</v>
      </c>
      <c r="C45">
        <f>_xll.BDP("GDX Equity","LAST_PRICE")</f>
        <v>98.7</v>
      </c>
      <c r="D45">
        <f>_xll.BDP("GDX Equity","PX_YEST_CLOSE")</f>
        <v>98.7</v>
      </c>
      <c r="E45">
        <f>IFERROR(C45/D45-1,0)</f>
        <v>0</v>
      </c>
      <c r="F45">
        <f>_xll.BDP("GDX Equity","VOLATILITY_10D")</f>
        <v>85.86628399806591</v>
      </c>
      <c r="G45">
        <f>IFERROR(_xll.BDP("GDX Equity","EQY_BETA"),"-")</f>
        <v>0.99636268615722656</v>
      </c>
      <c r="H45" t="str">
        <f>_xll.BDP("GDX Equity","EXPECTED_REPORT_DT")</f>
        <v>#N/A N/A</v>
      </c>
      <c r="I45" t="str">
        <f>_xll.BDP("GDX Equity","DVD_EX_DT")</f>
        <v>22/12/2025</v>
      </c>
    </row>
    <row r="46" spans="1:9">
      <c r="A46" t="s">
        <v>0</v>
      </c>
      <c r="B46" t="s">
        <v>1188</v>
      </c>
      <c r="C46">
        <f>_xll.BDP("SPY Equity","LAST_PRICE")</f>
        <v>686.19</v>
      </c>
      <c r="D46">
        <f>_xll.BDP("SPY Equity","PX_YEST_CLOSE")</f>
        <v>686.19</v>
      </c>
      <c r="E46">
        <f>IFERROR(C46/D46-1,0)</f>
        <v>0</v>
      </c>
      <c r="F46">
        <f>_xll.BDP("SPY Equity","VOLATILITY_10D")</f>
        <v>7.4966233271438076</v>
      </c>
      <c r="G46">
        <f>IFERROR(_xll.BDP("SPY Equity","EQY_BETA"),"-")</f>
        <v>0.99903512001037598</v>
      </c>
      <c r="H46" t="str">
        <f>_xll.BDP("SPY Equity","EXPECTED_REPORT_DT")</f>
        <v>#N/A N/A</v>
      </c>
      <c r="I46" t="str">
        <f>_xll.BDP("SPY Equity","DVD_EX_DT")</f>
        <v>19/12/2025</v>
      </c>
    </row>
    <row r="47" spans="1:9">
      <c r="A47" t="s">
        <v>83</v>
      </c>
      <c r="B47" t="s">
        <v>1188</v>
      </c>
      <c r="C47">
        <f>_xll.BDP("SMH Equity","LAST_PRICE")</f>
        <v>382.02</v>
      </c>
      <c r="D47">
        <f>_xll.BDP("SMH Equity","PX_YEST_CLOSE")</f>
        <v>382.02</v>
      </c>
      <c r="E47">
        <f>IFERROR(C47/D47-1,0)</f>
        <v>0</v>
      </c>
      <c r="F47">
        <f>_xll.BDP("SMH Equity","VOLATILITY_10D")</f>
        <v>37.24483124081258</v>
      </c>
      <c r="G47">
        <f>IFERROR(_xll.BDP("SMH Equity","EQY_BETA"),"-")</f>
        <v>0.99754011631011963</v>
      </c>
      <c r="H47" t="str">
        <f>_xll.BDP("SMH Equity","EXPECTED_REPORT_DT")</f>
        <v>#N/A N/A</v>
      </c>
      <c r="I47" t="str">
        <f>_xll.BDP("SMH Equity","DVD_EX_DT")</f>
        <v>22/12/2025</v>
      </c>
    </row>
    <row r="48" spans="1:9">
      <c r="A48" t="s">
        <v>933</v>
      </c>
      <c r="B48" t="s">
        <v>1188</v>
      </c>
      <c r="C48">
        <f>_xll.BDP("000660 KP Equity","LAST_PRICE")</f>
        <v>842000</v>
      </c>
      <c r="D48">
        <f>_xll.BDP("000660 KP Equity","PX_YEST_CLOSE")</f>
        <v>900000</v>
      </c>
      <c r="E48">
        <f>IFERROR(C48/D48-1,0)</f>
        <v>-6.4444444444444415E-2</v>
      </c>
      <c r="F48">
        <f>_xll.BDP("000660 KP Equity","VOLATILITY_10D")</f>
        <v>105.6057</v>
      </c>
      <c r="G48">
        <f>IFERROR(_xll.BDP("000660 KP Equity","EQY_BETA"),"-")</f>
        <v>1.669994</v>
      </c>
      <c r="H48" t="str">
        <f>_xll.BDP("000660 KP Equity","EXPECTED_REPORT_DT")</f>
        <v>23/04/2026</v>
      </c>
      <c r="I48" t="str">
        <f>_xll.BDP("000660 KP Equity","DVD_EX_DT")</f>
        <v>26/02/2026</v>
      </c>
    </row>
    <row r="49" spans="1:15">
      <c r="A49" t="s">
        <v>530</v>
      </c>
      <c r="B49" t="s">
        <v>1188</v>
      </c>
      <c r="C49">
        <f>_xll.BDP("402340 KS Equity","LAST_PRICE")</f>
        <v>540000</v>
      </c>
      <c r="D49">
        <f>_xll.BDP("402340 KS Equity","PX_YEST_CLOSE")</f>
        <v>565000</v>
      </c>
      <c r="E49">
        <f>IFERROR(C49/D49-1,0)</f>
        <v>-4.4247787610619427E-2</v>
      </c>
      <c r="F49">
        <f>_xll.BDP("402340 KS Equity","VOLATILITY_10D")</f>
        <v>109.8098</v>
      </c>
      <c r="G49">
        <f>IFERROR(_xll.BDP("402340 KS Equity","EQY_BETA"),"-")</f>
        <v>1.9845950000000001</v>
      </c>
      <c r="H49" t="str">
        <f>_xll.BDP("402340 KS Equity","EXPECTED_REPORT_DT")</f>
        <v>11/03/2026</v>
      </c>
      <c r="I49" t="str">
        <f>_xll.BDP("402340 KS Equity","DVD_EX_DT")</f>
        <v>#N/A N/A</v>
      </c>
    </row>
    <row r="50" spans="1:15">
      <c r="A50" t="s">
        <v>1091</v>
      </c>
      <c r="B50" t="s">
        <v>1188</v>
      </c>
      <c r="C50">
        <f>_xll.BDP("005930 KS Equity","LAST_PRICE")</f>
        <v>161100</v>
      </c>
      <c r="D50">
        <f>_xll.BDP("005930 KS Equity","PX_YEST_CLOSE")</f>
        <v>168100</v>
      </c>
      <c r="E50">
        <f>IFERROR(C50/D50-1,0)</f>
        <v>-4.1641879833432482E-2</v>
      </c>
      <c r="F50">
        <f>_xll.BDP("005930 KS Equity","VOLATILITY_10D")</f>
        <v>78.885710000000003</v>
      </c>
      <c r="G50">
        <f>IFERROR(_xll.BDP("005930 KS Equity","EQY_BETA"),"-")</f>
        <v>1.1660999999999999</v>
      </c>
      <c r="H50" t="str">
        <f>_xll.BDP("005930 KS Equity","EXPECTED_REPORT_DT")</f>
        <v>07/04/2026</v>
      </c>
      <c r="I50" t="str">
        <f>_xll.BDP("005930 KS Equity","DVD_EX_DT")</f>
        <v>29/12/2025</v>
      </c>
    </row>
    <row r="51" spans="1:15">
      <c r="A51" t="s">
        <v>1149</v>
      </c>
      <c r="B51" t="s">
        <v>1188</v>
      </c>
      <c r="C51">
        <f>_xll.BDP("3110 JT Equity","LAST_PRICE")</f>
        <v>17180</v>
      </c>
      <c r="D51">
        <f>_xll.BDP("3110 JT Equity","PX_YEST_CLOSE")</f>
        <v>16390</v>
      </c>
      <c r="E51">
        <f>IFERROR(C51/D51-1,0)</f>
        <v>4.8200122025625403E-2</v>
      </c>
      <c r="F51">
        <f>_xll.BDP("3110 JT Equity","VOLATILITY_10D")</f>
        <v>82.29101</v>
      </c>
      <c r="G51">
        <f>IFERROR(_xll.BDP("3110 JT Equity","EQY_BETA"),"-")</f>
        <v>1.3145800000000001</v>
      </c>
      <c r="H51" t="str">
        <f>_xll.BDP("3110 JT Equity","EXPECTED_REPORT_DT")</f>
        <v>05/02/2026</v>
      </c>
      <c r="I51" t="str">
        <f>_xll.BDP("3110 JT Equity","DVD_EX_DT")</f>
        <v>30/03/2026</v>
      </c>
    </row>
    <row r="52" spans="1:15">
      <c r="A52" t="s">
        <v>1130</v>
      </c>
      <c r="B52" t="s">
        <v>26</v>
      </c>
      <c r="C52">
        <f>_xll.BDP("2OH6 Index","LAST_PRICE")</f>
        <v>24761.5</v>
      </c>
      <c r="D52">
        <f>_xll.BDP("2OH6 Index","PX_YEST_CLOSE")</f>
        <v>24999.25</v>
      </c>
      <c r="E52">
        <f>IFERROR(C52/D52-1,0)</f>
        <v>-9.5102853085592409E-3</v>
      </c>
      <c r="F52">
        <f>_xll.BDP("2OH6 Index","VOLATILITY_10D")</f>
        <v>16.488313674926758</v>
      </c>
      <c r="G52" t="str">
        <f>IFERROR(_xll.BDP("2OH6 Index","EQY_BETA"),"-")</f>
        <v>#N/A Field Not Applicable</v>
      </c>
      <c r="H52" t="str">
        <f>_xll.BDP("2OH6 Index","EXPECTED_REPORT_DT")</f>
        <v>#N/A Field Not Applicable</v>
      </c>
      <c r="I52" t="str">
        <f>_xll.BDP("2OH6 Index","DVD_EX_DT")</f>
        <v>#N/A Field Not Applicable</v>
      </c>
    </row>
    <row r="53" spans="1:15">
      <c r="A53" t="s">
        <v>1100</v>
      </c>
      <c r="B53" t="s">
        <v>26</v>
      </c>
      <c r="C53">
        <f>_xll.BDP("1OH6 Index","LAST_PRICE")</f>
        <v>24761.5</v>
      </c>
      <c r="D53">
        <f>_xll.BDP("1OH6 Index","PX_YEST_CLOSE")</f>
        <v>24999.25</v>
      </c>
      <c r="E53">
        <f>IFERROR(C53/D53-1,0)</f>
        <v>-9.5102853085592409E-3</v>
      </c>
      <c r="F53">
        <f>_xll.BDP("1OH6 Index","VOLATILITY_10D")</f>
        <v>16.488313674926758</v>
      </c>
      <c r="G53" t="str">
        <f>IFERROR(_xll.BDP("1OH6 Index","EQY_BETA"),"-")</f>
        <v>#N/A Field Not Applicable</v>
      </c>
      <c r="H53" t="str">
        <f>_xll.BDP("1OH6 Index","EXPECTED_REPORT_DT")</f>
        <v>#N/A Field Not Applicable</v>
      </c>
      <c r="I53" t="str">
        <f>_xll.BDP("1OH6 Index","DVD_EX_DT")</f>
        <v>#N/A Field Not Applicable</v>
      </c>
    </row>
    <row r="54" spans="1:15">
      <c r="A54" t="s">
        <v>580</v>
      </c>
      <c r="B54" t="s">
        <v>26</v>
      </c>
      <c r="C54">
        <f>_xll.BDP("NQA Index","LAST_PRICE")</f>
        <v>24761.5</v>
      </c>
      <c r="D54">
        <f>_xll.BDP("NQA Index","PX_YEST_CLOSE")</f>
        <v>24999.25</v>
      </c>
      <c r="E54">
        <f>IFERROR(C54/D54-1,0)</f>
        <v>-9.5102853085592409E-3</v>
      </c>
      <c r="F54">
        <f>_xll.BDP("NQA Index","VOLATILITY_10D")</f>
        <v>16.490320205688477</v>
      </c>
      <c r="G54" t="str">
        <f>IFERROR(_xll.BDP("NQA Index","EQY_BETA"),"-")</f>
        <v>#N/A Field Not Applicable</v>
      </c>
      <c r="H54" t="str">
        <f>_xll.BDP("NQA Index","EXPECTED_REPORT_DT")</f>
        <v>#N/A Field Not Applicable</v>
      </c>
      <c r="I54" t="str">
        <f>_xll.BDP("NQA Index","DVD_EX_DT")</f>
        <v>#N/A Field Not Applicable</v>
      </c>
    </row>
    <row r="55" spans="1:15">
      <c r="A55" t="s">
        <v>2</v>
      </c>
      <c r="B55" t="s">
        <v>26</v>
      </c>
      <c r="C55">
        <f>_xll.BDP("ESA Index","LAST_PRICE")</f>
        <v>6863</v>
      </c>
      <c r="D55">
        <f>_xll.BDP("ESA Index","PX_YEST_CLOSE")</f>
        <v>6906.25</v>
      </c>
      <c r="E55">
        <f>IFERROR(C55/D55-1,0)</f>
        <v>-6.2624434389140227E-3</v>
      </c>
      <c r="F55">
        <f>_xll.BDP("ESA Index","VOLATILITY_10D")</f>
        <v>7.8983345031738281</v>
      </c>
      <c r="G55" t="str">
        <f>IFERROR(_xll.BDP("ESA Index","EQY_BETA"),"-")</f>
        <v>#N/A Field Not Applicable</v>
      </c>
      <c r="H55" t="str">
        <f>_xll.BDP("ESA Index","EXPECTED_REPORT_DT")</f>
        <v>#N/A Field Not Applicable</v>
      </c>
      <c r="I55" t="str">
        <f>_xll.BDP("ESA Index","DVD_EX_DT")</f>
        <v>#N/A Field Not Applicable</v>
      </c>
    </row>
    <row r="56" spans="1:15">
      <c r="A56" t="s">
        <v>779</v>
      </c>
      <c r="B56" t="s">
        <v>1189</v>
      </c>
      <c r="C56">
        <f>_xll.BDP("KRW Curncy","LAST_PRICE")</f>
        <v>1466.65</v>
      </c>
      <c r="D56">
        <f>_xll.BDP("KRW Curncy","PX_YEST_CLOSE")</f>
        <v>1459.3</v>
      </c>
      <c r="E56">
        <f>IFERROR(C56/D56-1,0)</f>
        <v>5.0366614130064047E-3</v>
      </c>
      <c r="F56">
        <f>_xll.BDP("KRW Curncy","VOLATILITY_10D")</f>
        <v>11.538</v>
      </c>
      <c r="G56" t="str">
        <f>IFERROR(_xll.BDP("KRW Curncy","EQY_BETA"),"-")</f>
        <v>#N/A Field Not Applicable</v>
      </c>
      <c r="H56" t="str">
        <f>_xll.BDP("KRW Curncy","EXPECTED_REPORT_DT")</f>
        <v>#N/A Field Not Applicable</v>
      </c>
      <c r="I56" t="str">
        <f>_xll.BDP("KRW Curncy","DVD_EX_DT")</f>
        <v>#N/A Field Not Applicable</v>
      </c>
    </row>
    <row r="57" spans="1:15">
      <c r="A57" t="s">
        <v>1150</v>
      </c>
      <c r="B57" t="s">
        <v>1189</v>
      </c>
      <c r="C57">
        <f>_xll.BDP("JPY Curncy","LAST_PRICE")</f>
        <v>157.04</v>
      </c>
      <c r="D57">
        <f>_xll.BDP("JPY Curncy","PX_YEST_CLOSE")</f>
        <v>156.86000000000001</v>
      </c>
      <c r="E57">
        <f>IFERROR(C57/D57-1,0)</f>
        <v>1.1475200816013498E-3</v>
      </c>
      <c r="F57">
        <f>_xll.BDP("JPY Curncy","VOLATILITY_10D")</f>
        <v>12.999000000000001</v>
      </c>
      <c r="G57" t="str">
        <f>IFERROR(_xll.BDP("JPY Curncy","EQY_BETA"),"-")</f>
        <v>#N/A Field Not Applicable</v>
      </c>
      <c r="H57" t="str">
        <f>_xll.BDP("JPY Curncy","EXPECTED_REPORT_DT")</f>
        <v>#N/A Field Not Applicable</v>
      </c>
      <c r="I57" t="str">
        <f>_xll.BDP("JPY Curncy","DVD_EX_DT")</f>
        <v>#N/A Field Not Applicable</v>
      </c>
    </row>
    <row r="58" spans="1:15">
      <c r="A58" t="s">
        <v>138</v>
      </c>
      <c r="B58" t="s">
        <v>1189</v>
      </c>
      <c r="C58">
        <f>_xll.BDP("USD Curncy","LAST_PRICE")</f>
        <v>1</v>
      </c>
      <c r="D58">
        <f>_xll.BDP("USD Curncy","PX_YEST_CLOSE")</f>
        <v>1</v>
      </c>
      <c r="E58">
        <f>IFERROR(C58/D58-1,0)</f>
        <v>0</v>
      </c>
      <c r="F58">
        <f>_xll.BDP("USD Curncy","VOLATILITY_10D")</f>
        <v>0</v>
      </c>
      <c r="G58" t="str">
        <f>IFERROR(_xll.BDP("USD Curncy","EQY_BETA"),"-")</f>
        <v>#N/A Field Not Applicable</v>
      </c>
      <c r="H58" t="str">
        <f>_xll.BDP("USD Curncy","EXPECTED_REPORT_DT")</f>
        <v>#N/A Field Not Applicable</v>
      </c>
      <c r="I58" t="str">
        <f>_xll.BDP("USD Curncy","DVD_EX_DT")</f>
        <v>#N/A Field Not Applicable</v>
      </c>
    </row>
    <row r="62" spans="1:15">
      <c r="A62" s="517" t="s">
        <v>1190</v>
      </c>
      <c r="B62" s="517" t="s">
        <v>1202</v>
      </c>
      <c r="C62" s="517" t="s">
        <v>1191</v>
      </c>
      <c r="D62" s="517" t="s">
        <v>1192</v>
      </c>
      <c r="E62" s="517" t="s">
        <v>1193</v>
      </c>
      <c r="F62" s="517" t="s">
        <v>1194</v>
      </c>
      <c r="G62" s="517" t="s">
        <v>1195</v>
      </c>
      <c r="H62" s="517" t="s">
        <v>1196</v>
      </c>
      <c r="I62" s="517" t="s">
        <v>1197</v>
      </c>
      <c r="J62" s="517" t="s">
        <v>1198</v>
      </c>
      <c r="K62" s="517" t="s">
        <v>1199</v>
      </c>
      <c r="L62" s="517" t="s">
        <v>1203</v>
      </c>
      <c r="M62" s="517" t="s">
        <v>1200</v>
      </c>
      <c r="N62" s="517" t="s">
        <v>1204</v>
      </c>
      <c r="O62" s="517" t="s">
        <v>1201</v>
      </c>
    </row>
    <row r="63" spans="1:15">
      <c r="A63" t="s">
        <v>895</v>
      </c>
      <c r="B63" t="s">
        <v>1188</v>
      </c>
      <c r="C63">
        <f>_xll.BDP("ASHR US 02/20/26 C35 Equity","MID")</f>
        <v>0.15</v>
      </c>
      <c r="D63">
        <f>_xll.BDP("ASHR US 02/20/26 C35 Equity","BID")</f>
        <v>0.14000000000000001</v>
      </c>
      <c r="E63">
        <f>_xll.BDP("ASHR US 02/20/26 C35 Equity","ASK")</f>
        <v>0.15</v>
      </c>
      <c r="F63">
        <f>_xll.BDP("ASHR US 02/20/26 C35 Equity","DELTA_MID_RT")</f>
        <v>0.17940622568130493</v>
      </c>
      <c r="G63">
        <f>_xll.BDP("ASHR US 02/20/26 C35 Equity","THETA_MID_RT")</f>
        <v>-1.2544488534331322E-2</v>
      </c>
      <c r="H63">
        <f>_xll.BDP("ASHR US 02/20/26 C35 Equity","GAMMA_LAST")</f>
        <v>5.6346E-2</v>
      </c>
      <c r="I63">
        <f>_xll.BDP("ASHR US 02/20/26 C35 Equity","IVOL_MID")</f>
        <v>21.770009999999999</v>
      </c>
      <c r="J63">
        <f>_xll.BDP("ASHR US 02/20/26 C35 Equity","OPT_STRIKE_PX")</f>
        <v>35</v>
      </c>
      <c r="K63" t="str">
        <f>_xll.BDP("ASHR US 02/20/26 C35 Equity","OPT_UNDL_TICKER")</f>
        <v>ASHR US</v>
      </c>
      <c r="L63">
        <f>_xll.BDP("ASHR US 02/20/26 C35 Equity","OPT_MULTIPLIER")</f>
        <v>100</v>
      </c>
      <c r="M63" t="str">
        <f>_xll.BDP("ASHR US 02/20/26 C35 Equity","MIFID_MATURITY_DATE")</f>
        <v>20/02/2026</v>
      </c>
      <c r="N63">
        <f>_xll.BDP("ASHR US 02/20/26 C35 Equity","OPT_DAYS_EXPIRE")</f>
        <v>15</v>
      </c>
      <c r="O63" t="str">
        <f>_xll.BDP("ASHR US 02/20/26 C35 Equity","OPT_PUT_CALL")</f>
        <v>Call</v>
      </c>
    </row>
    <row r="64" spans="1:15">
      <c r="A64" t="s">
        <v>774</v>
      </c>
      <c r="B64" t="s">
        <v>1188</v>
      </c>
      <c r="C64">
        <f>_xll.BDP("AVGO US 06/18/26 C350 Equity","MID")</f>
        <v>25.35</v>
      </c>
      <c r="D64">
        <f>_xll.BDP("AVGO US 06/18/26 C350 Equity","BID")</f>
        <v>25.1</v>
      </c>
      <c r="E64">
        <f>_xll.BDP("AVGO US 06/18/26 C350 Equity","ASK")</f>
        <v>25.6</v>
      </c>
      <c r="F64">
        <f>_xll.BDP("AVGO US 06/18/26 C350 Equity","DELTA_MID_RT")</f>
        <v>0.42040565609931946</v>
      </c>
      <c r="G64">
        <f>_xll.BDP("AVGO US 06/18/26 C350 Equity","THETA_MID_RT")</f>
        <v>-0.14079232513904572</v>
      </c>
      <c r="H64">
        <f>_xll.BDP("AVGO US 06/18/26 C350 Equity","GAMMA_LAST")</f>
        <v>1.2377000000000001E-2</v>
      </c>
      <c r="I64">
        <f>_xll.BDP("AVGO US 06/18/26 C350 Equity","IVOL_MID")</f>
        <v>52.640590000000003</v>
      </c>
      <c r="J64">
        <f>_xll.BDP("AVGO US 06/18/26 C350 Equity","OPT_STRIKE_PX")</f>
        <v>350</v>
      </c>
      <c r="K64" t="str">
        <f>_xll.BDP("AVGO US 06/18/26 C350 Equity","OPT_UNDL_TICKER")</f>
        <v>AVGO US</v>
      </c>
      <c r="L64">
        <f>_xll.BDP("AVGO US 06/18/26 C350 Equity","OPT_MULTIPLIER")</f>
        <v>100</v>
      </c>
      <c r="M64" t="str">
        <f>_xll.BDP("AVGO US 06/18/26 C350 Equity","MIFID_MATURITY_DATE")</f>
        <v>18/06/2026</v>
      </c>
      <c r="N64">
        <f>_xll.BDP("AVGO US 06/18/26 C350 Equity","OPT_DAYS_EXPIRE")</f>
        <v>133</v>
      </c>
      <c r="O64" t="str">
        <f>_xll.BDP("AVGO US 06/18/26 C350 Equity","OPT_PUT_CALL")</f>
        <v>Call</v>
      </c>
    </row>
    <row r="65" spans="1:15">
      <c r="A65" t="s">
        <v>1171</v>
      </c>
      <c r="B65" t="s">
        <v>1188</v>
      </c>
      <c r="C65">
        <f>_xll.BDP("AVGO US 02/06/26 C315 Equity","MID")</f>
        <v>4.4800000000000004</v>
      </c>
      <c r="D65">
        <f>_xll.BDP("AVGO US 02/06/26 C315 Equity","BID")</f>
        <v>4.3</v>
      </c>
      <c r="E65">
        <f>_xll.BDP("AVGO US 02/06/26 C315 Equity","ASK")</f>
        <v>4.6500000000000004</v>
      </c>
      <c r="F65">
        <f>_xll.BDP("AVGO US 02/06/26 C315 Equity","DELTA_MID_RT")</f>
        <v>0.36670622229576111</v>
      </c>
      <c r="G65">
        <f>_xll.BDP("AVGO US 02/06/26 C315 Equity","THETA_MID_RT")</f>
        <v>-1.2999356985092163</v>
      </c>
      <c r="H65">
        <f>_xll.BDP("AVGO US 02/06/26 C315 Equity","GAMMA_LAST")</f>
        <v>6.3062000000000007E-2</v>
      </c>
      <c r="I65">
        <f>_xll.BDP("AVGO US 02/06/26 C315 Equity","IVOL_MID")</f>
        <v>66.711650000000006</v>
      </c>
      <c r="J65">
        <f>_xll.BDP("AVGO US 02/06/26 C315 Equity","OPT_STRIKE_PX")</f>
        <v>315</v>
      </c>
      <c r="K65" t="str">
        <f>_xll.BDP("AVGO US 02/06/26 C315 Equity","OPT_UNDL_TICKER")</f>
        <v>AVGO US</v>
      </c>
      <c r="L65">
        <f>_xll.BDP("AVGO US 02/06/26 C315 Equity","OPT_MULTIPLIER")</f>
        <v>100</v>
      </c>
      <c r="M65" t="str">
        <f>_xll.BDP("AVGO US 02/06/26 C315 Equity","MIFID_MATURITY_DATE")</f>
        <v>06/02/2026</v>
      </c>
      <c r="N65">
        <f>_xll.BDP("AVGO US 02/06/26 C315 Equity","OPT_DAYS_EXPIRE")</f>
        <v>1</v>
      </c>
      <c r="O65" t="str">
        <f>_xll.BDP("AVGO US 02/06/26 C315 Equity","OPT_PUT_CALL")</f>
        <v>Call</v>
      </c>
    </row>
    <row r="66" spans="1:15">
      <c r="A66" t="s">
        <v>1172</v>
      </c>
      <c r="B66" t="s">
        <v>1188</v>
      </c>
      <c r="C66">
        <f>_xll.BDP("AVGO US 02/13/26 C330 Equity","MID")</f>
        <v>4.08</v>
      </c>
      <c r="D66">
        <f>_xll.BDP("AVGO US 02/13/26 C330 Equity","BID")</f>
        <v>3.9</v>
      </c>
      <c r="E66">
        <f>_xll.BDP("AVGO US 02/13/26 C330 Equity","ASK")</f>
        <v>4.25</v>
      </c>
      <c r="F66">
        <f>_xll.BDP("AVGO US 02/13/26 C330 Equity","DELTA_MID_RT")</f>
        <v>0.24856053292751312</v>
      </c>
      <c r="G66">
        <f>_xll.BDP("AVGO US 02/13/26 C330 Equity","THETA_MID_RT")</f>
        <v>-0.45607683062553406</v>
      </c>
      <c r="H66">
        <f>_xll.BDP("AVGO US 02/13/26 C330 Equity","GAMMA_LAST")</f>
        <v>3.3703999999999998E-2</v>
      </c>
      <c r="I66">
        <f>_xll.BDP("AVGO US 02/13/26 C330 Equity","IVOL_MID")</f>
        <v>56.142940000000003</v>
      </c>
      <c r="J66">
        <f>_xll.BDP("AVGO US 02/13/26 C330 Equity","OPT_STRIKE_PX")</f>
        <v>330</v>
      </c>
      <c r="K66" t="str">
        <f>_xll.BDP("AVGO US 02/13/26 C330 Equity","OPT_UNDL_TICKER")</f>
        <v>AVGO US</v>
      </c>
      <c r="L66">
        <f>_xll.BDP("AVGO US 02/13/26 C330 Equity","OPT_MULTIPLIER")</f>
        <v>100</v>
      </c>
      <c r="M66" t="str">
        <f>_xll.BDP("AVGO US 02/13/26 C330 Equity","MIFID_MATURITY_DATE")</f>
        <v>13/02/2026</v>
      </c>
      <c r="N66">
        <f>_xll.BDP("AVGO US 02/13/26 C330 Equity","OPT_DAYS_EXPIRE")</f>
        <v>8</v>
      </c>
      <c r="O66" t="str">
        <f>_xll.BDP("AVGO US 02/13/26 C330 Equity","OPT_PUT_CALL")</f>
        <v>Call</v>
      </c>
    </row>
    <row r="67" spans="1:15">
      <c r="A67" t="s">
        <v>1178</v>
      </c>
      <c r="B67" t="s">
        <v>1188</v>
      </c>
      <c r="C67">
        <f>_xll.BDP("GOOG US 02/06/26 P300 Equity","MID")</f>
        <v>1.18</v>
      </c>
      <c r="D67">
        <f>_xll.BDP("GOOG US 02/06/26 P300 Equity","BID")</f>
        <v>1.17</v>
      </c>
      <c r="E67">
        <f>_xll.BDP("GOOG US 02/06/26 P300 Equity","ASK")</f>
        <v>1.2</v>
      </c>
      <c r="F67">
        <f>_xll.BDP("GOOG US 02/06/26 P300 Equity","DELTA_MID_RT")</f>
        <v>-9.079037606716156E-2</v>
      </c>
      <c r="G67">
        <f>_xll.BDP("GOOG US 02/06/26 P300 Equity","THETA_MID_RT")</f>
        <v>-0.72490501403808594</v>
      </c>
      <c r="H67">
        <f>_xll.BDP("GOOG US 02/06/26 P300 Equity","GAMMA_LAST")</f>
        <v>2.0036000000000002E-2</v>
      </c>
      <c r="I67">
        <f>_xll.BDP("GOOG US 02/06/26 P300 Equity","IVOL_MID")</f>
        <v>93.268109999999993</v>
      </c>
      <c r="J67">
        <f>_xll.BDP("GOOG US 02/06/26 P300 Equity","OPT_STRIKE_PX")</f>
        <v>300</v>
      </c>
      <c r="K67" t="str">
        <f>_xll.BDP("GOOG US 02/06/26 P300 Equity","OPT_UNDL_TICKER")</f>
        <v>GOOG US</v>
      </c>
      <c r="L67">
        <f>_xll.BDP("GOOG US 02/06/26 P300 Equity","OPT_MULTIPLIER")</f>
        <v>100</v>
      </c>
      <c r="M67" t="str">
        <f>_xll.BDP("GOOG US 02/06/26 P300 Equity","MIFID_MATURITY_DATE")</f>
        <v>06/02/2026</v>
      </c>
      <c r="N67">
        <f>_xll.BDP("GOOG US 02/06/26 P300 Equity","OPT_DAYS_EXPIRE")</f>
        <v>1</v>
      </c>
      <c r="O67" t="str">
        <f>_xll.BDP("GOOG US 02/06/26 P300 Equity","OPT_PUT_CALL")</f>
        <v>Put</v>
      </c>
    </row>
    <row r="68" spans="1:15">
      <c r="A68" t="s">
        <v>1043</v>
      </c>
      <c r="B68" t="s">
        <v>1188</v>
      </c>
      <c r="C68">
        <f>_xll.BDP("NVDA US 05/15/26 C200 Equity","MID")</f>
        <v>8.0500000000000007</v>
      </c>
      <c r="D68">
        <f>_xll.BDP("NVDA US 05/15/26 C200 Equity","BID")</f>
        <v>8</v>
      </c>
      <c r="E68">
        <f>_xll.BDP("NVDA US 05/15/26 C200 Equity","ASK")</f>
        <v>8.1</v>
      </c>
      <c r="F68">
        <f>_xll.BDP("NVDA US 05/15/26 C200 Equity","DELTA_MID_RT")</f>
        <v>0.33513808250427246</v>
      </c>
      <c r="G68">
        <f>_xll.BDP("NVDA US 05/15/26 C200 Equity","THETA_MID_RT")</f>
        <v>-7.2926461696624756E-2</v>
      </c>
      <c r="H68">
        <f>_xll.BDP("NVDA US 05/15/26 C200 Equity","GAMMA_LAST")</f>
        <v>1.5540999999999999E-2</v>
      </c>
      <c r="I68">
        <f>_xll.BDP("NVDA US 05/15/26 C200 Equity","IVOL_MID")</f>
        <v>44.692779999999999</v>
      </c>
      <c r="J68">
        <f>_xll.BDP("NVDA US 05/15/26 C200 Equity","OPT_STRIKE_PX")</f>
        <v>200</v>
      </c>
      <c r="K68" t="str">
        <f>_xll.BDP("NVDA US 05/15/26 C200 Equity","OPT_UNDL_TICKER")</f>
        <v>NVDA US</v>
      </c>
      <c r="L68">
        <f>_xll.BDP("NVDA US 05/15/26 C200 Equity","OPT_MULTIPLIER")</f>
        <v>100</v>
      </c>
      <c r="M68" t="str">
        <f>_xll.BDP("NVDA US 05/15/26 C200 Equity","MIFID_MATURITY_DATE")</f>
        <v>15/05/2026</v>
      </c>
      <c r="N68">
        <f>_xll.BDP("NVDA US 05/15/26 C200 Equity","OPT_DAYS_EXPIRE")</f>
        <v>99</v>
      </c>
      <c r="O68" t="str">
        <f>_xll.BDP("NVDA US 05/15/26 C200 Equity","OPT_PUT_CALL")</f>
        <v>Call</v>
      </c>
    </row>
    <row r="69" spans="1:15">
      <c r="A69" t="s">
        <v>1139</v>
      </c>
      <c r="B69" t="s">
        <v>1188</v>
      </c>
      <c r="C69">
        <f>_xll.BDP("NFLX US 05/15/26 C90 Equity","MID")</f>
        <v>3.28</v>
      </c>
      <c r="D69">
        <f>_xll.BDP("NFLX US 05/15/26 C90 Equity","BID")</f>
        <v>3.2</v>
      </c>
      <c r="E69">
        <f>_xll.BDP("NFLX US 05/15/26 C90 Equity","ASK")</f>
        <v>3.35</v>
      </c>
      <c r="F69">
        <f>_xll.BDP("NFLX US 05/15/26 C90 Equity","DELTA_MID_RT")</f>
        <v>0.34412029385566711</v>
      </c>
      <c r="G69">
        <f>_xll.BDP("NFLX US 05/15/26 C90 Equity","THETA_MID_RT")</f>
        <v>-2.8517793864011765E-2</v>
      </c>
      <c r="H69">
        <f>_xll.BDP("NFLX US 05/15/26 C90 Equity","GAMMA_LAST")</f>
        <v>1.8679000000000001E-2</v>
      </c>
      <c r="I69">
        <f>_xll.BDP("NFLX US 05/15/26 C90 Equity","IVOL_MID")</f>
        <v>37.475740000000002</v>
      </c>
      <c r="J69">
        <f>_xll.BDP("NFLX US 05/15/26 C90 Equity","OPT_STRIKE_PX")</f>
        <v>90</v>
      </c>
      <c r="K69" t="str">
        <f>_xll.BDP("NFLX US 05/15/26 C90 Equity","OPT_UNDL_TICKER")</f>
        <v>NFLX US</v>
      </c>
      <c r="L69">
        <f>_xll.BDP("NFLX US 05/15/26 C90 Equity","OPT_MULTIPLIER")</f>
        <v>100</v>
      </c>
      <c r="M69" t="str">
        <f>_xll.BDP("NFLX US 05/15/26 C90 Equity","MIFID_MATURITY_DATE")</f>
        <v>15/05/2026</v>
      </c>
      <c r="N69">
        <f>_xll.BDP("NFLX US 05/15/26 C90 Equity","OPT_DAYS_EXPIRE")</f>
        <v>99</v>
      </c>
      <c r="O69" t="str">
        <f>_xll.BDP("NFLX US 05/15/26 C90 Equity","OPT_PUT_CALL")</f>
        <v>Call</v>
      </c>
    </row>
    <row r="70" spans="1:15">
      <c r="A70" t="s">
        <v>1140</v>
      </c>
      <c r="B70" t="s">
        <v>1188</v>
      </c>
      <c r="C70">
        <f>_xll.BDP("NFLX US 05/15/26 P70 Equity","MID")</f>
        <v>2.19</v>
      </c>
      <c r="D70">
        <f>_xll.BDP("NFLX US 05/15/26 P70 Equity","BID")</f>
        <v>2.0299999999999998</v>
      </c>
      <c r="E70">
        <f>_xll.BDP("NFLX US 05/15/26 P70 Equity","ASK")</f>
        <v>2.36</v>
      </c>
      <c r="F70">
        <f>_xll.BDP("NFLX US 05/15/26 P70 Equity","DELTA_MID_RT")</f>
        <v>-0.20887434482574463</v>
      </c>
      <c r="G70">
        <f>_xll.BDP("NFLX US 05/15/26 P70 Equity","THETA_MID_RT")</f>
        <v>-2.4136116728186607E-2</v>
      </c>
      <c r="H70">
        <f>_xll.BDP("NFLX US 05/15/26 P70 Equity","GAMMA_LAST")</f>
        <v>1.3483999999999999E-2</v>
      </c>
      <c r="I70">
        <f>_xll.BDP("NFLX US 05/15/26 P70 Equity","IVOL_MID")</f>
        <v>40.04336</v>
      </c>
      <c r="J70">
        <f>_xll.BDP("NFLX US 05/15/26 P70 Equity","OPT_STRIKE_PX")</f>
        <v>70</v>
      </c>
      <c r="K70" t="str">
        <f>_xll.BDP("NFLX US 05/15/26 P70 Equity","OPT_UNDL_TICKER")</f>
        <v>NFLX US</v>
      </c>
      <c r="L70">
        <f>_xll.BDP("NFLX US 05/15/26 P70 Equity","OPT_MULTIPLIER")</f>
        <v>100</v>
      </c>
      <c r="M70" t="str">
        <f>_xll.BDP("NFLX US 05/15/26 P70 Equity","MIFID_MATURITY_DATE")</f>
        <v>15/05/2026</v>
      </c>
      <c r="N70">
        <f>_xll.BDP("NFLX US 05/15/26 P70 Equity","OPT_DAYS_EXPIRE")</f>
        <v>99</v>
      </c>
      <c r="O70" t="str">
        <f>_xll.BDP("NFLX US 05/15/26 P70 Equity","OPT_PUT_CALL")</f>
        <v>Put</v>
      </c>
    </row>
    <row r="71" spans="1:15">
      <c r="A71" t="s">
        <v>1094</v>
      </c>
      <c r="B71" t="s">
        <v>1188</v>
      </c>
      <c r="C71">
        <f>_xll.BDP("META US 07/17/26 C750 Equity","MID")</f>
        <v>33.58</v>
      </c>
      <c r="D71">
        <f>_xll.BDP("META US 07/17/26 C750 Equity","BID")</f>
        <v>33.35</v>
      </c>
      <c r="E71">
        <f>_xll.BDP("META US 07/17/26 C750 Equity","ASK")</f>
        <v>33.799999999999997</v>
      </c>
      <c r="F71">
        <f>_xll.BDP("META US 07/17/26 C750 Equity","DELTA_MID_RT")</f>
        <v>0.36969476938247681</v>
      </c>
      <c r="G71">
        <f>_xll.BDP("META US 07/17/26 C750 Equity","THETA_MID_RT")</f>
        <v>-0.17552317678928375</v>
      </c>
      <c r="H71">
        <f>_xll.BDP("META US 07/17/26 C750 Equity","GAMMA_LAST")</f>
        <v>1.7113E-2</v>
      </c>
      <c r="I71">
        <f>_xll.BDP("META US 07/17/26 C750 Equity","IVOL_MID")</f>
        <v>33.352919999999997</v>
      </c>
      <c r="J71">
        <f>_xll.BDP("META US 07/17/26 C750 Equity","OPT_STRIKE_PX")</f>
        <v>750</v>
      </c>
      <c r="K71" t="str">
        <f>_xll.BDP("META US 07/17/26 C750 Equity","OPT_UNDL_TICKER")</f>
        <v>META US</v>
      </c>
      <c r="L71">
        <f>_xll.BDP("META US 07/17/26 C750 Equity","OPT_MULTIPLIER")</f>
        <v>100</v>
      </c>
      <c r="M71" t="str">
        <f>_xll.BDP("META US 07/17/26 C750 Equity","MIFID_MATURITY_DATE")</f>
        <v>17/07/2026</v>
      </c>
      <c r="N71">
        <f>_xll.BDP("META US 07/17/26 C750 Equity","OPT_DAYS_EXPIRE")</f>
        <v>162</v>
      </c>
      <c r="O71" t="str">
        <f>_xll.BDP("META US 07/17/26 C750 Equity","OPT_PUT_CALL")</f>
        <v>Call</v>
      </c>
    </row>
    <row r="72" spans="1:15">
      <c r="A72" t="s">
        <v>935</v>
      </c>
      <c r="B72" t="s">
        <v>1188</v>
      </c>
      <c r="C72">
        <f>_xll.BDP("MRVL US 03/20/26 P70 Equity","MID")</f>
        <v>4.68</v>
      </c>
      <c r="D72">
        <f>_xll.BDP("MRVL US 03/20/26 P70 Equity","BID")</f>
        <v>4.5999999999999996</v>
      </c>
      <c r="E72">
        <f>_xll.BDP("MRVL US 03/20/26 P70 Equity","ASK")</f>
        <v>4.75</v>
      </c>
      <c r="F72">
        <f>_xll.BDP("MRVL US 03/20/26 P70 Equity","DELTA_MID_RT")</f>
        <v>-0.36003792285919189</v>
      </c>
      <c r="G72">
        <f>_xll.BDP("MRVL US 03/20/26 P70 Equity","THETA_MID_RT")</f>
        <v>-7.0080108940601349E-2</v>
      </c>
      <c r="H72">
        <f>_xll.BDP("MRVL US 03/20/26 P70 Equity","GAMMA_LAST")</f>
        <v>1.6354E-2</v>
      </c>
      <c r="I72">
        <f>_xll.BDP("MRVL US 03/20/26 P70 Equity","IVOL_MID")</f>
        <v>64.765929999999997</v>
      </c>
      <c r="J72">
        <f>_xll.BDP("MRVL US 03/20/26 P70 Equity","OPT_STRIKE_PX")</f>
        <v>70</v>
      </c>
      <c r="K72" t="str">
        <f>_xll.BDP("MRVL US 03/20/26 P70 Equity","OPT_UNDL_TICKER")</f>
        <v>MRVL US</v>
      </c>
      <c r="L72">
        <f>_xll.BDP("MRVL US 03/20/26 P70 Equity","OPT_MULTIPLIER")</f>
        <v>100</v>
      </c>
      <c r="M72" t="str">
        <f>_xll.BDP("MRVL US 03/20/26 P70 Equity","MIFID_MATURITY_DATE")</f>
        <v>20/03/2026</v>
      </c>
      <c r="N72">
        <f>_xll.BDP("MRVL US 03/20/26 P70 Equity","OPT_DAYS_EXPIRE")</f>
        <v>43</v>
      </c>
      <c r="O72" t="str">
        <f>_xll.BDP("MRVL US 03/20/26 P70 Equity","OPT_PUT_CALL")</f>
        <v>Put</v>
      </c>
    </row>
    <row r="73" spans="1:15">
      <c r="A73" t="s">
        <v>1138</v>
      </c>
      <c r="B73" t="s">
        <v>1188</v>
      </c>
      <c r="C73">
        <f>_xll.BDP("MRVL US 03/20/26 P60 Equity","MID")</f>
        <v>1.59</v>
      </c>
      <c r="D73">
        <f>_xll.BDP("MRVL US 03/20/26 P60 Equity","BID")</f>
        <v>1.49</v>
      </c>
      <c r="E73">
        <f>_xll.BDP("MRVL US 03/20/26 P60 Equity","ASK")</f>
        <v>1.68</v>
      </c>
      <c r="F73">
        <f>_xll.BDP("MRVL US 03/20/26 P60 Equity","DELTA_MID_RT")</f>
        <v>-0.15604214370250702</v>
      </c>
      <c r="G73">
        <f>_xll.BDP("MRVL US 03/20/26 P60 Equity","THETA_MID_RT")</f>
        <v>-4.6173460781574249E-2</v>
      </c>
      <c r="H73">
        <f>_xll.BDP("MRVL US 03/20/26 P60 Equity","GAMMA_LAST")</f>
        <v>9.9950000000000004E-3</v>
      </c>
      <c r="I73">
        <f>_xll.BDP("MRVL US 03/20/26 P60 Equity","IVOL_MID")</f>
        <v>67.222179999999994</v>
      </c>
      <c r="J73">
        <f>_xll.BDP("MRVL US 03/20/26 P60 Equity","OPT_STRIKE_PX")</f>
        <v>60</v>
      </c>
      <c r="K73" t="str">
        <f>_xll.BDP("MRVL US 03/20/26 P60 Equity","OPT_UNDL_TICKER")</f>
        <v>MRVL US</v>
      </c>
      <c r="L73">
        <f>_xll.BDP("MRVL US 03/20/26 P60 Equity","OPT_MULTIPLIER")</f>
        <v>100</v>
      </c>
      <c r="M73" t="str">
        <f>_xll.BDP("MRVL US 03/20/26 P60 Equity","MIFID_MATURITY_DATE")</f>
        <v>20/03/2026</v>
      </c>
      <c r="N73">
        <f>_xll.BDP("MRVL US 03/20/26 P60 Equity","OPT_DAYS_EXPIRE")</f>
        <v>43</v>
      </c>
      <c r="O73" t="str">
        <f>_xll.BDP("MRVL US 03/20/26 P60 Equity","OPT_PUT_CALL")</f>
        <v>Put</v>
      </c>
    </row>
    <row r="74" spans="1:15">
      <c r="A74" t="s">
        <v>1095</v>
      </c>
      <c r="B74" t="s">
        <v>1188</v>
      </c>
      <c r="C74">
        <f>_xll.BDP("AAPL US 04/17/26 C260 Equity","MID")</f>
        <v>23.67</v>
      </c>
      <c r="D74">
        <f>_xll.BDP("AAPL US 04/17/26 C260 Equity","BID")</f>
        <v>23.4</v>
      </c>
      <c r="E74">
        <f>_xll.BDP("AAPL US 04/17/26 C260 Equity","ASK")</f>
        <v>23.95</v>
      </c>
      <c r="F74">
        <f>_xll.BDP("AAPL US 04/17/26 C260 Equity","DELTA_MID_RT")</f>
        <v>0.73540157079696655</v>
      </c>
      <c r="G74">
        <f>_xll.BDP("AAPL US 04/17/26 C260 Equity","THETA_MID_RT")</f>
        <v>-7.8847058117389679E-2</v>
      </c>
      <c r="H74">
        <f>_xll.BDP("AAPL US 04/17/26 C260 Equity","GAMMA_LAST")</f>
        <v>2.6939000000000001E-2</v>
      </c>
      <c r="I74">
        <f>_xll.BDP("AAPL US 04/17/26 C260 Equity","IVOL_MID")</f>
        <v>26.613669999999999</v>
      </c>
      <c r="J74">
        <f>_xll.BDP("AAPL US 04/17/26 C260 Equity","OPT_STRIKE_PX")</f>
        <v>260</v>
      </c>
      <c r="K74" t="str">
        <f>_xll.BDP("AAPL US 04/17/26 C260 Equity","OPT_UNDL_TICKER")</f>
        <v>AAPL US</v>
      </c>
      <c r="L74">
        <f>_xll.BDP("AAPL US 04/17/26 C260 Equity","OPT_MULTIPLIER")</f>
        <v>100</v>
      </c>
      <c r="M74" t="str">
        <f>_xll.BDP("AAPL US 04/17/26 C260 Equity","MIFID_MATURITY_DATE")</f>
        <v>17/04/2026</v>
      </c>
      <c r="N74">
        <f>_xll.BDP("AAPL US 04/17/26 C260 Equity","OPT_DAYS_EXPIRE")</f>
        <v>71</v>
      </c>
      <c r="O74" t="str">
        <f>_xll.BDP("AAPL US 04/17/26 C260 Equity","OPT_PUT_CALL")</f>
        <v>Call</v>
      </c>
    </row>
    <row r="75" spans="1:15">
      <c r="A75" t="s">
        <v>1096</v>
      </c>
      <c r="B75" t="s">
        <v>1188</v>
      </c>
      <c r="C75">
        <f>_xll.BDP("AAPL US 04/17/26 C280 Equity","MID")</f>
        <v>11.05</v>
      </c>
      <c r="D75">
        <f>_xll.BDP("AAPL US 04/17/26 C280 Equity","BID")</f>
        <v>10.95</v>
      </c>
      <c r="E75">
        <f>_xll.BDP("AAPL US 04/17/26 C280 Equity","ASK")</f>
        <v>11.15</v>
      </c>
      <c r="F75">
        <f>_xll.BDP("AAPL US 04/17/26 C280 Equity","DELTA_MID_RT")</f>
        <v>0.49715507030487061</v>
      </c>
      <c r="G75">
        <f>_xll.BDP("AAPL US 04/17/26 C280 Equity","THETA_MID_RT")</f>
        <v>-8.5966259241104126E-2</v>
      </c>
      <c r="H75">
        <f>_xll.BDP("AAPL US 04/17/26 C280 Equity","GAMMA_LAST")</f>
        <v>3.6912E-2</v>
      </c>
      <c r="I75">
        <f>_xll.BDP("AAPL US 04/17/26 C280 Equity","IVOL_MID")</f>
        <v>24.204180000000001</v>
      </c>
      <c r="J75">
        <f>_xll.BDP("AAPL US 04/17/26 C280 Equity","OPT_STRIKE_PX")</f>
        <v>280</v>
      </c>
      <c r="K75" t="str">
        <f>_xll.BDP("AAPL US 04/17/26 C280 Equity","OPT_UNDL_TICKER")</f>
        <v>AAPL US</v>
      </c>
      <c r="L75">
        <f>_xll.BDP("AAPL US 04/17/26 C280 Equity","OPT_MULTIPLIER")</f>
        <v>100</v>
      </c>
      <c r="M75" t="str">
        <f>_xll.BDP("AAPL US 04/17/26 C280 Equity","MIFID_MATURITY_DATE")</f>
        <v>17/04/2026</v>
      </c>
      <c r="N75">
        <f>_xll.BDP("AAPL US 04/17/26 C280 Equity","OPT_DAYS_EXPIRE")</f>
        <v>71</v>
      </c>
      <c r="O75" t="str">
        <f>_xll.BDP("AAPL US 04/17/26 C280 Equity","OPT_PUT_CALL")</f>
        <v>Call</v>
      </c>
    </row>
    <row r="76" spans="1:15">
      <c r="A76" t="s">
        <v>1170</v>
      </c>
      <c r="B76" t="s">
        <v>1188</v>
      </c>
      <c r="C76">
        <f>_xll.BDP("MELI US 02/20/26 C2150 Equity","MID")</f>
        <v>42.95</v>
      </c>
      <c r="D76">
        <f>_xll.BDP("MELI US 02/20/26 C2150 Equity","BID")</f>
        <v>30.6</v>
      </c>
      <c r="E76">
        <f>_xll.BDP("MELI US 02/20/26 C2150 Equity","ASK")</f>
        <v>55.3</v>
      </c>
      <c r="F76">
        <f>_xll.BDP("MELI US 02/20/26 C2150 Equity","DELTA_MID_RT")</f>
        <v>0.34141087532043457</v>
      </c>
      <c r="G76">
        <f>_xll.BDP("MELI US 02/20/26 C2150 Equity","THETA_MID_RT")</f>
        <v>-2.3214383125305176</v>
      </c>
      <c r="H76">
        <f>_xll.BDP("MELI US 02/20/26 C2150 Equity","GAMMA_LAST")</f>
        <v>3.9468999999999997E-2</v>
      </c>
      <c r="I76">
        <f>_xll.BDP("MELI US 02/20/26 C2150 Equity","IVOL_MID")</f>
        <v>46.312730000000002</v>
      </c>
      <c r="J76">
        <f>_xll.BDP("MELI US 02/20/26 C2150 Equity","OPT_STRIKE_PX")</f>
        <v>2150</v>
      </c>
      <c r="K76" t="str">
        <f>_xll.BDP("MELI US 02/20/26 C2150 Equity","OPT_UNDL_TICKER")</f>
        <v>MELI US</v>
      </c>
      <c r="L76">
        <f>_xll.BDP("MELI US 02/20/26 C2150 Equity","OPT_MULTIPLIER")</f>
        <v>100</v>
      </c>
      <c r="M76" t="str">
        <f>_xll.BDP("MELI US 02/20/26 C2150 Equity","MIFID_MATURITY_DATE")</f>
        <v>20/02/2026</v>
      </c>
      <c r="N76">
        <f>_xll.BDP("MELI US 02/20/26 C2150 Equity","OPT_DAYS_EXPIRE")</f>
        <v>15</v>
      </c>
      <c r="O76" t="str">
        <f>_xll.BDP("MELI US 02/20/26 C2150 Equity","OPT_PUT_CALL")</f>
        <v>Call</v>
      </c>
    </row>
    <row r="77" spans="1:15">
      <c r="A77" t="s">
        <v>985</v>
      </c>
      <c r="B77" t="s">
        <v>1188</v>
      </c>
      <c r="C77">
        <f>_xll.BDP("INTC US 07/17/26 C60 Equity","MID")</f>
        <v>4.8499999999999996</v>
      </c>
      <c r="D77">
        <f>_xll.BDP("INTC US 07/17/26 C60 Equity","BID")</f>
        <v>4.7</v>
      </c>
      <c r="E77">
        <f>_xll.BDP("INTC US 07/17/26 C60 Equity","ASK")</f>
        <v>5</v>
      </c>
      <c r="F77">
        <f>_xll.BDP("INTC US 07/17/26 C60 Equity","DELTA_MID_RT")</f>
        <v>0.40669932961463928</v>
      </c>
      <c r="G77">
        <f>_xll.BDP("INTC US 07/17/26 C60 Equity","THETA_MID_RT")</f>
        <v>-2.4584110826253891E-2</v>
      </c>
      <c r="H77">
        <f>_xll.BDP("INTC US 07/17/26 C60 Equity","GAMMA_LAST")</f>
        <v>9.0290000000000006E-3</v>
      </c>
      <c r="I77">
        <f>_xll.BDP("INTC US 07/17/26 C60 Equity","IVOL_MID")</f>
        <v>64.793170000000003</v>
      </c>
      <c r="J77">
        <f>_xll.BDP("INTC US 07/17/26 C60 Equity","OPT_STRIKE_PX")</f>
        <v>60</v>
      </c>
      <c r="K77" t="str">
        <f>_xll.BDP("INTC US 07/17/26 C60 Equity","OPT_UNDL_TICKER")</f>
        <v>INTC US</v>
      </c>
      <c r="L77">
        <f>_xll.BDP("INTC US 07/17/26 C60 Equity","OPT_MULTIPLIER")</f>
        <v>100</v>
      </c>
      <c r="M77" t="str">
        <f>_xll.BDP("INTC US 07/17/26 C60 Equity","MIFID_MATURITY_DATE")</f>
        <v>17/07/2026</v>
      </c>
      <c r="N77">
        <f>_xll.BDP("INTC US 07/17/26 C60 Equity","OPT_DAYS_EXPIRE")</f>
        <v>162</v>
      </c>
      <c r="O77" t="str">
        <f>_xll.BDP("INTC US 07/17/26 C60 Equity","OPT_PUT_CALL")</f>
        <v>Call</v>
      </c>
    </row>
    <row r="78" spans="1:15">
      <c r="A78" t="s">
        <v>984</v>
      </c>
      <c r="B78" t="s">
        <v>1188</v>
      </c>
      <c r="C78">
        <f>_xll.BDP("INTC US 07/17/26 C50 Equity","MID")</f>
        <v>8.07</v>
      </c>
      <c r="D78">
        <f>_xll.BDP("INTC US 07/17/26 C50 Equity","BID")</f>
        <v>7.75</v>
      </c>
      <c r="E78">
        <f>_xll.BDP("INTC US 07/17/26 C50 Equity","ASK")</f>
        <v>8.4</v>
      </c>
      <c r="F78">
        <f>_xll.BDP("INTC US 07/17/26 C50 Equity","DELTA_MID_RT")</f>
        <v>0.57466357946395874</v>
      </c>
      <c r="G78">
        <f>_xll.BDP("INTC US 07/17/26 C50 Equity","THETA_MID_RT")</f>
        <v>-2.4672754108905792E-2</v>
      </c>
      <c r="H78">
        <f>_xll.BDP("INTC US 07/17/26 C50 Equity","GAMMA_LAST")</f>
        <v>9.1889999999999993E-3</v>
      </c>
      <c r="I78">
        <f>_xll.BDP("INTC US 07/17/26 C50 Equity","IVOL_MID")</f>
        <v>64.946740000000005</v>
      </c>
      <c r="J78">
        <f>_xll.BDP("INTC US 07/17/26 C50 Equity","OPT_STRIKE_PX")</f>
        <v>50</v>
      </c>
      <c r="K78" t="str">
        <f>_xll.BDP("INTC US 07/17/26 C50 Equity","OPT_UNDL_TICKER")</f>
        <v>INTC US</v>
      </c>
      <c r="L78">
        <f>_xll.BDP("INTC US 07/17/26 C50 Equity","OPT_MULTIPLIER")</f>
        <v>100</v>
      </c>
      <c r="M78" t="str">
        <f>_xll.BDP("INTC US 07/17/26 C50 Equity","MIFID_MATURITY_DATE")</f>
        <v>17/07/2026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6</vt:i4>
      </vt:variant>
    </vt:vector>
  </HeadingPairs>
  <TitlesOfParts>
    <vt:vector size="25" baseType="lpstr">
      <vt:lpstr>correls (2)</vt:lpstr>
      <vt:lpstr>PAIR_Monitor</vt:lpstr>
      <vt:lpstr>BETAS</vt:lpstr>
      <vt:lpstr>Sheet3</vt:lpstr>
      <vt:lpstr>Sheet2</vt:lpstr>
      <vt:lpstr>Sheet1</vt:lpstr>
      <vt:lpstr>P&amp;L Pivot</vt:lpstr>
      <vt:lpstr>Master P&amp;L</vt:lpstr>
      <vt:lpstr>Options</vt:lpstr>
      <vt:lpstr>Options Price</vt:lpstr>
      <vt:lpstr>Check</vt:lpstr>
      <vt:lpstr>Input_APM</vt:lpstr>
      <vt:lpstr>Input_APM (Zenith)</vt:lpstr>
      <vt:lpstr>Check (Zenith)</vt:lpstr>
      <vt:lpstr>Auxiliar</vt:lpstr>
      <vt:lpstr>CDS</vt:lpstr>
      <vt:lpstr>Check result</vt:lpstr>
      <vt:lpstr>Precificação</vt:lpstr>
      <vt:lpstr>Bloomberg_Data</vt:lpstr>
      <vt:lpstr>Hoje</vt:lpstr>
      <vt:lpstr>Input_Master</vt:lpstr>
      <vt:lpstr>Input_Zenith</vt:lpstr>
      <vt:lpstr>Ontem</vt:lpstr>
      <vt:lpstr>'Master P&amp;L'!Print_Area</vt:lpstr>
      <vt:lpstr>'P&amp;L Pivot'!Print_Area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Grozdea</dc:creator>
  <cp:keywords/>
  <dc:description/>
  <cp:lastModifiedBy>Daniel Grozdea</cp:lastModifiedBy>
  <cp:revision/>
  <cp:lastPrinted>2025-06-18T21:32:50Z</cp:lastPrinted>
  <dcterms:created xsi:type="dcterms:W3CDTF">2024-03-18T20:23:35Z</dcterms:created>
  <dcterms:modified xsi:type="dcterms:W3CDTF">2026-02-05T12:44:34Z</dcterms:modified>
  <cp:category/>
  <cp:contentStatus/>
</cp:coreProperties>
</file>