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4_{A87335FD-3EED-46B6-B026-FFAD1AC18612}" xr6:coauthVersionLast="47" xr6:coauthVersionMax="47" xr10:uidLastSave="{00000000-0000-0000-0000-000000000000}"/>
  <bookViews>
    <workbookView xWindow="28680" yWindow="-120" windowWidth="29040" windowHeight="15720" tabRatio="881" firstSheet="1" activeTab="7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P&amp;L'!$A$11:$AD$44</definedName>
    <definedName name="_xlnm._FilterDatabase" localSheetId="8" hidden="1">Options!$A$3:$BD$32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P&amp;L'!$B$2:$AC$44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" calcOnSave="0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8" i="2" l="1" a="1"/>
  <c r="AQ8" i="2"/>
  <c r="AC6" i="2" a="1"/>
  <c r="AC6" i="2"/>
  <c r="AC5" i="2" a="1"/>
  <c r="AC5" i="2"/>
  <c r="AC13" i="2" a="1"/>
  <c r="AC13" i="2"/>
  <c r="AC12" i="2" a="1"/>
  <c r="AC12" i="2"/>
  <c r="AV13" i="2" a="1"/>
  <c r="AV13" i="2"/>
  <c r="AV12" i="2" a="1"/>
  <c r="AV12" i="2"/>
  <c r="AV11" i="2" a="1"/>
  <c r="AV11" i="2"/>
  <c r="R96" i="89" a="1"/>
  <c r="R96" i="89"/>
  <c r="R87" i="89" a="1"/>
  <c r="R87" i="89"/>
  <c r="R86" i="89" a="1"/>
  <c r="R86" i="89"/>
  <c r="R85" i="89" a="1"/>
  <c r="R85" i="89"/>
  <c r="R14" i="89" a="1"/>
  <c r="R14" i="89"/>
  <c r="R13" i="89" a="1"/>
  <c r="R13" i="89"/>
  <c r="R69" i="89" a="1"/>
  <c r="R69" i="89"/>
  <c r="AC8" i="2" a="1"/>
  <c r="AC8" i="2"/>
  <c r="AC15" i="2" a="1"/>
  <c r="AC15" i="2"/>
  <c r="AC14" i="2" a="1"/>
  <c r="AC14" i="2"/>
  <c r="AV26" i="2" a="1"/>
  <c r="AV26" i="2"/>
  <c r="AV25" i="2" a="1"/>
  <c r="AV25" i="2"/>
  <c r="AV24" i="2" a="1"/>
  <c r="AV24" i="2"/>
  <c r="AQ4" i="2" a="1"/>
  <c r="AQ4" i="2"/>
  <c r="AV7" i="2" a="1"/>
  <c r="AV7" i="2"/>
  <c r="AV15" i="2" a="1"/>
  <c r="AV15" i="2"/>
  <c r="AV14" i="2" a="1"/>
  <c r="AV14" i="2"/>
  <c r="AV16" i="2" a="1"/>
  <c r="AV16" i="2"/>
  <c r="AC7" i="2" a="1"/>
  <c r="AC7" i="2"/>
  <c r="AC4" i="2" a="1"/>
  <c r="AC4" i="2"/>
  <c r="AB69" i="89" a="1"/>
  <c r="AB69" i="89"/>
  <c r="AQ21" i="2" a="1"/>
  <c r="AQ21" i="2"/>
  <c r="AQ20" i="2" a="1"/>
  <c r="AQ20" i="2"/>
  <c r="AB8" i="89" a="1"/>
  <c r="AB8" i="89"/>
  <c r="AB7" i="89" a="1"/>
  <c r="AB7" i="89"/>
  <c r="AQ7" i="2" a="1"/>
  <c r="AQ7" i="2"/>
  <c r="AQ15" i="2" a="1"/>
  <c r="AQ15" i="2"/>
  <c r="AQ14" i="2" a="1"/>
  <c r="AQ14" i="2"/>
  <c r="AC26" i="2" a="1"/>
  <c r="AC26" i="2"/>
  <c r="AC25" i="2" a="1"/>
  <c r="AC25" i="2"/>
  <c r="AC24" i="2" a="1"/>
  <c r="AC24" i="2"/>
  <c r="AV4" i="2" a="1"/>
  <c r="AV4" i="2"/>
  <c r="AC21" i="2" a="1"/>
  <c r="AC21" i="2"/>
  <c r="AC20" i="2" a="1"/>
  <c r="AC20" i="2"/>
  <c r="AQ6" i="2" a="1"/>
  <c r="AQ6" i="2"/>
  <c r="AQ5" i="2" a="1"/>
  <c r="AQ5" i="2"/>
  <c r="AB20" i="89" a="1"/>
  <c r="AB20" i="89"/>
  <c r="AB19" i="89" a="1"/>
  <c r="AB19" i="89"/>
  <c r="AV6" i="2" a="1"/>
  <c r="AV6" i="2"/>
  <c r="AV5" i="2" a="1"/>
  <c r="AV5" i="2"/>
  <c r="R20" i="89" a="1"/>
  <c r="R20" i="89"/>
  <c r="R19" i="89" a="1"/>
  <c r="R19" i="89"/>
  <c r="AV8" i="2" a="1"/>
  <c r="AV8" i="2"/>
  <c r="AQ11" i="2" a="1"/>
  <c r="AQ11" i="2"/>
  <c r="AB96" i="89" a="1"/>
  <c r="AB96" i="89"/>
  <c r="AB87" i="89" a="1"/>
  <c r="AB87" i="89"/>
  <c r="AB86" i="89" a="1"/>
  <c r="AB86" i="89"/>
  <c r="AB85" i="89" a="1"/>
  <c r="AB85" i="89"/>
  <c r="AB14" i="89" a="1"/>
  <c r="AB14" i="89"/>
  <c r="AB13" i="89" a="1"/>
  <c r="AB13" i="89"/>
  <c r="AV21" i="2" a="1"/>
  <c r="AV21" i="2"/>
  <c r="AV20" i="2" a="1"/>
  <c r="AV20" i="2"/>
  <c r="R8" i="89" a="1"/>
  <c r="R8" i="89"/>
  <c r="R7" i="89" a="1"/>
  <c r="R7" i="89"/>
  <c r="AQ13" i="2" a="1"/>
  <c r="AQ13" i="2"/>
  <c r="AQ12" i="2" a="1"/>
  <c r="AQ12" i="2"/>
  <c r="AQ26" i="2" a="1"/>
  <c r="AQ26" i="2"/>
  <c r="AQ25" i="2" a="1"/>
  <c r="AQ25" i="2"/>
  <c r="AQ24" i="2" a="1"/>
  <c r="AQ24" i="2"/>
  <c r="AC11" i="2" a="1"/>
  <c r="AC11" i="2"/>
  <c r="AQ16" i="2" a="1"/>
  <c r="AQ16" i="2"/>
  <c r="AC16" i="2" a="1"/>
  <c r="AC16" i="2"/>
  <c r="AV23" i="2" a="1"/>
  <c r="AV23" i="2"/>
  <c r="AV22" i="2" a="1"/>
  <c r="AV22" i="2"/>
  <c r="R44" i="89" a="1"/>
  <c r="R44" i="89"/>
  <c r="R43" i="89" a="1"/>
  <c r="R43" i="89"/>
  <c r="R37" i="89" a="1"/>
  <c r="R37" i="89"/>
  <c r="R36" i="89" a="1"/>
  <c r="R36" i="89"/>
  <c r="R104" i="89" a="1"/>
  <c r="R104" i="89"/>
  <c r="R103" i="89" a="1"/>
  <c r="R103" i="89"/>
  <c r="R102" i="89" a="1"/>
  <c r="R102" i="89"/>
  <c r="AC19" i="2" a="1"/>
  <c r="AC19" i="2"/>
  <c r="AC18" i="2" a="1"/>
  <c r="AC18" i="2"/>
  <c r="AC17" i="2" a="1"/>
  <c r="AC17" i="2"/>
  <c r="AQ19" i="2" a="1"/>
  <c r="AQ19" i="2"/>
  <c r="AQ18" i="2" a="1"/>
  <c r="AQ18" i="2"/>
  <c r="AQ17" i="2" a="1"/>
  <c r="AQ17" i="2"/>
  <c r="AB113" i="89" a="1"/>
  <c r="AB113" i="89"/>
  <c r="AB112" i="89" a="1"/>
  <c r="AB112" i="89"/>
  <c r="AB111" i="89" a="1"/>
  <c r="AB111" i="89"/>
  <c r="AC28" i="2" a="1"/>
  <c r="AC28" i="2"/>
  <c r="AC27" i="2" a="1"/>
  <c r="AC27" i="2"/>
  <c r="AC9" i="2" a="1"/>
  <c r="AC9" i="2"/>
  <c r="AC10" i="2" a="1"/>
  <c r="AC10" i="2"/>
  <c r="AQ23" i="2" a="1"/>
  <c r="AQ23" i="2"/>
  <c r="AQ22" i="2" a="1"/>
  <c r="AQ22" i="2"/>
  <c r="AB44" i="89" a="1"/>
  <c r="AB44" i="89"/>
  <c r="AB43" i="89" a="1"/>
  <c r="AB43" i="89"/>
  <c r="AB37" i="89" a="1"/>
  <c r="AB37" i="89"/>
  <c r="AB36" i="89" a="1"/>
  <c r="AB36" i="89"/>
  <c r="AB104" i="89" a="1"/>
  <c r="AB104" i="89"/>
  <c r="AB103" i="89" a="1"/>
  <c r="AB103" i="89"/>
  <c r="AB102" i="89" a="1"/>
  <c r="AB102" i="89"/>
  <c r="AC23" i="2" a="1"/>
  <c r="AC23" i="2"/>
  <c r="AC22" i="2" a="1"/>
  <c r="AC22" i="2"/>
  <c r="AV9" i="2" a="1"/>
  <c r="AV9" i="2"/>
  <c r="AV10" i="2" a="1"/>
  <c r="AV10" i="2"/>
  <c r="AV19" i="2" a="1"/>
  <c r="AV19" i="2"/>
  <c r="AV18" i="2" a="1"/>
  <c r="AV18" i="2"/>
  <c r="AV17" i="2" a="1"/>
  <c r="AV17" i="2"/>
  <c r="R113" i="89" a="1"/>
  <c r="R113" i="89"/>
  <c r="R112" i="89" a="1"/>
  <c r="R112" i="89"/>
  <c r="R111" i="89" a="1"/>
  <c r="R111" i="89"/>
  <c r="AV28" i="2" a="1"/>
  <c r="AV28" i="2"/>
  <c r="AV27" i="2" a="1"/>
  <c r="AV27" i="2"/>
  <c r="AQ28" i="2" a="1"/>
  <c r="AQ28" i="2"/>
  <c r="AQ27" i="2" a="1"/>
  <c r="AQ27" i="2"/>
  <c r="AQ9" i="2" a="1"/>
  <c r="AQ9" i="2"/>
  <c r="AQ10" i="2" a="1"/>
  <c r="AQ10" i="2"/>
  <c r="AB31" i="89" a="1"/>
  <c r="AB31" i="89"/>
  <c r="AB30" i="89" a="1"/>
  <c r="AB30" i="89"/>
  <c r="AB70" i="89" a="1"/>
  <c r="AB70" i="89"/>
  <c r="AB54" i="89" a="1"/>
  <c r="AB54" i="89"/>
  <c r="AB53" i="89" a="1"/>
  <c r="AB53" i="89"/>
  <c r="AB52" i="89" a="1"/>
  <c r="AB52" i="89"/>
  <c r="R61" i="89" a="1"/>
  <c r="R61" i="89"/>
  <c r="R60" i="89" a="1"/>
  <c r="R60" i="89"/>
  <c r="R31" i="89" a="1"/>
  <c r="R31" i="89"/>
  <c r="R30" i="89" a="1"/>
  <c r="R30" i="89"/>
  <c r="AB76" i="89" a="1"/>
  <c r="AB76" i="89"/>
  <c r="AB61" i="89" a="1"/>
  <c r="AB61" i="89"/>
  <c r="AB60" i="89" a="1"/>
  <c r="AB60" i="89"/>
  <c r="R54" i="89" a="1"/>
  <c r="R54" i="89"/>
  <c r="R53" i="89" a="1"/>
  <c r="R53" i="89"/>
  <c r="R52" i="89" a="1"/>
  <c r="R52" i="89"/>
  <c r="R70" i="89" a="1"/>
  <c r="R70" i="89"/>
  <c r="Z23" i="2"/>
  <c r="Z4" i="2"/>
  <c r="Z16" i="2"/>
  <c r="S54" i="89" a="1"/>
  <c r="S54" i="89"/>
  <c r="S69" i="89" a="1"/>
  <c r="S69" i="89"/>
  <c r="Z21" i="2"/>
  <c r="S113" i="89" a="1"/>
  <c r="S113" i="89"/>
  <c r="S70" i="89" a="1"/>
  <c r="S70" i="89"/>
  <c r="Z28" i="2"/>
  <c r="S76" i="89" a="1"/>
  <c r="S76" i="89"/>
  <c r="R76" i="89" a="1"/>
  <c r="Z13" i="2"/>
  <c r="S61" i="89" a="1"/>
  <c r="R76" i="89" l="1"/>
  <c r="S61" i="89"/>
  <c r="Z10" i="2"/>
  <c r="Z7" i="2"/>
  <c r="D76" i="89" a="1"/>
  <c r="D76" i="89"/>
  <c r="E61" i="89" a="1"/>
  <c r="E61" i="89"/>
  <c r="V60" i="89" a="1"/>
  <c r="V60" i="89"/>
  <c r="D61" i="89" a="1"/>
  <c r="D61" i="89"/>
  <c r="V70" i="89" a="1"/>
  <c r="V70" i="89"/>
  <c r="T52" i="89" a="1"/>
  <c r="T52" i="89"/>
  <c r="C52" i="89" a="1"/>
  <c r="C52" i="89"/>
  <c r="T54" i="89" a="1"/>
  <c r="T54" i="89"/>
  <c r="E53" i="89" a="1"/>
  <c r="E53" i="89"/>
  <c r="C53" i="89" a="1"/>
  <c r="C53" i="89"/>
  <c r="E76" i="89" a="1"/>
  <c r="E76" i="89"/>
  <c r="C70" i="89" a="1"/>
  <c r="C70" i="89"/>
  <c r="T76" i="89" a="1"/>
  <c r="T76" i="89"/>
  <c r="V52" i="89" a="1"/>
  <c r="V52" i="89"/>
  <c r="V53" i="89" a="1"/>
  <c r="V53" i="89"/>
  <c r="Z61" i="89" a="1"/>
  <c r="Z61" i="89"/>
  <c r="AA61" i="89" a="1"/>
  <c r="AA61" i="89"/>
  <c r="C76" i="89" a="1"/>
  <c r="C76" i="89"/>
  <c r="V54" i="89" a="1"/>
  <c r="V54" i="89"/>
  <c r="Z53" i="89" a="1"/>
  <c r="Z53" i="89"/>
  <c r="AA53" i="89" a="1"/>
  <c r="AA53" i="89"/>
  <c r="Z54" i="89" a="1"/>
  <c r="Z54" i="89"/>
  <c r="AA54" i="89" a="1"/>
  <c r="AA54" i="89"/>
  <c r="C61" i="89" a="1"/>
  <c r="C61" i="89"/>
  <c r="C54" i="89" a="1"/>
  <c r="C54" i="89"/>
  <c r="E70" i="89" a="1"/>
  <c r="E70" i="89"/>
  <c r="T70" i="89" a="1"/>
  <c r="T70" i="89"/>
  <c r="Z70" i="89" a="1"/>
  <c r="Z70" i="89"/>
  <c r="AA70" i="89" a="1"/>
  <c r="AA70" i="89"/>
  <c r="V61" i="89" a="1"/>
  <c r="V61" i="89"/>
  <c r="D54" i="89" a="1"/>
  <c r="D54" i="89"/>
  <c r="D60" i="89" a="1"/>
  <c r="D60" i="89"/>
  <c r="T61" i="89" a="1"/>
  <c r="T61" i="89"/>
  <c r="D53" i="89" a="1"/>
  <c r="D53" i="89"/>
  <c r="Z60" i="89" a="1"/>
  <c r="Z60" i="89"/>
  <c r="AA60" i="89" a="1"/>
  <c r="AA60" i="89"/>
  <c r="T60" i="89" a="1"/>
  <c r="T60" i="89"/>
  <c r="E60" i="89" a="1"/>
  <c r="E60" i="89"/>
  <c r="D70" i="89" a="1"/>
  <c r="D70" i="89"/>
  <c r="Z52" i="89" a="1"/>
  <c r="Z52" i="89"/>
  <c r="AA52" i="89" a="1"/>
  <c r="AA52" i="89"/>
  <c r="E52" i="89" a="1"/>
  <c r="E52" i="89"/>
  <c r="D52" i="89" a="1"/>
  <c r="D52" i="89"/>
  <c r="E54" i="89" a="1"/>
  <c r="E54" i="89"/>
  <c r="C60" i="89" a="1"/>
  <c r="C60" i="89"/>
  <c r="V76" i="89" a="1"/>
  <c r="V76" i="89"/>
  <c r="T53" i="89" a="1"/>
  <c r="T53" i="89"/>
  <c r="Z76" i="89" a="1"/>
  <c r="Z76" i="89"/>
  <c r="AA76" i="89" a="1"/>
  <c r="AA76" i="89"/>
  <c r="AR15" i="2" a="1"/>
  <c r="AR15" i="2"/>
  <c r="T27" i="2" a="1"/>
  <c r="T27" i="2"/>
  <c r="AR10" i="2" a="1"/>
  <c r="AR10" i="2"/>
  <c r="AD15" i="2" a="1"/>
  <c r="AD15" i="2"/>
  <c r="C4" i="2" a="1"/>
  <c r="C4" i="2"/>
  <c r="AA9" i="2" a="1"/>
  <c r="AA9" i="2"/>
  <c r="F16" i="2" a="1"/>
  <c r="F16" i="2"/>
  <c r="T16" i="2" a="1"/>
  <c r="T16" i="2"/>
  <c r="T9" i="2" a="1"/>
  <c r="T9" i="2"/>
  <c r="D9" i="2" a="1"/>
  <c r="D9" i="2"/>
  <c r="AA12" i="2" a="1"/>
  <c r="AA12" i="2"/>
  <c r="D16" i="2" a="1"/>
  <c r="D16" i="2"/>
  <c r="AR27" i="2" a="1"/>
  <c r="AR27" i="2"/>
  <c r="AR9" i="2" a="1"/>
  <c r="AR9" i="2"/>
  <c r="C7" i="2" a="1"/>
  <c r="C7" i="2"/>
  <c r="AA4" i="2" a="1"/>
  <c r="AA4" i="2"/>
  <c r="AD28" i="2" a="1"/>
  <c r="AD28" i="2"/>
  <c r="D12" i="2" a="1"/>
  <c r="D12" i="2"/>
  <c r="AR16" i="2" a="1"/>
  <c r="AR16" i="2"/>
  <c r="AR28" i="2" a="1"/>
  <c r="AR28" i="2"/>
  <c r="F10" i="2" a="1"/>
  <c r="F10" i="2"/>
  <c r="T15" i="2" a="1"/>
  <c r="T15" i="2"/>
  <c r="AA16" i="2" a="1"/>
  <c r="AA16" i="2"/>
  <c r="E4" i="2" a="1"/>
  <c r="E4" i="2"/>
  <c r="C15" i="2" a="1"/>
  <c r="C15" i="2"/>
  <c r="C28" i="2" a="1"/>
  <c r="C28" i="2"/>
  <c r="F4" i="2" a="1"/>
  <c r="F4" i="2"/>
  <c r="AR13" i="2" a="1"/>
  <c r="AR13" i="2"/>
  <c r="E13" i="2" a="1"/>
  <c r="E13" i="2"/>
  <c r="F12" i="2" a="1"/>
  <c r="F12" i="2"/>
  <c r="C13" i="2" a="1"/>
  <c r="C13" i="2"/>
  <c r="AD13" i="2" a="1"/>
  <c r="AD13" i="2"/>
  <c r="AD27" i="2" a="1"/>
  <c r="AD27" i="2"/>
  <c r="E28" i="2" a="1"/>
  <c r="E28" i="2"/>
  <c r="E12" i="2" a="1"/>
  <c r="E12" i="2"/>
  <c r="E7" i="2" a="1"/>
  <c r="E7" i="2"/>
  <c r="E15" i="2" a="1"/>
  <c r="E15" i="2"/>
  <c r="E9" i="2" a="1"/>
  <c r="E9" i="2"/>
  <c r="AA10" i="2" a="1"/>
  <c r="AA10" i="2"/>
  <c r="F13" i="2" a="1"/>
  <c r="F13" i="2"/>
  <c r="C27" i="2" a="1"/>
  <c r="C27" i="2"/>
  <c r="E27" i="2" a="1"/>
  <c r="E27" i="2"/>
  <c r="AA15" i="2" a="1"/>
  <c r="AA15" i="2"/>
  <c r="C9" i="2" a="1"/>
  <c r="C9" i="2"/>
  <c r="T4" i="2" a="1"/>
  <c r="T4" i="2"/>
  <c r="AD10" i="2" a="1"/>
  <c r="AD10" i="2"/>
  <c r="AA13" i="2" a="1"/>
  <c r="AA13" i="2"/>
  <c r="AD16" i="2" a="1"/>
  <c r="AD16" i="2"/>
  <c r="T7" i="2" a="1"/>
  <c r="T7" i="2"/>
  <c r="F9" i="2" a="1"/>
  <c r="F9" i="2"/>
  <c r="D28" i="2" a="1"/>
  <c r="D28" i="2"/>
  <c r="F7" i="2" a="1"/>
  <c r="F7" i="2"/>
  <c r="F28" i="2" a="1"/>
  <c r="F28" i="2"/>
  <c r="AA27" i="2" a="1"/>
  <c r="AA27" i="2"/>
  <c r="AD4" i="2" a="1"/>
  <c r="AD4" i="2"/>
  <c r="AD12" i="2" a="1"/>
  <c r="AD12" i="2"/>
  <c r="E16" i="2" a="1"/>
  <c r="E16" i="2"/>
  <c r="AR12" i="2" a="1"/>
  <c r="AR12" i="2"/>
  <c r="D7" i="2" a="1"/>
  <c r="D7" i="2"/>
  <c r="AD7" i="2" a="1"/>
  <c r="AD7" i="2"/>
  <c r="E10" i="2" a="1"/>
  <c r="E10" i="2"/>
  <c r="F15" i="2" a="1"/>
  <c r="F15" i="2"/>
  <c r="AR4" i="2" a="1"/>
  <c r="AR4" i="2"/>
  <c r="AA28" i="2" a="1"/>
  <c r="AA28" i="2"/>
  <c r="AD9" i="2" a="1"/>
  <c r="AD9" i="2"/>
  <c r="D15" i="2" a="1"/>
  <c r="D15" i="2"/>
  <c r="T10" i="2" a="1"/>
  <c r="T10" i="2"/>
  <c r="D10" i="2" a="1"/>
  <c r="D10" i="2"/>
  <c r="D4" i="2" a="1"/>
  <c r="D4" i="2"/>
  <c r="F27" i="2" a="1"/>
  <c r="F27" i="2"/>
  <c r="C12" i="2" a="1"/>
  <c r="C12" i="2"/>
  <c r="AA7" i="2" a="1"/>
  <c r="AA7" i="2"/>
  <c r="T13" i="2" a="1"/>
  <c r="T13" i="2"/>
  <c r="D27" i="2" a="1"/>
  <c r="D27" i="2"/>
  <c r="T28" i="2" a="1"/>
  <c r="T28" i="2"/>
  <c r="C16" i="2" a="1"/>
  <c r="C16" i="2"/>
  <c r="D13" i="2" a="1"/>
  <c r="D13" i="2"/>
  <c r="AR7" i="2" a="1"/>
  <c r="AR7" i="2"/>
  <c r="T12" i="2" a="1"/>
  <c r="T12" i="2"/>
  <c r="C10" i="2" a="1"/>
  <c r="C10" i="2"/>
  <c r="X10" i="338" a="1"/>
  <c r="X10" i="338"/>
  <c r="P12" i="338" a="1"/>
  <c r="P12" i="338"/>
  <c r="X11" i="338" a="1"/>
  <c r="X11" i="338"/>
  <c r="P11" i="338" a="1"/>
  <c r="P11" i="338"/>
  <c r="S10" i="338" a="1"/>
  <c r="S10" i="338"/>
  <c r="T11" i="338" a="1"/>
  <c r="T11" i="338"/>
  <c r="T8" i="338" a="1"/>
  <c r="T8" i="338"/>
  <c r="U8" i="338" a="1"/>
  <c r="U8" i="338"/>
  <c r="V8" i="338" a="1"/>
  <c r="V8" i="338"/>
  <c r="X8" i="338" a="1"/>
  <c r="X8" i="338"/>
  <c r="P8" i="338" a="1"/>
  <c r="P8" i="338"/>
  <c r="S12" i="338" a="1"/>
  <c r="S12" i="338"/>
  <c r="X12" i="338" a="1"/>
  <c r="X12" i="338"/>
  <c r="T10" i="338" a="1"/>
  <c r="T10" i="338"/>
  <c r="S8" i="338" a="1"/>
  <c r="S8" i="338"/>
  <c r="T9" i="338" a="1"/>
  <c r="T9" i="338"/>
  <c r="S9" i="338" a="1"/>
  <c r="S9" i="338"/>
  <c r="P9" i="338" a="1"/>
  <c r="P9" i="338"/>
  <c r="S11" i="338" a="1"/>
  <c r="S11" i="338"/>
  <c r="X9" i="338" a="1"/>
  <c r="X9" i="338"/>
  <c r="P10" i="338" a="1"/>
  <c r="P10" i="338"/>
  <c r="T12" i="338" a="1"/>
  <c r="T12" i="338"/>
  <c r="AG31" i="1"/>
  <c r="AG42" i="1"/>
  <c r="AG22" i="1"/>
  <c r="AG23" i="1"/>
  <c r="AG43" i="1"/>
  <c r="AG35" i="1"/>
  <c r="AG38" i="1"/>
  <c r="AG34" i="1"/>
  <c r="AG18" i="1"/>
  <c r="AG12" i="1"/>
  <c r="E9" i="1"/>
  <c r="E2" i="1"/>
  <c r="AK9" i="338" a="1"/>
  <c r="AK9" i="338"/>
  <c r="AB18" i="1"/>
  <c r="F23" i="446" a="1"/>
  <c r="F23" i="446"/>
  <c r="AC18" i="1"/>
  <c r="AJ11" i="338" a="1"/>
  <c r="AJ11" i="338"/>
  <c r="AH11" i="338" a="1"/>
  <c r="AH11" i="338"/>
  <c r="AF9" i="338"/>
  <c r="AF24" i="1"/>
  <c r="AH9" i="338" a="1"/>
  <c r="AH9" i="338"/>
  <c r="G36" i="446" a="1"/>
  <c r="G36" i="446"/>
  <c r="AI9" i="338" a="1"/>
  <c r="AI9" i="338"/>
  <c r="N6" i="1"/>
  <c r="L8" i="338" a="1"/>
  <c r="L8" i="338"/>
  <c r="J8" i="338" a="1"/>
  <c r="J8" i="338"/>
  <c r="AF11" i="338"/>
  <c r="AF37" i="1"/>
  <c r="K35" i="1"/>
  <c r="AC35" i="1" a="1"/>
  <c r="AC35" i="1"/>
  <c r="D35" i="446" a="1"/>
  <c r="D35" i="446"/>
  <c r="AI8" i="338" a="1"/>
  <c r="AI8" i="338"/>
  <c r="G26" i="446" a="1"/>
  <c r="G26" i="446"/>
  <c r="AI25" i="1"/>
  <c r="AC25" i="1"/>
  <c r="K24" i="1"/>
  <c r="K37" i="1"/>
  <c r="AC24" i="1" a="1"/>
  <c r="AC24" i="1"/>
  <c r="D26" i="446" a="1"/>
  <c r="D26" i="446"/>
  <c r="AB24" i="1"/>
  <c r="F26" i="446" a="1"/>
  <c r="F26" i="446"/>
  <c r="G23" i="446" a="1"/>
  <c r="G23" i="446"/>
  <c r="AK8" i="338" a="1"/>
  <c r="AK8" i="338"/>
  <c r="AI18" i="1"/>
  <c r="N2" i="1"/>
  <c r="AF10" i="338"/>
  <c r="AF35" i="1"/>
  <c r="AJ10" i="338" a="1"/>
  <c r="AJ10" i="338"/>
  <c r="AG9" i="338"/>
  <c r="AF18" i="1"/>
  <c r="AC37" i="1" a="1"/>
  <c r="AC37" i="1"/>
  <c r="D36" i="446" a="1"/>
  <c r="D36" i="446"/>
  <c r="AG8" i="338"/>
  <c r="AF25" i="1"/>
  <c r="AI35" i="1"/>
  <c r="AJ9" i="338" a="1"/>
  <c r="AJ9" i="338"/>
  <c r="K25" i="1"/>
  <c r="AI37" i="1"/>
  <c r="G35" i="446" a="1"/>
  <c r="G35" i="446"/>
  <c r="AB37" i="1"/>
  <c r="F36" i="446" a="1"/>
  <c r="F36" i="446"/>
  <c r="E3" i="1"/>
  <c r="AH10" i="338" a="1"/>
  <c r="AH10" i="338"/>
  <c r="AB35" i="1"/>
  <c r="F35" i="446" a="1"/>
  <c r="F35" i="446"/>
  <c r="G9" i="446" a="1"/>
  <c r="G9" i="446"/>
  <c r="AI24" i="1"/>
  <c r="K18" i="1"/>
  <c r="AB25" i="1"/>
  <c r="F9" i="446" a="1"/>
  <c r="F9" i="446"/>
  <c r="J1" i="1"/>
  <c r="J4" i="1"/>
  <c r="J10" i="1"/>
  <c r="N9" i="1"/>
  <c r="N7" i="1"/>
  <c r="E8" i="1"/>
  <c r="J7" i="1"/>
  <c r="J3" i="1"/>
  <c r="E4" i="1"/>
  <c r="J2" i="1"/>
  <c r="AC32" i="1"/>
  <c r="AI29" i="1"/>
  <c r="K36" i="1"/>
  <c r="E5" i="1"/>
  <c r="AC27" i="1"/>
  <c r="AI27" i="1"/>
  <c r="K39" i="1"/>
  <c r="AB21" i="1"/>
  <c r="AC29" i="1"/>
  <c r="AF12" i="1"/>
  <c r="AC12" i="1"/>
  <c r="AF32" i="1"/>
  <c r="AC39" i="1"/>
  <c r="AI22" i="1"/>
  <c r="K21" i="1"/>
  <c r="AC21" i="1"/>
  <c r="AF30" i="1"/>
  <c r="AI12" i="1"/>
  <c r="AC22" i="1" a="1"/>
  <c r="AC22" i="1"/>
  <c r="AC30" i="1"/>
  <c r="AF33" i="1"/>
  <c r="AF21" i="1"/>
  <c r="AI30" i="1"/>
  <c r="AF36" i="1"/>
  <c r="K29" i="1"/>
  <c r="AB33" i="1"/>
  <c r="AI39" i="1"/>
  <c r="AB22" i="1"/>
  <c r="K33" i="1"/>
  <c r="AB32" i="1"/>
  <c r="AI36" i="1"/>
  <c r="AB36" i="1"/>
  <c r="K27" i="1"/>
  <c r="AB29" i="1"/>
  <c r="AF22" i="1"/>
  <c r="AB39" i="1"/>
  <c r="AC33" i="1"/>
  <c r="K30" i="1"/>
  <c r="AI32" i="1"/>
  <c r="AF39" i="1"/>
  <c r="K12" i="1"/>
  <c r="K22" i="1"/>
  <c r="AC36" i="1"/>
  <c r="AB30" i="1"/>
  <c r="AI33" i="1"/>
  <c r="AF29" i="1"/>
  <c r="AI21" i="1"/>
  <c r="AB12" i="1"/>
  <c r="K32" i="1"/>
  <c r="AB27" i="1"/>
  <c r="AF27" i="1"/>
  <c r="AG37" i="1"/>
  <c r="AG39" i="1"/>
  <c r="AG28" i="1"/>
  <c r="AG32" i="1"/>
  <c r="AG19" i="1"/>
  <c r="AG30" i="1"/>
  <c r="AG44" i="1"/>
  <c r="AG24" i="1"/>
  <c r="AG33" i="1"/>
  <c r="AG40" i="1"/>
  <c r="J6" i="1"/>
  <c r="J9" i="1"/>
  <c r="J5" i="1"/>
  <c r="AG14" i="1"/>
  <c r="AG26" i="1"/>
  <c r="AG29" i="1"/>
  <c r="AG21" i="1"/>
  <c r="AG41" i="1"/>
  <c r="AG25" i="1"/>
  <c r="AG27" i="1"/>
  <c r="AG20" i="1"/>
  <c r="AG13" i="1"/>
  <c r="AG36" i="1"/>
  <c r="F10" i="446" a="1"/>
  <c r="F10" i="446"/>
  <c r="G13" i="446" a="1"/>
  <c r="G13" i="446"/>
  <c r="F16" i="446" a="1"/>
  <c r="F16" i="446"/>
  <c r="F17" i="446" a="1"/>
  <c r="F17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17" i="446" a="1"/>
  <c r="G17" i="446"/>
  <c r="G20" i="446" a="1"/>
  <c r="G20" i="446"/>
  <c r="E6" i="1"/>
  <c r="G27" i="446" a="1"/>
  <c r="G27" i="446"/>
  <c r="AF44" i="1"/>
  <c r="G19" i="446" a="1"/>
  <c r="G19" i="446"/>
  <c r="AB20" i="1"/>
  <c r="F27" i="446" a="1"/>
  <c r="F27" i="446"/>
  <c r="AF41" i="1"/>
  <c r="AI26" i="1"/>
  <c r="AI42" i="1"/>
  <c r="AI20" i="1"/>
  <c r="AF42" i="1"/>
  <c r="AI44" i="1"/>
  <c r="E7" i="1"/>
  <c r="AC41" i="1"/>
  <c r="AB42" i="1"/>
  <c r="F15" i="446" a="1"/>
  <c r="F15" i="446"/>
  <c r="AC20" i="1" a="1"/>
  <c r="AC20" i="1"/>
  <c r="D27" i="446" a="1"/>
  <c r="D27" i="446"/>
  <c r="K44" i="1"/>
  <c r="AC42" i="1"/>
  <c r="AB41" i="1"/>
  <c r="F14" i="446" a="1"/>
  <c r="F14" i="446"/>
  <c r="AB44" i="1"/>
  <c r="F19" i="446" a="1"/>
  <c r="F19" i="446"/>
  <c r="AD24" i="2" a="1"/>
  <c r="AD24" i="2"/>
  <c r="G15" i="446" a="1"/>
  <c r="G15" i="446"/>
  <c r="T69" i="89" a="1"/>
  <c r="T69" i="89"/>
  <c r="K26" i="1"/>
  <c r="K42" i="1"/>
  <c r="V69" i="89" a="1"/>
  <c r="V69" i="89"/>
  <c r="AC44" i="1"/>
  <c r="C69" i="89" a="1"/>
  <c r="C69" i="89"/>
  <c r="AC26" i="1" a="1"/>
  <c r="AC26" i="1"/>
  <c r="D30" i="446" a="1"/>
  <c r="D30" i="446"/>
  <c r="AA24" i="2" a="1"/>
  <c r="AA24" i="2"/>
  <c r="G30" i="446" a="1"/>
  <c r="G30" i="446"/>
  <c r="D24" i="2" a="1"/>
  <c r="D24" i="2"/>
  <c r="N1" i="1"/>
  <c r="Z69" i="89" a="1"/>
  <c r="Z69" i="89"/>
  <c r="AA69" i="89" a="1"/>
  <c r="AA69" i="89"/>
  <c r="AF26" i="1"/>
  <c r="K20" i="1"/>
  <c r="AR24" i="2" a="1"/>
  <c r="AR24" i="2"/>
  <c r="AI41" i="1"/>
  <c r="E24" i="2" a="1"/>
  <c r="E24" i="2"/>
  <c r="K41" i="1"/>
  <c r="K24" i="2"/>
  <c r="AB26" i="1"/>
  <c r="F30" i="446" a="1"/>
  <c r="F30" i="446"/>
  <c r="F24" i="2" a="1"/>
  <c r="F24" i="2"/>
  <c r="G14" i="446" a="1"/>
  <c r="G14" i="446"/>
  <c r="E69" i="89" a="1"/>
  <c r="E69" i="89"/>
  <c r="AF20" i="1"/>
  <c r="D69" i="89" a="1"/>
  <c r="D69" i="89"/>
  <c r="AR21" i="2" a="1"/>
  <c r="AR21" i="2"/>
  <c r="T6" i="2" a="1"/>
  <c r="T6" i="2"/>
  <c r="O20" i="89" a="1"/>
  <c r="O20" i="89"/>
  <c r="C23" i="2" a="1"/>
  <c r="C23" i="2"/>
  <c r="E11" i="2" a="1"/>
  <c r="E11" i="2"/>
  <c r="AA111" i="89" a="1"/>
  <c r="AA111" i="89"/>
  <c r="AA19" i="2" a="1"/>
  <c r="AA19" i="2"/>
  <c r="T113" i="89" a="1"/>
  <c r="T113" i="89"/>
  <c r="AR18" i="2" a="1"/>
  <c r="AR18" i="2"/>
  <c r="C6" i="2" a="1"/>
  <c r="C6" i="2"/>
  <c r="AA37" i="89" a="1"/>
  <c r="AA37" i="89"/>
  <c r="C17" i="2" a="1"/>
  <c r="C17" i="2"/>
  <c r="AA11" i="2" a="1"/>
  <c r="AA11" i="2"/>
  <c r="T13" i="89" a="1"/>
  <c r="T13" i="89"/>
  <c r="C18" i="2" a="1"/>
  <c r="C18" i="2"/>
  <c r="AA13" i="89" a="1"/>
  <c r="AA13" i="89"/>
  <c r="AA112" i="89" a="1"/>
  <c r="AA112" i="89"/>
  <c r="F6" i="2" a="1"/>
  <c r="F6" i="2"/>
  <c r="F22" i="2" a="1"/>
  <c r="F22" i="2"/>
  <c r="F19" i="2" a="1"/>
  <c r="F19" i="2"/>
  <c r="AA17" i="2" a="1"/>
  <c r="AA17" i="2"/>
  <c r="T111" i="89" a="1"/>
  <c r="T111" i="89"/>
  <c r="D18" i="2" a="1"/>
  <c r="D18" i="2"/>
  <c r="C112" i="89" a="1"/>
  <c r="C112" i="89"/>
  <c r="AR6" i="2" a="1"/>
  <c r="AR6" i="2"/>
  <c r="AA113" i="89" a="1"/>
  <c r="AA113" i="89"/>
  <c r="AA23" i="2" a="1"/>
  <c r="AA23" i="2"/>
  <c r="T37" i="89" a="1"/>
  <c r="T37" i="89"/>
  <c r="Z20" i="89" a="1"/>
  <c r="Z20" i="89"/>
  <c r="AA20" i="89" a="1"/>
  <c r="AA20" i="89"/>
  <c r="E22" i="2" a="1"/>
  <c r="E22" i="2"/>
  <c r="D22" i="2" a="1"/>
  <c r="D22" i="2"/>
  <c r="C36" i="89" a="1"/>
  <c r="C36" i="89"/>
  <c r="D21" i="2" a="1"/>
  <c r="D21" i="2"/>
  <c r="C8" i="89" a="1"/>
  <c r="C8" i="89"/>
  <c r="C19" i="2" a="1"/>
  <c r="C19" i="2"/>
  <c r="C21" i="2" a="1"/>
  <c r="C21" i="2"/>
  <c r="C22" i="2" a="1"/>
  <c r="C22" i="2"/>
  <c r="T23" i="2" a="1"/>
  <c r="T23" i="2"/>
  <c r="O37" i="89" a="1"/>
  <c r="O37" i="89"/>
  <c r="Z37" i="89" a="1"/>
  <c r="E17" i="2" a="1"/>
  <c r="Z37" i="89" l="1"/>
  <c r="E17" i="2"/>
  <c r="AA21" i="2" a="1"/>
  <c r="AA21" i="2"/>
  <c r="T8" i="89" a="1"/>
  <c r="T8" i="89"/>
  <c r="F21" i="2" a="1"/>
  <c r="F21" i="2"/>
  <c r="AD17" i="2" a="1"/>
  <c r="AD17" i="2"/>
  <c r="V111" i="89" a="1"/>
  <c r="V111" i="89"/>
  <c r="AD21" i="2" a="1"/>
  <c r="AD21" i="2"/>
  <c r="V8" i="89" a="1"/>
  <c r="V8" i="89"/>
  <c r="AR19" i="2" a="1"/>
  <c r="AR19" i="2"/>
  <c r="AA8" i="89" a="1"/>
  <c r="AA8" i="89"/>
  <c r="F20" i="2" a="1"/>
  <c r="F20" i="2"/>
  <c r="AD23" i="2" a="1"/>
  <c r="AD23" i="2"/>
  <c r="V37" i="89" a="1"/>
  <c r="V37" i="89"/>
  <c r="AD11" i="2" a="1"/>
  <c r="AD11" i="2"/>
  <c r="V13" i="89" a="1"/>
  <c r="V13" i="89"/>
  <c r="AA18" i="2" a="1"/>
  <c r="AA18" i="2"/>
  <c r="T112" i="89" a="1"/>
  <c r="T112" i="89"/>
  <c r="AD19" i="2" a="1"/>
  <c r="AD19" i="2"/>
  <c r="V113" i="89" a="1"/>
  <c r="V113" i="89"/>
  <c r="AD20" i="2" a="1"/>
  <c r="AD20" i="2"/>
  <c r="V7" i="89" a="1"/>
  <c r="V7" i="89"/>
  <c r="D17" i="2" a="1"/>
  <c r="D17" i="2"/>
  <c r="C111" i="89" a="1"/>
  <c r="C111" i="89"/>
  <c r="AA36" i="89" a="1"/>
  <c r="AA36" i="89"/>
  <c r="AD6" i="2" a="1"/>
  <c r="AD6" i="2"/>
  <c r="V20" i="89" a="1"/>
  <c r="V20" i="89"/>
  <c r="E21" i="2" a="1"/>
  <c r="E21" i="2"/>
  <c r="E18" i="2" a="1"/>
  <c r="E18" i="2"/>
  <c r="C11" i="2" a="1"/>
  <c r="C11" i="2"/>
  <c r="T11" i="2" a="1"/>
  <c r="T11" i="2"/>
  <c r="O13" i="89" a="1"/>
  <c r="O13" i="89"/>
  <c r="Z13" i="89" a="1"/>
  <c r="T20" i="2" a="1"/>
  <c r="Z13" i="89" l="1"/>
  <c r="T20" i="2"/>
  <c r="O7" i="89" a="1"/>
  <c r="O7" i="89"/>
  <c r="F17" i="2" a="1"/>
  <c r="F17" i="2"/>
  <c r="AR20" i="2" a="1"/>
  <c r="AR20" i="2"/>
  <c r="D20" i="2" a="1"/>
  <c r="D20" i="2"/>
  <c r="C7" i="89" a="1"/>
  <c r="C7" i="89"/>
  <c r="AA20" i="2" a="1"/>
  <c r="AA20" i="2"/>
  <c r="T7" i="89" a="1"/>
  <c r="T7" i="89"/>
  <c r="AA22" i="2" a="1"/>
  <c r="AA22" i="2"/>
  <c r="T36" i="89" a="1"/>
  <c r="T36" i="89"/>
  <c r="E103" i="89" a="1"/>
  <c r="E103" i="89"/>
  <c r="E6" i="2" a="1"/>
  <c r="E6" i="2"/>
  <c r="E23" i="2" a="1"/>
  <c r="E23" i="2"/>
  <c r="T19" i="2" a="1"/>
  <c r="T19" i="2"/>
  <c r="O113" i="89" a="1"/>
  <c r="O113" i="89"/>
  <c r="Z113" i="89" a="1"/>
  <c r="E86" i="89" a="1"/>
  <c r="Z113" i="89" l="1"/>
  <c r="E86" i="89"/>
  <c r="E102" i="89" a="1"/>
  <c r="E102" i="89"/>
  <c r="E96" i="89" a="1"/>
  <c r="E96" i="89"/>
  <c r="D11" i="2" a="1"/>
  <c r="D11" i="2"/>
  <c r="C13" i="89" a="1"/>
  <c r="C13" i="89"/>
  <c r="AR11" i="2" a="1"/>
  <c r="AR11" i="2"/>
  <c r="E85" i="89" a="1"/>
  <c r="E85" i="89"/>
  <c r="T22" i="2" a="1"/>
  <c r="T22" i="2"/>
  <c r="O36" i="89" a="1"/>
  <c r="O36" i="89"/>
  <c r="Z36" i="89" a="1"/>
  <c r="E104" i="89" a="1"/>
  <c r="Z36" i="89" l="1"/>
  <c r="E104" i="89"/>
  <c r="AR17" i="2" a="1"/>
  <c r="AR17" i="2"/>
  <c r="E19" i="2" a="1"/>
  <c r="E19" i="2"/>
  <c r="T21" i="2" a="1"/>
  <c r="T21" i="2"/>
  <c r="O8" i="89" a="1"/>
  <c r="O8" i="89"/>
  <c r="Z8" i="89" a="1"/>
  <c r="AR22" i="2" a="1"/>
  <c r="Z8" i="89" l="1"/>
  <c r="AR22" i="2"/>
  <c r="T18" i="2" a="1"/>
  <c r="T18" i="2"/>
  <c r="O112" i="89" a="1"/>
  <c r="O112" i="89"/>
  <c r="Z112" i="89" a="1"/>
  <c r="E20" i="2" a="1"/>
  <c r="Z112" i="89" l="1"/>
  <c r="E20" i="2"/>
  <c r="AR23" i="2" a="1"/>
  <c r="AR23" i="2"/>
  <c r="D23" i="2" a="1"/>
  <c r="D23" i="2"/>
  <c r="C37" i="89" a="1"/>
  <c r="C37" i="89"/>
  <c r="Z7" i="89"/>
  <c r="AA7" i="89"/>
  <c r="AA6" i="2" a="1"/>
  <c r="AA6" i="2"/>
  <c r="T20" i="89" a="1"/>
  <c r="T20" i="89"/>
  <c r="F18" i="2" a="1"/>
  <c r="F18" i="2"/>
  <c r="F11" i="2" a="1"/>
  <c r="F11" i="2"/>
  <c r="T17" i="2" a="1"/>
  <c r="T17" i="2"/>
  <c r="O111" i="89" a="1"/>
  <c r="O111" i="89"/>
  <c r="Z111" i="89" a="1"/>
  <c r="C20" i="2" a="1"/>
  <c r="Z111" i="89" l="1"/>
  <c r="C20" i="2"/>
  <c r="AD18" i="2" a="1"/>
  <c r="AD18" i="2"/>
  <c r="V112" i="89" a="1"/>
  <c r="V112" i="89"/>
  <c r="AD22" i="2" a="1"/>
  <c r="AD22" i="2"/>
  <c r="V36" i="89" a="1"/>
  <c r="V36" i="89"/>
  <c r="F23" i="2" a="1"/>
  <c r="F23" i="2"/>
  <c r="D6" i="2" a="1"/>
  <c r="D6" i="2"/>
  <c r="C20" i="89" a="1"/>
  <c r="C20" i="89"/>
  <c r="D19" i="2" a="1"/>
  <c r="D19" i="2"/>
  <c r="C113" i="89" a="1"/>
  <c r="C113" i="89"/>
  <c r="T44" i="89" a="1"/>
  <c r="T44" i="89"/>
  <c r="C96" i="89" a="1"/>
  <c r="C96" i="89"/>
  <c r="V19" i="89"/>
  <c r="O43" i="89" a="1"/>
  <c r="O43" i="89"/>
  <c r="V96" i="89" a="1"/>
  <c r="V96" i="89"/>
  <c r="AA103" i="89" a="1"/>
  <c r="AA103" i="89"/>
  <c r="C43" i="89" a="1"/>
  <c r="C43" i="89"/>
  <c r="T96" i="89" a="1"/>
  <c r="T96" i="89"/>
  <c r="T86" i="89" a="1"/>
  <c r="T86" i="89"/>
  <c r="AA44" i="89" a="1"/>
  <c r="AA44" i="89"/>
  <c r="V103" i="89" a="1"/>
  <c r="V103" i="89"/>
  <c r="T43" i="89" a="1"/>
  <c r="T43" i="89"/>
  <c r="T85" i="89" a="1"/>
  <c r="T85" i="89"/>
  <c r="C85" i="89" a="1"/>
  <c r="C85" i="89"/>
  <c r="V104" i="89" a="1"/>
  <c r="V104" i="89"/>
  <c r="T19" i="89"/>
  <c r="V44" i="89" a="1"/>
  <c r="V44" i="89"/>
  <c r="O96" i="89" a="1"/>
  <c r="O96" i="89"/>
  <c r="AA31" i="89" a="1"/>
  <c r="AA31" i="89"/>
  <c r="O85" i="89" a="1"/>
  <c r="O85" i="89"/>
  <c r="O104" i="89" a="1"/>
  <c r="O104" i="89"/>
  <c r="C86" i="89" a="1"/>
  <c r="C86" i="89"/>
  <c r="T104" i="89" a="1"/>
  <c r="T104" i="89"/>
  <c r="C31" i="89" a="1"/>
  <c r="C31" i="89"/>
  <c r="C102" i="89" a="1"/>
  <c r="C102" i="89"/>
  <c r="C44" i="89" a="1"/>
  <c r="C44" i="89"/>
  <c r="AA19" i="89" a="1"/>
  <c r="AA19" i="89"/>
  <c r="C104" i="89" a="1"/>
  <c r="C104" i="89"/>
  <c r="Z96" i="89" a="1"/>
  <c r="Z96" i="89"/>
  <c r="AA96" i="89" a="1"/>
  <c r="AA96" i="89"/>
  <c r="C19" i="89"/>
  <c r="T103" i="89" a="1"/>
  <c r="T103" i="89"/>
  <c r="O102" i="89" a="1"/>
  <c r="O102" i="89"/>
  <c r="V31" i="89" a="1"/>
  <c r="V31" i="89"/>
  <c r="V102" i="89" a="1"/>
  <c r="V102" i="89"/>
  <c r="T102" i="89" a="1"/>
  <c r="T102" i="89"/>
  <c r="V85" i="89" a="1"/>
  <c r="V85" i="89"/>
  <c r="O19" i="89"/>
  <c r="Z19" i="89" s="1" a="1"/>
  <c r="Z43" i="89" a="1"/>
  <c r="Z19" i="89" l="1"/>
  <c r="Z43" i="89"/>
  <c r="AA43" i="89" a="1"/>
  <c r="AA43" i="89"/>
  <c r="AA86" i="89" a="1"/>
  <c r="AA86" i="89"/>
  <c r="Z85" i="89" a="1"/>
  <c r="Z85" i="89"/>
  <c r="AA85" i="89" a="1"/>
  <c r="AA85" i="89"/>
  <c r="O103" i="89" a="1"/>
  <c r="O103" i="89"/>
  <c r="Z103" i="89" a="1"/>
  <c r="V86" i="89" a="1"/>
  <c r="Z103" i="89" l="1"/>
  <c r="V86" i="89"/>
  <c r="Z102" i="89" a="1"/>
  <c r="Z102" i="89"/>
  <c r="AA102" i="89" a="1"/>
  <c r="AA102" i="89"/>
  <c r="O86" i="89" a="1"/>
  <c r="O86" i="89"/>
  <c r="Z86" i="89" a="1"/>
  <c r="O44" i="89" a="1"/>
  <c r="Z86" i="89" l="1"/>
  <c r="O44" i="89"/>
  <c r="Z44" i="89" a="1"/>
  <c r="V43" i="89" a="1"/>
  <c r="Z44" i="89" l="1"/>
  <c r="V43" i="89"/>
  <c r="T31" i="89" a="1"/>
  <c r="T31" i="89"/>
  <c r="C103" i="89" a="1"/>
  <c r="C103" i="89"/>
  <c r="O31" i="89" a="1"/>
  <c r="O31" i="89"/>
  <c r="Z31" i="89" a="1"/>
  <c r="Z104" i="89" a="1"/>
  <c r="Z31" i="89" l="1"/>
  <c r="Z104" i="89"/>
  <c r="AA104" i="89" a="1"/>
  <c r="AA104" i="89"/>
  <c r="D31" i="89" a="1"/>
  <c r="D31" i="89"/>
  <c r="D7" i="89"/>
  <c r="D44" i="89" a="1"/>
  <c r="D44" i="89"/>
  <c r="D43" i="89" a="1"/>
  <c r="D43" i="89"/>
  <c r="E13" i="89" a="1"/>
  <c r="E13" i="89"/>
  <c r="D37" i="89" a="1"/>
  <c r="D37" i="89"/>
  <c r="E87" i="89" a="1"/>
  <c r="E87" i="89"/>
  <c r="E14" i="89" a="1"/>
  <c r="E14" i="89"/>
  <c r="D19" i="89"/>
  <c r="D14" i="89" a="1"/>
  <c r="D14" i="89"/>
  <c r="D13" i="89" a="1"/>
  <c r="D13" i="89"/>
  <c r="E37" i="89" a="1"/>
  <c r="E37" i="89"/>
  <c r="E31" i="89" a="1"/>
  <c r="E31" i="89"/>
  <c r="D113" i="89" a="1"/>
  <c r="D113" i="89"/>
  <c r="E43" i="89" a="1"/>
  <c r="E43" i="89"/>
  <c r="E7" i="89"/>
  <c r="E19" i="89"/>
  <c r="E44" i="89" a="1"/>
  <c r="E44" i="89"/>
  <c r="E113" i="89" a="1"/>
  <c r="E113" i="89"/>
  <c r="D8" i="89" a="1"/>
  <c r="D8" i="89"/>
  <c r="E8" i="89" a="1"/>
  <c r="E8" i="89"/>
  <c r="G32" i="446" a="1"/>
  <c r="G32" i="446"/>
  <c r="G29" i="446" a="1"/>
  <c r="G29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32" i="446" a="1"/>
  <c r="D32" i="446"/>
  <c r="D29" i="446" a="1"/>
  <c r="D29" i="446"/>
  <c r="D33" i="446" a="1"/>
  <c r="D33" i="446"/>
  <c r="D112" i="89" a="1"/>
  <c r="D112" i="89"/>
  <c r="D20" i="89" a="1"/>
  <c r="D20" i="89"/>
  <c r="D30" i="89" a="1"/>
  <c r="D30" i="89"/>
  <c r="E111" i="89" a="1"/>
  <c r="E111" i="89"/>
  <c r="D111" i="89" a="1"/>
  <c r="D111" i="89"/>
  <c r="E112" i="89" a="1"/>
  <c r="E112" i="89"/>
  <c r="E20" i="89" a="1"/>
  <c r="E20" i="89"/>
  <c r="E30" i="89" a="1"/>
  <c r="E30" i="89"/>
  <c r="E36" i="89" a="1"/>
  <c r="E36" i="89"/>
  <c r="D36" i="89" a="1"/>
  <c r="D36" i="89"/>
  <c r="AB43" i="1"/>
  <c r="AI28" i="1"/>
  <c r="AF31" i="1"/>
  <c r="AF40" i="1"/>
  <c r="AB19" i="1"/>
  <c r="AI31" i="1"/>
  <c r="K31" i="1"/>
  <c r="K19" i="1"/>
  <c r="AF43" i="1"/>
  <c r="AI14" i="1"/>
  <c r="AB31" i="1"/>
  <c r="AB13" i="1"/>
  <c r="K38" i="1"/>
  <c r="K13" i="1"/>
  <c r="AF28" i="1"/>
  <c r="AF14" i="1"/>
  <c r="AC40" i="1"/>
  <c r="AI40" i="1"/>
  <c r="K40" i="1"/>
  <c r="AC19" i="1"/>
  <c r="AB40" i="1"/>
  <c r="K28" i="1"/>
  <c r="AI19" i="1"/>
  <c r="AC31" i="1"/>
  <c r="AF38" i="1"/>
  <c r="AI43" i="1"/>
  <c r="AI13" i="1"/>
  <c r="AC38" i="1"/>
  <c r="AI38" i="1"/>
  <c r="AC43" i="1"/>
  <c r="AF13" i="1"/>
  <c r="AC14" i="1"/>
  <c r="AB38" i="1"/>
  <c r="AB28" i="1"/>
  <c r="AC13" i="1"/>
  <c r="K14" i="1"/>
  <c r="K43" i="1"/>
  <c r="AF19" i="1"/>
  <c r="AB14" i="1"/>
  <c r="AC28" i="1"/>
  <c r="Z5" i="2"/>
  <c r="F39" i="446" a="1"/>
  <c r="F39" i="446"/>
  <c r="D39" i="446" a="1"/>
  <c r="D39" i="446"/>
  <c r="G34" i="446" a="1"/>
  <c r="G34" i="446"/>
  <c r="F34" i="446" a="1"/>
  <c r="F34" i="446"/>
  <c r="Z26" i="2"/>
  <c r="F42" i="446" a="1"/>
  <c r="F42" i="446"/>
  <c r="F41" i="446" a="1"/>
  <c r="F41" i="446"/>
  <c r="G41" i="446" a="1"/>
  <c r="G41" i="446"/>
  <c r="D40" i="446" a="1"/>
  <c r="D40" i="446"/>
  <c r="G44" i="446" a="1"/>
  <c r="G44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42" i="446" a="1"/>
  <c r="G42" i="446"/>
  <c r="G38" i="446" a="1"/>
  <c r="G38" i="446"/>
  <c r="F40" i="446" a="1"/>
  <c r="F40" i="446"/>
  <c r="D34" i="446" a="1"/>
  <c r="D34" i="446"/>
  <c r="D38" i="446" a="1"/>
  <c r="D38" i="446"/>
  <c r="F45" i="446" a="1"/>
  <c r="F45" i="446"/>
  <c r="G31" i="446" a="1"/>
  <c r="G31" i="446"/>
  <c r="G43" i="446" a="1"/>
  <c r="G43" i="446"/>
  <c r="D45" i="446" a="1"/>
  <c r="D45" i="446"/>
  <c r="G40" i="446" a="1"/>
  <c r="G40" i="446"/>
  <c r="F44" i="446" a="1"/>
  <c r="F44" i="446"/>
  <c r="S30" i="89" a="1"/>
  <c r="S30" i="89"/>
  <c r="D41" i="446" a="1"/>
  <c r="D41" i="446"/>
  <c r="S87" i="89" a="1"/>
  <c r="S87" i="89"/>
  <c r="D31" i="446" a="1"/>
  <c r="D31" i="446"/>
  <c r="Z8" i="2"/>
  <c r="Z14" i="2"/>
  <c r="D44" i="446" a="1"/>
  <c r="D44" i="446"/>
  <c r="G45" i="446" a="1"/>
  <c r="G45" i="446"/>
  <c r="F43" i="446" a="1"/>
  <c r="F43" i="446"/>
  <c r="G22" i="446" a="1"/>
  <c r="G22" i="446"/>
  <c r="F24" i="446" a="1"/>
  <c r="F24" i="446"/>
  <c r="F21" i="446" a="1"/>
  <c r="F21" i="446"/>
  <c r="F22" i="446" a="1"/>
  <c r="F22" i="446"/>
  <c r="G6" i="446" a="1"/>
  <c r="G6" i="446"/>
  <c r="G5" i="446" a="1"/>
  <c r="G5" i="446"/>
  <c r="N8" i="1"/>
  <c r="N5" i="1"/>
  <c r="F6" i="446" a="1"/>
  <c r="F6" i="446"/>
  <c r="F5" i="446" a="1"/>
  <c r="F5" i="446"/>
  <c r="N10" i="1"/>
  <c r="G21" i="446" a="1"/>
  <c r="G21" i="446"/>
  <c r="G24" i="446" a="1"/>
  <c r="G24" i="446"/>
  <c r="N4" i="1"/>
  <c r="X3" i="1"/>
  <c r="F14" i="2" a="1"/>
  <c r="F14" i="2"/>
  <c r="AR14" i="2" a="1"/>
  <c r="AR14" i="2"/>
  <c r="T8" i="2" a="1"/>
  <c r="T8" i="2"/>
  <c r="C14" i="2" a="1"/>
  <c r="C14" i="2"/>
  <c r="F8" i="2" a="1"/>
  <c r="F8" i="2"/>
  <c r="AR8" i="2" a="1"/>
  <c r="AR8" i="2"/>
  <c r="AD14" i="2" a="1"/>
  <c r="AD14" i="2"/>
  <c r="D8" i="2" a="1"/>
  <c r="D8" i="2"/>
  <c r="F5" i="2" a="1"/>
  <c r="F5" i="2"/>
  <c r="E8" i="2" a="1"/>
  <c r="E8" i="2"/>
  <c r="E5" i="2" a="1"/>
  <c r="E5" i="2"/>
  <c r="T5" i="2" a="1"/>
  <c r="T5" i="2"/>
  <c r="T14" i="2" a="1"/>
  <c r="T14" i="2"/>
  <c r="C8" i="2" a="1"/>
  <c r="C8" i="2"/>
  <c r="AD5" i="2" a="1"/>
  <c r="AD5" i="2"/>
  <c r="D14" i="2" a="1"/>
  <c r="D14" i="2"/>
  <c r="AA5" i="2" a="1"/>
  <c r="AA5" i="2"/>
  <c r="AR5" i="2" a="1"/>
  <c r="AR5" i="2"/>
  <c r="E14" i="2" a="1"/>
  <c r="E14" i="2"/>
  <c r="AA14" i="2" a="1"/>
  <c r="AA14" i="2"/>
  <c r="D5" i="2" a="1"/>
  <c r="D5" i="2"/>
  <c r="AA8" i="2" a="1"/>
  <c r="AA8" i="2"/>
  <c r="AD8" i="2" a="1"/>
  <c r="AD8" i="2"/>
  <c r="C5" i="2" a="1"/>
  <c r="C5" i="2"/>
  <c r="AH8" i="338" a="1"/>
  <c r="AH8" i="338"/>
  <c r="AJ8" i="338" a="1"/>
  <c r="AJ8" i="338"/>
  <c r="AF8" i="338"/>
  <c r="AD25" i="2" a="1"/>
  <c r="AD25" i="2"/>
  <c r="AR25" i="2" a="1"/>
  <c r="AR25" i="2"/>
  <c r="AD26" i="2" a="1"/>
  <c r="AD26" i="2"/>
  <c r="AA25" i="2" a="1"/>
  <c r="AA25" i="2"/>
  <c r="AR26" i="2" a="1"/>
  <c r="AR26" i="2"/>
  <c r="F26" i="2" a="1"/>
  <c r="F26" i="2"/>
  <c r="E25" i="2" a="1"/>
  <c r="E25" i="2"/>
  <c r="E26" i="2" a="1"/>
  <c r="E26" i="2"/>
  <c r="AA26" i="2" a="1"/>
  <c r="AA26" i="2"/>
  <c r="F25" i="2" a="1"/>
  <c r="F25" i="2"/>
  <c r="D26" i="2" a="1"/>
  <c r="D26" i="2"/>
  <c r="D25" i="2" a="1"/>
  <c r="D25" i="2"/>
  <c r="V30" i="89" a="1"/>
  <c r="V30" i="89"/>
  <c r="V87" i="89" a="1"/>
  <c r="V87" i="89"/>
  <c r="V14" i="89" a="1"/>
  <c r="V14" i="89"/>
  <c r="T87" i="89" a="1"/>
  <c r="T87" i="89"/>
  <c r="T14" i="89" a="1"/>
  <c r="T14" i="89"/>
  <c r="O30" i="89" a="1"/>
  <c r="O30" i="89"/>
  <c r="O87" i="89" a="1"/>
  <c r="O87" i="89"/>
  <c r="O14" i="89" a="1"/>
  <c r="O14" i="89" l="1"/>
  <c r="T30" i="89" a="1"/>
  <c r="T30" i="89" l="1"/>
  <c r="C87" i="89" a="1"/>
  <c r="C87" i="89"/>
  <c r="C14" i="89" a="1"/>
  <c r="C14" i="89"/>
  <c r="C30" i="89" a="1"/>
  <c r="C30" i="89"/>
  <c r="AG15" i="1"/>
  <c r="K16" i="1"/>
  <c r="AC15" i="1"/>
  <c r="AF15" i="1"/>
  <c r="AB16" i="1"/>
  <c r="AF17" i="1"/>
  <c r="AB17" i="1"/>
  <c r="K17" i="1"/>
  <c r="AB15" i="1"/>
  <c r="AG16" i="1"/>
  <c r="AG17" i="1"/>
  <c r="AF16" i="1"/>
  <c r="AI15" i="1"/>
  <c r="AI16" i="1"/>
  <c r="AC17" i="1"/>
  <c r="AI17" i="1"/>
  <c r="AC16" i="1"/>
  <c r="K15" i="1"/>
  <c r="N76" i="89" a="1"/>
  <c r="N76" i="89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30" i="1"/>
  <c r="L29" i="1"/>
  <c r="L28" i="1"/>
  <c r="L27" i="1"/>
  <c r="F18" i="446" a="1"/>
  <c r="F18" i="446"/>
  <c r="N3" i="1"/>
  <c r="AK12" i="338" a="1"/>
  <c r="AK12" i="338"/>
  <c r="AK11" i="338" a="1"/>
  <c r="AK11" i="338"/>
  <c r="AK10" i="338" a="1"/>
  <c r="AK10" i="338"/>
  <c r="AI12" i="338" a="1"/>
  <c r="AI12" i="338"/>
  <c r="AI11" i="338" a="1"/>
  <c r="AI11" i="338"/>
  <c r="AI10" i="338" a="1"/>
  <c r="AI10" i="338"/>
  <c r="AG12" i="338"/>
  <c r="AG11" i="338"/>
  <c r="AG10" i="338"/>
  <c r="G18" i="446" a="1"/>
  <c r="G18" i="446"/>
  <c r="AB23" i="1"/>
  <c r="AF23" i="1"/>
  <c r="AI23" i="1"/>
  <c r="AC23" i="1" a="1"/>
  <c r="AC23" i="1"/>
  <c r="AJ12" i="338" a="1"/>
  <c r="AJ12" i="338"/>
  <c r="E1" i="1"/>
  <c r="K34" i="1"/>
  <c r="AI34" i="1"/>
  <c r="AC34" i="1"/>
  <c r="AH12" i="338" a="1"/>
  <c r="AH12" i="338"/>
  <c r="AB34" i="1"/>
  <c r="AF12" i="338"/>
  <c r="AF34" i="1"/>
  <c r="G37" i="446" a="1"/>
  <c r="G37" i="446"/>
  <c r="F37" i="446" a="1"/>
  <c r="F37" i="446"/>
  <c r="D37" i="446" a="1"/>
  <c r="D37" i="446"/>
  <c r="J8" i="1"/>
  <c r="E10" i="1"/>
  <c r="AF10" i="1"/>
  <c r="AA95" i="89" a="1"/>
  <c r="AA95" i="89"/>
  <c r="AA94" i="89" a="1"/>
  <c r="AA94" i="89"/>
  <c r="T95" i="89" a="1"/>
  <c r="T95" i="89"/>
  <c r="T94" i="89" a="1"/>
  <c r="T94" i="89"/>
  <c r="E95" i="89" a="1"/>
  <c r="E95" i="89"/>
  <c r="E94" i="89" a="1"/>
  <c r="E94" i="89"/>
  <c r="AB2" i="1" a="1"/>
  <c r="AB2" i="1"/>
  <c r="J1" i="24" a="1"/>
  <c r="J1" i="24"/>
  <c r="K2" i="2" a="1"/>
  <c r="K2" i="2"/>
  <c r="C95" i="89" a="1"/>
  <c r="C95" i="89"/>
  <c r="C94" i="89" a="1"/>
  <c r="C94" i="89"/>
  <c r="O95" i="89" a="1"/>
  <c r="O95" i="89"/>
  <c r="Z95" i="89" a="1"/>
  <c r="O94" i="89" a="1"/>
  <c r="Z95" i="89" l="1"/>
  <c r="O94" i="89"/>
  <c r="Z94" i="89" a="1"/>
  <c r="AD2" i="1" a="1"/>
  <c r="Z94" i="89" l="1"/>
  <c r="AD2" i="1"/>
  <c r="AC2" i="1" a="1"/>
  <c r="AC2" i="1"/>
  <c r="V95" i="89" a="1"/>
  <c r="V95" i="89"/>
  <c r="V94" i="89" a="1"/>
  <c r="V94" i="89"/>
  <c r="BA21" i="2" l="1"/>
  <c r="BA20" i="2"/>
  <c r="I17" i="1" a="1"/>
  <c r="I40" i="1" a="1"/>
  <c r="AC3" i="1" a="1"/>
  <c r="L9" i="2" a="1"/>
  <c r="I29" i="1" a="1"/>
  <c r="P7" i="2" a="1"/>
  <c r="G12" i="2" a="1"/>
  <c r="G26" i="2" a="1"/>
  <c r="P27" i="2" a="1"/>
  <c r="AF9" i="2" a="1"/>
  <c r="Q25" i="2" a="1"/>
  <c r="AN10" i="2" a="1"/>
  <c r="Q28" i="2" a="1"/>
  <c r="Q8" i="2" a="1"/>
  <c r="AN15" i="2" a="1"/>
  <c r="L19" i="2" a="1"/>
  <c r="P14" i="2" a="1"/>
  <c r="L16" i="2" a="1"/>
  <c r="H9" i="1" a="1"/>
  <c r="H7" i="1" a="1"/>
  <c r="L4" i="1" a="1"/>
  <c r="I18" i="1" a="1"/>
  <c r="L6" i="1" a="1"/>
  <c r="L10" i="1" a="1"/>
  <c r="I38" i="1" a="1"/>
  <c r="P4" i="2" a="1"/>
  <c r="I23" i="1" a="1"/>
  <c r="P8" i="2" a="1"/>
  <c r="L18" i="2" a="1"/>
  <c r="P25" i="2" a="1"/>
  <c r="AN27" i="2" a="1"/>
  <c r="AF8" i="2" a="1"/>
  <c r="Q27" i="2" a="1"/>
  <c r="Q5" i="2" a="1"/>
  <c r="I39" i="1" a="1"/>
  <c r="AN24" i="2" a="1"/>
  <c r="P20" i="2" a="1"/>
  <c r="AN28" i="2" a="1"/>
  <c r="G15" i="2" a="1"/>
  <c r="I30" i="1" a="1"/>
  <c r="AN11" i="2" a="1"/>
  <c r="AF24" i="2" a="1"/>
  <c r="AF20" i="2" a="1"/>
  <c r="AN25" i="2" a="1"/>
  <c r="AN9" i="2" a="1"/>
  <c r="C2" i="1" a="1"/>
  <c r="AN26" i="2" a="1"/>
  <c r="AF16" i="2" a="1"/>
  <c r="I25" i="1" a="1"/>
  <c r="Q13" i="2" a="1"/>
  <c r="AF21" i="2" a="1"/>
  <c r="AF27" i="2" a="1"/>
  <c r="C10" i="1" a="1"/>
  <c r="L10" i="2" a="1"/>
  <c r="L22" i="2" a="1"/>
  <c r="AG1" i="1"/>
  <c r="AN13" i="2" a="1"/>
  <c r="AF15" i="2" a="1"/>
  <c r="I21" i="1" a="1"/>
  <c r="H8" i="1" a="1"/>
  <c r="AN7" i="2" a="1"/>
  <c r="AN8" i="2" a="1"/>
  <c r="I15" i="1" a="1"/>
  <c r="I13" i="1" a="1"/>
  <c r="I43" i="1" a="1"/>
  <c r="I42" i="1" a="1"/>
  <c r="AN16" i="2" a="1"/>
  <c r="G25" i="2" a="1"/>
  <c r="AN18" i="2" a="1"/>
  <c r="G10" i="2" a="1"/>
  <c r="AF4" i="2" a="1"/>
  <c r="G13" i="2" a="1"/>
  <c r="Q20" i="2" a="1"/>
  <c r="L8" i="2" a="1"/>
  <c r="G5" i="2" a="1"/>
  <c r="AN6" i="2" a="1"/>
  <c r="I14" i="1" a="1"/>
  <c r="G24" i="2" a="1"/>
  <c r="I16" i="1" a="1"/>
  <c r="Q7" i="2" a="1"/>
  <c r="AF26" i="2" a="1"/>
  <c r="P16" i="2" a="1"/>
  <c r="AN14" i="2" a="1"/>
  <c r="AN4" i="2" a="1"/>
  <c r="L21" i="2" a="1"/>
  <c r="L6" i="2" a="1"/>
  <c r="P24" i="2" a="1"/>
  <c r="Q26" i="2" a="1"/>
  <c r="I12" i="1" a="1"/>
  <c r="Q14" i="2" a="1"/>
  <c r="P26" i="2" a="1"/>
  <c r="H5" i="1" a="1"/>
  <c r="AN23" i="2" a="1"/>
  <c r="H1" i="1" a="1"/>
  <c r="I28" i="1" a="1"/>
  <c r="C9" i="1" a="1"/>
  <c r="I33" i="1" a="1"/>
  <c r="I36" i="1" a="1"/>
  <c r="G4" i="2" a="1"/>
  <c r="I20" i="1" a="1"/>
  <c r="I41" i="1" a="1"/>
  <c r="L8" i="1" a="1"/>
  <c r="L9" i="1" a="1"/>
  <c r="P15" i="2" a="1"/>
  <c r="P5" i="2" a="1"/>
  <c r="G28" i="2" a="1"/>
  <c r="C4" i="1" a="1"/>
  <c r="I44" i="1" a="1"/>
  <c r="L2" i="1" a="1"/>
  <c r="G16" i="2" a="1"/>
  <c r="L12" i="2" a="1"/>
  <c r="L11" i="2" a="1"/>
  <c r="L15" i="2" a="1"/>
  <c r="L1" i="1" a="1"/>
  <c r="L4" i="2" a="1"/>
  <c r="H2" i="1" a="1"/>
  <c r="AF10" i="2" a="1"/>
  <c r="I32" i="1" a="1"/>
  <c r="L28" i="2" a="1"/>
  <c r="G27" i="2" a="1"/>
  <c r="AN5" i="2" a="1"/>
  <c r="P10" i="2" a="1"/>
  <c r="G14" i="2" a="1"/>
  <c r="L13" i="2" a="1"/>
  <c r="G20" i="2" a="1"/>
  <c r="I26" i="1" a="1"/>
  <c r="Q21" i="2" a="1"/>
  <c r="L20" i="2" a="1"/>
  <c r="AF25" i="2" a="1"/>
  <c r="L7" i="1" a="1"/>
  <c r="I37" i="1" a="1"/>
  <c r="AF7" i="2" a="1"/>
  <c r="L2" i="2" a="1"/>
  <c r="C7" i="1" a="1"/>
  <c r="L14" i="2" a="1"/>
  <c r="H6" i="1" a="1"/>
  <c r="Q24" i="2" a="1"/>
  <c r="AN21" i="2" a="1"/>
  <c r="C8" i="1" a="1"/>
  <c r="Q15" i="2" a="1"/>
  <c r="Q12" i="2" a="1"/>
  <c r="AF14" i="2" a="1"/>
  <c r="AF13" i="2" a="1"/>
  <c r="Q10" i="2" a="1"/>
  <c r="AN12" i="2" a="1"/>
  <c r="L3" i="1" a="1"/>
  <c r="G9" i="2" a="1"/>
  <c r="H10" i="1" a="1"/>
  <c r="P28" i="2" a="1"/>
  <c r="C5" i="1" a="1"/>
  <c r="L23" i="2" a="1"/>
  <c r="C6" i="1" a="1"/>
  <c r="I19" i="1" a="1"/>
  <c r="I34" i="1" a="1"/>
  <c r="G8" i="2" a="1"/>
  <c r="C1" i="1" a="1"/>
  <c r="AF12" i="2" a="1"/>
  <c r="AF5" i="2" a="1"/>
  <c r="P13" i="2" a="1"/>
  <c r="G7" i="2" a="1"/>
  <c r="I22" i="1" a="1"/>
  <c r="AF28" i="2" a="1"/>
  <c r="L5" i="2" a="1"/>
  <c r="AN22" i="2" a="1"/>
  <c r="I27" i="1" a="1"/>
  <c r="I35" i="1" a="1"/>
  <c r="L17" i="2" a="1"/>
  <c r="G21" i="2" a="1"/>
  <c r="L27" i="2" a="1"/>
  <c r="AI1" i="1"/>
  <c r="AN17" i="2" a="1"/>
  <c r="AN20" i="2" a="1"/>
  <c r="L5" i="1" a="1"/>
  <c r="Q4" i="2" a="1"/>
  <c r="H3" i="1" a="1"/>
  <c r="P21" i="2" a="1"/>
  <c r="C3" i="1" a="1"/>
  <c r="Q16" i="2" a="1"/>
  <c r="Q9" i="2" a="1"/>
  <c r="I31" i="1" a="1"/>
  <c r="I24" i="1" a="1"/>
  <c r="P12" i="2" a="1"/>
  <c r="P9" i="2" a="1"/>
  <c r="AN19" i="2" a="1"/>
  <c r="H4" i="1" a="1"/>
  <c r="L10" i="1" l="1"/>
  <c r="C7" i="1"/>
  <c r="C9" i="1"/>
  <c r="I34" i="1"/>
  <c r="L1" i="1"/>
  <c r="P8" i="2"/>
  <c r="G12" i="2"/>
  <c r="P7" i="2"/>
  <c r="Q5" i="2"/>
  <c r="P28" i="2"/>
  <c r="AF7" i="2"/>
  <c r="H8" i="1"/>
  <c r="Q13" i="2"/>
  <c r="Q7" i="2"/>
  <c r="AN12" i="2"/>
  <c r="Q28" i="2"/>
  <c r="G9" i="2"/>
  <c r="G15" i="2"/>
  <c r="AF10" i="2"/>
  <c r="AN5" i="2"/>
  <c r="L15" i="2"/>
  <c r="C1" i="1"/>
  <c r="H6" i="1"/>
  <c r="C10" i="1"/>
  <c r="H5" i="1"/>
  <c r="H4" i="1"/>
  <c r="G28" i="2"/>
  <c r="I40" i="1"/>
  <c r="I37" i="1"/>
  <c r="I23" i="1"/>
  <c r="L12" i="2"/>
  <c r="AF5" i="2"/>
  <c r="L8" i="1"/>
  <c r="I38" i="1"/>
  <c r="I33" i="1"/>
  <c r="AF25" i="2"/>
  <c r="P14" i="2"/>
  <c r="L17" i="2"/>
  <c r="AN16" i="2"/>
  <c r="G7" i="2"/>
  <c r="AN10" i="2"/>
  <c r="L14" i="2"/>
  <c r="L4" i="2"/>
  <c r="AF24" i="2"/>
  <c r="G10" i="2"/>
  <c r="P16" i="2"/>
  <c r="I13" i="1"/>
  <c r="I36" i="1"/>
  <c r="AN17" i="2"/>
  <c r="I29" i="1"/>
  <c r="G27" i="2"/>
  <c r="AF12" i="2"/>
  <c r="AF28" i="2"/>
  <c r="Q16" i="2"/>
  <c r="AN21" i="2"/>
  <c r="I44" i="1"/>
  <c r="I39" i="1"/>
  <c r="L3" i="1"/>
  <c r="AN25" i="2"/>
  <c r="AN19" i="2"/>
  <c r="P27" i="2"/>
  <c r="Q4" i="2"/>
  <c r="AN23" i="2"/>
  <c r="I27" i="1"/>
  <c r="L10" i="2"/>
  <c r="L13" i="2"/>
  <c r="AN11" i="2"/>
  <c r="L28" i="2"/>
  <c r="G16" i="2"/>
  <c r="I18" i="1"/>
  <c r="I12" i="1"/>
  <c r="H9" i="1"/>
  <c r="I20" i="1"/>
  <c r="AC3" i="1"/>
  <c r="C3" i="1"/>
  <c r="AN14" i="2"/>
  <c r="P10" i="2"/>
  <c r="L20" i="2"/>
  <c r="I14" i="1"/>
  <c r="I24" i="1"/>
  <c r="P26" i="2"/>
  <c r="I35" i="1"/>
  <c r="AN13" i="2"/>
  <c r="AN24" i="2"/>
  <c r="L18" i="2"/>
  <c r="L16" i="2"/>
  <c r="AN22" i="2"/>
  <c r="I31" i="1"/>
  <c r="C5" i="1"/>
  <c r="I26" i="1"/>
  <c r="G25" i="2"/>
  <c r="P4" i="2"/>
  <c r="AF14" i="2"/>
  <c r="G5" i="2"/>
  <c r="L27" i="2"/>
  <c r="L6" i="2"/>
  <c r="Q8" i="2"/>
  <c r="C4" i="1"/>
  <c r="I41" i="1"/>
  <c r="L5" i="1"/>
  <c r="Q25" i="2"/>
  <c r="AN9" i="2"/>
  <c r="L22" i="2"/>
  <c r="Q10" i="2"/>
  <c r="I28" i="1"/>
  <c r="G24" i="2"/>
  <c r="I15" i="1"/>
  <c r="AN20" i="2"/>
  <c r="Q26" i="2"/>
  <c r="I30" i="1"/>
  <c r="AN18" i="2"/>
  <c r="L9" i="2"/>
  <c r="AF15" i="2"/>
  <c r="L4" i="1"/>
  <c r="H10" i="1"/>
  <c r="I42" i="1"/>
  <c r="G4" i="2"/>
  <c r="L21" i="2"/>
  <c r="I25" i="1"/>
  <c r="H2" i="1"/>
  <c r="AF26" i="2"/>
  <c r="P25" i="2"/>
  <c r="AN15" i="2"/>
  <c r="Q24" i="2"/>
  <c r="AN6" i="2"/>
  <c r="AN8" i="2"/>
  <c r="L23" i="2"/>
  <c r="Q14" i="2"/>
  <c r="AN28" i="2"/>
  <c r="P5" i="2"/>
  <c r="AN4" i="2"/>
  <c r="Q15" i="2"/>
  <c r="H7" i="1"/>
  <c r="L7" i="1"/>
  <c r="AF16" i="2"/>
  <c r="C8" i="1"/>
  <c r="I43" i="1"/>
  <c r="H3" i="1"/>
  <c r="C6" i="1"/>
  <c r="H1" i="1"/>
  <c r="L9" i="1"/>
  <c r="G26" i="2"/>
  <c r="I21" i="1"/>
  <c r="G8" i="2"/>
  <c r="Q27" i="2"/>
  <c r="L8" i="2"/>
  <c r="L2" i="2"/>
  <c r="AF9" i="2"/>
  <c r="L19" i="2"/>
  <c r="AF13" i="2"/>
  <c r="P13" i="2"/>
  <c r="P12" i="2"/>
  <c r="P15" i="2"/>
  <c r="L2" i="1"/>
  <c r="L6" i="1"/>
  <c r="I32" i="1"/>
  <c r="AN26" i="2"/>
  <c r="AN7" i="2"/>
  <c r="AN27" i="2"/>
  <c r="AF4" i="2"/>
  <c r="I16" i="1"/>
  <c r="C2" i="1"/>
  <c r="I22" i="1"/>
  <c r="I19" i="1"/>
  <c r="Q12" i="2"/>
  <c r="AF8" i="2"/>
  <c r="L11" i="2"/>
  <c r="AF27" i="2"/>
  <c r="G14" i="2"/>
  <c r="G13" i="2"/>
  <c r="P9" i="2"/>
  <c r="Q9" i="2"/>
  <c r="L5" i="2"/>
  <c r="P24" i="2"/>
  <c r="I17" i="1"/>
  <c r="G20" i="2"/>
  <c r="P20" i="2"/>
  <c r="AF20" i="2"/>
  <c r="P21" i="2"/>
  <c r="G21" i="2"/>
  <c r="Q20" i="2"/>
  <c r="Q21" i="2"/>
  <c r="AF21" i="2"/>
  <c r="BB20" i="2"/>
  <c r="BC20" i="2" s="1"/>
  <c r="BB21" i="2"/>
  <c r="BC21" i="2" s="1"/>
  <c r="S21" i="2" a="1"/>
  <c r="S20" i="2" a="1"/>
  <c r="R20" i="2" l="1"/>
  <c r="R21" i="2"/>
  <c r="S20" i="2"/>
  <c r="AP20" i="2" s="1"/>
  <c r="S21" i="2"/>
  <c r="AO21" i="2" s="1"/>
  <c r="O21" i="2"/>
  <c r="O20" i="2"/>
  <c r="Z6" i="2"/>
  <c r="Z24" i="2"/>
  <c r="Z20" i="2"/>
  <c r="AE21" i="2" l="1"/>
  <c r="AE20" i="2"/>
  <c r="AP21" i="2"/>
  <c r="AO20" i="2"/>
  <c r="U20" i="2"/>
  <c r="U21" i="2"/>
  <c r="AS20" i="2"/>
  <c r="AL20" i="2"/>
  <c r="AT20" i="2"/>
  <c r="X20" i="2"/>
  <c r="Y20" i="2" s="1"/>
  <c r="AB20" i="2"/>
  <c r="AM20" i="2"/>
  <c r="M20" i="2"/>
  <c r="AL21" i="2"/>
  <c r="AT21" i="2"/>
  <c r="AS21" i="2"/>
  <c r="M21" i="2"/>
  <c r="AM21" i="2"/>
  <c r="X21" i="2"/>
  <c r="Y21" i="2" s="1"/>
  <c r="AB21" i="2"/>
  <c r="F30" i="89" a="1"/>
  <c r="L30" i="89" a="1"/>
  <c r="W31" i="89" a="1"/>
  <c r="K30" i="89" a="1"/>
  <c r="F31" i="89" a="1"/>
  <c r="L31" i="89" a="1"/>
  <c r="W30" i="89" a="1"/>
  <c r="K31" i="89" a="1"/>
  <c r="L30" i="89" l="1"/>
  <c r="W30" i="89"/>
  <c r="L31" i="89"/>
  <c r="W31" i="89"/>
  <c r="K30" i="89"/>
  <c r="K31" i="89"/>
  <c r="F30" i="89"/>
  <c r="F31" i="89"/>
  <c r="S8" i="89" a="1"/>
  <c r="S8" i="89" l="1"/>
  <c r="F7" i="89" a="1"/>
  <c r="W8" i="89" a="1"/>
  <c r="L7" i="89" a="1"/>
  <c r="L8" i="89" a="1"/>
  <c r="W7" i="89" a="1"/>
  <c r="F8" i="89" a="1"/>
  <c r="K7" i="89" a="1"/>
  <c r="K8" i="89" a="1"/>
  <c r="K7" i="89" l="1"/>
  <c r="W8" i="89"/>
  <c r="F8" i="89"/>
  <c r="L7" i="89"/>
  <c r="F7" i="89"/>
  <c r="W7" i="89"/>
  <c r="L8" i="89"/>
  <c r="K8" i="89"/>
  <c r="D47" i="89" l="1"/>
  <c r="S7" i="89" a="1"/>
  <c r="K43" i="89" a="1"/>
  <c r="L44" i="89" a="1"/>
  <c r="F43" i="89" a="1"/>
  <c r="K44" i="89" a="1"/>
  <c r="F44" i="89" a="1"/>
  <c r="W44" i="89" a="1"/>
  <c r="W43" i="89" a="1"/>
  <c r="L43" i="89" a="1"/>
  <c r="S7" i="89" l="1"/>
  <c r="W44" i="89"/>
  <c r="F44" i="89"/>
  <c r="L44" i="89"/>
  <c r="K44" i="89"/>
  <c r="W43" i="89"/>
  <c r="F43" i="89"/>
  <c r="K43" i="89"/>
  <c r="L43" i="89"/>
  <c r="BB26" i="2" l="1"/>
  <c r="BA26" i="2"/>
  <c r="BC26" i="2" l="1"/>
  <c r="S26" i="2" a="1"/>
  <c r="R26" i="2" l="1"/>
  <c r="S26" i="2"/>
  <c r="U26" i="2" s="1"/>
  <c r="O26" i="2"/>
  <c r="AO26" i="2"/>
  <c r="AP26" i="2" l="1"/>
  <c r="AM26" i="2"/>
  <c r="AS26" i="2"/>
  <c r="X26" i="2"/>
  <c r="Y26" i="2" s="1"/>
  <c r="AT26" i="2"/>
  <c r="AL26" i="2"/>
  <c r="AB26" i="2"/>
  <c r="M26" i="2"/>
  <c r="AE26" i="2"/>
  <c r="BB25" i="2" l="1"/>
  <c r="BA25" i="2"/>
  <c r="BC25" i="2" l="1"/>
  <c r="J27" i="2"/>
  <c r="K27" i="2" s="1"/>
  <c r="J28" i="2"/>
  <c r="K28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2" i="2"/>
  <c r="K22" i="2" s="1"/>
  <c r="J23" i="2"/>
  <c r="K23" i="2" s="1"/>
  <c r="S25" i="2" a="1"/>
  <c r="R25" i="2" l="1"/>
  <c r="K31" i="2"/>
  <c r="S25" i="2"/>
  <c r="AO25" i="2"/>
  <c r="O25" i="2"/>
  <c r="AP25" i="2"/>
  <c r="U25" i="2"/>
  <c r="Z25" i="2"/>
  <c r="AL25" i="2" l="1"/>
  <c r="AT25" i="2"/>
  <c r="AS25" i="2"/>
  <c r="X25" i="2"/>
  <c r="Y25" i="2" s="1"/>
  <c r="AM25" i="2"/>
  <c r="M25" i="2"/>
  <c r="AB25" i="2"/>
  <c r="AE25" i="2"/>
  <c r="K59" i="531" l="1"/>
  <c r="J59" i="531"/>
  <c r="I58" i="531"/>
  <c r="K32" i="2"/>
  <c r="BB7" i="2" l="1"/>
  <c r="BA7" i="2"/>
  <c r="S13" i="89" a="1"/>
  <c r="S13" i="89" l="1"/>
  <c r="BC7" i="2"/>
  <c r="S7" i="2" a="1"/>
  <c r="L31" i="2" l="1"/>
  <c r="L30" i="2" s="1"/>
  <c r="L32" i="2"/>
  <c r="R7" i="2"/>
  <c r="S7" i="2"/>
  <c r="U7" i="2" s="1"/>
  <c r="O7" i="2"/>
  <c r="J66" i="1"/>
  <c r="AE7" i="2" l="1"/>
  <c r="AO7" i="2"/>
  <c r="AP7" i="2"/>
  <c r="AT7" i="2"/>
  <c r="AS7" i="2"/>
  <c r="AL7" i="2"/>
  <c r="M7" i="2"/>
  <c r="AM7" i="2"/>
  <c r="X7" i="2"/>
  <c r="Y7" i="2" s="1"/>
  <c r="AB7" i="2"/>
  <c r="J18" i="1"/>
  <c r="N18" i="1"/>
  <c r="BA23" i="2" l="1"/>
  <c r="BB23" i="2"/>
  <c r="BC23" i="2" s="1"/>
  <c r="BA22" i="2"/>
  <c r="BB22" i="2"/>
  <c r="AF22" i="2" a="1"/>
  <c r="Q23" i="2" a="1"/>
  <c r="AF23" i="2" a="1"/>
  <c r="P23" i="2" a="1"/>
  <c r="Q22" i="2" a="1"/>
  <c r="G23" i="2" a="1"/>
  <c r="P22" i="2" a="1"/>
  <c r="G22" i="2" a="1"/>
  <c r="BC22" i="2" l="1"/>
  <c r="AF22" i="2"/>
  <c r="Q22" i="2"/>
  <c r="P23" i="2"/>
  <c r="Q23" i="2"/>
  <c r="P22" i="2"/>
  <c r="AF23" i="2"/>
  <c r="G22" i="2"/>
  <c r="G23" i="2"/>
  <c r="S23" i="2" a="1"/>
  <c r="S22" i="2" a="1"/>
  <c r="R23" i="2" l="1"/>
  <c r="S22" i="2"/>
  <c r="AO22" i="2" s="1"/>
  <c r="S23" i="2"/>
  <c r="U23" i="2" s="1"/>
  <c r="R22" i="2"/>
  <c r="O23" i="2"/>
  <c r="AP23" i="2"/>
  <c r="U22" i="2"/>
  <c r="O22" i="2"/>
  <c r="AP22" i="2"/>
  <c r="AO23" i="2"/>
  <c r="Z22" i="2"/>
  <c r="AL22" i="2" l="1"/>
  <c r="AT22" i="2"/>
  <c r="AS22" i="2"/>
  <c r="M22" i="2"/>
  <c r="X22" i="2"/>
  <c r="Y22" i="2" s="1"/>
  <c r="AM22" i="2"/>
  <c r="AB22" i="2"/>
  <c r="AE23" i="2"/>
  <c r="AL23" i="2"/>
  <c r="AT23" i="2"/>
  <c r="AS23" i="2"/>
  <c r="AB23" i="2"/>
  <c r="AM23" i="2"/>
  <c r="X23" i="2"/>
  <c r="Y23" i="2" s="1"/>
  <c r="M23" i="2"/>
  <c r="AE22" i="2"/>
  <c r="F37" i="89" a="1"/>
  <c r="W37" i="89" a="1"/>
  <c r="K37" i="89" a="1"/>
  <c r="L37" i="89" a="1"/>
  <c r="F37" i="89" l="1"/>
  <c r="W37" i="89"/>
  <c r="L37" i="89"/>
  <c r="K37" i="89"/>
  <c r="K36" i="89" a="1"/>
  <c r="F36" i="89" a="1"/>
  <c r="L36" i="89" a="1"/>
  <c r="W36" i="89" a="1"/>
  <c r="L36" i="89" l="1"/>
  <c r="W36" i="89"/>
  <c r="F36" i="89"/>
  <c r="K36" i="89"/>
  <c r="J65" i="1"/>
  <c r="BA6" i="2"/>
  <c r="BB6" i="2"/>
  <c r="P6" i="2" a="1"/>
  <c r="Q6" i="2" a="1"/>
  <c r="AF6" i="2" a="1"/>
  <c r="G6" i="2" a="1"/>
  <c r="BC6" i="2" l="1"/>
  <c r="P6" i="2"/>
  <c r="Q6" i="2"/>
  <c r="G6" i="2"/>
  <c r="AF6" i="2"/>
  <c r="S6" i="2" a="1"/>
  <c r="R6" i="2" l="1"/>
  <c r="S6" i="2"/>
  <c r="AO6" i="2" s="1"/>
  <c r="U6" i="2"/>
  <c r="O6" i="2"/>
  <c r="AP6" i="2"/>
  <c r="AE6" i="2" l="1"/>
  <c r="AL6" i="2"/>
  <c r="AT6" i="2"/>
  <c r="AS6" i="2"/>
  <c r="AB6" i="2"/>
  <c r="X6" i="2"/>
  <c r="M6" i="2"/>
  <c r="AM6" i="2"/>
  <c r="W20" i="89" a="1"/>
  <c r="K19" i="89"/>
  <c r="F19" i="89"/>
  <c r="W19" i="89"/>
  <c r="F20" i="89" a="1"/>
  <c r="K20" i="89" a="1"/>
  <c r="L19" i="89"/>
  <c r="L20" i="89" a="1"/>
  <c r="Y6" i="2" l="1"/>
  <c r="A6" i="2"/>
  <c r="F20" i="89"/>
  <c r="L20" i="89"/>
  <c r="K20" i="89"/>
  <c r="W20" i="89"/>
  <c r="J64" i="1"/>
  <c r="H49" i="1" l="1"/>
  <c r="J63" i="1"/>
  <c r="J62" i="1"/>
  <c r="J61" i="1" l="1"/>
  <c r="J60" i="1"/>
  <c r="J59" i="1"/>
  <c r="J58" i="1" l="1"/>
  <c r="J57" i="1" l="1"/>
  <c r="J56" i="1"/>
  <c r="BA16" i="2"/>
  <c r="BB16" i="2"/>
  <c r="S31" i="89" a="1"/>
  <c r="S20" i="89" a="1"/>
  <c r="S44" i="89" a="1"/>
  <c r="S36" i="89" a="1"/>
  <c r="S44" i="89" l="1"/>
  <c r="S36" i="89"/>
  <c r="S31" i="89"/>
  <c r="S20" i="89"/>
  <c r="BC16" i="2"/>
  <c r="S16" i="2" a="1"/>
  <c r="Q18" i="1" l="1"/>
  <c r="T18" i="1" s="1"/>
  <c r="S16" i="2"/>
  <c r="U16" i="2" s="1"/>
  <c r="O16" i="2"/>
  <c r="AO16" i="2"/>
  <c r="R16" i="2"/>
  <c r="S104" i="89" a="1"/>
  <c r="S104" i="89" l="1"/>
  <c r="AP16" i="2"/>
  <c r="AE16" i="2"/>
  <c r="AL16" i="2"/>
  <c r="AS16" i="2"/>
  <c r="AT16" i="2"/>
  <c r="AM16" i="2"/>
  <c r="M16" i="2"/>
  <c r="X16" i="2"/>
  <c r="Y16" i="2" s="1"/>
  <c r="AB16" i="2"/>
  <c r="N23" i="1" l="1"/>
  <c r="J23" i="1"/>
  <c r="J52" i="1" l="1"/>
  <c r="J53" i="1"/>
  <c r="J54" i="1"/>
  <c r="J55" i="1"/>
  <c r="J51" i="1"/>
  <c r="J49" i="1" l="1"/>
  <c r="I49" i="1" s="1"/>
  <c r="Q23" i="1" l="1"/>
  <c r="J16" i="1" l="1"/>
  <c r="N16" i="1"/>
  <c r="BB24" i="2" l="1"/>
  <c r="BA24" i="2"/>
  <c r="S24" i="2" a="1"/>
  <c r="S24" i="2" l="1"/>
  <c r="AO24" i="2" s="1"/>
  <c r="BC24" i="2"/>
  <c r="R24" i="2" l="1"/>
  <c r="U24" i="2"/>
  <c r="O24" i="2"/>
  <c r="AP24" i="2" l="1"/>
  <c r="AE24" i="2"/>
  <c r="AT24" i="2"/>
  <c r="AS24" i="2"/>
  <c r="X24" i="2"/>
  <c r="Y24" i="2" s="1"/>
  <c r="AL24" i="2"/>
  <c r="AM24" i="2"/>
  <c r="M24" i="2"/>
  <c r="AB24" i="2"/>
  <c r="F69" i="89" a="1"/>
  <c r="W69" i="89" a="1"/>
  <c r="K69" i="89" a="1"/>
  <c r="L69" i="89" a="1"/>
  <c r="K69" i="89" l="1"/>
  <c r="W69" i="89"/>
  <c r="L69" i="89"/>
  <c r="F69" i="89"/>
  <c r="N69" i="89" a="1"/>
  <c r="N69" i="89" l="1"/>
  <c r="I10" i="1" l="1"/>
  <c r="I9" i="1"/>
  <c r="J17" i="1" l="1"/>
  <c r="N17" i="1"/>
  <c r="S17" i="1" l="1"/>
  <c r="Q17" i="1"/>
  <c r="T17" i="1" s="1"/>
  <c r="X2" i="527" l="1"/>
  <c r="U2" i="527"/>
  <c r="R2" i="527"/>
  <c r="T165" i="444"/>
  <c r="U165" i="444" s="1"/>
  <c r="R165" i="444"/>
  <c r="S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R162" i="444"/>
  <c r="G162" i="444"/>
  <c r="T161" i="444"/>
  <c r="U161" i="444" s="1"/>
  <c r="V161" i="444" s="1"/>
  <c r="W161" i="444" s="1"/>
  <c r="S161" i="444"/>
  <c r="R161" i="444"/>
  <c r="G161" i="444"/>
  <c r="R160" i="444"/>
  <c r="T160" i="444" s="1"/>
  <c r="U160" i="444" s="1"/>
  <c r="G160" i="444"/>
  <c r="S159" i="444"/>
  <c r="R159" i="444"/>
  <c r="T159" i="444" s="1"/>
  <c r="U159" i="444" s="1"/>
  <c r="G159" i="444"/>
  <c r="T158" i="444"/>
  <c r="U158" i="444" s="1"/>
  <c r="R158" i="444"/>
  <c r="S158" i="444" s="1"/>
  <c r="G158" i="444"/>
  <c r="R157" i="444"/>
  <c r="T157" i="444" s="1"/>
  <c r="U157" i="444" s="1"/>
  <c r="G157" i="444"/>
  <c r="R156" i="444"/>
  <c r="S156" i="444" s="1"/>
  <c r="G156" i="444"/>
  <c r="R155" i="444"/>
  <c r="T155" i="444" s="1"/>
  <c r="U155" i="444" s="1"/>
  <c r="G155" i="444"/>
  <c r="R154" i="444"/>
  <c r="S154" i="444" s="1"/>
  <c r="G154" i="444"/>
  <c r="R153" i="444"/>
  <c r="T153" i="444" s="1"/>
  <c r="U153" i="444" s="1"/>
  <c r="G153" i="444"/>
  <c r="R152" i="444"/>
  <c r="G152" i="444"/>
  <c r="R151" i="444"/>
  <c r="T151" i="444" s="1"/>
  <c r="U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T148" i="444"/>
  <c r="U148" i="444" s="1"/>
  <c r="S148" i="444"/>
  <c r="R148" i="444"/>
  <c r="G148" i="444"/>
  <c r="R147" i="444"/>
  <c r="S147" i="444" s="1"/>
  <c r="G147" i="444"/>
  <c r="T146" i="444"/>
  <c r="U146" i="444" s="1"/>
  <c r="V146" i="444" s="1"/>
  <c r="W146" i="444" s="1"/>
  <c r="S146" i="444"/>
  <c r="R146" i="444"/>
  <c r="G146" i="444"/>
  <c r="T145" i="444"/>
  <c r="U145" i="444" s="1"/>
  <c r="R145" i="444"/>
  <c r="S145" i="444" s="1"/>
  <c r="G145" i="444"/>
  <c r="T144" i="444"/>
  <c r="U144" i="444" s="1"/>
  <c r="R144" i="444"/>
  <c r="S144" i="444" s="1"/>
  <c r="G144" i="444"/>
  <c r="T143" i="444"/>
  <c r="U143" i="444" s="1"/>
  <c r="R143" i="444"/>
  <c r="S143" i="444" s="1"/>
  <c r="G143" i="444"/>
  <c r="R142" i="444"/>
  <c r="G142" i="444"/>
  <c r="T141" i="444"/>
  <c r="U141" i="444" s="1"/>
  <c r="V141" i="444" s="1"/>
  <c r="W141" i="444" s="1"/>
  <c r="S141" i="444"/>
  <c r="R141" i="444"/>
  <c r="G141" i="444"/>
  <c r="R140" i="444"/>
  <c r="T140" i="444" s="1"/>
  <c r="U140" i="444" s="1"/>
  <c r="G140" i="444"/>
  <c r="S139" i="444"/>
  <c r="R139" i="444"/>
  <c r="T139" i="444" s="1"/>
  <c r="U139" i="444" s="1"/>
  <c r="G139" i="444"/>
  <c r="T138" i="444"/>
  <c r="U138" i="444" s="1"/>
  <c r="R138" i="444"/>
  <c r="S138" i="444" s="1"/>
  <c r="G138" i="444"/>
  <c r="R137" i="444"/>
  <c r="T137" i="444" s="1"/>
  <c r="U137" i="444" s="1"/>
  <c r="G137" i="444"/>
  <c r="R136" i="444"/>
  <c r="S136" i="444" s="1"/>
  <c r="G136" i="444"/>
  <c r="R135" i="444"/>
  <c r="T135" i="444" s="1"/>
  <c r="U135" i="444" s="1"/>
  <c r="G135" i="444"/>
  <c r="R134" i="444"/>
  <c r="T134" i="444" s="1"/>
  <c r="U134" i="444" s="1"/>
  <c r="G134" i="444"/>
  <c r="S133" i="444"/>
  <c r="R133" i="444"/>
  <c r="T133" i="444" s="1"/>
  <c r="U133" i="444" s="1"/>
  <c r="G133" i="444"/>
  <c r="R132" i="444"/>
  <c r="G132" i="444"/>
  <c r="R131" i="444"/>
  <c r="S131" i="444" s="1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S128" i="444"/>
  <c r="R128" i="444"/>
  <c r="G128" i="444"/>
  <c r="T127" i="444"/>
  <c r="U127" i="444" s="1"/>
  <c r="S127" i="444"/>
  <c r="R127" i="444"/>
  <c r="G127" i="444"/>
  <c r="T126" i="444"/>
  <c r="U126" i="444" s="1"/>
  <c r="V126" i="444" s="1"/>
  <c r="W126" i="444" s="1"/>
  <c r="S126" i="444"/>
  <c r="R126" i="444"/>
  <c r="G126" i="444"/>
  <c r="T125" i="444"/>
  <c r="U125" i="444" s="1"/>
  <c r="R125" i="444"/>
  <c r="S125" i="444" s="1"/>
  <c r="G125" i="444"/>
  <c r="R124" i="444"/>
  <c r="T124" i="444" s="1"/>
  <c r="U124" i="444" s="1"/>
  <c r="G124" i="444"/>
  <c r="T123" i="444"/>
  <c r="U123" i="444" s="1"/>
  <c r="R123" i="444"/>
  <c r="S123" i="444" s="1"/>
  <c r="G123" i="444"/>
  <c r="R122" i="444"/>
  <c r="G122" i="444"/>
  <c r="T121" i="444"/>
  <c r="U121" i="444" s="1"/>
  <c r="V121" i="444" s="1"/>
  <c r="W121" i="444" s="1"/>
  <c r="S121" i="444"/>
  <c r="R121" i="444"/>
  <c r="G121" i="444"/>
  <c r="R120" i="444"/>
  <c r="T120" i="444" s="1"/>
  <c r="U120" i="444" s="1"/>
  <c r="G120" i="444"/>
  <c r="S119" i="444"/>
  <c r="R119" i="444"/>
  <c r="T119" i="444" s="1"/>
  <c r="U119" i="444" s="1"/>
  <c r="G119" i="444"/>
  <c r="T118" i="444"/>
  <c r="U118" i="444" s="1"/>
  <c r="R118" i="444"/>
  <c r="S118" i="444" s="1"/>
  <c r="G118" i="444"/>
  <c r="R117" i="444"/>
  <c r="T117" i="444" s="1"/>
  <c r="U117" i="444" s="1"/>
  <c r="G117" i="444"/>
  <c r="T116" i="444"/>
  <c r="U116" i="444" s="1"/>
  <c r="R116" i="444"/>
  <c r="S116" i="444" s="1"/>
  <c r="G116" i="444"/>
  <c r="R115" i="444"/>
  <c r="T115" i="444" s="1"/>
  <c r="U115" i="444" s="1"/>
  <c r="G115" i="444"/>
  <c r="R114" i="444"/>
  <c r="S114" i="444" s="1"/>
  <c r="G114" i="444"/>
  <c r="R113" i="444"/>
  <c r="T113" i="444" s="1"/>
  <c r="U113" i="444" s="1"/>
  <c r="G113" i="444"/>
  <c r="R112" i="444"/>
  <c r="G112" i="444"/>
  <c r="R111" i="444"/>
  <c r="T111" i="444" s="1"/>
  <c r="U111" i="444" s="1"/>
  <c r="G111" i="444"/>
  <c r="T110" i="444"/>
  <c r="U110" i="444" s="1"/>
  <c r="V110" i="444" s="1"/>
  <c r="W110" i="444" s="1"/>
  <c r="S110" i="444"/>
  <c r="R110" i="444"/>
  <c r="G110" i="444"/>
  <c r="T109" i="444"/>
  <c r="U109" i="444" s="1"/>
  <c r="S109" i="444"/>
  <c r="R109" i="444"/>
  <c r="G109" i="444"/>
  <c r="T108" i="444"/>
  <c r="U108" i="444" s="1"/>
  <c r="S108" i="444"/>
  <c r="R108" i="444"/>
  <c r="G108" i="444"/>
  <c r="T107" i="444"/>
  <c r="U107" i="444" s="1"/>
  <c r="R107" i="444"/>
  <c r="S107" i="444" s="1"/>
  <c r="G107" i="444"/>
  <c r="T106" i="444"/>
  <c r="U106" i="444" s="1"/>
  <c r="V106" i="444" s="1"/>
  <c r="W106" i="444" s="1"/>
  <c r="S106" i="444"/>
  <c r="R106" i="444"/>
  <c r="G106" i="444"/>
  <c r="T105" i="444"/>
  <c r="U105" i="444" s="1"/>
  <c r="R105" i="444"/>
  <c r="S105" i="444" s="1"/>
  <c r="G105" i="444"/>
  <c r="S104" i="444"/>
  <c r="R104" i="444"/>
  <c r="T104" i="444" s="1"/>
  <c r="U104" i="444" s="1"/>
  <c r="G104" i="444"/>
  <c r="T103" i="444"/>
  <c r="U103" i="444" s="1"/>
  <c r="V103" i="444" s="1"/>
  <c r="W103" i="444" s="1"/>
  <c r="S103" i="444"/>
  <c r="R103" i="444"/>
  <c r="G103" i="444"/>
  <c r="R102" i="444"/>
  <c r="G102" i="444"/>
  <c r="T101" i="444"/>
  <c r="U101" i="444" s="1"/>
  <c r="S101" i="444"/>
  <c r="R101" i="444"/>
  <c r="G101" i="444"/>
  <c r="T100" i="444"/>
  <c r="U100" i="444" s="1"/>
  <c r="R100" i="444"/>
  <c r="S100" i="444" s="1"/>
  <c r="G100" i="444"/>
  <c r="S99" i="444"/>
  <c r="R99" i="444"/>
  <c r="T99" i="444" s="1"/>
  <c r="U99" i="444" s="1"/>
  <c r="G99" i="444"/>
  <c r="T98" i="444"/>
  <c r="U98" i="444" s="1"/>
  <c r="V98" i="444" s="1"/>
  <c r="W98" i="444" s="1"/>
  <c r="R98" i="444"/>
  <c r="S98" i="444" s="1"/>
  <c r="G98" i="444"/>
  <c r="R97" i="444"/>
  <c r="T97" i="444" s="1"/>
  <c r="U97" i="444" s="1"/>
  <c r="G97" i="444"/>
  <c r="R96" i="444"/>
  <c r="S96" i="444" s="1"/>
  <c r="G96" i="444"/>
  <c r="R95" i="444"/>
  <c r="T95" i="444" s="1"/>
  <c r="U95" i="444" s="1"/>
  <c r="G95" i="444"/>
  <c r="R94" i="444"/>
  <c r="T94" i="444" s="1"/>
  <c r="U94" i="444" s="1"/>
  <c r="G94" i="444"/>
  <c r="R93" i="444"/>
  <c r="T93" i="444" s="1"/>
  <c r="U93" i="444" s="1"/>
  <c r="G93" i="444"/>
  <c r="R92" i="444"/>
  <c r="G92" i="444"/>
  <c r="R91" i="444"/>
  <c r="T91" i="444" s="1"/>
  <c r="U91" i="444" s="1"/>
  <c r="G91" i="444"/>
  <c r="T90" i="444"/>
  <c r="U90" i="444" s="1"/>
  <c r="V90" i="444" s="1"/>
  <c r="W90" i="444" s="1"/>
  <c r="S90" i="444"/>
  <c r="R90" i="444"/>
  <c r="G90" i="444"/>
  <c r="T89" i="444"/>
  <c r="U89" i="444" s="1"/>
  <c r="S89" i="444"/>
  <c r="R89" i="444"/>
  <c r="G89" i="444"/>
  <c r="T88" i="444"/>
  <c r="U88" i="444" s="1"/>
  <c r="S88" i="444"/>
  <c r="R88" i="444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T85" i="444"/>
  <c r="U85" i="444" s="1"/>
  <c r="R85" i="444"/>
  <c r="S85" i="444" s="1"/>
  <c r="G85" i="444"/>
  <c r="R84" i="444"/>
  <c r="S84" i="444" s="1"/>
  <c r="G84" i="444"/>
  <c r="T83" i="444"/>
  <c r="U83" i="444" s="1"/>
  <c r="V83" i="444" s="1"/>
  <c r="W83" i="444" s="1"/>
  <c r="S83" i="444"/>
  <c r="R83" i="444"/>
  <c r="G83" i="444"/>
  <c r="R82" i="444"/>
  <c r="G82" i="444"/>
  <c r="T81" i="444"/>
  <c r="U81" i="444" s="1"/>
  <c r="V81" i="444" s="1"/>
  <c r="W81" i="444" s="1"/>
  <c r="S81" i="444"/>
  <c r="R81" i="444"/>
  <c r="G81" i="444"/>
  <c r="T80" i="444"/>
  <c r="U80" i="444" s="1"/>
  <c r="R80" i="444"/>
  <c r="S80" i="444" s="1"/>
  <c r="G80" i="444"/>
  <c r="S79" i="444"/>
  <c r="R79" i="444"/>
  <c r="T79" i="444" s="1"/>
  <c r="U79" i="444" s="1"/>
  <c r="G79" i="444"/>
  <c r="T78" i="444"/>
  <c r="U78" i="444" s="1"/>
  <c r="V78" i="444" s="1"/>
  <c r="W78" i="444" s="1"/>
  <c r="R78" i="444"/>
  <c r="S78" i="444" s="1"/>
  <c r="G78" i="444"/>
  <c r="R77" i="444"/>
  <c r="T77" i="444" s="1"/>
  <c r="U77" i="444" s="1"/>
  <c r="G77" i="444"/>
  <c r="T76" i="444"/>
  <c r="U76" i="444" s="1"/>
  <c r="R76" i="444"/>
  <c r="S76" i="444" s="1"/>
  <c r="G76" i="444"/>
  <c r="R75" i="444"/>
  <c r="T75" i="444" s="1"/>
  <c r="U75" i="444" s="1"/>
  <c r="G75" i="444"/>
  <c r="R74" i="444"/>
  <c r="S74" i="444" s="1"/>
  <c r="G74" i="444"/>
  <c r="R73" i="444"/>
  <c r="T73" i="444" s="1"/>
  <c r="U73" i="444" s="1"/>
  <c r="G73" i="444"/>
  <c r="R72" i="444"/>
  <c r="G72" i="444"/>
  <c r="R71" i="444"/>
  <c r="T71" i="444" s="1"/>
  <c r="U71" i="444" s="1"/>
  <c r="G71" i="444"/>
  <c r="S70" i="444"/>
  <c r="R70" i="444"/>
  <c r="T70" i="444" s="1"/>
  <c r="U70" i="444" s="1"/>
  <c r="G70" i="444"/>
  <c r="T69" i="444"/>
  <c r="U69" i="444" s="1"/>
  <c r="S69" i="444"/>
  <c r="R69" i="444"/>
  <c r="G69" i="444"/>
  <c r="T68" i="444"/>
  <c r="U68" i="444" s="1"/>
  <c r="S68" i="444"/>
  <c r="R68" i="444"/>
  <c r="G68" i="444"/>
  <c r="T67" i="444"/>
  <c r="U67" i="444" s="1"/>
  <c r="S67" i="444"/>
  <c r="R67" i="444"/>
  <c r="G67" i="444"/>
  <c r="T66" i="444"/>
  <c r="U66" i="444" s="1"/>
  <c r="V66" i="444" s="1"/>
  <c r="W66" i="444" s="1"/>
  <c r="S66" i="444"/>
  <c r="R66" i="444"/>
  <c r="G66" i="444"/>
  <c r="T65" i="444"/>
  <c r="U65" i="444" s="1"/>
  <c r="R65" i="444"/>
  <c r="S65" i="444" s="1"/>
  <c r="G65" i="444"/>
  <c r="R64" i="444"/>
  <c r="T64" i="444" s="1"/>
  <c r="U64" i="444" s="1"/>
  <c r="G64" i="444"/>
  <c r="T63" i="444"/>
  <c r="U63" i="444" s="1"/>
  <c r="V63" i="444" s="1"/>
  <c r="W63" i="444" s="1"/>
  <c r="S63" i="444"/>
  <c r="R63" i="444"/>
  <c r="G63" i="444"/>
  <c r="R62" i="444"/>
  <c r="G62" i="444"/>
  <c r="T61" i="444"/>
  <c r="U61" i="444" s="1"/>
  <c r="S61" i="444"/>
  <c r="R61" i="444"/>
  <c r="G61" i="444"/>
  <c r="T60" i="444"/>
  <c r="U60" i="444" s="1"/>
  <c r="V60" i="444" s="1"/>
  <c r="W60" i="444" s="1"/>
  <c r="S60" i="444"/>
  <c r="R60" i="444"/>
  <c r="G60" i="444"/>
  <c r="S59" i="444"/>
  <c r="R59" i="444"/>
  <c r="T59" i="444" s="1"/>
  <c r="U59" i="444" s="1"/>
  <c r="G59" i="444"/>
  <c r="T58" i="444"/>
  <c r="U58" i="444" s="1"/>
  <c r="V58" i="444" s="1"/>
  <c r="W58" i="444" s="1"/>
  <c r="R58" i="444"/>
  <c r="S58" i="444" s="1"/>
  <c r="G58" i="444"/>
  <c r="R57" i="444"/>
  <c r="T57" i="444" s="1"/>
  <c r="U57" i="444" s="1"/>
  <c r="G57" i="444"/>
  <c r="R56" i="444"/>
  <c r="S56" i="444" s="1"/>
  <c r="G56" i="444"/>
  <c r="R55" i="444"/>
  <c r="T55" i="444" s="1"/>
  <c r="U55" i="444" s="1"/>
  <c r="G55" i="444"/>
  <c r="R54" i="444"/>
  <c r="S54" i="444" s="1"/>
  <c r="G54" i="444"/>
  <c r="R53" i="444"/>
  <c r="T53" i="444" s="1"/>
  <c r="U53" i="444" s="1"/>
  <c r="G53" i="444"/>
  <c r="R52" i="444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S49" i="444"/>
  <c r="R49" i="444"/>
  <c r="G49" i="444"/>
  <c r="T48" i="444"/>
  <c r="U48" i="444" s="1"/>
  <c r="S48" i="444"/>
  <c r="R48" i="444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T45" i="444"/>
  <c r="U45" i="444" s="1"/>
  <c r="R45" i="444"/>
  <c r="S45" i="444" s="1"/>
  <c r="G45" i="444"/>
  <c r="R44" i="444"/>
  <c r="T44" i="444" s="1"/>
  <c r="U44" i="444" s="1"/>
  <c r="G44" i="444"/>
  <c r="T43" i="444"/>
  <c r="U43" i="444" s="1"/>
  <c r="V43" i="444" s="1"/>
  <c r="W43" i="444" s="1"/>
  <c r="S43" i="444"/>
  <c r="R43" i="444"/>
  <c r="G43" i="444"/>
  <c r="R42" i="444"/>
  <c r="G42" i="444"/>
  <c r="T41" i="444"/>
  <c r="U41" i="444" s="1"/>
  <c r="V41" i="444" s="1"/>
  <c r="W41" i="444" s="1"/>
  <c r="S41" i="444"/>
  <c r="R41" i="444"/>
  <c r="G41" i="444"/>
  <c r="T40" i="444"/>
  <c r="U40" i="444" s="1"/>
  <c r="V40" i="444" s="1"/>
  <c r="W40" i="444" s="1"/>
  <c r="S40" i="444"/>
  <c r="R40" i="444"/>
  <c r="G40" i="444"/>
  <c r="S39" i="444"/>
  <c r="R39" i="444"/>
  <c r="T39" i="444" s="1"/>
  <c r="U39" i="444" s="1"/>
  <c r="G39" i="444"/>
  <c r="T38" i="444"/>
  <c r="U38" i="444" s="1"/>
  <c r="R38" i="444"/>
  <c r="S38" i="444" s="1"/>
  <c r="G38" i="444"/>
  <c r="R37" i="444"/>
  <c r="T37" i="444" s="1"/>
  <c r="U37" i="444" s="1"/>
  <c r="G37" i="444"/>
  <c r="R36" i="444"/>
  <c r="S36" i="444" s="1"/>
  <c r="G36" i="444"/>
  <c r="R35" i="444"/>
  <c r="T35" i="444" s="1"/>
  <c r="U35" i="444" s="1"/>
  <c r="G35" i="444"/>
  <c r="R34" i="444"/>
  <c r="T34" i="444" s="1"/>
  <c r="U34" i="444" s="1"/>
  <c r="G34" i="444"/>
  <c r="R33" i="444"/>
  <c r="T33" i="444" s="1"/>
  <c r="U33" i="444" s="1"/>
  <c r="G33" i="444"/>
  <c r="R32" i="444"/>
  <c r="G32" i="444"/>
  <c r="R31" i="444"/>
  <c r="T31" i="444" s="1"/>
  <c r="U31" i="444" s="1"/>
  <c r="G31" i="444"/>
  <c r="T30" i="444"/>
  <c r="U30" i="444" s="1"/>
  <c r="S30" i="444"/>
  <c r="R30" i="444"/>
  <c r="G30" i="444"/>
  <c r="T29" i="444"/>
  <c r="U29" i="444" s="1"/>
  <c r="S29" i="444"/>
  <c r="R29" i="444"/>
  <c r="G29" i="444"/>
  <c r="T28" i="444"/>
  <c r="U28" i="444" s="1"/>
  <c r="S28" i="444"/>
  <c r="R28" i="444"/>
  <c r="G28" i="444"/>
  <c r="R27" i="444"/>
  <c r="S27" i="444" s="1"/>
  <c r="G27" i="444"/>
  <c r="T26" i="444"/>
  <c r="U26" i="444" s="1"/>
  <c r="V26" i="444" s="1"/>
  <c r="W26" i="444" s="1"/>
  <c r="S26" i="444"/>
  <c r="R26" i="444"/>
  <c r="G26" i="444"/>
  <c r="T25" i="444"/>
  <c r="U25" i="444" s="1"/>
  <c r="R25" i="444"/>
  <c r="S25" i="444" s="1"/>
  <c r="G25" i="444"/>
  <c r="T24" i="444"/>
  <c r="U24" i="444" s="1"/>
  <c r="V24" i="444" s="1"/>
  <c r="W24" i="444" s="1"/>
  <c r="S24" i="444"/>
  <c r="R24" i="444"/>
  <c r="G24" i="444"/>
  <c r="T23" i="444"/>
  <c r="U23" i="444" s="1"/>
  <c r="V23" i="444" s="1"/>
  <c r="W23" i="444" s="1"/>
  <c r="S23" i="444"/>
  <c r="R23" i="444"/>
  <c r="G23" i="444"/>
  <c r="R22" i="444"/>
  <c r="G22" i="444"/>
  <c r="T21" i="444"/>
  <c r="U21" i="444" s="1"/>
  <c r="V21" i="444" s="1"/>
  <c r="W21" i="444" s="1"/>
  <c r="S21" i="444"/>
  <c r="R21" i="444"/>
  <c r="G21" i="444"/>
  <c r="T20" i="444"/>
  <c r="U20" i="444" s="1"/>
  <c r="V20" i="444" s="1"/>
  <c r="W20" i="444" s="1"/>
  <c r="S20" i="444"/>
  <c r="R20" i="444"/>
  <c r="G20" i="444"/>
  <c r="S19" i="444"/>
  <c r="R19" i="444"/>
  <c r="T19" i="444" s="1"/>
  <c r="U19" i="444" s="1"/>
  <c r="G19" i="444"/>
  <c r="T18" i="444"/>
  <c r="U18" i="444" s="1"/>
  <c r="V18" i="444" s="1"/>
  <c r="W18" i="444" s="1"/>
  <c r="R18" i="444"/>
  <c r="S18" i="444" s="1"/>
  <c r="G18" i="444"/>
  <c r="R17" i="444"/>
  <c r="T17" i="444" s="1"/>
  <c r="U17" i="444" s="1"/>
  <c r="G17" i="444"/>
  <c r="R16" i="444"/>
  <c r="S16" i="444" s="1"/>
  <c r="G16" i="444"/>
  <c r="R15" i="444"/>
  <c r="T15" i="444" s="1"/>
  <c r="U15" i="444" s="1"/>
  <c r="G15" i="444"/>
  <c r="R14" i="444"/>
  <c r="S14" i="444" s="1"/>
  <c r="G14" i="444"/>
  <c r="R13" i="444"/>
  <c r="T13" i="444" s="1"/>
  <c r="U13" i="444" s="1"/>
  <c r="G13" i="444"/>
  <c r="R12" i="444"/>
  <c r="G12" i="444"/>
  <c r="R11" i="444"/>
  <c r="S11" i="444" s="1"/>
  <c r="G11" i="444"/>
  <c r="T10" i="444"/>
  <c r="U10" i="444" s="1"/>
  <c r="S10" i="444"/>
  <c r="R10" i="444"/>
  <c r="G10" i="444"/>
  <c r="T9" i="444"/>
  <c r="U9" i="444" s="1"/>
  <c r="S9" i="444"/>
  <c r="R9" i="444"/>
  <c r="G9" i="444"/>
  <c r="T8" i="444"/>
  <c r="U8" i="444" s="1"/>
  <c r="S8" i="444"/>
  <c r="R8" i="444"/>
  <c r="G8" i="444"/>
  <c r="T7" i="444"/>
  <c r="U7" i="444" s="1"/>
  <c r="S7" i="444"/>
  <c r="R7" i="444"/>
  <c r="G7" i="444"/>
  <c r="T6" i="444"/>
  <c r="U6" i="444" s="1"/>
  <c r="V6" i="444" s="1"/>
  <c r="W6" i="444" s="1"/>
  <c r="S6" i="444"/>
  <c r="R6" i="444"/>
  <c r="G6" i="444"/>
  <c r="T5" i="444"/>
  <c r="U5" i="444" s="1"/>
  <c r="R5" i="444"/>
  <c r="S5" i="444" s="1"/>
  <c r="G5" i="444"/>
  <c r="R4" i="444"/>
  <c r="S4" i="444" s="1"/>
  <c r="G4" i="444"/>
  <c r="T3" i="444"/>
  <c r="U3" i="444" s="1"/>
  <c r="V3" i="444" s="1"/>
  <c r="W3" i="444" s="1"/>
  <c r="S3" i="444"/>
  <c r="R3" i="444"/>
  <c r="G3" i="444"/>
  <c r="R2" i="444"/>
  <c r="G2" i="444"/>
  <c r="C73" i="54"/>
  <c r="C72" i="54"/>
  <c r="C67" i="54"/>
  <c r="G54" i="54"/>
  <c r="E54" i="54"/>
  <c r="F53" i="54"/>
  <c r="F52" i="54"/>
  <c r="I51" i="54"/>
  <c r="H51" i="54"/>
  <c r="I50" i="54" a="1"/>
  <c r="V158" i="444" l="1"/>
  <c r="W158" i="444" s="1"/>
  <c r="V150" i="444"/>
  <c r="W150" i="444" s="1"/>
  <c r="V130" i="444"/>
  <c r="W130" i="444" s="1"/>
  <c r="V30" i="444"/>
  <c r="W30" i="444" s="1"/>
  <c r="V107" i="444"/>
  <c r="W107" i="444" s="1"/>
  <c r="V10" i="444"/>
  <c r="W10" i="444" s="1"/>
  <c r="V8" i="444"/>
  <c r="W8" i="444" s="1"/>
  <c r="V139" i="444"/>
  <c r="W139" i="444" s="1"/>
  <c r="V29" i="444"/>
  <c r="W29" i="444" s="1"/>
  <c r="V9" i="444"/>
  <c r="W9" i="444" s="1"/>
  <c r="V69" i="444"/>
  <c r="W69" i="444" s="1"/>
  <c r="V118" i="444"/>
  <c r="W118" i="444" s="1"/>
  <c r="V49" i="444"/>
  <c r="W49" i="444" s="1"/>
  <c r="V70" i="444"/>
  <c r="W70" i="444" s="1"/>
  <c r="V79" i="444"/>
  <c r="W79" i="444" s="1"/>
  <c r="V68" i="444"/>
  <c r="W68" i="444" s="1"/>
  <c r="V125" i="444"/>
  <c r="W125" i="444" s="1"/>
  <c r="V105" i="444"/>
  <c r="W105" i="444" s="1"/>
  <c r="V100" i="444"/>
  <c r="W100" i="444" s="1"/>
  <c r="V119" i="444"/>
  <c r="W119" i="444" s="1"/>
  <c r="V80" i="444"/>
  <c r="W80" i="444" s="1"/>
  <c r="V61" i="444"/>
  <c r="W61" i="444" s="1"/>
  <c r="V48" i="444"/>
  <c r="W48" i="444" s="1"/>
  <c r="V101" i="444"/>
  <c r="W101" i="444" s="1"/>
  <c r="V148" i="444"/>
  <c r="W148" i="444" s="1"/>
  <c r="V88" i="444"/>
  <c r="W88" i="444" s="1"/>
  <c r="V143" i="444"/>
  <c r="W143" i="444" s="1"/>
  <c r="V128" i="444"/>
  <c r="W128" i="444" s="1"/>
  <c r="V165" i="444"/>
  <c r="W165" i="444" s="1"/>
  <c r="V38" i="444"/>
  <c r="W38" i="444" s="1"/>
  <c r="V39" i="444"/>
  <c r="W39" i="444" s="1"/>
  <c r="V123" i="444"/>
  <c r="W123" i="444" s="1"/>
  <c r="V45" i="444"/>
  <c r="W45" i="444" s="1"/>
  <c r="V144" i="444"/>
  <c r="W144" i="444" s="1"/>
  <c r="V65" i="444"/>
  <c r="W65" i="444" s="1"/>
  <c r="V138" i="444"/>
  <c r="W138" i="444" s="1"/>
  <c r="I50" i="54"/>
  <c r="H52" i="54" s="1"/>
  <c r="V104" i="444"/>
  <c r="W104" i="444" s="1"/>
  <c r="V87" i="444"/>
  <c r="W87" i="444" s="1"/>
  <c r="V164" i="444"/>
  <c r="W164" i="444" s="1"/>
  <c r="T22" i="444"/>
  <c r="U22" i="444" s="1"/>
  <c r="S22" i="444"/>
  <c r="V7" i="444"/>
  <c r="W7" i="444" s="1"/>
  <c r="S92" i="444"/>
  <c r="T92" i="444"/>
  <c r="U92" i="444" s="1"/>
  <c r="S12" i="444"/>
  <c r="T12" i="444"/>
  <c r="U12" i="444" s="1"/>
  <c r="S73" i="444"/>
  <c r="V73" i="444" s="1"/>
  <c r="W73" i="444" s="1"/>
  <c r="T136" i="444"/>
  <c r="U136" i="444" s="1"/>
  <c r="V136" i="444" s="1"/>
  <c r="W136" i="444" s="1"/>
  <c r="T36" i="444"/>
  <c r="U36" i="444" s="1"/>
  <c r="V36" i="444" s="1"/>
  <c r="W36" i="444" s="1"/>
  <c r="S64" i="444"/>
  <c r="V64" i="444" s="1"/>
  <c r="W64" i="444" s="1"/>
  <c r="T102" i="444"/>
  <c r="U102" i="444" s="1"/>
  <c r="S102" i="444"/>
  <c r="T156" i="444"/>
  <c r="U156" i="444" s="1"/>
  <c r="V156" i="444" s="1"/>
  <c r="W156" i="444" s="1"/>
  <c r="T162" i="444"/>
  <c r="U162" i="444" s="1"/>
  <c r="S162" i="444"/>
  <c r="S50" i="444"/>
  <c r="V50" i="444" s="1"/>
  <c r="W50" i="444" s="1"/>
  <c r="T112" i="444"/>
  <c r="U112" i="444" s="1"/>
  <c r="S112" i="444"/>
  <c r="T142" i="444"/>
  <c r="U142" i="444" s="1"/>
  <c r="S142" i="444"/>
  <c r="T32" i="444"/>
  <c r="U32" i="444" s="1"/>
  <c r="S32" i="444"/>
  <c r="T147" i="444"/>
  <c r="U147" i="444" s="1"/>
  <c r="V147" i="444" s="1"/>
  <c r="W147" i="444" s="1"/>
  <c r="S93" i="444"/>
  <c r="V93" i="444" s="1"/>
  <c r="W93" i="444" s="1"/>
  <c r="T84" i="444"/>
  <c r="U84" i="444" s="1"/>
  <c r="V84" i="444" s="1"/>
  <c r="W84" i="444" s="1"/>
  <c r="V19" i="444"/>
  <c r="W19" i="444" s="1"/>
  <c r="T42" i="444"/>
  <c r="U42" i="444" s="1"/>
  <c r="S42" i="444"/>
  <c r="V89" i="444"/>
  <c r="W89" i="444" s="1"/>
  <c r="V108" i="444"/>
  <c r="W108" i="444" s="1"/>
  <c r="S113" i="444"/>
  <c r="V113" i="444" s="1"/>
  <c r="W113" i="444" s="1"/>
  <c r="T122" i="444"/>
  <c r="U122" i="444" s="1"/>
  <c r="S122" i="444"/>
  <c r="V28" i="444"/>
  <c r="W28" i="444" s="1"/>
  <c r="S33" i="444"/>
  <c r="V33" i="444" s="1"/>
  <c r="W33" i="444" s="1"/>
  <c r="T52" i="444"/>
  <c r="U52" i="444" s="1"/>
  <c r="S52" i="444"/>
  <c r="V76" i="444"/>
  <c r="W76" i="444" s="1"/>
  <c r="V85" i="444"/>
  <c r="W85" i="444" s="1"/>
  <c r="S124" i="444"/>
  <c r="V124" i="444" s="1"/>
  <c r="W124" i="444" s="1"/>
  <c r="S153" i="444"/>
  <c r="V153" i="444" s="1"/>
  <c r="W153" i="444" s="1"/>
  <c r="V127" i="444"/>
  <c r="W127" i="444" s="1"/>
  <c r="V5" i="444"/>
  <c r="W5" i="444" s="1"/>
  <c r="F54" i="54"/>
  <c r="T27" i="444"/>
  <c r="U27" i="444" s="1"/>
  <c r="V27" i="444" s="1"/>
  <c r="W27" i="444" s="1"/>
  <c r="T4" i="444"/>
  <c r="U4" i="444" s="1"/>
  <c r="V4" i="444" s="1"/>
  <c r="W4" i="444" s="1"/>
  <c r="V47" i="444"/>
  <c r="W47" i="444" s="1"/>
  <c r="V109" i="444"/>
  <c r="W109" i="444" s="1"/>
  <c r="T132" i="444"/>
  <c r="U132" i="444" s="1"/>
  <c r="S132" i="444"/>
  <c r="S13" i="444"/>
  <c r="V13" i="444" s="1"/>
  <c r="W13" i="444" s="1"/>
  <c r="T62" i="444"/>
  <c r="U62" i="444" s="1"/>
  <c r="S62" i="444"/>
  <c r="V129" i="444"/>
  <c r="W129" i="444" s="1"/>
  <c r="V159" i="444"/>
  <c r="W159" i="444" s="1"/>
  <c r="V149" i="444"/>
  <c r="W149" i="444" s="1"/>
  <c r="V67" i="444"/>
  <c r="W67" i="444" s="1"/>
  <c r="T72" i="444"/>
  <c r="U72" i="444" s="1"/>
  <c r="S72" i="444"/>
  <c r="S53" i="444"/>
  <c r="V53" i="444" s="1"/>
  <c r="W53" i="444" s="1"/>
  <c r="T96" i="444"/>
  <c r="U96" i="444" s="1"/>
  <c r="V96" i="444" s="1"/>
  <c r="W96" i="444" s="1"/>
  <c r="T16" i="444"/>
  <c r="U16" i="444" s="1"/>
  <c r="V16" i="444" s="1"/>
  <c r="W16" i="444" s="1"/>
  <c r="V25" i="444"/>
  <c r="W25" i="444" s="1"/>
  <c r="S44" i="444"/>
  <c r="V44" i="444" s="1"/>
  <c r="W44" i="444" s="1"/>
  <c r="V145" i="444"/>
  <c r="W145" i="444" s="1"/>
  <c r="T152" i="444"/>
  <c r="U152" i="444" s="1"/>
  <c r="S152" i="444"/>
  <c r="T56" i="444"/>
  <c r="U56" i="444" s="1"/>
  <c r="V56" i="444" s="1"/>
  <c r="W56" i="444" s="1"/>
  <c r="V99" i="444"/>
  <c r="W99" i="444" s="1"/>
  <c r="V133" i="444"/>
  <c r="W133" i="444" s="1"/>
  <c r="T82" i="444"/>
  <c r="U82" i="444" s="1"/>
  <c r="S82" i="444"/>
  <c r="T2" i="444"/>
  <c r="U2" i="444" s="1"/>
  <c r="S2" i="444"/>
  <c r="V59" i="444"/>
  <c r="W59" i="444" s="1"/>
  <c r="V116" i="444"/>
  <c r="W116" i="444" s="1"/>
  <c r="S75" i="444"/>
  <c r="V75" i="444" s="1"/>
  <c r="W75" i="444" s="1"/>
  <c r="S95" i="444"/>
  <c r="V95" i="444" s="1"/>
  <c r="W95" i="444" s="1"/>
  <c r="S135" i="444"/>
  <c r="V135" i="444" s="1"/>
  <c r="W135" i="444" s="1"/>
  <c r="S15" i="444"/>
  <c r="V15" i="444" s="1"/>
  <c r="W15" i="444" s="1"/>
  <c r="S35" i="444"/>
  <c r="V35" i="444" s="1"/>
  <c r="W35" i="444" s="1"/>
  <c r="S55" i="444"/>
  <c r="V55" i="444" s="1"/>
  <c r="W55" i="444" s="1"/>
  <c r="S115" i="444"/>
  <c r="V115" i="444" s="1"/>
  <c r="W115" i="444" s="1"/>
  <c r="S155" i="444"/>
  <c r="V155" i="444" s="1"/>
  <c r="W155" i="444" s="1"/>
  <c r="S91" i="444"/>
  <c r="V91" i="444" s="1"/>
  <c r="W91" i="444" s="1"/>
  <c r="S111" i="444"/>
  <c r="V111" i="444" s="1"/>
  <c r="W111" i="444" s="1"/>
  <c r="T11" i="444"/>
  <c r="U11" i="444" s="1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151" i="444"/>
  <c r="V151" i="444" s="1"/>
  <c r="W151" i="444" s="1"/>
  <c r="S34" i="444"/>
  <c r="V34" i="444" s="1"/>
  <c r="W34" i="444" s="1"/>
  <c r="S94" i="444"/>
  <c r="V94" i="444" s="1"/>
  <c r="W94" i="444" s="1"/>
  <c r="T131" i="444"/>
  <c r="U131" i="444" s="1"/>
  <c r="V131" i="444" s="1"/>
  <c r="W131" i="444" s="1"/>
  <c r="S134" i="444"/>
  <c r="V134" i="444" s="1"/>
  <c r="W134" i="444" s="1"/>
  <c r="T14" i="444"/>
  <c r="U14" i="444" s="1"/>
  <c r="V14" i="444" s="1"/>
  <c r="W14" i="444" s="1"/>
  <c r="S17" i="444"/>
  <c r="V17" i="444" s="1"/>
  <c r="W17" i="444" s="1"/>
  <c r="S37" i="444"/>
  <c r="V37" i="444" s="1"/>
  <c r="W37" i="444" s="1"/>
  <c r="T54" i="444"/>
  <c r="U54" i="444" s="1"/>
  <c r="V54" i="444" s="1"/>
  <c r="W54" i="444" s="1"/>
  <c r="S57" i="444"/>
  <c r="V57" i="444" s="1"/>
  <c r="W57" i="444" s="1"/>
  <c r="T74" i="444"/>
  <c r="U74" i="444" s="1"/>
  <c r="V74" i="444" s="1"/>
  <c r="W74" i="444" s="1"/>
  <c r="S77" i="444"/>
  <c r="V77" i="444" s="1"/>
  <c r="W77" i="444" s="1"/>
  <c r="S97" i="444"/>
  <c r="V97" i="444" s="1"/>
  <c r="W97" i="444" s="1"/>
  <c r="T114" i="444"/>
  <c r="U114" i="444" s="1"/>
  <c r="V114" i="444" s="1"/>
  <c r="W114" i="444" s="1"/>
  <c r="S117" i="444"/>
  <c r="V117" i="444" s="1"/>
  <c r="W117" i="444" s="1"/>
  <c r="S137" i="444"/>
  <c r="V137" i="444" s="1"/>
  <c r="W137" i="444" s="1"/>
  <c r="T154" i="444"/>
  <c r="U154" i="444" s="1"/>
  <c r="V154" i="444" s="1"/>
  <c r="W154" i="444" s="1"/>
  <c r="S157" i="444"/>
  <c r="V157" i="444" s="1"/>
  <c r="W157" i="444" s="1"/>
  <c r="S120" i="444"/>
  <c r="V120" i="444" s="1"/>
  <c r="W120" i="444" s="1"/>
  <c r="S140" i="444"/>
  <c r="V140" i="444" s="1"/>
  <c r="W140" i="444" s="1"/>
  <c r="S160" i="444"/>
  <c r="V160" i="444" s="1"/>
  <c r="W160" i="444" s="1"/>
  <c r="S163" i="444"/>
  <c r="V163" i="444" s="1"/>
  <c r="W163" i="444" s="1"/>
  <c r="C45" i="54"/>
  <c r="D45" i="54" s="1"/>
  <c r="C43" i="54"/>
  <c r="F41" i="54"/>
  <c r="C36" i="54"/>
  <c r="C38" i="54" s="1"/>
  <c r="D38" i="54" s="1"/>
  <c r="I32" i="54"/>
  <c r="I31" i="54"/>
  <c r="I30" i="54"/>
  <c r="C29" i="54"/>
  <c r="C31" i="54" s="1"/>
  <c r="D31" i="54" s="1"/>
  <c r="E23" i="54"/>
  <c r="I22" i="54"/>
  <c r="K21" i="54"/>
  <c r="K19" i="54"/>
  <c r="E18" i="54"/>
  <c r="E17" i="54"/>
  <c r="H14" i="54"/>
  <c r="G14" i="54"/>
  <c r="H13" i="54"/>
  <c r="G13" i="54"/>
  <c r="H12" i="54"/>
  <c r="G12" i="54"/>
  <c r="G11" i="54"/>
  <c r="H11" i="54" s="1"/>
  <c r="H10" i="54"/>
  <c r="G10" i="54"/>
  <c r="H9" i="54"/>
  <c r="G9" i="54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E42" i="415" s="1"/>
  <c r="D17" i="415"/>
  <c r="E17" i="415" s="1"/>
  <c r="C17" i="415"/>
  <c r="D16" i="415"/>
  <c r="C16" i="415"/>
  <c r="E16" i="415" s="1"/>
  <c r="D15" i="415"/>
  <c r="C15" i="415"/>
  <c r="D14" i="415"/>
  <c r="C14" i="415"/>
  <c r="E14" i="415" s="1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L15" i="385" s="1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P38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P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C54" i="385"/>
  <c r="Q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P26" i="385"/>
  <c r="C26" i="385"/>
  <c r="Q25" i="385"/>
  <c r="P25" i="385"/>
  <c r="C25" i="385"/>
  <c r="Q24" i="385"/>
  <c r="P24" i="385"/>
  <c r="C24" i="385"/>
  <c r="Q23" i="385"/>
  <c r="P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E43" i="415" l="1"/>
  <c r="L5" i="385"/>
  <c r="K28" i="385"/>
  <c r="E11" i="415"/>
  <c r="E12" i="415"/>
  <c r="E13" i="415"/>
  <c r="G6" i="385"/>
  <c r="S24" i="385"/>
  <c r="I90" i="385"/>
  <c r="G18" i="385"/>
  <c r="I125" i="385"/>
  <c r="S20" i="385"/>
  <c r="P7" i="385"/>
  <c r="I13" i="385"/>
  <c r="D31" i="385"/>
  <c r="P35" i="385"/>
  <c r="I24" i="385"/>
  <c r="I29" i="385"/>
  <c r="P42" i="385"/>
  <c r="I8" i="385"/>
  <c r="I14" i="385"/>
  <c r="I50" i="385"/>
  <c r="G30" i="385"/>
  <c r="P50" i="385"/>
  <c r="S50" i="385" s="1"/>
  <c r="D9" i="385"/>
  <c r="D20" i="385"/>
  <c r="D25" i="385"/>
  <c r="P30" i="385"/>
  <c r="D43" i="385"/>
  <c r="I89" i="385"/>
  <c r="I129" i="385"/>
  <c r="P9" i="385"/>
  <c r="I20" i="385"/>
  <c r="I25" i="385"/>
  <c r="D37" i="385"/>
  <c r="P14" i="385"/>
  <c r="G16" i="385"/>
  <c r="P15" i="385"/>
  <c r="D44" i="385"/>
  <c r="I85" i="385"/>
  <c r="I44" i="385"/>
  <c r="I5" i="385"/>
  <c r="G38" i="385"/>
  <c r="I81" i="385"/>
  <c r="I16" i="385"/>
  <c r="I10" i="385"/>
  <c r="P5" i="385"/>
  <c r="R5" i="385" s="1"/>
  <c r="D33" i="385"/>
  <c r="D53" i="385"/>
  <c r="D29" i="385"/>
  <c r="D52" i="385"/>
  <c r="I153" i="385"/>
  <c r="I53" i="385"/>
  <c r="D17" i="385"/>
  <c r="I101" i="385"/>
  <c r="I56" i="385"/>
  <c r="I121" i="385"/>
  <c r="I165" i="385"/>
  <c r="G34" i="385"/>
  <c r="D41" i="385"/>
  <c r="P54" i="385"/>
  <c r="S54" i="385" s="1"/>
  <c r="D5" i="385"/>
  <c r="P67" i="385"/>
  <c r="I26" i="385"/>
  <c r="D11" i="385"/>
  <c r="G22" i="385"/>
  <c r="P71" i="385"/>
  <c r="S71" i="385" s="1"/>
  <c r="I6" i="385"/>
  <c r="D23" i="385"/>
  <c r="D28" i="385"/>
  <c r="I34" i="385"/>
  <c r="I41" i="385"/>
  <c r="P66" i="385"/>
  <c r="R66" i="385" s="1"/>
  <c r="I141" i="385"/>
  <c r="D16" i="385"/>
  <c r="P45" i="385"/>
  <c r="D27" i="385"/>
  <c r="I12" i="385"/>
  <c r="D7" i="385"/>
  <c r="D13" i="385"/>
  <c r="I18" i="385"/>
  <c r="P34" i="385"/>
  <c r="S34" i="385" s="1"/>
  <c r="P41" i="385"/>
  <c r="D48" i="385"/>
  <c r="I161" i="385"/>
  <c r="E10" i="415"/>
  <c r="E44" i="415"/>
  <c r="E45" i="415"/>
  <c r="C51" i="415"/>
  <c r="L39" i="385"/>
  <c r="E15" i="415"/>
  <c r="L27" i="385"/>
  <c r="L23" i="385"/>
  <c r="L51" i="385"/>
  <c r="L9" i="385"/>
  <c r="L19" i="385"/>
  <c r="K20" i="385"/>
  <c r="K6" i="385"/>
  <c r="L47" i="385"/>
  <c r="L35" i="385"/>
  <c r="K12" i="385"/>
  <c r="K24" i="385"/>
  <c r="K36" i="385"/>
  <c r="L11" i="385"/>
  <c r="L31" i="385"/>
  <c r="L7" i="385"/>
  <c r="L43" i="385"/>
  <c r="K22" i="385"/>
  <c r="K8" i="385"/>
  <c r="K16" i="385"/>
  <c r="K32" i="385"/>
  <c r="R24" i="385"/>
  <c r="V42" i="444"/>
  <c r="W42" i="444" s="1"/>
  <c r="R60" i="385"/>
  <c r="V12" i="444"/>
  <c r="W12" i="444" s="1"/>
  <c r="V32" i="444"/>
  <c r="W32" i="444" s="1"/>
  <c r="V92" i="444"/>
  <c r="W92" i="444" s="1"/>
  <c r="R20" i="385"/>
  <c r="V112" i="444"/>
  <c r="W112" i="444" s="1"/>
  <c r="V162" i="444"/>
  <c r="W162" i="444" s="1"/>
  <c r="V122" i="444"/>
  <c r="W122" i="444" s="1"/>
  <c r="P47" i="385"/>
  <c r="I114" i="385"/>
  <c r="I154" i="385"/>
  <c r="D39" i="385"/>
  <c r="P43" i="385"/>
  <c r="I52" i="385"/>
  <c r="I65" i="385"/>
  <c r="I70" i="385"/>
  <c r="I110" i="385"/>
  <c r="I150" i="385"/>
  <c r="I190" i="385"/>
  <c r="S23" i="385"/>
  <c r="R23" i="385"/>
  <c r="I9" i="385"/>
  <c r="P27" i="385"/>
  <c r="D35" i="385"/>
  <c r="P55" i="385"/>
  <c r="I57" i="385"/>
  <c r="S63" i="385"/>
  <c r="R63" i="385"/>
  <c r="I117" i="385"/>
  <c r="I157" i="385"/>
  <c r="D24" i="385"/>
  <c r="P31" i="385"/>
  <c r="P39" i="385"/>
  <c r="I48" i="385"/>
  <c r="I106" i="385"/>
  <c r="I146" i="385"/>
  <c r="I186" i="385"/>
  <c r="S58" i="385"/>
  <c r="R58" i="385"/>
  <c r="I113" i="385"/>
  <c r="I187" i="385"/>
  <c r="I179" i="385"/>
  <c r="I171" i="385"/>
  <c r="I159" i="385"/>
  <c r="I147" i="385"/>
  <c r="I143" i="385"/>
  <c r="I127" i="385"/>
  <c r="I119" i="385"/>
  <c r="I111" i="385"/>
  <c r="I99" i="385"/>
  <c r="I87" i="385"/>
  <c r="I75" i="385"/>
  <c r="I71" i="385"/>
  <c r="P64" i="385"/>
  <c r="P56" i="385"/>
  <c r="I51" i="385"/>
  <c r="P48" i="385"/>
  <c r="D46" i="385"/>
  <c r="P40" i="385"/>
  <c r="D38" i="385"/>
  <c r="D34" i="385"/>
  <c r="I31" i="385"/>
  <c r="P28" i="385"/>
  <c r="D26" i="385"/>
  <c r="D22" i="385"/>
  <c r="D18" i="385"/>
  <c r="I15" i="385"/>
  <c r="P12" i="385"/>
  <c r="D10" i="385"/>
  <c r="I7" i="385"/>
  <c r="I68" i="385"/>
  <c r="I183" i="385"/>
  <c r="I167" i="385"/>
  <c r="I151" i="385"/>
  <c r="I135" i="385"/>
  <c r="I123" i="385"/>
  <c r="I107" i="385"/>
  <c r="I95" i="385"/>
  <c r="I79" i="385"/>
  <c r="P72" i="385"/>
  <c r="I67" i="385"/>
  <c r="I63" i="385"/>
  <c r="I55" i="385"/>
  <c r="P52" i="385"/>
  <c r="D50" i="385"/>
  <c r="P77" i="385"/>
  <c r="P65" i="385"/>
  <c r="I191" i="385"/>
  <c r="I175" i="385"/>
  <c r="I163" i="385"/>
  <c r="I155" i="385"/>
  <c r="I139" i="385"/>
  <c r="I131" i="385"/>
  <c r="I115" i="385"/>
  <c r="I103" i="385"/>
  <c r="I91" i="385"/>
  <c r="I83" i="385"/>
  <c r="P76" i="385"/>
  <c r="P68" i="385"/>
  <c r="I59" i="385"/>
  <c r="D54" i="385"/>
  <c r="I47" i="385"/>
  <c r="P44" i="385"/>
  <c r="I43" i="385"/>
  <c r="D42" i="385"/>
  <c r="I39" i="385"/>
  <c r="P36" i="385"/>
  <c r="I35" i="385"/>
  <c r="P32" i="385"/>
  <c r="D30" i="385"/>
  <c r="I27" i="385"/>
  <c r="I23" i="385"/>
  <c r="I19" i="385"/>
  <c r="P16" i="385"/>
  <c r="D14" i="385"/>
  <c r="I11" i="385"/>
  <c r="P8" i="385"/>
  <c r="D6" i="385"/>
  <c r="F15" i="385"/>
  <c r="I80" i="385"/>
  <c r="P69" i="385"/>
  <c r="I60" i="385"/>
  <c r="F43" i="385"/>
  <c r="F27" i="385"/>
  <c r="F23" i="385"/>
  <c r="F19" i="385"/>
  <c r="I72" i="385"/>
  <c r="F39" i="385"/>
  <c r="F31" i="385"/>
  <c r="F47" i="385"/>
  <c r="F35" i="385"/>
  <c r="F11" i="385"/>
  <c r="F7" i="385"/>
  <c r="I76" i="385"/>
  <c r="I184" i="385"/>
  <c r="I176" i="385"/>
  <c r="I168" i="385"/>
  <c r="I164" i="385"/>
  <c r="I160" i="385"/>
  <c r="I152" i="385"/>
  <c r="I148" i="385"/>
  <c r="I140" i="385"/>
  <c r="I132" i="385"/>
  <c r="I128" i="385"/>
  <c r="I120" i="385"/>
  <c r="I116" i="385"/>
  <c r="I112" i="385"/>
  <c r="I104" i="385"/>
  <c r="I96" i="385"/>
  <c r="I92" i="385"/>
  <c r="I84" i="385"/>
  <c r="P73" i="385"/>
  <c r="I188" i="385"/>
  <c r="I180" i="385"/>
  <c r="I172" i="385"/>
  <c r="I156" i="385"/>
  <c r="I144" i="385"/>
  <c r="I136" i="385"/>
  <c r="I124" i="385"/>
  <c r="I108" i="385"/>
  <c r="I100" i="385"/>
  <c r="I88" i="385"/>
  <c r="I64" i="385"/>
  <c r="F13" i="385"/>
  <c r="F9" i="385"/>
  <c r="F5" i="385"/>
  <c r="S30" i="385"/>
  <c r="R30" i="385"/>
  <c r="R9" i="385"/>
  <c r="S9" i="385"/>
  <c r="I102" i="385"/>
  <c r="F54" i="385"/>
  <c r="S35" i="385"/>
  <c r="R35" i="385"/>
  <c r="I62" i="385"/>
  <c r="I17" i="385"/>
  <c r="I28" i="385"/>
  <c r="D40" i="385"/>
  <c r="P53" i="385"/>
  <c r="P75" i="385"/>
  <c r="I109" i="385"/>
  <c r="I149" i="385"/>
  <c r="I189" i="385"/>
  <c r="P6" i="385"/>
  <c r="G10" i="385"/>
  <c r="P17" i="385"/>
  <c r="D21" i="385"/>
  <c r="I32" i="385"/>
  <c r="D36" i="385"/>
  <c r="I40" i="385"/>
  <c r="I49" i="385"/>
  <c r="S57" i="385"/>
  <c r="R57" i="385"/>
  <c r="I98" i="385"/>
  <c r="I138" i="385"/>
  <c r="I178" i="385"/>
  <c r="D45" i="385"/>
  <c r="I185" i="385"/>
  <c r="I77" i="385"/>
  <c r="I142" i="385"/>
  <c r="I182" i="385"/>
  <c r="P13" i="385"/>
  <c r="D32" i="385"/>
  <c r="D49" i="385"/>
  <c r="P70" i="385"/>
  <c r="I21" i="385"/>
  <c r="I36" i="385"/>
  <c r="P49" i="385"/>
  <c r="I105" i="385"/>
  <c r="I145" i="385"/>
  <c r="P10" i="385"/>
  <c r="G14" i="385"/>
  <c r="S21" i="385"/>
  <c r="R21" i="385"/>
  <c r="I45" i="385"/>
  <c r="I54" i="385"/>
  <c r="I69" i="385"/>
  <c r="I74" i="385"/>
  <c r="I94" i="385"/>
  <c r="I134" i="385"/>
  <c r="I174" i="385"/>
  <c r="S38" i="385"/>
  <c r="R38" i="385"/>
  <c r="I181" i="385"/>
  <c r="S67" i="385"/>
  <c r="R67" i="385"/>
  <c r="I130" i="385"/>
  <c r="I170" i="385"/>
  <c r="S62" i="385"/>
  <c r="R62" i="385"/>
  <c r="I137" i="385"/>
  <c r="S41" i="385"/>
  <c r="R41" i="385"/>
  <c r="S59" i="385"/>
  <c r="R59" i="385"/>
  <c r="I177" i="385"/>
  <c r="I22" i="385"/>
  <c r="P29" i="385"/>
  <c r="I33" i="385"/>
  <c r="I37" i="385"/>
  <c r="I46" i="385"/>
  <c r="I66" i="385"/>
  <c r="I86" i="385"/>
  <c r="I126" i="385"/>
  <c r="I166" i="385"/>
  <c r="R45" i="385"/>
  <c r="S45" i="385"/>
  <c r="S14" i="385"/>
  <c r="R14" i="385"/>
  <c r="S18" i="385"/>
  <c r="R18" i="385"/>
  <c r="S25" i="385"/>
  <c r="R25" i="385"/>
  <c r="P11" i="385"/>
  <c r="P46" i="385"/>
  <c r="I133" i="385"/>
  <c r="I173" i="385"/>
  <c r="R54" i="385"/>
  <c r="S7" i="385"/>
  <c r="R7" i="385"/>
  <c r="I61" i="385"/>
  <c r="I97" i="385"/>
  <c r="D15" i="385"/>
  <c r="P33" i="385"/>
  <c r="P37" i="385"/>
  <c r="P74" i="385"/>
  <c r="I93" i="385"/>
  <c r="D8" i="385"/>
  <c r="D19" i="385"/>
  <c r="S22" i="385"/>
  <c r="R22" i="385"/>
  <c r="G26" i="385"/>
  <c r="I42" i="385"/>
  <c r="D51" i="385"/>
  <c r="I58" i="385"/>
  <c r="I82" i="385"/>
  <c r="I122" i="385"/>
  <c r="I162" i="385"/>
  <c r="S15" i="385"/>
  <c r="R15" i="385"/>
  <c r="S42" i="385"/>
  <c r="R42" i="385"/>
  <c r="I169" i="385"/>
  <c r="D12" i="385"/>
  <c r="S19" i="385"/>
  <c r="R19" i="385"/>
  <c r="S26" i="385"/>
  <c r="R26" i="385"/>
  <c r="I30" i="385"/>
  <c r="I38" i="385"/>
  <c r="D47" i="385"/>
  <c r="P51" i="385"/>
  <c r="S61" i="385"/>
  <c r="R61" i="385"/>
  <c r="I73" i="385"/>
  <c r="I78" i="385"/>
  <c r="I118" i="385"/>
  <c r="I158" i="385"/>
  <c r="G42" i="385"/>
  <c r="G54" i="385"/>
  <c r="S60" i="385"/>
  <c r="C18" i="415"/>
  <c r="D31" i="415"/>
  <c r="C38" i="415"/>
  <c r="D51" i="415"/>
  <c r="E51" i="415" s="1"/>
  <c r="V2" i="444"/>
  <c r="W2" i="444" s="1"/>
  <c r="G46" i="385"/>
  <c r="G50" i="385"/>
  <c r="C5" i="415"/>
  <c r="D18" i="415"/>
  <c r="C25" i="415"/>
  <c r="D38" i="415"/>
  <c r="D5" i="415"/>
  <c r="D25" i="415"/>
  <c r="C32" i="415"/>
  <c r="C52" i="415"/>
  <c r="V82" i="444"/>
  <c r="W82" i="444" s="1"/>
  <c r="C19" i="415"/>
  <c r="D32" i="415"/>
  <c r="C39" i="415"/>
  <c r="D52" i="415"/>
  <c r="K26" i="385"/>
  <c r="F29" i="385"/>
  <c r="K30" i="385"/>
  <c r="F33" i="385"/>
  <c r="K34" i="385"/>
  <c r="F37" i="385"/>
  <c r="K38" i="385"/>
  <c r="F41" i="385"/>
  <c r="K42" i="385"/>
  <c r="F45" i="385"/>
  <c r="K46" i="385"/>
  <c r="F49" i="385"/>
  <c r="K50" i="385"/>
  <c r="F53" i="385"/>
  <c r="K54" i="385"/>
  <c r="C6" i="415"/>
  <c r="D19" i="415"/>
  <c r="C26" i="415"/>
  <c r="D39" i="415"/>
  <c r="C46" i="415"/>
  <c r="B4" i="383"/>
  <c r="K10" i="385"/>
  <c r="K14" i="385"/>
  <c r="F17" i="385"/>
  <c r="K18" i="385"/>
  <c r="F21" i="385"/>
  <c r="F25" i="385"/>
  <c r="G5" i="385"/>
  <c r="L6" i="385"/>
  <c r="G9" i="385"/>
  <c r="L10" i="385"/>
  <c r="G13" i="385"/>
  <c r="L14" i="385"/>
  <c r="G17" i="385"/>
  <c r="L18" i="385"/>
  <c r="G21" i="385"/>
  <c r="L22" i="385"/>
  <c r="G25" i="385"/>
  <c r="L26" i="385"/>
  <c r="G29" i="385"/>
  <c r="L30" i="385"/>
  <c r="G33" i="385"/>
  <c r="L34" i="385"/>
  <c r="G37" i="385"/>
  <c r="L38" i="385"/>
  <c r="G41" i="385"/>
  <c r="L42" i="385"/>
  <c r="G45" i="385"/>
  <c r="L46" i="385"/>
  <c r="G49" i="385"/>
  <c r="L50" i="385"/>
  <c r="G53" i="385"/>
  <c r="L54" i="385"/>
  <c r="D6" i="415"/>
  <c r="D26" i="415"/>
  <c r="C33" i="415"/>
  <c r="D46" i="415"/>
  <c r="C53" i="415"/>
  <c r="V62" i="444"/>
  <c r="W62" i="444" s="1"/>
  <c r="V142" i="444"/>
  <c r="W142" i="444" s="1"/>
  <c r="C20" i="415"/>
  <c r="D33" i="415"/>
  <c r="C40" i="415"/>
  <c r="D53" i="415"/>
  <c r="V52" i="444"/>
  <c r="W52" i="444" s="1"/>
  <c r="C7" i="415"/>
  <c r="D20" i="415"/>
  <c r="C27" i="415"/>
  <c r="D40" i="415"/>
  <c r="C47" i="415"/>
  <c r="D7" i="415"/>
  <c r="D27" i="415"/>
  <c r="C34" i="415"/>
  <c r="D47" i="415"/>
  <c r="C54" i="415"/>
  <c r="V152" i="444"/>
  <c r="W152" i="444" s="1"/>
  <c r="K5" i="385"/>
  <c r="F8" i="385"/>
  <c r="K9" i="385"/>
  <c r="F12" i="385"/>
  <c r="K13" i="385"/>
  <c r="F16" i="385"/>
  <c r="K17" i="385"/>
  <c r="F20" i="385"/>
  <c r="K21" i="385"/>
  <c r="F24" i="385"/>
  <c r="K25" i="385"/>
  <c r="F28" i="385"/>
  <c r="K29" i="385"/>
  <c r="F32" i="385"/>
  <c r="K33" i="385"/>
  <c r="F36" i="385"/>
  <c r="K37" i="385"/>
  <c r="F40" i="385"/>
  <c r="K41" i="385"/>
  <c r="F44" i="385"/>
  <c r="K45" i="385"/>
  <c r="F48" i="385"/>
  <c r="K49" i="385"/>
  <c r="F52" i="385"/>
  <c r="K53" i="385"/>
  <c r="C21" i="415"/>
  <c r="D34" i="415"/>
  <c r="C41" i="415"/>
  <c r="D54" i="415"/>
  <c r="V132" i="444"/>
  <c r="W132" i="444" s="1"/>
  <c r="V22" i="444"/>
  <c r="W22" i="444" s="1"/>
  <c r="G8" i="385"/>
  <c r="G12" i="385"/>
  <c r="L13" i="385"/>
  <c r="L17" i="385"/>
  <c r="L21" i="385"/>
  <c r="L25" i="385"/>
  <c r="L29" i="385"/>
  <c r="L33" i="385"/>
  <c r="L37" i="385"/>
  <c r="L41" i="385"/>
  <c r="L45" i="385"/>
  <c r="L49" i="385"/>
  <c r="G52" i="385"/>
  <c r="C8" i="415"/>
  <c r="D21" i="415"/>
  <c r="C28" i="415"/>
  <c r="D41" i="415"/>
  <c r="C48" i="415"/>
  <c r="G20" i="385"/>
  <c r="G24" i="385"/>
  <c r="G28" i="385"/>
  <c r="G32" i="385"/>
  <c r="G36" i="385"/>
  <c r="G40" i="385"/>
  <c r="G44" i="385"/>
  <c r="G48" i="385"/>
  <c r="L53" i="385"/>
  <c r="D8" i="415"/>
  <c r="D28" i="415"/>
  <c r="C35" i="415"/>
  <c r="D48" i="415"/>
  <c r="C22" i="415"/>
  <c r="D35" i="415"/>
  <c r="C9" i="415"/>
  <c r="E9" i="415" s="1"/>
  <c r="D22" i="415"/>
  <c r="C29" i="415"/>
  <c r="C49" i="415"/>
  <c r="K40" i="385"/>
  <c r="K52" i="385"/>
  <c r="D9" i="415"/>
  <c r="D29" i="415"/>
  <c r="C36" i="415"/>
  <c r="D49" i="415"/>
  <c r="V102" i="444"/>
  <c r="W102" i="444" s="1"/>
  <c r="K44" i="385"/>
  <c r="K48" i="385"/>
  <c r="G7" i="385"/>
  <c r="L8" i="385"/>
  <c r="G11" i="385"/>
  <c r="L12" i="385"/>
  <c r="G15" i="385"/>
  <c r="L16" i="385"/>
  <c r="G19" i="385"/>
  <c r="L20" i="385"/>
  <c r="G23" i="385"/>
  <c r="L24" i="385"/>
  <c r="G27" i="385"/>
  <c r="L28" i="385"/>
  <c r="G31" i="385"/>
  <c r="L32" i="385"/>
  <c r="G35" i="385"/>
  <c r="L36" i="385"/>
  <c r="G39" i="385"/>
  <c r="L40" i="385"/>
  <c r="G43" i="385"/>
  <c r="L44" i="385"/>
  <c r="G47" i="385"/>
  <c r="L48" i="385"/>
  <c r="G51" i="385"/>
  <c r="L52" i="385"/>
  <c r="C23" i="415"/>
  <c r="D36" i="415"/>
  <c r="F51" i="385"/>
  <c r="D23" i="415"/>
  <c r="C30" i="415"/>
  <c r="C50" i="415"/>
  <c r="D30" i="415"/>
  <c r="C37" i="415"/>
  <c r="D50" i="415"/>
  <c r="V72" i="444"/>
  <c r="W72" i="444" s="1"/>
  <c r="C24" i="415"/>
  <c r="D37" i="415"/>
  <c r="F6" i="385"/>
  <c r="K7" i="385"/>
  <c r="F10" i="385"/>
  <c r="K11" i="385"/>
  <c r="F14" i="385"/>
  <c r="K15" i="385"/>
  <c r="F18" i="385"/>
  <c r="K19" i="385"/>
  <c r="F22" i="385"/>
  <c r="K23" i="385"/>
  <c r="F26" i="385"/>
  <c r="K27" i="385"/>
  <c r="F30" i="385"/>
  <c r="K31" i="385"/>
  <c r="F34" i="385"/>
  <c r="K35" i="385"/>
  <c r="F38" i="385"/>
  <c r="K39" i="385"/>
  <c r="F42" i="385"/>
  <c r="K43" i="385"/>
  <c r="F46" i="385"/>
  <c r="K47" i="385"/>
  <c r="F50" i="385"/>
  <c r="K51" i="385"/>
  <c r="D24" i="415"/>
  <c r="C31" i="415"/>
  <c r="I53" i="54"/>
  <c r="H53" i="54"/>
  <c r="H54" i="54" s="1"/>
  <c r="I52" i="54"/>
  <c r="E6" i="415" l="1"/>
  <c r="E27" i="415"/>
  <c r="R34" i="385"/>
  <c r="R50" i="385"/>
  <c r="S66" i="385"/>
  <c r="R71" i="385"/>
  <c r="S5" i="385"/>
  <c r="E26" i="415"/>
  <c r="E20" i="415"/>
  <c r="E23" i="415"/>
  <c r="E54" i="415"/>
  <c r="E41" i="415"/>
  <c r="E34" i="415"/>
  <c r="E35" i="415"/>
  <c r="E31" i="415"/>
  <c r="E52" i="415"/>
  <c r="E47" i="415"/>
  <c r="E25" i="415"/>
  <c r="E50" i="415"/>
  <c r="E53" i="415"/>
  <c r="E36" i="415"/>
  <c r="E30" i="415"/>
  <c r="E5" i="415"/>
  <c r="E33" i="415"/>
  <c r="E24" i="415"/>
  <c r="R48" i="385"/>
  <c r="S48" i="385"/>
  <c r="R68" i="385"/>
  <c r="S68" i="385"/>
  <c r="M38" i="385"/>
  <c r="E38" i="385" s="1"/>
  <c r="J38" i="385"/>
  <c r="H38" i="385"/>
  <c r="M25" i="385"/>
  <c r="E25" i="385" s="1"/>
  <c r="J25" i="385"/>
  <c r="H25" i="385"/>
  <c r="M42" i="385"/>
  <c r="E42" i="385" s="1"/>
  <c r="J42" i="385"/>
  <c r="H42" i="385"/>
  <c r="R8" i="385"/>
  <c r="S8" i="385"/>
  <c r="M24" i="385"/>
  <c r="E24" i="385" s="1"/>
  <c r="J24" i="385"/>
  <c r="H24" i="385"/>
  <c r="E7" i="415"/>
  <c r="M21" i="385"/>
  <c r="E21" i="385" s="1"/>
  <c r="J21" i="385"/>
  <c r="H21" i="385"/>
  <c r="M37" i="385"/>
  <c r="E37" i="385" s="1"/>
  <c r="J37" i="385"/>
  <c r="H37" i="385"/>
  <c r="M54" i="385"/>
  <c r="E54" i="385" s="1"/>
  <c r="J54" i="385"/>
  <c r="H54" i="385"/>
  <c r="R56" i="385"/>
  <c r="S56" i="385"/>
  <c r="M28" i="385"/>
  <c r="E28" i="385" s="1"/>
  <c r="J28" i="385"/>
  <c r="H28" i="385"/>
  <c r="E37" i="415"/>
  <c r="M34" i="385"/>
  <c r="E34" i="385" s="1"/>
  <c r="J34" i="385"/>
  <c r="H34" i="385"/>
  <c r="E48" i="415"/>
  <c r="S49" i="385"/>
  <c r="R49" i="385"/>
  <c r="R16" i="385"/>
  <c r="S16" i="385"/>
  <c r="R64" i="385"/>
  <c r="S64" i="385"/>
  <c r="J7" i="385"/>
  <c r="H7" i="385"/>
  <c r="M7" i="385"/>
  <c r="E7" i="385" s="1"/>
  <c r="M20" i="385"/>
  <c r="E20" i="385" s="1"/>
  <c r="J20" i="385"/>
  <c r="H20" i="385"/>
  <c r="E28" i="415"/>
  <c r="E38" i="415"/>
  <c r="S73" i="385"/>
  <c r="R73" i="385"/>
  <c r="J11" i="385"/>
  <c r="H11" i="385"/>
  <c r="M11" i="385"/>
  <c r="E11" i="385" s="1"/>
  <c r="R40" i="385"/>
  <c r="S40" i="385"/>
  <c r="R76" i="385"/>
  <c r="S76" i="385"/>
  <c r="M41" i="385"/>
  <c r="E41" i="385" s="1"/>
  <c r="J41" i="385"/>
  <c r="H41" i="385"/>
  <c r="E21" i="415"/>
  <c r="M16" i="385"/>
  <c r="E16" i="385" s="1"/>
  <c r="J16" i="385"/>
  <c r="H16" i="385"/>
  <c r="M29" i="385"/>
  <c r="E29" i="385" s="1"/>
  <c r="J29" i="385"/>
  <c r="H29" i="385"/>
  <c r="R17" i="385"/>
  <c r="S17" i="385"/>
  <c r="J35" i="385"/>
  <c r="H35" i="385"/>
  <c r="M35" i="385"/>
  <c r="E35" i="385" s="1"/>
  <c r="S39" i="385"/>
  <c r="R39" i="385"/>
  <c r="M6" i="385"/>
  <c r="E6" i="385" s="1"/>
  <c r="J6" i="385"/>
  <c r="H6" i="385"/>
  <c r="M17" i="385"/>
  <c r="E17" i="385" s="1"/>
  <c r="J17" i="385"/>
  <c r="H17" i="385"/>
  <c r="M30" i="385"/>
  <c r="E30" i="385" s="1"/>
  <c r="J30" i="385"/>
  <c r="H30" i="385"/>
  <c r="S29" i="385"/>
  <c r="R29" i="385"/>
  <c r="S70" i="385"/>
  <c r="R70" i="385"/>
  <c r="J47" i="385"/>
  <c r="H47" i="385"/>
  <c r="M47" i="385"/>
  <c r="E47" i="385" s="1"/>
  <c r="S31" i="385"/>
  <c r="R31" i="385"/>
  <c r="E29" i="415"/>
  <c r="M26" i="385"/>
  <c r="E26" i="385" s="1"/>
  <c r="J26" i="385"/>
  <c r="H26" i="385"/>
  <c r="E8" i="415"/>
  <c r="E18" i="415"/>
  <c r="M52" i="385"/>
  <c r="E52" i="385" s="1"/>
  <c r="J52" i="385"/>
  <c r="H52" i="385"/>
  <c r="M12" i="385"/>
  <c r="E12" i="385" s="1"/>
  <c r="J12" i="385"/>
  <c r="H12" i="385"/>
  <c r="E46" i="415"/>
  <c r="S74" i="385"/>
  <c r="R74" i="385"/>
  <c r="S11" i="385"/>
  <c r="R11" i="385"/>
  <c r="S6" i="385"/>
  <c r="R6" i="385"/>
  <c r="J31" i="385"/>
  <c r="H31" i="385"/>
  <c r="M31" i="385"/>
  <c r="E31" i="385" s="1"/>
  <c r="R32" i="385"/>
  <c r="S32" i="385"/>
  <c r="M32" i="385"/>
  <c r="E32" i="385" s="1"/>
  <c r="J32" i="385"/>
  <c r="H32" i="385"/>
  <c r="S10" i="385"/>
  <c r="R10" i="385"/>
  <c r="E49" i="415"/>
  <c r="M33" i="385"/>
  <c r="E33" i="385" s="1"/>
  <c r="J33" i="385"/>
  <c r="H33" i="385"/>
  <c r="E40" i="415"/>
  <c r="J51" i="385"/>
  <c r="H51" i="385"/>
  <c r="M51" i="385"/>
  <c r="E51" i="385" s="1"/>
  <c r="S46" i="385"/>
  <c r="R46" i="385"/>
  <c r="J52" i="54"/>
  <c r="I54" i="54"/>
  <c r="M22" i="385"/>
  <c r="E22" i="385" s="1"/>
  <c r="J22" i="385"/>
  <c r="H22" i="385"/>
  <c r="E22" i="415"/>
  <c r="E39" i="415"/>
  <c r="J39" i="385"/>
  <c r="H39" i="385"/>
  <c r="M39" i="385"/>
  <c r="E39" i="385" s="1"/>
  <c r="R12" i="385"/>
  <c r="S12" i="385"/>
  <c r="M8" i="385"/>
  <c r="E8" i="385" s="1"/>
  <c r="J8" i="385"/>
  <c r="H8" i="385"/>
  <c r="R13" i="385"/>
  <c r="S13" i="385"/>
  <c r="R36" i="385"/>
  <c r="S36" i="385"/>
  <c r="S65" i="385"/>
  <c r="R65" i="385"/>
  <c r="M48" i="385"/>
  <c r="E48" i="385" s="1"/>
  <c r="J48" i="385"/>
  <c r="H48" i="385"/>
  <c r="J53" i="54"/>
  <c r="M18" i="385"/>
  <c r="E18" i="385" s="1"/>
  <c r="J18" i="385"/>
  <c r="H18" i="385"/>
  <c r="E19" i="415"/>
  <c r="R37" i="385"/>
  <c r="S37" i="385"/>
  <c r="M5" i="385"/>
  <c r="E5" i="385" s="1"/>
  <c r="J5" i="385"/>
  <c r="H5" i="385"/>
  <c r="J19" i="385"/>
  <c r="H19" i="385"/>
  <c r="M19" i="385"/>
  <c r="E19" i="385" s="1"/>
  <c r="S77" i="385"/>
  <c r="R77" i="385"/>
  <c r="S43" i="385"/>
  <c r="R43" i="385"/>
  <c r="S33" i="385"/>
  <c r="R33" i="385"/>
  <c r="S75" i="385"/>
  <c r="R75" i="385"/>
  <c r="M9" i="385"/>
  <c r="E9" i="385" s="1"/>
  <c r="J9" i="385"/>
  <c r="H9" i="385"/>
  <c r="J23" i="385"/>
  <c r="H23" i="385"/>
  <c r="M23" i="385"/>
  <c r="E23" i="385" s="1"/>
  <c r="M14" i="385"/>
  <c r="E14" i="385" s="1"/>
  <c r="J14" i="385"/>
  <c r="H14" i="385"/>
  <c r="S53" i="385"/>
  <c r="R53" i="385"/>
  <c r="M13" i="385"/>
  <c r="E13" i="385" s="1"/>
  <c r="J13" i="385"/>
  <c r="H13" i="385"/>
  <c r="J27" i="385"/>
  <c r="H27" i="385"/>
  <c r="M27" i="385"/>
  <c r="E27" i="385" s="1"/>
  <c r="R52" i="385"/>
  <c r="S52" i="385"/>
  <c r="M45" i="385"/>
  <c r="E45" i="385" s="1"/>
  <c r="J45" i="385"/>
  <c r="H45" i="385"/>
  <c r="J15" i="385"/>
  <c r="H15" i="385"/>
  <c r="M15" i="385"/>
  <c r="E15" i="385" s="1"/>
  <c r="M40" i="385"/>
  <c r="E40" i="385" s="1"/>
  <c r="J40" i="385"/>
  <c r="H40" i="385"/>
  <c r="M53" i="385"/>
  <c r="E53" i="385" s="1"/>
  <c r="J53" i="385"/>
  <c r="H53" i="385"/>
  <c r="E32" i="415"/>
  <c r="J43" i="385"/>
  <c r="H43" i="385"/>
  <c r="M43" i="385"/>
  <c r="E43" i="385" s="1"/>
  <c r="R44" i="385"/>
  <c r="S44" i="385"/>
  <c r="R28" i="385"/>
  <c r="S28" i="385"/>
  <c r="M10" i="385"/>
  <c r="E10" i="385" s="1"/>
  <c r="J10" i="385"/>
  <c r="H10" i="385"/>
  <c r="S55" i="385"/>
  <c r="R55" i="385"/>
  <c r="S47" i="385"/>
  <c r="R47" i="385"/>
  <c r="M46" i="385"/>
  <c r="E46" i="385" s="1"/>
  <c r="J46" i="385"/>
  <c r="H46" i="385"/>
  <c r="M44" i="385"/>
  <c r="E44" i="385" s="1"/>
  <c r="J44" i="385"/>
  <c r="H44" i="385"/>
  <c r="M50" i="385"/>
  <c r="E50" i="385" s="1"/>
  <c r="J50" i="385"/>
  <c r="H50" i="385"/>
  <c r="M36" i="385"/>
  <c r="E36" i="385" s="1"/>
  <c r="J36" i="385"/>
  <c r="H36" i="385"/>
  <c r="M49" i="385"/>
  <c r="E49" i="385" s="1"/>
  <c r="J49" i="385"/>
  <c r="H49" i="385"/>
  <c r="S69" i="385"/>
  <c r="R69" i="385"/>
  <c r="S51" i="385"/>
  <c r="R51" i="385"/>
  <c r="R72" i="385"/>
  <c r="S72" i="385"/>
  <c r="S27" i="385"/>
  <c r="R27" i="385"/>
  <c r="J54" i="54" l="1"/>
  <c r="Q118" i="89" l="1"/>
  <c r="I118" i="89"/>
  <c r="W113" i="89" a="1"/>
  <c r="W113" i="89" l="1"/>
  <c r="L113" i="89" a="1"/>
  <c r="L113" i="89" l="1"/>
  <c r="K113" i="89" a="1"/>
  <c r="K113" i="89" l="1"/>
  <c r="M113" i="89" s="1"/>
  <c r="H113" i="89"/>
  <c r="F113" i="89" a="1"/>
  <c r="I113" i="89" l="1"/>
  <c r="F113" i="89"/>
  <c r="AE113" i="89"/>
  <c r="N113" i="89" a="1"/>
  <c r="N113" i="89" l="1"/>
  <c r="P113" i="89" l="1"/>
  <c r="Q113" i="89" s="1"/>
  <c r="AE112" i="89"/>
  <c r="AC113" i="89" l="1"/>
  <c r="Y113" i="89"/>
  <c r="U113" i="89"/>
  <c r="J113" i="89"/>
  <c r="W112" i="89" a="1"/>
  <c r="W112" i="89" l="1"/>
  <c r="L112" i="89" a="1"/>
  <c r="L112" i="89" l="1"/>
  <c r="K112" i="89" a="1"/>
  <c r="K112" i="89" l="1"/>
  <c r="M112" i="89" s="1"/>
  <c r="K114" i="89"/>
  <c r="I112" i="89"/>
  <c r="F112" i="89" a="1"/>
  <c r="F112" i="89" l="1"/>
  <c r="N112" i="89" a="1"/>
  <c r="N112" i="89" l="1"/>
  <c r="P112" i="89" l="1"/>
  <c r="Q112" i="89" s="1"/>
  <c r="S112" i="89"/>
  <c r="AC112" i="89" l="1"/>
  <c r="Y112" i="89"/>
  <c r="U112" i="89"/>
  <c r="J112" i="89"/>
  <c r="W111" i="89" a="1"/>
  <c r="W111" i="89" l="1"/>
  <c r="L111" i="89" a="1"/>
  <c r="L111" i="89" l="1"/>
  <c r="K111" i="89" a="1"/>
  <c r="K111" i="89" l="1"/>
  <c r="K115" i="89" s="1"/>
  <c r="H111" i="89"/>
  <c r="F111" i="89" a="1"/>
  <c r="I111" i="89" l="1"/>
  <c r="M111" i="89"/>
  <c r="F111" i="89"/>
  <c r="AE111" i="89"/>
  <c r="N111" i="89" a="1"/>
  <c r="I116" i="89" l="1"/>
  <c r="N111" i="89"/>
  <c r="I114" i="89"/>
  <c r="P111" i="89" l="1"/>
  <c r="P114" i="89" s="1"/>
  <c r="Q114" i="89" s="1"/>
  <c r="I110" i="89"/>
  <c r="Q109" i="89"/>
  <c r="I109" i="89"/>
  <c r="S111" i="89" a="1"/>
  <c r="Q111" i="89" l="1"/>
  <c r="Q110" i="89" s="1"/>
  <c r="S111" i="89"/>
  <c r="AC111" i="89" l="1"/>
  <c r="Y111" i="89"/>
  <c r="U111" i="89"/>
  <c r="J111" i="89"/>
  <c r="Y115" i="89" l="1"/>
  <c r="W104" i="89" a="1"/>
  <c r="W104" i="89" l="1"/>
  <c r="L104" i="89" a="1"/>
  <c r="L104" i="89" l="1"/>
  <c r="K104" i="89" a="1"/>
  <c r="K104" i="89" l="1"/>
  <c r="M104" i="89" s="1"/>
  <c r="I104" i="89"/>
  <c r="H104" i="89"/>
  <c r="F104" i="89" a="1"/>
  <c r="F104" i="89" l="1"/>
  <c r="AE104" i="89"/>
  <c r="N104" i="89" a="1"/>
  <c r="N104" i="89" l="1"/>
  <c r="D104" i="89"/>
  <c r="P104" i="89" l="1"/>
  <c r="Q104" i="89" s="1"/>
  <c r="AE103" i="89"/>
  <c r="AC104" i="89" l="1"/>
  <c r="Y104" i="89"/>
  <c r="U104" i="89"/>
  <c r="J104" i="89"/>
  <c r="W103" i="89" a="1"/>
  <c r="W103" i="89" l="1"/>
  <c r="L103" i="89" a="1"/>
  <c r="L103" i="89" l="1"/>
  <c r="K103" i="89" a="1"/>
  <c r="K103" i="89" l="1"/>
  <c r="M103" i="89" s="1"/>
  <c r="K105" i="89"/>
  <c r="F103" i="89" a="1"/>
  <c r="I103" i="89" l="1"/>
  <c r="F103" i="89"/>
  <c r="N103" i="89" a="1"/>
  <c r="N103" i="89" l="1"/>
  <c r="D103" i="89"/>
  <c r="P103" i="89" l="1"/>
  <c r="S103" i="89" a="1"/>
  <c r="S103" i="89" l="1"/>
  <c r="Q103" i="89"/>
  <c r="AC103" i="89" l="1"/>
  <c r="Y103" i="89"/>
  <c r="U103" i="89"/>
  <c r="J103" i="89"/>
  <c r="W102" i="89" a="1"/>
  <c r="W102" i="89" l="1"/>
  <c r="L102" i="89" a="1"/>
  <c r="L102" i="89" l="1"/>
  <c r="K102" i="89" a="1"/>
  <c r="K102" i="89" l="1"/>
  <c r="K106" i="89" s="1"/>
  <c r="I102" i="89"/>
  <c r="H102" i="89"/>
  <c r="F102" i="89" a="1"/>
  <c r="M102" i="89" l="1"/>
  <c r="F102" i="89"/>
  <c r="AE102" i="89"/>
  <c r="I107" i="89"/>
  <c r="I105" i="89"/>
  <c r="N102" i="89" a="1"/>
  <c r="N102" i="89" l="1"/>
  <c r="D102" i="89"/>
  <c r="P102" i="89" l="1"/>
  <c r="J101" i="89"/>
  <c r="I101" i="89"/>
  <c r="AE96" i="89"/>
  <c r="S102" i="89" a="1"/>
  <c r="K101" i="89" l="1"/>
  <c r="S102" i="89"/>
  <c r="P105" i="89"/>
  <c r="Q102" i="89"/>
  <c r="Q101" i="89" s="1"/>
  <c r="Q105" i="89" l="1"/>
  <c r="B107" i="89"/>
  <c r="AC102" i="89"/>
  <c r="Y102" i="89"/>
  <c r="U102" i="89"/>
  <c r="J102" i="89"/>
  <c r="Y106" i="89" l="1"/>
  <c r="W96" i="89" a="1"/>
  <c r="W96" i="89" l="1"/>
  <c r="L96" i="89" a="1"/>
  <c r="L96" i="89" l="1"/>
  <c r="K96" i="89" a="1"/>
  <c r="K96" i="89" l="1"/>
  <c r="M96" i="89" s="1"/>
  <c r="I96" i="89"/>
  <c r="F96" i="89" a="1"/>
  <c r="F96" i="89" l="1"/>
  <c r="N96" i="89" a="1"/>
  <c r="N96" i="89" l="1"/>
  <c r="D96" i="89"/>
  <c r="P96" i="89" l="1"/>
  <c r="Q96" i="89" s="1"/>
  <c r="AE95" i="89"/>
  <c r="S96" i="89" a="1"/>
  <c r="S96" i="89" l="1"/>
  <c r="AC96" i="89" l="1"/>
  <c r="Y96" i="89"/>
  <c r="U96" i="89"/>
  <c r="J96" i="89"/>
  <c r="W95" i="89" a="1"/>
  <c r="W95" i="89" l="1"/>
  <c r="L95" i="89" a="1"/>
  <c r="L95" i="89" l="1"/>
  <c r="K95" i="89" a="1"/>
  <c r="K95" i="89" l="1"/>
  <c r="M95" i="89" s="1"/>
  <c r="K97" i="89"/>
  <c r="I95" i="89"/>
  <c r="F95" i="89" a="1"/>
  <c r="F95" i="89" l="1"/>
  <c r="N95" i="89" a="1"/>
  <c r="N95" i="89" l="1"/>
  <c r="D95" i="89"/>
  <c r="P95" i="89" l="1"/>
  <c r="S95" i="89" a="1"/>
  <c r="AB95" i="89" a="1"/>
  <c r="AB95" i="89" l="1"/>
  <c r="S95" i="89"/>
  <c r="Q95" i="89"/>
  <c r="R95" i="89" a="1"/>
  <c r="R95" i="89" l="1"/>
  <c r="AC95" i="89"/>
  <c r="Y95" i="89"/>
  <c r="U95" i="89"/>
  <c r="J95" i="89"/>
  <c r="W94" i="89" a="1"/>
  <c r="W94" i="89" l="1"/>
  <c r="L94" i="89" a="1"/>
  <c r="L94" i="89" l="1"/>
  <c r="K94" i="89" a="1"/>
  <c r="K94" i="89" l="1"/>
  <c r="K98" i="89" s="1"/>
  <c r="I94" i="89"/>
  <c r="H94" i="89"/>
  <c r="F94" i="89" a="1"/>
  <c r="M94" i="89" l="1"/>
  <c r="F94" i="89"/>
  <c r="I99" i="89"/>
  <c r="I97" i="89"/>
  <c r="AE94" i="89"/>
  <c r="N94" i="89" a="1"/>
  <c r="N94" i="89" l="1"/>
  <c r="D94" i="89"/>
  <c r="P94" i="89" l="1"/>
  <c r="J93" i="89"/>
  <c r="I93" i="89"/>
  <c r="AE87" i="89"/>
  <c r="S94" i="89" a="1"/>
  <c r="AB94" i="89" a="1"/>
  <c r="K93" i="89" l="1"/>
  <c r="AB94" i="89"/>
  <c r="S94" i="89"/>
  <c r="P97" i="89"/>
  <c r="Q97" i="89" s="1"/>
  <c r="Q94" i="89"/>
  <c r="Q93" i="89" s="1"/>
  <c r="R94" i="89" a="1"/>
  <c r="R94" i="89" l="1"/>
  <c r="AC94" i="89"/>
  <c r="Y94" i="89"/>
  <c r="U94" i="89"/>
  <c r="J94" i="89"/>
  <c r="Y98" i="89" l="1"/>
  <c r="W87" i="89" a="1"/>
  <c r="W87" i="89" l="1"/>
  <c r="L87" i="89" a="1"/>
  <c r="L87" i="89" l="1"/>
  <c r="K87" i="89" a="1"/>
  <c r="K87" i="89" l="1"/>
  <c r="M87" i="89" s="1"/>
  <c r="I87" i="89"/>
  <c r="AA87" i="89" a="1"/>
  <c r="F87" i="89" a="1"/>
  <c r="AA87" i="89" l="1"/>
  <c r="F87" i="89"/>
  <c r="N87" i="89" a="1"/>
  <c r="N87" i="89" l="1"/>
  <c r="D87" i="89"/>
  <c r="Z87" i="89" a="1"/>
  <c r="Z87" i="89" l="1"/>
  <c r="P87" i="89"/>
  <c r="Q87" i="89" s="1"/>
  <c r="AE86" i="89"/>
  <c r="AC87" i="89" l="1"/>
  <c r="Y87" i="89"/>
  <c r="U87" i="89"/>
  <c r="J87" i="89"/>
  <c r="W86" i="89" a="1"/>
  <c r="W86" i="89" l="1"/>
  <c r="L86" i="89" a="1"/>
  <c r="L86" i="89" l="1"/>
  <c r="K86" i="89" a="1"/>
  <c r="K86" i="89" l="1"/>
  <c r="M86" i="89" s="1"/>
  <c r="K88" i="89"/>
  <c r="F86" i="89" a="1"/>
  <c r="I86" i="89" l="1"/>
  <c r="F86" i="89"/>
  <c r="N86" i="89" a="1"/>
  <c r="N86" i="89" l="1"/>
  <c r="I91" i="89"/>
  <c r="D86" i="89"/>
  <c r="P86" i="89" l="1"/>
  <c r="AE85" i="89"/>
  <c r="S86" i="89" a="1"/>
  <c r="S86" i="89" l="1"/>
  <c r="Q86" i="89"/>
  <c r="AC86" i="89" l="1"/>
  <c r="Y86" i="89"/>
  <c r="U86" i="89"/>
  <c r="J86" i="89"/>
  <c r="W85" i="89" a="1"/>
  <c r="W85" i="89" l="1"/>
  <c r="L85" i="89" a="1"/>
  <c r="L85" i="89" l="1"/>
  <c r="K85" i="89" a="1"/>
  <c r="K85" i="89" l="1"/>
  <c r="K89" i="89" s="1"/>
  <c r="I85" i="89"/>
  <c r="F85" i="89" a="1"/>
  <c r="M85" i="89" l="1"/>
  <c r="F85" i="89"/>
  <c r="I88" i="89"/>
  <c r="I90" i="89"/>
  <c r="N85" i="89" a="1"/>
  <c r="N85" i="89" l="1"/>
  <c r="D85" i="89"/>
  <c r="P85" i="89" l="1"/>
  <c r="I84" i="89"/>
  <c r="I83" i="89"/>
  <c r="AG76" i="89"/>
  <c r="S85" i="89" a="1"/>
  <c r="S85" i="89" l="1"/>
  <c r="P88" i="89"/>
  <c r="Q88" i="89" s="1"/>
  <c r="Q85" i="89"/>
  <c r="AC85" i="89" l="1"/>
  <c r="Y85" i="89"/>
  <c r="U85" i="89"/>
  <c r="J85" i="89"/>
  <c r="Y89" i="89" l="1"/>
  <c r="W76" i="89" a="1"/>
  <c r="W76" i="89" l="1"/>
  <c r="T78" i="89" l="1"/>
  <c r="L76" i="89" a="1"/>
  <c r="L76" i="89" l="1"/>
  <c r="K76" i="89" a="1"/>
  <c r="K76" i="89" l="1"/>
  <c r="L80" i="89"/>
  <c r="K78" i="89"/>
  <c r="M76" i="89"/>
  <c r="I76" i="89"/>
  <c r="I78" i="89" l="1"/>
  <c r="I79" i="89" s="1"/>
  <c r="P76" i="89"/>
  <c r="Q76" i="89" s="1"/>
  <c r="Q78" i="89" s="1"/>
  <c r="K80" i="89"/>
  <c r="K79" i="89"/>
  <c r="AG70" i="89" l="1"/>
  <c r="AC76" i="89" l="1"/>
  <c r="Y76" i="89"/>
  <c r="U76" i="89"/>
  <c r="J76" i="89"/>
  <c r="Y78" i="89" l="1"/>
  <c r="Y79" i="89" s="1"/>
  <c r="W70" i="89" a="1"/>
  <c r="W70" i="89" l="1"/>
  <c r="L70" i="89" a="1"/>
  <c r="L70" i="89" l="1"/>
  <c r="K70" i="89" a="1"/>
  <c r="K70" i="89" l="1"/>
  <c r="M70" i="89" s="1"/>
  <c r="I70" i="89"/>
  <c r="F70" i="89" a="1"/>
  <c r="F70" i="89" l="1"/>
  <c r="N70" i="89" a="1"/>
  <c r="N70" i="89" l="1"/>
  <c r="AG69" i="89"/>
  <c r="P70" i="89" l="1"/>
  <c r="Q70" i="89" s="1"/>
  <c r="AC70" i="89"/>
  <c r="Y70" i="89"/>
  <c r="U70" i="89"/>
  <c r="J70" i="89"/>
  <c r="T71" i="89" l="1"/>
  <c r="M69" i="89" l="1"/>
  <c r="L73" i="89"/>
  <c r="L82" i="89" s="1"/>
  <c r="K71" i="89"/>
  <c r="I69" i="89" l="1"/>
  <c r="K73" i="89"/>
  <c r="K82" i="89" s="1"/>
  <c r="K72" i="89"/>
  <c r="I71" i="89" l="1"/>
  <c r="I72" i="89" s="1"/>
  <c r="P69" i="89"/>
  <c r="Q69" i="89" s="1"/>
  <c r="Q71" i="89" s="1"/>
  <c r="Q81" i="89" s="1"/>
  <c r="Z68" i="89" l="1"/>
  <c r="AC69" i="89" l="1"/>
  <c r="Y69" i="89"/>
  <c r="U69" i="89"/>
  <c r="J69" i="89"/>
  <c r="Y71" i="89" l="1"/>
  <c r="Y72" i="89" s="1"/>
  <c r="W61" i="89" a="1"/>
  <c r="W61" i="89" l="1"/>
  <c r="L61" i="89" a="1"/>
  <c r="L61" i="89" l="1"/>
  <c r="K61" i="89" a="1"/>
  <c r="K61" i="89" l="1"/>
  <c r="M61" i="89" s="1"/>
  <c r="I61" i="89"/>
  <c r="H61" i="89"/>
  <c r="F61" i="89" a="1"/>
  <c r="F61" i="89" l="1"/>
  <c r="AG61" i="89"/>
  <c r="N61" i="89"/>
  <c r="P61" i="89" l="1"/>
  <c r="Q61" i="89" s="1"/>
  <c r="AG60" i="89" l="1"/>
  <c r="AC61" i="89" l="1"/>
  <c r="Y61" i="89"/>
  <c r="U61" i="89"/>
  <c r="J61" i="89"/>
  <c r="W60" i="89" a="1"/>
  <c r="W60" i="89" l="1"/>
  <c r="T62" i="89" l="1"/>
  <c r="L60" i="89" a="1"/>
  <c r="L60" i="89" l="1"/>
  <c r="K60" i="89" a="1"/>
  <c r="K60" i="89" l="1"/>
  <c r="M60" i="89" s="1"/>
  <c r="L64" i="89"/>
  <c r="K62" i="89"/>
  <c r="I60" i="89"/>
  <c r="F60" i="89" a="1"/>
  <c r="F60" i="89" l="1"/>
  <c r="I62" i="89"/>
  <c r="I63" i="89" s="1"/>
  <c r="K64" i="89"/>
  <c r="K63" i="89"/>
  <c r="N60" i="89" a="1"/>
  <c r="N60" i="89" l="1"/>
  <c r="P60" i="89" l="1"/>
  <c r="Q60" i="89" s="1"/>
  <c r="Q62" i="89" s="1"/>
  <c r="S60" i="89" a="1"/>
  <c r="S60" i="89" l="1"/>
  <c r="AC60" i="89" l="1"/>
  <c r="Y60" i="89"/>
  <c r="U60" i="89"/>
  <c r="J60" i="89"/>
  <c r="Y63" i="89" l="1"/>
  <c r="W54" i="89" a="1"/>
  <c r="W54" i="89" l="1"/>
  <c r="L54" i="89" a="1"/>
  <c r="L54" i="89" l="1"/>
  <c r="K54" i="89" a="1"/>
  <c r="K54" i="89" l="1"/>
  <c r="M54" i="89" s="1"/>
  <c r="I54" i="89"/>
  <c r="H54" i="89"/>
  <c r="F54" i="89" a="1"/>
  <c r="F54" i="89" l="1"/>
  <c r="AG54" i="89"/>
  <c r="N54" i="89"/>
  <c r="P54" i="89" l="1"/>
  <c r="Q54" i="89" s="1"/>
  <c r="AG53" i="89" l="1"/>
  <c r="AC54" i="89" l="1"/>
  <c r="Y54" i="89"/>
  <c r="U54" i="89"/>
  <c r="J54" i="89"/>
  <c r="W53" i="89" a="1"/>
  <c r="W53" i="89" l="1"/>
  <c r="T55" i="89" l="1"/>
  <c r="L53" i="89" a="1"/>
  <c r="L53" i="89" l="1"/>
  <c r="K53" i="89" a="1"/>
  <c r="K53" i="89" l="1"/>
  <c r="K57" i="89" s="1"/>
  <c r="K65" i="89" s="1"/>
  <c r="L57" i="89"/>
  <c r="L65" i="89" s="1"/>
  <c r="K55" i="89"/>
  <c r="I53" i="89"/>
  <c r="F53" i="89" a="1"/>
  <c r="M53" i="89" l="1"/>
  <c r="F53" i="89"/>
  <c r="N53" i="89"/>
  <c r="P53" i="89" l="1"/>
  <c r="Q53" i="89" l="1"/>
  <c r="S53" i="89" a="1"/>
  <c r="S53" i="89" l="1"/>
  <c r="AC53" i="89" l="1"/>
  <c r="Y53" i="89"/>
  <c r="U53" i="89"/>
  <c r="J53" i="89"/>
  <c r="W52" i="89" a="1"/>
  <c r="W52" i="89" l="1"/>
  <c r="L52" i="89" a="1"/>
  <c r="L52" i="89" l="1"/>
  <c r="K52" i="89" a="1"/>
  <c r="K52" i="89" l="1"/>
  <c r="K56" i="89" s="1"/>
  <c r="I52" i="89"/>
  <c r="H52" i="89"/>
  <c r="F52" i="89" a="1"/>
  <c r="M52" i="89" l="1"/>
  <c r="F52" i="89"/>
  <c r="AG52" i="89"/>
  <c r="I55" i="89"/>
  <c r="I56" i="89" s="1"/>
  <c r="N52" i="89"/>
  <c r="P52" i="89" l="1"/>
  <c r="P55" i="89" l="1"/>
  <c r="Q55" i="89" s="1"/>
  <c r="Q64" i="89" s="1"/>
  <c r="Q52" i="89"/>
  <c r="K51" i="89" l="1"/>
  <c r="S52" i="89" a="1"/>
  <c r="S52" i="89" l="1"/>
  <c r="AC52" i="89" l="1"/>
  <c r="Y52" i="89"/>
  <c r="U52" i="89"/>
  <c r="J52" i="89"/>
  <c r="Y56" i="89" l="1"/>
  <c r="M44" i="89" l="1"/>
  <c r="I44" i="89" l="1"/>
  <c r="AE44" i="89"/>
  <c r="N44" i="89" a="1"/>
  <c r="N44" i="89" l="1"/>
  <c r="P44" i="89"/>
  <c r="Q44" i="89" s="1"/>
  <c r="AE43" i="89" l="1"/>
  <c r="AC44" i="89" l="1"/>
  <c r="Y44" i="89"/>
  <c r="U44" i="89"/>
  <c r="J44" i="89"/>
  <c r="T45" i="89" l="1"/>
  <c r="M43" i="89" l="1"/>
  <c r="K45" i="89"/>
  <c r="I43" i="89"/>
  <c r="I45" i="89" l="1"/>
  <c r="I46" i="89" s="1"/>
  <c r="K46" i="89"/>
  <c r="N43" i="89" a="1"/>
  <c r="N43" i="89" l="1"/>
  <c r="L42" i="89"/>
  <c r="S43" i="89" a="1"/>
  <c r="P43" i="89" l="1"/>
  <c r="S43" i="89"/>
  <c r="Q43" i="89" l="1"/>
  <c r="Q45" i="89" s="1"/>
  <c r="AC43" i="89"/>
  <c r="Y43" i="89"/>
  <c r="U43" i="89"/>
  <c r="J43" i="89"/>
  <c r="T42" i="89"/>
  <c r="Y45" i="89" l="1"/>
  <c r="Z46" i="89" s="1"/>
  <c r="M37" i="89" l="1"/>
  <c r="H37" i="89"/>
  <c r="I37" i="89" l="1"/>
  <c r="AE37" i="89"/>
  <c r="N37" i="89" a="1"/>
  <c r="N37" i="89" l="1"/>
  <c r="P37" i="89" l="1"/>
  <c r="Q37" i="89" s="1"/>
  <c r="AE36" i="89" l="1"/>
  <c r="S37" i="89" a="1"/>
  <c r="S37" i="89" l="1"/>
  <c r="AC37" i="89" l="1"/>
  <c r="Y37" i="89"/>
  <c r="U37" i="89"/>
  <c r="J37" i="89"/>
  <c r="T38" i="89" l="1"/>
  <c r="K39" i="89" l="1"/>
  <c r="K38" i="89"/>
  <c r="I36" i="89"/>
  <c r="M36" i="89" l="1"/>
  <c r="I38" i="89"/>
  <c r="N36" i="89" a="1"/>
  <c r="N36" i="89" l="1"/>
  <c r="I41" i="89"/>
  <c r="G38" i="89"/>
  <c r="I39" i="89"/>
  <c r="P36" i="89" l="1"/>
  <c r="Q36" i="89" s="1"/>
  <c r="Q38" i="89" s="1"/>
  <c r="P35" i="89" l="1"/>
  <c r="A32" i="89"/>
  <c r="AC36" i="89" l="1"/>
  <c r="Y36" i="89"/>
  <c r="U36" i="89"/>
  <c r="J36" i="89"/>
  <c r="J35" i="89" s="1"/>
  <c r="Y39" i="89" l="1"/>
  <c r="Y40" i="89" s="1"/>
  <c r="M31" i="89" l="1"/>
  <c r="H31" i="89"/>
  <c r="I31" i="89" l="1"/>
  <c r="AE31" i="89"/>
  <c r="N31" i="89" a="1"/>
  <c r="N31" i="89" l="1"/>
  <c r="P31" i="89"/>
  <c r="Q31" i="89" s="1"/>
  <c r="AE30" i="89" l="1"/>
  <c r="AC31" i="89" l="1"/>
  <c r="Y31" i="89"/>
  <c r="U31" i="89"/>
  <c r="J31" i="89"/>
  <c r="T32" i="89" l="1"/>
  <c r="I33" i="89" s="1"/>
  <c r="K33" i="89" l="1"/>
  <c r="K32" i="89"/>
  <c r="I30" i="89"/>
  <c r="AA30" i="89" a="1"/>
  <c r="AA30" i="89" l="1"/>
  <c r="M30" i="89"/>
  <c r="K41" i="89"/>
  <c r="K40" i="89"/>
  <c r="N30" i="89" a="1"/>
  <c r="N30" i="89" l="1"/>
  <c r="P30" i="89"/>
  <c r="Z30" i="89" a="1"/>
  <c r="Z30" i="89" l="1"/>
  <c r="Q30" i="89"/>
  <c r="Q32" i="89" s="1"/>
  <c r="P33" i="89"/>
  <c r="I29" i="89"/>
  <c r="P28" i="89"/>
  <c r="L27" i="89"/>
  <c r="K27" i="89"/>
  <c r="AC30" i="89" l="1"/>
  <c r="Y30" i="89"/>
  <c r="U30" i="89"/>
  <c r="J30" i="89"/>
  <c r="Y32" i="89" l="1"/>
  <c r="Z33" i="89" s="1"/>
  <c r="I25" i="89" l="1"/>
  <c r="AL24" i="89"/>
  <c r="AK24" i="89"/>
  <c r="AJ20" i="89"/>
  <c r="AL21" i="89" s="1"/>
  <c r="AK21" i="89" l="1"/>
  <c r="M20" i="89" l="1"/>
  <c r="H20" i="89"/>
  <c r="I20" i="89" l="1"/>
  <c r="AE20" i="89"/>
  <c r="N20" i="89" a="1"/>
  <c r="I23" i="89" l="1"/>
  <c r="N20" i="89"/>
  <c r="P20" i="89" l="1"/>
  <c r="Q20" i="89" s="1"/>
  <c r="AJ19" i="89"/>
  <c r="AE19" i="89"/>
  <c r="AC20" i="89" l="1"/>
  <c r="Y20" i="89"/>
  <c r="U20" i="89"/>
  <c r="J20" i="89"/>
  <c r="T21" i="89" l="1"/>
  <c r="K23" i="89" l="1"/>
  <c r="K22" i="89"/>
  <c r="L23" i="89"/>
  <c r="K21" i="89"/>
  <c r="M19" i="89"/>
  <c r="I19" i="89"/>
  <c r="S19" i="89" a="1"/>
  <c r="S19" i="89" l="1"/>
  <c r="I21" i="89"/>
  <c r="I22" i="89" s="1"/>
  <c r="G18" i="89"/>
  <c r="N19" i="89" a="1"/>
  <c r="J19" i="89" l="1"/>
  <c r="N19" i="89"/>
  <c r="AC19" i="89"/>
  <c r="Y19" i="89"/>
  <c r="U19" i="89"/>
  <c r="P19" i="89" l="1"/>
  <c r="Y21" i="89"/>
  <c r="Y22" i="89" s="1"/>
  <c r="W14" i="89" a="1"/>
  <c r="P22" i="89" l="1"/>
  <c r="P23" i="89" s="1"/>
  <c r="Q19" i="89"/>
  <c r="Q21" i="89" s="1"/>
  <c r="Q24" i="89" s="1"/>
  <c r="W14" i="89"/>
  <c r="L14" i="89" a="1"/>
  <c r="L14" i="89" l="1"/>
  <c r="K14" i="89" a="1"/>
  <c r="K14" i="89" l="1"/>
  <c r="I14" i="89" s="1"/>
  <c r="H14" i="89"/>
  <c r="AA14" i="89" a="1"/>
  <c r="F14" i="89" a="1"/>
  <c r="AA14" i="89" l="1"/>
  <c r="M14" i="89"/>
  <c r="F14" i="89"/>
  <c r="AF14" i="89"/>
  <c r="AE14" i="89"/>
  <c r="N14" i="89" a="1"/>
  <c r="N14" i="89" l="1"/>
  <c r="P14" i="89"/>
  <c r="Q14" i="89" s="1"/>
  <c r="Z14" i="89" a="1"/>
  <c r="Z14" i="89" l="1"/>
  <c r="AF13" i="89"/>
  <c r="AE13" i="89"/>
  <c r="S14" i="89" a="1"/>
  <c r="S14" i="89" l="1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F13" i="89" a="1"/>
  <c r="F13" i="89" l="1"/>
  <c r="I15" i="89"/>
  <c r="I16" i="89" s="1"/>
  <c r="K17" i="89"/>
  <c r="K16" i="89"/>
  <c r="N13" i="89" a="1"/>
  <c r="N13" i="89" l="1"/>
  <c r="AI12" i="89"/>
  <c r="AH12" i="89"/>
  <c r="AH11" i="89" s="1"/>
  <c r="AI11" i="89"/>
  <c r="AJ11" i="89" l="1"/>
  <c r="P13" i="89"/>
  <c r="P16" i="89" s="1"/>
  <c r="Q13" i="89" l="1"/>
  <c r="Q15" i="89" s="1"/>
  <c r="Q17" i="89" s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N8" i="89" a="1"/>
  <c r="N8" i="89" l="1"/>
  <c r="P8" i="89"/>
  <c r="Q8" i="89" s="1"/>
  <c r="AF7" i="89" l="1"/>
  <c r="AE7" i="89"/>
  <c r="AC8" i="89" l="1"/>
  <c r="Y8" i="89"/>
  <c r="U8" i="89"/>
  <c r="J8" i="89"/>
  <c r="T9" i="89" l="1"/>
  <c r="M7" i="89" l="1"/>
  <c r="L11" i="89"/>
  <c r="K9" i="89"/>
  <c r="I7" i="89"/>
  <c r="I9" i="89" l="1"/>
  <c r="I10" i="89" s="1"/>
  <c r="K10" i="89"/>
  <c r="K18" i="89" s="1"/>
  <c r="K11" i="89"/>
  <c r="N7" i="89" a="1"/>
  <c r="N7" i="89" l="1"/>
  <c r="K5" i="89"/>
  <c r="H49" i="2"/>
  <c r="H48" i="2"/>
  <c r="H47" i="2"/>
  <c r="H46" i="2"/>
  <c r="J44" i="2"/>
  <c r="J43" i="2"/>
  <c r="J42" i="2"/>
  <c r="J41" i="2"/>
  <c r="J40" i="2"/>
  <c r="J39" i="2"/>
  <c r="J38" i="2"/>
  <c r="J37" i="2"/>
  <c r="I33" i="2"/>
  <c r="Q31" i="2"/>
  <c r="P31" i="2"/>
  <c r="BA28" i="2"/>
  <c r="J47" i="2" l="1"/>
  <c r="I47" i="2" s="1"/>
  <c r="J46" i="2"/>
  <c r="I46" i="2" s="1"/>
  <c r="J49" i="2"/>
  <c r="I49" i="2" s="1"/>
  <c r="J48" i="2"/>
  <c r="I48" i="2" s="1"/>
  <c r="P7" i="89"/>
  <c r="P10" i="89" l="1"/>
  <c r="Q7" i="89"/>
  <c r="Q9" i="89" s="1"/>
  <c r="AC7" i="89"/>
  <c r="Y7" i="89"/>
  <c r="Y6" i="89" s="1"/>
  <c r="U7" i="89"/>
  <c r="J7" i="89"/>
  <c r="J11" i="89" s="1"/>
  <c r="A7" i="89" l="1"/>
  <c r="Y9" i="89"/>
  <c r="Q11" i="89"/>
  <c r="Q5" i="89"/>
  <c r="Y10" i="89" l="1"/>
  <c r="P11" i="89"/>
  <c r="R28" i="2" l="1"/>
  <c r="BB28" i="2" l="1"/>
  <c r="BC28" i="2" s="1"/>
  <c r="O28" i="2" l="1"/>
  <c r="S28" i="2" a="1"/>
  <c r="S28" i="2" l="1"/>
  <c r="AO28" i="2" s="1"/>
  <c r="U28" i="2" l="1"/>
  <c r="AP28" i="2"/>
  <c r="AE28" i="2"/>
  <c r="AT28" i="2"/>
  <c r="AS28" i="2"/>
  <c r="AL28" i="2"/>
  <c r="AB28" i="2"/>
  <c r="M28" i="2"/>
  <c r="BA27" i="2"/>
  <c r="AM28" i="2" l="1"/>
  <c r="X28" i="2"/>
  <c r="Y28" i="2" s="1"/>
  <c r="R27" i="2" l="1"/>
  <c r="BB27" i="2" l="1"/>
  <c r="BC27" i="2" s="1"/>
  <c r="O27" i="2" l="1"/>
  <c r="S27" i="2" a="1"/>
  <c r="S27" i="2" l="1"/>
  <c r="AO27" i="2" s="1"/>
  <c r="Z27" i="2"/>
  <c r="U27" i="2" l="1"/>
  <c r="AP27" i="2"/>
  <c r="AE27" i="2"/>
  <c r="AT27" i="2"/>
  <c r="AS27" i="2"/>
  <c r="AL27" i="2"/>
  <c r="AB27" i="2"/>
  <c r="M27" i="2"/>
  <c r="AM27" i="2" l="1"/>
  <c r="X27" i="2"/>
  <c r="Y27" i="2" s="1"/>
  <c r="BA19" i="2" l="1"/>
  <c r="Q16" i="1" l="1"/>
  <c r="T16" i="1" l="1"/>
  <c r="AF19" i="2" a="1"/>
  <c r="AF19" i="2" l="1"/>
  <c r="Q19" i="2" a="1"/>
  <c r="Q19" i="2" l="1"/>
  <c r="P19" i="2" a="1"/>
  <c r="P19" i="2" l="1"/>
  <c r="R19" i="2" s="1"/>
  <c r="BB19" i="2" l="1"/>
  <c r="BC19" i="2" s="1"/>
  <c r="G19" i="2" a="1"/>
  <c r="G19" i="2" l="1"/>
  <c r="O19" i="2"/>
  <c r="S19" i="2" a="1"/>
  <c r="S19" i="2" l="1"/>
  <c r="AO19" i="2" s="1"/>
  <c r="AP19" i="2"/>
  <c r="U19" i="2"/>
  <c r="Z19" i="2"/>
  <c r="AE19" i="2" l="1"/>
  <c r="AT19" i="2"/>
  <c r="AS19" i="2"/>
  <c r="AL19" i="2"/>
  <c r="AB19" i="2"/>
  <c r="M19" i="2"/>
  <c r="BA18" i="2"/>
  <c r="AM19" i="2" l="1"/>
  <c r="X19" i="2"/>
  <c r="Y19" i="2" s="1"/>
  <c r="AF18" i="2" a="1"/>
  <c r="AF18" i="2" l="1"/>
  <c r="Q18" i="2" a="1"/>
  <c r="Q18" i="2" l="1"/>
  <c r="P18" i="2" a="1"/>
  <c r="P18" i="2" l="1"/>
  <c r="R18" i="2" s="1"/>
  <c r="BB18" i="2" l="1"/>
  <c r="BC18" i="2" s="1"/>
  <c r="G18" i="2" a="1"/>
  <c r="G18" i="2" l="1"/>
  <c r="O18" i="2"/>
  <c r="S18" i="2" a="1"/>
  <c r="S18" i="2" l="1"/>
  <c r="AP18" i="2"/>
  <c r="AO18" i="2" l="1"/>
  <c r="U18" i="2"/>
  <c r="Z18" i="2"/>
  <c r="AE18" i="2" l="1"/>
  <c r="AT18" i="2"/>
  <c r="AS18" i="2"/>
  <c r="AL18" i="2"/>
  <c r="AB18" i="2"/>
  <c r="M18" i="2"/>
  <c r="BA17" i="2"/>
  <c r="AM18" i="2" l="1"/>
  <c r="X18" i="2"/>
  <c r="Y18" i="2" s="1"/>
  <c r="AF17" i="2" a="1"/>
  <c r="AF17" i="2" l="1"/>
  <c r="Q17" i="2" a="1"/>
  <c r="Q17" i="2" l="1"/>
  <c r="P17" i="2" a="1"/>
  <c r="P17" i="2" l="1"/>
  <c r="R17" i="2" s="1"/>
  <c r="BB17" i="2" l="1"/>
  <c r="BC17" i="2" s="1"/>
  <c r="G17" i="2" a="1"/>
  <c r="G17" i="2" l="1"/>
  <c r="O17" i="2"/>
  <c r="S17" i="2" a="1"/>
  <c r="S17" i="2" l="1"/>
  <c r="AO17" i="2" s="1"/>
  <c r="Z17" i="2"/>
  <c r="U17" i="2" l="1"/>
  <c r="AP17" i="2"/>
  <c r="AE17" i="2"/>
  <c r="AT17" i="2"/>
  <c r="AS17" i="2"/>
  <c r="AL17" i="2"/>
  <c r="AB17" i="2"/>
  <c r="M17" i="2"/>
  <c r="BA15" i="2"/>
  <c r="AM17" i="2" l="1"/>
  <c r="X17" i="2"/>
  <c r="Y17" i="2" s="1"/>
  <c r="R15" i="2" l="1"/>
  <c r="BB15" i="2" l="1"/>
  <c r="BC15" i="2" s="1"/>
  <c r="O15" i="2" l="1"/>
  <c r="S15" i="2" a="1"/>
  <c r="S15" i="2" l="1"/>
  <c r="AO15" i="2" s="1"/>
  <c r="AP15" i="2"/>
  <c r="U15" i="2"/>
  <c r="Z15" i="2"/>
  <c r="AE15" i="2" l="1"/>
  <c r="AS15" i="2"/>
  <c r="AT15" i="2"/>
  <c r="AL15" i="2"/>
  <c r="AB15" i="2"/>
  <c r="M15" i="2"/>
  <c r="BA14" i="2"/>
  <c r="AM15" i="2" l="1"/>
  <c r="X15" i="2"/>
  <c r="Y15" i="2" s="1"/>
  <c r="R14" i="2" l="1"/>
  <c r="J33" i="2" l="1"/>
  <c r="BB14" i="2"/>
  <c r="BC14" i="2" s="1"/>
  <c r="K33" i="2"/>
  <c r="L33" i="2"/>
  <c r="O14" i="2"/>
  <c r="S14" i="2" a="1"/>
  <c r="S14" i="2" l="1"/>
  <c r="AO14" i="2"/>
  <c r="AP14" i="2"/>
  <c r="U14" i="2"/>
  <c r="AE14" i="2" l="1"/>
  <c r="AT14" i="2"/>
  <c r="AS14" i="2"/>
  <c r="AL14" i="2"/>
  <c r="AB14" i="2"/>
  <c r="M14" i="2"/>
  <c r="BB13" i="2"/>
  <c r="BA13" i="2"/>
  <c r="BC13" i="2" l="1"/>
  <c r="AM14" i="2"/>
  <c r="X14" i="2"/>
  <c r="Y14" i="2" s="1"/>
  <c r="R13" i="2" l="1"/>
  <c r="O13" i="2" l="1"/>
  <c r="S13" i="2" a="1"/>
  <c r="S13" i="2" l="1"/>
  <c r="AO13" i="2" s="1"/>
  <c r="U13" i="2"/>
  <c r="AP13" i="2" l="1"/>
  <c r="AE13" i="2"/>
  <c r="AS13" i="2"/>
  <c r="AT13" i="2"/>
  <c r="AL13" i="2"/>
  <c r="AB13" i="2"/>
  <c r="M13" i="2"/>
  <c r="BB12" i="2"/>
  <c r="BA12" i="2"/>
  <c r="BC12" i="2" l="1"/>
  <c r="AM13" i="2"/>
  <c r="X13" i="2"/>
  <c r="Y13" i="2" s="1"/>
  <c r="R12" i="2" l="1"/>
  <c r="O12" i="2" l="1"/>
  <c r="S12" i="2" a="1"/>
  <c r="S12" i="2" l="1"/>
  <c r="AO12" i="2" s="1"/>
  <c r="Z12" i="2"/>
  <c r="U12" i="2" l="1"/>
  <c r="AP12" i="2"/>
  <c r="AE12" i="2"/>
  <c r="AT12" i="2"/>
  <c r="AS12" i="2"/>
  <c r="AL12" i="2"/>
  <c r="AB12" i="2"/>
  <c r="M12" i="2"/>
  <c r="AM12" i="2" l="1"/>
  <c r="X12" i="2"/>
  <c r="Y12" i="2" s="1"/>
  <c r="BA11" i="2" l="1"/>
  <c r="AF11" i="2" a="1"/>
  <c r="AF11" i="2" l="1"/>
  <c r="Q11" i="2" a="1"/>
  <c r="Q11" i="2" l="1"/>
  <c r="P11" i="2" a="1"/>
  <c r="P11" i="2" l="1"/>
  <c r="R11" i="2" s="1"/>
  <c r="BB11" i="2" l="1"/>
  <c r="BC11" i="2" s="1"/>
  <c r="G11" i="2" a="1"/>
  <c r="G11" i="2" l="1"/>
  <c r="O11" i="2"/>
  <c r="S11" i="2" a="1"/>
  <c r="S11" i="2" l="1"/>
  <c r="AO11" i="2" s="1"/>
  <c r="Z11" i="2"/>
  <c r="AP11" i="2" l="1"/>
  <c r="U11" i="2"/>
  <c r="AE11" i="2"/>
  <c r="AT11" i="2"/>
  <c r="AS11" i="2"/>
  <c r="AL11" i="2"/>
  <c r="AB11" i="2"/>
  <c r="M11" i="2"/>
  <c r="BB10" i="2"/>
  <c r="BA10" i="2"/>
  <c r="BC10" i="2" l="1"/>
  <c r="AM11" i="2"/>
  <c r="X11" i="2"/>
  <c r="Y11" i="2" s="1"/>
  <c r="R10" i="2" l="1"/>
  <c r="O10" i="2" l="1"/>
  <c r="S10" i="2" a="1"/>
  <c r="S10" i="2" l="1"/>
  <c r="AO10" i="2"/>
  <c r="AP10" i="2"/>
  <c r="U10" i="2"/>
  <c r="AE10" i="2" l="1"/>
  <c r="AT10" i="2"/>
  <c r="AS10" i="2"/>
  <c r="AL10" i="2"/>
  <c r="AB10" i="2"/>
  <c r="M10" i="2"/>
  <c r="BB9" i="2"/>
  <c r="BA9" i="2"/>
  <c r="BC9" i="2" l="1"/>
  <c r="AM10" i="2"/>
  <c r="X10" i="2"/>
  <c r="Y10" i="2" s="1"/>
  <c r="R9" i="2" l="1"/>
  <c r="O9" i="2" l="1"/>
  <c r="S9" i="2" a="1"/>
  <c r="S9" i="2" l="1"/>
  <c r="AO9" i="2" s="1"/>
  <c r="Z9" i="2"/>
  <c r="U9" i="2" l="1"/>
  <c r="AP9" i="2"/>
  <c r="AE9" i="2"/>
  <c r="AT9" i="2"/>
  <c r="AS9" i="2"/>
  <c r="AL9" i="2"/>
  <c r="AB9" i="2"/>
  <c r="M9" i="2"/>
  <c r="BA8" i="2"/>
  <c r="T23" i="1" l="1"/>
  <c r="AM9" i="2"/>
  <c r="X9" i="2"/>
  <c r="Y9" i="2" s="1"/>
  <c r="R8" i="2" l="1"/>
  <c r="BB8" i="2" l="1"/>
  <c r="BC8" i="2" s="1"/>
  <c r="O8" i="2" l="1"/>
  <c r="S8" i="2" a="1"/>
  <c r="S8" i="2" l="1"/>
  <c r="AO8" i="2" s="1"/>
  <c r="AP8" i="2" l="1"/>
  <c r="U8" i="2"/>
  <c r="AE8" i="2"/>
  <c r="AT8" i="2"/>
  <c r="AS8" i="2"/>
  <c r="AL8" i="2"/>
  <c r="AB8" i="2"/>
  <c r="M8" i="2"/>
  <c r="BA5" i="2"/>
  <c r="AM8" i="2" l="1"/>
  <c r="X8" i="2"/>
  <c r="Y8" i="2" s="1"/>
  <c r="R5" i="2" l="1"/>
  <c r="BB5" i="2" l="1"/>
  <c r="BC5" i="2" s="1"/>
  <c r="O5" i="2" l="1"/>
  <c r="S5" i="2" a="1"/>
  <c r="S5" i="2" l="1"/>
  <c r="AP5" i="2" s="1"/>
  <c r="AO5" i="2" l="1"/>
  <c r="U5" i="2"/>
  <c r="AE5" i="2" l="1"/>
  <c r="AT5" i="2"/>
  <c r="AS5" i="2"/>
  <c r="AL5" i="2"/>
  <c r="AB5" i="2"/>
  <c r="M5" i="2"/>
  <c r="BA4" i="2"/>
  <c r="AM5" i="2" l="1"/>
  <c r="X5" i="2"/>
  <c r="Y5" i="2" s="1"/>
  <c r="R4" i="2" l="1"/>
  <c r="J4" i="2" l="1"/>
  <c r="BB4" i="2" s="1"/>
  <c r="BC4" i="2" s="1"/>
  <c r="K4" i="2" l="1"/>
  <c r="O4" i="2" s="1"/>
  <c r="S4" i="2" a="1"/>
  <c r="S4" i="2" l="1"/>
  <c r="AO4" i="2" s="1"/>
  <c r="AP4" i="2" l="1"/>
  <c r="U4" i="2"/>
  <c r="AE4" i="2"/>
  <c r="AT4" i="2"/>
  <c r="AS4" i="2"/>
  <c r="AL4" i="2"/>
  <c r="AB4" i="2"/>
  <c r="M4" i="2"/>
  <c r="U2" i="2"/>
  <c r="R2" i="2"/>
  <c r="Q2" i="2" a="1"/>
  <c r="Q2" i="2" l="1"/>
  <c r="S2" i="2" s="1"/>
  <c r="AM4" i="2"/>
  <c r="X4" i="2"/>
  <c r="Y4" i="2" s="1"/>
  <c r="P2" i="2" a="1"/>
  <c r="P2" i="2" l="1"/>
  <c r="I2" i="2" l="1"/>
  <c r="X1" i="2"/>
  <c r="R1" i="2"/>
  <c r="O1" i="2"/>
  <c r="H1" i="2"/>
  <c r="S44" i="1"/>
  <c r="Q44" i="1"/>
  <c r="N44" i="1" l="1"/>
  <c r="J44" i="1"/>
  <c r="T44" i="1" l="1"/>
  <c r="S43" i="1"/>
  <c r="Q43" i="1"/>
  <c r="N43" i="1" l="1"/>
  <c r="J43" i="1"/>
  <c r="T43" i="1" l="1"/>
  <c r="S42" i="1"/>
  <c r="Q42" i="1"/>
  <c r="N42" i="1" l="1"/>
  <c r="J42" i="1"/>
  <c r="T42" i="1" l="1"/>
  <c r="S41" i="1"/>
  <c r="Q41" i="1"/>
  <c r="N41" i="1" l="1"/>
  <c r="J41" i="1"/>
  <c r="T41" i="1" l="1"/>
  <c r="S40" i="1"/>
  <c r="Q40" i="1"/>
  <c r="N40" i="1" l="1"/>
  <c r="J40" i="1"/>
  <c r="T40" i="1" l="1"/>
  <c r="S39" i="1"/>
  <c r="Q39" i="1"/>
  <c r="N39" i="1" l="1"/>
  <c r="J39" i="1"/>
  <c r="T39" i="1" l="1"/>
  <c r="Q38" i="1"/>
  <c r="N38" i="1" l="1"/>
  <c r="J38" i="1"/>
  <c r="T38" i="1" l="1"/>
  <c r="Q37" i="1" l="1"/>
  <c r="N37" i="1" l="1"/>
  <c r="J37" i="1"/>
  <c r="T37" i="1" l="1"/>
  <c r="Q36" i="1"/>
  <c r="N36" i="1" l="1"/>
  <c r="J36" i="1"/>
  <c r="T36" i="1" l="1"/>
  <c r="Q35" i="1"/>
  <c r="N35" i="1" l="1"/>
  <c r="J35" i="1"/>
  <c r="T35" i="1" l="1"/>
  <c r="Q34" i="1"/>
  <c r="N34" i="1" l="1"/>
  <c r="J34" i="1"/>
  <c r="T34" i="1" l="1"/>
  <c r="S33" i="1" l="1"/>
  <c r="Q33" i="1"/>
  <c r="N33" i="1" l="1"/>
  <c r="J33" i="1"/>
  <c r="T33" i="1" l="1"/>
  <c r="S32" i="1"/>
  <c r="Q32" i="1"/>
  <c r="N32" i="1" l="1"/>
  <c r="J32" i="1"/>
  <c r="T32" i="1" l="1"/>
  <c r="S31" i="1" l="1"/>
  <c r="Q31" i="1"/>
  <c r="N31" i="1" l="1"/>
  <c r="J31" i="1"/>
  <c r="T31" i="1" l="1"/>
  <c r="S30" i="1"/>
  <c r="Q30" i="1"/>
  <c r="N30" i="1" l="1"/>
  <c r="J30" i="1"/>
  <c r="T30" i="1" l="1"/>
  <c r="S29" i="1"/>
  <c r="Q29" i="1"/>
  <c r="N29" i="1" l="1"/>
  <c r="J29" i="1"/>
  <c r="T29" i="1" l="1"/>
  <c r="S28" i="1" l="1"/>
  <c r="Q28" i="1"/>
  <c r="N28" i="1" l="1"/>
  <c r="J28" i="1"/>
  <c r="T28" i="1" l="1"/>
  <c r="S27" i="1"/>
  <c r="Q27" i="1"/>
  <c r="N27" i="1" l="1"/>
  <c r="J27" i="1"/>
  <c r="T27" i="1" l="1"/>
  <c r="S25" i="1"/>
  <c r="Q25" i="1"/>
  <c r="N25" i="1" l="1"/>
  <c r="J25" i="1"/>
  <c r="T25" i="1" l="1"/>
  <c r="S26" i="1"/>
  <c r="Q26" i="1"/>
  <c r="N26" i="1" l="1"/>
  <c r="J26" i="1"/>
  <c r="T26" i="1" l="1"/>
  <c r="Q24" i="1"/>
  <c r="N24" i="1" l="1"/>
  <c r="J24" i="1"/>
  <c r="T24" i="1" l="1"/>
  <c r="Q22" i="1"/>
  <c r="N22" i="1" l="1"/>
  <c r="J22" i="1"/>
  <c r="T22" i="1" l="1"/>
  <c r="Q21" i="1"/>
  <c r="N21" i="1" l="1"/>
  <c r="J21" i="1"/>
  <c r="T21" i="1" l="1"/>
  <c r="Q20" i="1"/>
  <c r="N20" i="1" l="1"/>
  <c r="J20" i="1"/>
  <c r="T20" i="1" l="1"/>
  <c r="Q19" i="1"/>
  <c r="N19" i="1" l="1"/>
  <c r="J19" i="1"/>
  <c r="T19" i="1" l="1"/>
  <c r="Q15" i="1" l="1"/>
  <c r="N15" i="1" l="1"/>
  <c r="J15" i="1"/>
  <c r="T15" i="1" l="1"/>
  <c r="Q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D10" i="1" l="1"/>
  <c r="M9" i="1" l="1"/>
  <c r="D9" i="1" l="1"/>
  <c r="M8" i="1" l="1"/>
  <c r="I8" i="1" l="1"/>
  <c r="D8" i="1" l="1"/>
  <c r="AD7" i="1"/>
  <c r="BD21" i="2" l="1"/>
  <c r="BD20" i="2"/>
  <c r="V21" i="2"/>
  <c r="AK20" i="2"/>
  <c r="AK21" i="2"/>
  <c r="V20" i="2"/>
  <c r="AI21" i="2"/>
  <c r="AI20" i="2"/>
  <c r="W21" i="2"/>
  <c r="W20" i="2"/>
  <c r="BD26" i="2"/>
  <c r="V26" i="2"/>
  <c r="AK26" i="2"/>
  <c r="AI26" i="2"/>
  <c r="W26" i="2"/>
  <c r="AI25" i="2"/>
  <c r="AI24" i="2"/>
  <c r="BD25" i="2"/>
  <c r="AK25" i="2"/>
  <c r="V25" i="2"/>
  <c r="W25" i="2"/>
  <c r="BD7" i="2"/>
  <c r="V7" i="2"/>
  <c r="AI7" i="2"/>
  <c r="AK7" i="2"/>
  <c r="W7" i="2"/>
  <c r="P18" i="1"/>
  <c r="AD18" i="1" s="1"/>
  <c r="AH18" i="1"/>
  <c r="BD22" i="2"/>
  <c r="BD23" i="2"/>
  <c r="AI23" i="2"/>
  <c r="AK22" i="2"/>
  <c r="V22" i="2"/>
  <c r="AK23" i="2"/>
  <c r="V23" i="2"/>
  <c r="AI22" i="2"/>
  <c r="W22" i="2"/>
  <c r="W23" i="2"/>
  <c r="BD6" i="2"/>
  <c r="AK6" i="2"/>
  <c r="V6" i="2"/>
  <c r="AI6" i="2"/>
  <c r="W6" i="2"/>
  <c r="BD16" i="2"/>
  <c r="V16" i="2"/>
  <c r="AI16" i="2"/>
  <c r="W16" i="2"/>
  <c r="AK16" i="2"/>
  <c r="P23" i="1"/>
  <c r="AD23" i="1" s="1"/>
  <c r="AH23" i="1"/>
  <c r="P16" i="1"/>
  <c r="AH16" i="1"/>
  <c r="BD24" i="2"/>
  <c r="AK24" i="2"/>
  <c r="V24" i="2"/>
  <c r="W24" i="2"/>
  <c r="P17" i="1"/>
  <c r="V17" i="1" s="1"/>
  <c r="AH17" i="1"/>
  <c r="F72" i="54"/>
  <c r="F67" i="54"/>
  <c r="F73" i="54"/>
  <c r="J55" i="54"/>
  <c r="BD28" i="2"/>
  <c r="AK28" i="2"/>
  <c r="AI28" i="2"/>
  <c r="V28" i="2"/>
  <c r="W28" i="2"/>
  <c r="BD27" i="2"/>
  <c r="V27" i="2"/>
  <c r="AK27" i="2"/>
  <c r="AI27" i="2"/>
  <c r="W27" i="2"/>
  <c r="BD19" i="2"/>
  <c r="V19" i="2"/>
  <c r="AK19" i="2"/>
  <c r="AI19" i="2"/>
  <c r="W19" i="2"/>
  <c r="BD18" i="2"/>
  <c r="AK18" i="2"/>
  <c r="V18" i="2"/>
  <c r="AI18" i="2"/>
  <c r="W18" i="2"/>
  <c r="BD17" i="2"/>
  <c r="V17" i="2"/>
  <c r="AK17" i="2"/>
  <c r="AI17" i="2"/>
  <c r="W17" i="2"/>
  <c r="BD15" i="2"/>
  <c r="AK15" i="2"/>
  <c r="V15" i="2"/>
  <c r="AI15" i="2"/>
  <c r="W15" i="2"/>
  <c r="BD14" i="2"/>
  <c r="AK14" i="2"/>
  <c r="V14" i="2"/>
  <c r="AI14" i="2"/>
  <c r="BD13" i="2"/>
  <c r="W14" i="2"/>
  <c r="V13" i="2"/>
  <c r="AK13" i="2"/>
  <c r="AI13" i="2"/>
  <c r="BD12" i="2"/>
  <c r="W13" i="2"/>
  <c r="AK12" i="2"/>
  <c r="V12" i="2"/>
  <c r="AI12" i="2"/>
  <c r="W12" i="2"/>
  <c r="BD11" i="2"/>
  <c r="AK11" i="2"/>
  <c r="V11" i="2"/>
  <c r="AI11" i="2"/>
  <c r="BD10" i="2"/>
  <c r="W11" i="2"/>
  <c r="AK10" i="2"/>
  <c r="V10" i="2"/>
  <c r="AI10" i="2"/>
  <c r="BD9" i="2"/>
  <c r="W10" i="2"/>
  <c r="AK9" i="2"/>
  <c r="V9" i="2"/>
  <c r="AI9" i="2"/>
  <c r="W9" i="2"/>
  <c r="BD8" i="2"/>
  <c r="AK8" i="2"/>
  <c r="V8" i="2"/>
  <c r="AI8" i="2"/>
  <c r="W8" i="2"/>
  <c r="BD5" i="2"/>
  <c r="AK5" i="2"/>
  <c r="V5" i="2"/>
  <c r="AI5" i="2"/>
  <c r="W5" i="2"/>
  <c r="BD4" i="2"/>
  <c r="AK4" i="2"/>
  <c r="S14" i="1" s="1"/>
  <c r="V4" i="2"/>
  <c r="AI4" i="2"/>
  <c r="W4" i="2"/>
  <c r="P44" i="1"/>
  <c r="AH44" i="1"/>
  <c r="P43" i="1"/>
  <c r="AH43" i="1"/>
  <c r="P42" i="1"/>
  <c r="AH42" i="1"/>
  <c r="P41" i="1"/>
  <c r="AH41" i="1"/>
  <c r="P40" i="1"/>
  <c r="AH40" i="1"/>
  <c r="P39" i="1"/>
  <c r="AH39" i="1"/>
  <c r="P38" i="1"/>
  <c r="AH38" i="1"/>
  <c r="P37" i="1"/>
  <c r="AH37" i="1"/>
  <c r="P36" i="1"/>
  <c r="AH36" i="1"/>
  <c r="P35" i="1"/>
  <c r="AH35" i="1"/>
  <c r="P34" i="1"/>
  <c r="AH34" i="1"/>
  <c r="P33" i="1"/>
  <c r="AH33" i="1"/>
  <c r="P32" i="1"/>
  <c r="AH32" i="1"/>
  <c r="P31" i="1"/>
  <c r="AH31" i="1"/>
  <c r="P30" i="1"/>
  <c r="AH30" i="1"/>
  <c r="P29" i="1"/>
  <c r="AH29" i="1"/>
  <c r="P28" i="1"/>
  <c r="AH28" i="1"/>
  <c r="P27" i="1"/>
  <c r="AH27" i="1"/>
  <c r="P25" i="1"/>
  <c r="AH25" i="1"/>
  <c r="P26" i="1"/>
  <c r="AH26" i="1"/>
  <c r="P24" i="1"/>
  <c r="AH24" i="1"/>
  <c r="P22" i="1"/>
  <c r="AH22" i="1"/>
  <c r="P21" i="1"/>
  <c r="AH21" i="1"/>
  <c r="P20" i="1"/>
  <c r="AH20" i="1"/>
  <c r="P19" i="1"/>
  <c r="AH19" i="1"/>
  <c r="P15" i="1"/>
  <c r="AH15" i="1"/>
  <c r="P14" i="1"/>
  <c r="AH14" i="1"/>
  <c r="P13" i="1"/>
  <c r="AH13" i="1"/>
  <c r="P12" i="1"/>
  <c r="AH12" i="1"/>
  <c r="AH10" i="1" s="1"/>
  <c r="AD8" i="1"/>
  <c r="S21" i="1" l="1"/>
  <c r="V21" i="1" s="1"/>
  <c r="AK31" i="2"/>
  <c r="Q9" i="1" s="1"/>
  <c r="V31" i="2"/>
  <c r="S23" i="1"/>
  <c r="V23" i="1" s="1"/>
  <c r="S19" i="1"/>
  <c r="V19" i="1" s="1"/>
  <c r="AD16" i="1"/>
  <c r="S18" i="1"/>
  <c r="V18" i="1" s="1"/>
  <c r="S37" i="1"/>
  <c r="V37" i="1" s="1"/>
  <c r="S34" i="1"/>
  <c r="V34" i="1" s="1"/>
  <c r="S38" i="1"/>
  <c r="V38" i="1" s="1"/>
  <c r="S22" i="1"/>
  <c r="V22" i="1" s="1"/>
  <c r="S36" i="1"/>
  <c r="V36" i="1" s="1"/>
  <c r="S35" i="1"/>
  <c r="V35" i="1" s="1"/>
  <c r="S15" i="1"/>
  <c r="V15" i="1" s="1"/>
  <c r="S16" i="1"/>
  <c r="V16" i="1" s="1"/>
  <c r="AD17" i="1"/>
  <c r="W1" i="2"/>
  <c r="V1" i="2"/>
  <c r="S24" i="1"/>
  <c r="V24" i="1" s="1"/>
  <c r="S20" i="1"/>
  <c r="M7" i="1"/>
  <c r="AD24" i="1"/>
  <c r="AD43" i="1"/>
  <c r="V43" i="1"/>
  <c r="AD32" i="1"/>
  <c r="V32" i="1"/>
  <c r="AD39" i="1"/>
  <c r="V39" i="1"/>
  <c r="AD15" i="1"/>
  <c r="AD22" i="1"/>
  <c r="AD41" i="1"/>
  <c r="V41" i="1"/>
  <c r="AI1" i="2"/>
  <c r="AD44" i="1"/>
  <c r="V44" i="1"/>
  <c r="AD40" i="1"/>
  <c r="V40" i="1"/>
  <c r="AD26" i="1"/>
  <c r="V26" i="1"/>
  <c r="AD35" i="1"/>
  <c r="AD12" i="1"/>
  <c r="V12" i="1"/>
  <c r="AD13" i="1"/>
  <c r="V13" i="1"/>
  <c r="AD27" i="1"/>
  <c r="V27" i="1"/>
  <c r="AD29" i="1"/>
  <c r="V29" i="1"/>
  <c r="AD33" i="1"/>
  <c r="V33" i="1"/>
  <c r="AD30" i="1"/>
  <c r="V30" i="1"/>
  <c r="AD25" i="1"/>
  <c r="V25" i="1"/>
  <c r="AD14" i="1"/>
  <c r="V14" i="1"/>
  <c r="AD28" i="1"/>
  <c r="V28" i="1"/>
  <c r="AD36" i="1"/>
  <c r="AD19" i="1"/>
  <c r="AD20" i="1"/>
  <c r="AD31" i="1"/>
  <c r="V31" i="1"/>
  <c r="AD38" i="1"/>
  <c r="AD42" i="1"/>
  <c r="V42" i="1"/>
  <c r="AD34" i="1"/>
  <c r="AD37" i="1"/>
  <c r="AD21" i="1"/>
  <c r="AJ20" i="2" l="1"/>
  <c r="AJ21" i="2"/>
  <c r="Z1" i="1"/>
  <c r="AJ26" i="2"/>
  <c r="AJ7" i="2"/>
  <c r="AJ24" i="2"/>
  <c r="AJ25" i="2"/>
  <c r="V1" i="1"/>
  <c r="AJ23" i="2"/>
  <c r="AJ22" i="2"/>
  <c r="AJ6" i="2"/>
  <c r="AJ16" i="2"/>
  <c r="AJ8" i="2"/>
  <c r="AJ12" i="2"/>
  <c r="AJ15" i="2"/>
  <c r="AJ27" i="2"/>
  <c r="AJ28" i="2"/>
  <c r="S10" i="1"/>
  <c r="AJ9" i="2"/>
  <c r="AJ18" i="2"/>
  <c r="AJ13" i="2"/>
  <c r="V20" i="1"/>
  <c r="AJ19" i="2"/>
  <c r="AJ14" i="2"/>
  <c r="AJ17" i="2"/>
  <c r="AJ10" i="2"/>
  <c r="AJ5" i="2"/>
  <c r="S7" i="1"/>
  <c r="AJ4" i="2"/>
  <c r="AJ11" i="2"/>
  <c r="I7" i="1"/>
  <c r="D7" i="1" l="1"/>
  <c r="AE6" i="1"/>
  <c r="V6" i="1"/>
  <c r="S6" i="1"/>
  <c r="P6" i="1"/>
  <c r="M6" i="1" l="1"/>
  <c r="I6" i="1" l="1"/>
  <c r="D6" i="1" l="1"/>
  <c r="AE5" i="1"/>
  <c r="S5" i="1"/>
  <c r="X113" i="89" l="1"/>
  <c r="AD113" i="89"/>
  <c r="X112" i="89"/>
  <c r="AD112" i="89"/>
  <c r="AD114" i="89" s="1"/>
  <c r="X111" i="89"/>
  <c r="AD111" i="89"/>
  <c r="X104" i="89"/>
  <c r="AD104" i="89"/>
  <c r="X103" i="89"/>
  <c r="AD103" i="89"/>
  <c r="AD105" i="89" s="1"/>
  <c r="AD102" i="89"/>
  <c r="X102" i="89"/>
  <c r="X96" i="89"/>
  <c r="AD96" i="89"/>
  <c r="X95" i="89"/>
  <c r="AD95" i="89"/>
  <c r="AD97" i="89" s="1"/>
  <c r="X94" i="89"/>
  <c r="AD94" i="89"/>
  <c r="X87" i="89"/>
  <c r="AD87" i="89"/>
  <c r="X86" i="89"/>
  <c r="AD86" i="89"/>
  <c r="AD88" i="89" s="1"/>
  <c r="X85" i="89"/>
  <c r="AD85" i="89"/>
  <c r="X76" i="89"/>
  <c r="X78" i="89" s="1"/>
  <c r="AD76" i="89"/>
  <c r="AD78" i="89" s="1"/>
  <c r="X70" i="89"/>
  <c r="AD70" i="89"/>
  <c r="X69" i="89"/>
  <c r="AD69" i="89"/>
  <c r="AD71" i="89" s="1"/>
  <c r="X61" i="89"/>
  <c r="AD61" i="89"/>
  <c r="X60" i="89"/>
  <c r="AD60" i="89"/>
  <c r="AD62" i="89" s="1"/>
  <c r="X54" i="89"/>
  <c r="AD54" i="89"/>
  <c r="X53" i="89"/>
  <c r="AD53" i="89"/>
  <c r="AD55" i="89" s="1"/>
  <c r="X52" i="89"/>
  <c r="AD52" i="89"/>
  <c r="X44" i="89"/>
  <c r="AD44" i="89"/>
  <c r="X43" i="89"/>
  <c r="AD43" i="89"/>
  <c r="AD45" i="89" s="1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AE7" i="1"/>
  <c r="AG20" i="2" l="1"/>
  <c r="AH21" i="2"/>
  <c r="AG21" i="2"/>
  <c r="AH20" i="2"/>
  <c r="AH26" i="2"/>
  <c r="AH25" i="2"/>
  <c r="AG7" i="2"/>
  <c r="AH7" i="2"/>
  <c r="O18" i="1"/>
  <c r="R18" i="1"/>
  <c r="U18" i="1"/>
  <c r="AG23" i="2"/>
  <c r="AH23" i="2"/>
  <c r="AH22" i="2"/>
  <c r="AG22" i="2"/>
  <c r="AH6" i="2"/>
  <c r="AG6" i="2"/>
  <c r="AH16" i="2"/>
  <c r="AG16" i="2"/>
  <c r="R23" i="1"/>
  <c r="O23" i="1"/>
  <c r="U23" i="1"/>
  <c r="O16" i="1"/>
  <c r="R16" i="1"/>
  <c r="U16" i="1"/>
  <c r="X15" i="89"/>
  <c r="X105" i="89"/>
  <c r="X21" i="89"/>
  <c r="X45" i="89"/>
  <c r="AH24" i="2"/>
  <c r="R17" i="1"/>
  <c r="O17" i="1"/>
  <c r="U17" i="1"/>
  <c r="X71" i="89"/>
  <c r="X38" i="89"/>
  <c r="X9" i="89"/>
  <c r="X62" i="89"/>
  <c r="M5" i="1"/>
  <c r="X88" i="89"/>
  <c r="X12" i="89" s="1"/>
  <c r="X114" i="89"/>
  <c r="X116" i="89" s="1"/>
  <c r="X55" i="89"/>
  <c r="AG28" i="2"/>
  <c r="AH28" i="2"/>
  <c r="AG27" i="2"/>
  <c r="AH27" i="2"/>
  <c r="AG19" i="2"/>
  <c r="AH19" i="2"/>
  <c r="AG18" i="2"/>
  <c r="AH18" i="2"/>
  <c r="AG17" i="2"/>
  <c r="AH17" i="2"/>
  <c r="AG15" i="2"/>
  <c r="AH15" i="2"/>
  <c r="AG14" i="2"/>
  <c r="AH14" i="2"/>
  <c r="AG13" i="2"/>
  <c r="AH13" i="2"/>
  <c r="AG12" i="2"/>
  <c r="AH12" i="2"/>
  <c r="AG11" i="2"/>
  <c r="AH11" i="2"/>
  <c r="AG10" i="2"/>
  <c r="AH10" i="2"/>
  <c r="AG9" i="2"/>
  <c r="AH9" i="2"/>
  <c r="AG8" i="2"/>
  <c r="AH8" i="2"/>
  <c r="AG5" i="2"/>
  <c r="AH5" i="2"/>
  <c r="AG4" i="2"/>
  <c r="AH4" i="2"/>
  <c r="R44" i="1"/>
  <c r="O44" i="1"/>
  <c r="R43" i="1"/>
  <c r="U44" i="1"/>
  <c r="O43" i="1"/>
  <c r="R42" i="1"/>
  <c r="U43" i="1"/>
  <c r="O42" i="1"/>
  <c r="R41" i="1"/>
  <c r="U42" i="1"/>
  <c r="O41" i="1"/>
  <c r="R40" i="1"/>
  <c r="U41" i="1"/>
  <c r="O40" i="1"/>
  <c r="R39" i="1"/>
  <c r="U40" i="1"/>
  <c r="O39" i="1"/>
  <c r="R38" i="1"/>
  <c r="U39" i="1"/>
  <c r="O38" i="1"/>
  <c r="U38" i="1"/>
  <c r="R37" i="1"/>
  <c r="O37" i="1"/>
  <c r="R36" i="1"/>
  <c r="U37" i="1"/>
  <c r="O36" i="1"/>
  <c r="R35" i="1"/>
  <c r="U36" i="1"/>
  <c r="O35" i="1"/>
  <c r="R34" i="1"/>
  <c r="U35" i="1"/>
  <c r="O34" i="1"/>
  <c r="U34" i="1"/>
  <c r="R33" i="1"/>
  <c r="O33" i="1"/>
  <c r="R32" i="1"/>
  <c r="U33" i="1"/>
  <c r="O32" i="1"/>
  <c r="U32" i="1"/>
  <c r="R31" i="1"/>
  <c r="O31" i="1"/>
  <c r="R30" i="1"/>
  <c r="U31" i="1"/>
  <c r="O30" i="1"/>
  <c r="R29" i="1"/>
  <c r="U30" i="1"/>
  <c r="O29" i="1"/>
  <c r="U29" i="1"/>
  <c r="R28" i="1"/>
  <c r="O28" i="1"/>
  <c r="R27" i="1"/>
  <c r="U28" i="1"/>
  <c r="O27" i="1"/>
  <c r="R25" i="1"/>
  <c r="U27" i="1"/>
  <c r="O25" i="1"/>
  <c r="R26" i="1"/>
  <c r="U25" i="1"/>
  <c r="O26" i="1"/>
  <c r="R24" i="1"/>
  <c r="U26" i="1"/>
  <c r="O24" i="1"/>
  <c r="R22" i="1"/>
  <c r="U24" i="1"/>
  <c r="O22" i="1"/>
  <c r="R21" i="1"/>
  <c r="U22" i="1"/>
  <c r="O21" i="1"/>
  <c r="R20" i="1"/>
  <c r="U21" i="1"/>
  <c r="O20" i="1"/>
  <c r="R19" i="1"/>
  <c r="U20" i="1"/>
  <c r="O19" i="1"/>
  <c r="U19" i="1"/>
  <c r="R15" i="1"/>
  <c r="O15" i="1"/>
  <c r="U15" i="1"/>
  <c r="R14" i="1"/>
  <c r="O14" i="1"/>
  <c r="U14" i="1"/>
  <c r="R13" i="1"/>
  <c r="O13" i="1"/>
  <c r="U13" i="1"/>
  <c r="R12" i="1"/>
  <c r="W10" i="1"/>
  <c r="O12" i="1"/>
  <c r="U12" i="1"/>
  <c r="X97" i="89"/>
  <c r="X32" i="89"/>
  <c r="U1" i="1" l="1"/>
  <c r="R2" i="1"/>
  <c r="Y18" i="1"/>
  <c r="AA18" i="1"/>
  <c r="Z18" i="1"/>
  <c r="W18" i="1"/>
  <c r="W23" i="1"/>
  <c r="Y23" i="1"/>
  <c r="Z23" i="1"/>
  <c r="AA23" i="1"/>
  <c r="W16" i="1"/>
  <c r="AA16" i="1"/>
  <c r="Y16" i="1"/>
  <c r="Z16" i="1"/>
  <c r="W17" i="1"/>
  <c r="AA17" i="1"/>
  <c r="Y17" i="1"/>
  <c r="Z17" i="1"/>
  <c r="I5" i="1"/>
  <c r="Z13" i="1"/>
  <c r="AA13" i="1"/>
  <c r="Y13" i="1"/>
  <c r="Z14" i="1"/>
  <c r="AA14" i="1"/>
  <c r="Y14" i="1"/>
  <c r="AA30" i="1"/>
  <c r="Z30" i="1"/>
  <c r="Y30" i="1"/>
  <c r="Z25" i="1"/>
  <c r="Y25" i="1"/>
  <c r="AA25" i="1"/>
  <c r="AA39" i="1"/>
  <c r="Z39" i="1"/>
  <c r="Y39" i="1"/>
  <c r="Z26" i="1"/>
  <c r="AA26" i="1"/>
  <c r="Y26" i="1"/>
  <c r="Z31" i="1"/>
  <c r="Y31" i="1"/>
  <c r="AA31" i="1"/>
  <c r="U6" i="1"/>
  <c r="Y24" i="1"/>
  <c r="AA24" i="1"/>
  <c r="Z24" i="1"/>
  <c r="AA35" i="1"/>
  <c r="Y35" i="1"/>
  <c r="Z35" i="1"/>
  <c r="AA15" i="1"/>
  <c r="Y15" i="1"/>
  <c r="Z15" i="1"/>
  <c r="Z41" i="1"/>
  <c r="Y41" i="1"/>
  <c r="AA41" i="1"/>
  <c r="AA36" i="1"/>
  <c r="Y36" i="1"/>
  <c r="Z36" i="1"/>
  <c r="AA40" i="1"/>
  <c r="Y40" i="1"/>
  <c r="Z40" i="1"/>
  <c r="AA29" i="1"/>
  <c r="Z29" i="1"/>
  <c r="Y29" i="1"/>
  <c r="Y37" i="1"/>
  <c r="AA37" i="1"/>
  <c r="Z37" i="1"/>
  <c r="Z22" i="1"/>
  <c r="AA22" i="1"/>
  <c r="Y22" i="1"/>
  <c r="AA27" i="1"/>
  <c r="Y27" i="1"/>
  <c r="Z27" i="1"/>
  <c r="AA43" i="1"/>
  <c r="Z43" i="1"/>
  <c r="Y43" i="1"/>
  <c r="AA33" i="1"/>
  <c r="Z33" i="1"/>
  <c r="Y33" i="1"/>
  <c r="Y34" i="1"/>
  <c r="Z34" i="1"/>
  <c r="AA34" i="1"/>
  <c r="AA28" i="1"/>
  <c r="Z28" i="1"/>
  <c r="Y28" i="1"/>
  <c r="Z12" i="1"/>
  <c r="AA12" i="1"/>
  <c r="Y12" i="1"/>
  <c r="Y21" i="1"/>
  <c r="AA21" i="1"/>
  <c r="Z21" i="1"/>
  <c r="AA38" i="1"/>
  <c r="Z38" i="1"/>
  <c r="Y38" i="1"/>
  <c r="AA42" i="1"/>
  <c r="Z42" i="1"/>
  <c r="Y42" i="1"/>
  <c r="AA32" i="1"/>
  <c r="Z32" i="1"/>
  <c r="Y32" i="1"/>
  <c r="AA20" i="1"/>
  <c r="Z20" i="1"/>
  <c r="Y20" i="1"/>
  <c r="O6" i="1"/>
  <c r="O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5" i="1"/>
  <c r="W26" i="1"/>
  <c r="W24" i="1"/>
  <c r="W22" i="1"/>
  <c r="W21" i="1"/>
  <c r="W20" i="1"/>
  <c r="W19" i="1"/>
  <c r="W15" i="1"/>
  <c r="W14" i="1"/>
  <c r="W13" i="1"/>
  <c r="W12" i="1"/>
  <c r="AA19" i="1"/>
  <c r="Z19" i="1"/>
  <c r="Y19" i="1"/>
  <c r="U5" i="1"/>
  <c r="AA44" i="1"/>
  <c r="Y44" i="1"/>
  <c r="Z44" i="1"/>
  <c r="R6" i="1"/>
  <c r="R5" i="1"/>
  <c r="Z10" i="1" l="1"/>
  <c r="AA6" i="1"/>
  <c r="AB6" i="1" s="1"/>
  <c r="AA5" i="1"/>
  <c r="D5" i="1"/>
  <c r="U8" i="1"/>
  <c r="U7" i="1"/>
  <c r="O8" i="1"/>
  <c r="O7" i="1"/>
  <c r="W6" i="1"/>
  <c r="R8" i="1"/>
  <c r="R7" i="1"/>
  <c r="AA8" i="1" l="1"/>
  <c r="AB5" i="1"/>
  <c r="AA7" i="1"/>
  <c r="AA10" i="1" s="1"/>
  <c r="U10" i="1"/>
  <c r="M4" i="1" l="1"/>
  <c r="I4" i="1" l="1"/>
  <c r="D4" i="1" l="1"/>
  <c r="X6" i="1" l="1"/>
  <c r="Y6" i="1" s="1"/>
  <c r="Z5" i="1"/>
  <c r="Z6" i="1"/>
  <c r="AD3" i="1"/>
  <c r="U3" i="1"/>
  <c r="Z7" i="1" l="1"/>
  <c r="M3" i="1" l="1"/>
  <c r="I3" i="1" l="1"/>
  <c r="D3" i="1" l="1"/>
  <c r="T2" i="1" l="1"/>
  <c r="S2" i="1" l="1"/>
  <c r="M2" i="1"/>
  <c r="I2" i="1" l="1"/>
  <c r="AH5" i="1" l="1"/>
  <c r="AH4" i="1"/>
  <c r="AH3" i="1"/>
  <c r="AJ5" i="1"/>
  <c r="AJ4" i="1"/>
  <c r="AJ3" i="1"/>
  <c r="D2" i="1"/>
  <c r="R1" i="1"/>
  <c r="R3" i="1" s="1"/>
  <c r="M1" i="1" l="1"/>
  <c r="I1" i="1" l="1"/>
  <c r="D1" i="1" l="1"/>
  <c r="A11" i="24"/>
  <c r="B10" i="24"/>
  <c r="F7" i="24"/>
  <c r="F6" i="24"/>
  <c r="F5" i="24"/>
  <c r="C5" i="24"/>
  <c r="F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K9" i="529"/>
  <c r="M9" i="529" s="1"/>
  <c r="K8" i="529"/>
  <c r="M8" i="529" s="1"/>
  <c r="M6" i="529"/>
  <c r="K6" i="529"/>
  <c r="K5" i="529"/>
  <c r="M5" i="529" s="1"/>
  <c r="I66" i="531"/>
  <c r="I59" i="53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H27" i="531"/>
  <c r="T21" i="531"/>
  <c r="T22" i="531" s="1"/>
  <c r="S21" i="531"/>
  <c r="S22" i="531" s="1"/>
  <c r="R21" i="531"/>
  <c r="R22" i="531" s="1"/>
  <c r="Q21" i="531"/>
  <c r="Q22" i="531" s="1"/>
  <c r="P21" i="531"/>
  <c r="P22" i="531" s="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R46" i="531" l="1"/>
  <c r="R47" i="531" s="1"/>
  <c r="R51" i="531" s="1"/>
  <c r="S46" i="531"/>
  <c r="S47" i="531" s="1"/>
  <c r="P46" i="531"/>
  <c r="P47" i="531" s="1"/>
  <c r="P51" i="531" s="1"/>
  <c r="Q46" i="531"/>
  <c r="Q47" i="531" s="1"/>
  <c r="S31" i="531"/>
  <c r="S32" i="531" s="1"/>
  <c r="S36" i="531" s="1"/>
  <c r="P31" i="531"/>
  <c r="P32" i="531" s="1"/>
  <c r="P34" i="531" s="1"/>
  <c r="Q31" i="531"/>
  <c r="Q32" i="531" s="1"/>
  <c r="Q36" i="531" s="1"/>
  <c r="T31" i="531"/>
  <c r="T32" i="531" s="1"/>
  <c r="R31" i="531"/>
  <c r="R32" i="531" s="1"/>
  <c r="R36" i="531" s="1"/>
  <c r="T46" i="531"/>
  <c r="T47" i="531" s="1"/>
  <c r="T49" i="531" s="1"/>
  <c r="P24" i="531"/>
  <c r="P36" i="531"/>
  <c r="Q49" i="531"/>
  <c r="Q51" i="531"/>
  <c r="T24" i="531"/>
  <c r="T36" i="531"/>
  <c r="S34" i="531"/>
  <c r="Q34" i="531"/>
  <c r="T34" i="531"/>
  <c r="Q24" i="531"/>
  <c r="R24" i="531"/>
  <c r="S24" i="531"/>
  <c r="R49" i="531"/>
  <c r="S49" i="531"/>
  <c r="S51" i="531"/>
  <c r="I60" i="531"/>
  <c r="I61" i="531"/>
  <c r="T51" i="531" l="1"/>
  <c r="P49" i="531"/>
  <c r="R34" i="531"/>
  <c r="Q43" i="446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I12" i="338" a="1"/>
  <c r="I12" i="338" l="1"/>
  <c r="J12" i="338" a="1"/>
  <c r="G12" i="338" a="1"/>
  <c r="J12" i="338" l="1"/>
  <c r="G12" i="338"/>
  <c r="A12" i="338"/>
  <c r="H12" i="338" a="1"/>
  <c r="H12" i="338" l="1"/>
  <c r="O12" i="338"/>
  <c r="K12" i="338"/>
  <c r="V12" i="338" a="1"/>
  <c r="U12" i="338" a="1"/>
  <c r="L12" i="338" a="1"/>
  <c r="U12" i="338" l="1"/>
  <c r="V12" i="338"/>
  <c r="L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A9" i="338"/>
  <c r="H9" i="338" a="1"/>
  <c r="H9" i="338" l="1"/>
  <c r="O9" i="338"/>
  <c r="K9" i="338"/>
  <c r="L9" i="338" a="1"/>
  <c r="U9" i="338" a="1"/>
  <c r="V9" i="338" a="1"/>
  <c r="V9" i="338" l="1"/>
  <c r="U9" i="338"/>
  <c r="L9" i="338"/>
  <c r="AD9" i="338"/>
  <c r="AB9" i="338"/>
  <c r="Z9" i="338"/>
  <c r="I8" i="338" a="1"/>
  <c r="N9" i="338" l="1"/>
  <c r="I8" i="338"/>
  <c r="G8" i="338" a="1"/>
  <c r="G8" i="338" l="1"/>
  <c r="A8" i="338"/>
  <c r="H8" i="338" a="1"/>
  <c r="H8" i="338" l="1"/>
  <c r="O8" i="338"/>
  <c r="K8" i="338"/>
  <c r="AD8" i="338" l="1"/>
  <c r="AB8" i="338"/>
  <c r="Z8" i="338"/>
  <c r="N8" i="338" l="1"/>
  <c r="D4" i="338" l="1"/>
  <c r="Q5" i="338"/>
  <c r="D5" i="338"/>
  <c r="Q3" i="338"/>
  <c r="AP9" i="338" a="1"/>
  <c r="AU11" i="338" a="1"/>
  <c r="AP11" i="338" a="1"/>
  <c r="AU8" i="338" a="1"/>
  <c r="AU12" i="338" a="1"/>
  <c r="AU9" i="338" a="1"/>
  <c r="AP12" i="338" a="1"/>
  <c r="AU10" i="338" a="1"/>
  <c r="AP8" i="338" a="1"/>
  <c r="AP10" i="338" a="1"/>
  <c r="AP10" i="338" l="1"/>
  <c r="AP8" i="338"/>
  <c r="AU10" i="338"/>
  <c r="AP12" i="338"/>
  <c r="AU9" i="338"/>
  <c r="AU12" i="338"/>
  <c r="AU8" i="338"/>
  <c r="AP11" i="338"/>
  <c r="AU11" i="338"/>
  <c r="AP9" i="338"/>
  <c r="AM3" i="338"/>
  <c r="Q2" i="338"/>
  <c r="Q4" i="338" s="1"/>
  <c r="AN3" i="338"/>
  <c r="E4" i="338"/>
  <c r="E2" i="338" s="1"/>
  <c r="Q12" i="338" a="1"/>
  <c r="Q10" i="338" a="1"/>
  <c r="Q11" i="338" a="1"/>
  <c r="Q9" i="338" a="1"/>
  <c r="Q8" i="338" a="1"/>
  <c r="Q8" i="338" l="1"/>
  <c r="Q9" i="338"/>
  <c r="Q11" i="338"/>
  <c r="Q10" i="338"/>
  <c r="Q12" i="338"/>
  <c r="AO9" i="338"/>
  <c r="AT9" i="338"/>
  <c r="AT12" i="338"/>
  <c r="AO10" i="338"/>
  <c r="E1" i="338"/>
  <c r="AO12" i="338"/>
  <c r="AT10" i="338"/>
  <c r="AO11" i="338"/>
  <c r="AT11" i="338"/>
  <c r="AO8" i="338"/>
  <c r="AT8" i="338"/>
  <c r="AM9" i="338"/>
  <c r="AS12" i="338"/>
  <c r="AR10" i="338"/>
  <c r="AN11" i="338"/>
  <c r="AS8" i="338"/>
  <c r="AN9" i="338"/>
  <c r="AS9" i="338"/>
  <c r="AR12" i="338"/>
  <c r="AN12" i="338"/>
  <c r="AR11" i="338"/>
  <c r="AR9" i="338"/>
  <c r="AS10" i="338"/>
  <c r="AN10" i="338"/>
  <c r="AM10" i="338"/>
  <c r="AN8" i="338"/>
  <c r="AM11" i="338"/>
  <c r="AM12" i="338"/>
  <c r="AM8" i="338"/>
  <c r="AR8" i="338"/>
  <c r="AS11" i="338"/>
  <c r="G37" i="530" l="1"/>
  <c r="G38" i="530" s="1"/>
  <c r="F37" i="530"/>
  <c r="F38" i="530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F36" i="530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4" i="530"/>
  <c r="F3" i="530"/>
  <c r="L16" i="530" l="1"/>
  <c r="K16" i="530"/>
  <c r="F39" i="530"/>
  <c r="F40" i="530" s="1"/>
  <c r="G39" i="530"/>
  <c r="G40" i="530" s="1"/>
  <c r="H39" i="530"/>
  <c r="H40" i="530" s="1"/>
  <c r="I39" i="530"/>
  <c r="I40" i="530" s="1"/>
  <c r="J39" i="530"/>
  <c r="J40" i="530" s="1"/>
  <c r="L20" i="530"/>
  <c r="M20" i="530" s="1"/>
  <c r="H42" i="530" l="1"/>
  <c r="H41" i="530"/>
  <c r="I42" i="530"/>
  <c r="I41" i="530"/>
  <c r="G42" i="530"/>
  <c r="G41" i="530"/>
  <c r="F42" i="530"/>
  <c r="F41" i="530"/>
  <c r="J42" i="530"/>
  <c r="J41" i="530"/>
  <c r="P10" i="1"/>
  <c r="P5" i="1" l="1"/>
  <c r="AD10" i="1"/>
  <c r="P7" i="1"/>
  <c r="V5" i="1" l="1"/>
  <c r="T1" i="1"/>
  <c r="T3" i="1" l="1"/>
  <c r="S3" i="1" s="1"/>
  <c r="P3" i="1" s="1"/>
  <c r="S1" i="1"/>
  <c r="P1" i="1" s="1"/>
  <c r="V7" i="1"/>
  <c r="W5" i="1"/>
  <c r="C4" i="24"/>
  <c r="X5" i="1" l="1"/>
  <c r="Y5" i="1" s="1"/>
  <c r="Y7" i="1" s="1"/>
  <c r="W2" i="1"/>
  <c r="W7" i="1"/>
  <c r="V10" i="1"/>
  <c r="B1" i="2" s="1"/>
  <c r="C6" i="24"/>
  <c r="C8" i="24"/>
  <c r="C9" i="24" s="1"/>
  <c r="L1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7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<sst xmlns="http://schemas.openxmlformats.org/spreadsheetml/2006/main" count="3562" uniqueCount="1210">
  <si>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</si>
  <si>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</si>
  <si>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</si>
  <si>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</si>
  <si>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</si>
  <si>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</si>
  <si>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</si>
  <si>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</si>
  <si>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</si>
  <si>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</si>
  <si>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</si>
  <si>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</si>
  <si>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</si>
  <si>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</si>
  <si>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</si>
  <si>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</si>
  <si>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</si>
  <si>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</si>
  <si>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</si>
  <si>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</si>
  <si>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</si>
  <si>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</si>
  <si>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</si>
  <si>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</si>
  <si>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</si>
  <si>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</si>
  <si>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</si>
  <si>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</si>
  <si>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</si>
  <si>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</si>
  <si>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</si>
  <si>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</si>
  <si>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</si>
  <si>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</si>
  <si>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</si>
  <si>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</si>
  <si>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</si>
  <si>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</si>
  <si>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</si>
  <si>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</si>
  <si>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</si>
  <si>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</si>
  <si>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</si>
  <si>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</si>
  <si>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</si>
  <si>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</si>
  <si>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</si>
  <si>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</si>
  <si>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</si>
  <si>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</si>
  <si>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</si>
  <si>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</si>
  <si>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</si>
  <si>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</si>
  <si>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</si>
  <si>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</si>
  <si>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</si>
  <si>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</si>
  <si>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</si>
  <si>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</si>
  <si>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</si>
  <si>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</si>
  <si>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</si>
  <si>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</si>
  <si>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</si>
  <si>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</si>
  <si>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</si>
  <si>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</si>
  <si>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</si>
  <si>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</si>
  <si>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</si>
  <si>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</si>
  <si>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</si>
  <si>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</si>
  <si>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</si>
  <si>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</si>
  <si>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</si>
  <si>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</si>
  <si>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</si>
  <si>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</si>
  <si>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</si>
  <si>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</si>
  <si>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</si>
  <si>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</si>
  <si>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</si>
  <si>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</si>
  <si>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</si>
  <si>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</si>
  <si>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</si>
  <si>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</si>
  <si>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</si>
  <si>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</si>
  <si>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</si>
  <si>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</si>
  <si>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</si>
  <si>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</si>
  <si>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</si>
  <si>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</si>
  <si>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</si>
  <si>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</si>
  <si>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</si>
  <si>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</si>
  <si>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</si>
  <si>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</si>
  <si>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</si>
  <si>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</si>
  <si>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</si>
  <si>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</si>
  <si>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</si>
  <si>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</si>
  <si>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</si>
  <si>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</si>
  <si>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</si>
  <si>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</si>
  <si>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</si>
  <si>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</si>
  <si>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</si>
  <si>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</si>
  <si>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</si>
  <si>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</si>
  <si>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</si>
  <si>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</si>
  <si>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</si>
  <si>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</si>
  <si>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</si>
  <si>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</si>
  <si>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</si>
  <si>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</si>
  <si>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</si>
  <si>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</si>
  <si>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</si>
  <si>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</si>
  <si>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</si>
  <si>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</si>
  <si>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</si>
  <si>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</si>
  <si>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</si>
  <si>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</si>
  <si>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</si>
  <si>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</si>
  <si>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</si>
  <si>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</si>
  <si>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</si>
  <si>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</si>
  <si>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</si>
  <si>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</si>
  <si>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</si>
  <si>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</si>
  <si>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</si>
  <si>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</si>
  <si>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</si>
  <si>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</si>
  <si>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</si>
  <si>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</si>
  <si>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</si>
  <si>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</si>
  <si>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</si>
  <si>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</si>
  <si>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</si>
  <si>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</si>
  <si>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</si>
  <si>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</si>
  <si>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</si>
  <si>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</si>
  <si>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</si>
  <si>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</si>
  <si>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</si>
  <si>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</si>
  <si>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</si>
  <si>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</si>
  <si>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</si>
  <si>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</si>
  <si>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</si>
  <si>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</si>
  <si>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</si>
  <si>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</si>
  <si>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</si>
  <si>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</si>
  <si>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</si>
  <si>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</si>
  <si>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</si>
  <si>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</si>
  <si>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</si>
  <si>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</si>
  <si>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</si>
  <si>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</si>
  <si>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</si>
  <si>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</si>
  <si>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</si>
  <si>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</si>
  <si>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</si>
  <si>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</si>
  <si>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</si>
  <si>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</si>
  <si>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</si>
  <si>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</si>
  <si>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</si>
  <si>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</si>
  <si>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Spread - Buy to Open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</si>
  <si>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</si>
  <si>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</si>
  <si>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</si>
  <si>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</si>
  <si>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</si>
  <si>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</si>
  <si>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</si>
  <si>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</si>
  <si>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</si>
  <si>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</si>
  <si>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</si>
  <si>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</si>
  <si>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</si>
  <si>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</si>
  <si>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</si>
  <si>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</si>
  <si>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</si>
  <si>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</si>
  <si>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</si>
  <si>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</si>
  <si>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</si>
  <si>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</si>
  <si>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</si>
  <si>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</si>
  <si>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</si>
  <si>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</si>
  <si>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</si>
  <si>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</si>
  <si>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</si>
  <si>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</si>
  <si>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</si>
  <si>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</si>
  <si>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</si>
  <si>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</si>
  <si>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</si>
  <si>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</si>
  <si>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</si>
  <si>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</si>
  <si>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</si>
  <si>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</si>
  <si>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</si>
  <si>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</si>
  <si>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</si>
  <si>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</si>
  <si>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</si>
  <si>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</si>
  <si>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</si>
  <si>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</si>
  <si>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</si>
  <si>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</si>
  <si>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</si>
  <si>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</si>
  <si>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</si>
  <si>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</si>
  <si>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</si>
  <si>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</si>
  <si>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</si>
  <si>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</si>
  <si>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</si>
  <si>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</si>
  <si>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</si>
  <si>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</si>
  <si>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</si>
  <si>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</si>
  <si>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</si>
  <si>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</si>
  <si>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</si>
  <si>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</si>
  <si>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</si>
  <si>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</si>
  <si>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</si>
  <si>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</si>
  <si>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</si>
  <si>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</si>
  <si>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</si>
  <si>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</si>
  <si>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</si>
  <si>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</si>
  <si>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</si>
  <si>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</si>
  <si>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</si>
  <si>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</si>
  <si>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</si>
  <si>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</si>
  <si>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</si>
  <si>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</si>
  <si>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</si>
  <si>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</si>
  <si>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</si>
  <si>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</si>
  <si>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</si>
  <si>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</si>
  <si>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</si>
  <si>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</si>
  <si>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</si>
  <si>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</si>
  <si>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</si>
  <si>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</si>
  <si>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</si>
  <si>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</si>
  <si>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</si>
  <si>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</si>
  <si>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</si>
  <si>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</si>
  <si>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</si>
  <si>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</si>
  <si>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</si>
  <si>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</si>
  <si>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</si>
  <si>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</si>
  <si>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</si>
  <si>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</si>
  <si>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</si>
  <si>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</si>
  <si>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</si>
  <si>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</si>
  <si>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</si>
  <si>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</si>
  <si>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</si>
  <si>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</si>
  <si>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</si>
  <si>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</si>
  <si>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</si>
  <si>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</si>
  <si>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</si>
  <si>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</si>
  <si>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</si>
  <si>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</si>
  <si>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</si>
  <si>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</si>
  <si>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</si>
  <si>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</si>
  <si>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</si>
  <si>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</si>
  <si>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</si>
  <si>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</si>
  <si>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</si>
  <si>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</si>
  <si>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</si>
  <si>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</si>
  <si>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</si>
  <si>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</si>
  <si>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</si>
  <si>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MELI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</si>
  <si>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</si>
  <si>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</si>
  <si>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</si>
  <si>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</si>
  <si>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</si>
  <si>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</si>
  <si>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</si>
  <si>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</si>
  <si>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</si>
  <si>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</si>
  <si>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</si>
  <si>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</si>
  <si>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</si>
  <si>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</si>
  <si>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</si>
  <si>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</si>
  <si>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</si>
  <si>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</si>
  <si>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</si>
  <si>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</si>
  <si>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</si>
  <si>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</si>
  <si>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</si>
  <si>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</si>
  <si>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</si>
  <si>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</si>
  <si>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</si>
  <si>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</si>
  <si>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</si>
  <si>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</si>
  <si>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</si>
  <si>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</si>
  <si>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</si>
  <si>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</si>
  <si>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</si>
  <si>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</si>
  <si>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</si>
  <si>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</si>
  <si>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</si>
  <si>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</si>
  <si>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</si>
  <si>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</si>
  <si>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</si>
  <si>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</si>
  <si>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</si>
  <si>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</si>
  <si>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</si>
  <si>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</si>
  <si>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</si>
  <si>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</si>
  <si>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</si>
  <si>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</si>
  <si>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</si>
  <si>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</si>
  <si>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</si>
  <si>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</si>
  <si>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</si>
  <si>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</si>
  <si>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</si>
  <si>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</si>
  <si>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</si>
  <si>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</si>
  <si>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</si>
  <si>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</si>
  <si>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</si>
  <si>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</si>
  <si>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</si>
  <si>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</si>
  <si>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</si>
  <si>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</si>
  <si>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</si>
  <si>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</si>
  <si>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</si>
  <si>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</si>
  <si>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</si>
  <si>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</si>
  <si>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</si>
  <si>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</si>
  <si>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</si>
  <si>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</si>
  <si>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</si>
  <si>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</si>
  <si>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</si>
  <si>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</si>
  <si>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</si>
  <si>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</si>
  <si>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</si>
  <si>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</si>
  <si>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</si>
  <si>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</si>
  <si>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</si>
  <si>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</si>
  <si>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</si>
  <si>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</si>
  <si>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</si>
  <si>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</si>
  <si>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</si>
  <si>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</si>
  <si>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</si>
  <si>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</si>
  <si>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</si>
  <si>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</si>
  <si>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</si>
  <si>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</si>
  <si>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</si>
  <si>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</si>
  <si>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</si>
  <si>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</si>
  <si>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</si>
  <si>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</si>
  <si>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</si>
  <si>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</si>
  <si>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</si>
  <si>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</si>
  <si>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</si>
  <si>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</si>
  <si>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</si>
  <si>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</si>
  <si>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</si>
  <si>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</si>
  <si>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</si>
  <si>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</si>
  <si>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</si>
  <si>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</si>
  <si>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</si>
  <si>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</si>
  <si>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</si>
  <si>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</si>
  <si>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</si>
  <si>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</si>
  <si>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</si>
  <si>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</si>
  <si>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</si>
  <si>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</si>
  <si>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</si>
  <si>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</si>
  <si>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</si>
  <si>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</si>
  <si>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</si>
  <si>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</si>
  <si>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</si>
  <si>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</si>
  <si>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</si>
  <si>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</si>
  <si>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</si>
  <si>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</si>
  <si>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</si>
  <si>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</si>
  <si>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</si>
  <si>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</si>
  <si>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</si>
  <si>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</si>
  <si>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</si>
  <si>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</si>
  <si>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</si>
  <si>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</si>
  <si>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</si>
  <si>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</si>
  <si>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</si>
  <si>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</si>
  <si>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</si>
  <si>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</si>
  <si>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</si>
  <si>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</si>
  <si>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</si>
  <si>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</si>
  <si>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</si>
  <si>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</si>
  <si>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</si>
  <si>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</si>
  <si>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</si>
  <si>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</si>
  <si>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</si>
  <si>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</si>
  <si>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</si>
  <si>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</si>
  <si>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</si>
  <si>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</si>
  <si>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</si>
  <si>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</si>
  <si>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</si>
  <si>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</si>
  <si>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</si>
  <si>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</si>
  <si>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</si>
  <si>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</si>
  <si>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</si>
  <si>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</si>
  <si>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</si>
  <si>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</si>
  <si>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</si>
  <si>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</si>
  <si>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</si>
  <si>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</si>
  <si>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</si>
  <si>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</si>
  <si>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</si>
  <si>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</si>
  <si>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</si>
  <si>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</si>
  <si>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</si>
  <si>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</si>
  <si>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</si>
  <si>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</si>
  <si>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</si>
  <si>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</si>
  <si>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</si>
  <si>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</si>
  <si>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</si>
  <si>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</si>
  <si>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</si>
  <si>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</si>
  <si>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</si>
  <si>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</si>
  <si>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</si>
  <si>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</si>
  <si>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</si>
  <si>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</si>
  <si>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</si>
  <si>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</si>
  <si>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</si>
  <si>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</si>
  <si>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</si>
  <si>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</si>
  <si>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</si>
  <si>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</si>
  <si>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</si>
  <si>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</si>
  <si>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</si>
  <si>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</si>
  <si>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</si>
  <si>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</si>
  <si>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</si>
  <si>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</si>
  <si>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</si>
  <si>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</si>
  <si>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</si>
  <si>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</si>
  <si>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</si>
  <si>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</si>
  <si>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</si>
  <si>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</si>
  <si>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</si>
  <si>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</si>
  <si>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</si>
  <si>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</si>
  <si>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</si>
  <si>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</si>
  <si>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</si>
  <si>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</si>
  <si>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</si>
  <si>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</si>
  <si>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</si>
  <si>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</si>
  <si>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</si>
  <si>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</si>
  <si>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</si>
  <si>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</si>
  <si>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</si>
  <si>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</si>
  <si>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</si>
  <si>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</si>
  <si>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</si>
  <si>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</si>
  <si>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</si>
  <si>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</si>
  <si>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</si>
  <si>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</si>
  <si>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</si>
  <si>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</si>
  <si>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</si>
  <si>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</si>
  <si>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</si>
  <si>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</si>
  <si>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</si>
  <si>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</si>
  <si>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</si>
  <si>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</si>
  <si>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</si>
  <si>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</si>
  <si>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</si>
  <si>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</si>
  <si>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</si>
  <si>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</si>
  <si>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</si>
  <si>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</si>
  <si>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</si>
  <si>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</si>
  <si>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</si>
  <si>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</si>
  <si>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</si>
  <si>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</si>
  <si>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</si>
  <si>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</si>
  <si>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</si>
  <si>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</si>
  <si>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</si>
  <si>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</si>
  <si>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</si>
  <si>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</si>
  <si>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</si>
  <si>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</si>
  <si>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</si>
  <si>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</si>
  <si>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</si>
  <si>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</si>
  <si>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</si>
  <si>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</si>
  <si>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</si>
  <si>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</si>
  <si>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</si>
  <si>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</si>
  <si>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</si>
  <si>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</si>
  <si>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</si>
  <si>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</si>
  <si>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</si>
  <si>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</si>
  <si>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</si>
  <si>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</si>
  <si>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</si>
  <si>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</si>
  <si>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</si>
  <si>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</si>
  <si>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</si>
  <si>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</si>
  <si>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</si>
  <si>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</si>
  <si>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</si>
  <si>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</si>
  <si>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</si>
  <si>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</si>
  <si>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</si>
  <si>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</si>
  <si>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</si>
  <si>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</si>
  <si>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</si>
  <si>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</si>
  <si>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</si>
  <si>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</si>
  <si>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</si>
  <si>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</si>
  <si>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</si>
  <si>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</si>
  <si>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</si>
  <si>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</si>
  <si>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</si>
  <si>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</si>
  <si>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</si>
  <si>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</si>
  <si>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</si>
  <si>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</si>
  <si>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</si>
  <si>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</si>
  <si>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</si>
  <si>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</si>
  <si>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</si>
  <si>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</si>
  <si>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</si>
  <si>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</si>
  <si>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</si>
  <si>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</si>
  <si>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</si>
  <si>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</si>
  <si>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</si>
  <si>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</si>
  <si>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</si>
  <si>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</si>
  <si>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</si>
  <si>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</si>
  <si>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</si>
  <si>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</si>
  <si>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</si>
  <si>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</si>
  <si>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</si>
  <si>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</si>
  <si>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</si>
  <si>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</si>
  <si>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</si>
  <si>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</si>
  <si>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</si>
  <si>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</si>
  <si>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</si>
  <si>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</si>
  <si>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</si>
  <si>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</si>
  <si>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</si>
  <si>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</si>
  <si>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</si>
  <si>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</si>
  <si>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</si>
  <si>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</si>
  <si>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</si>
  <si>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</si>
  <si>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</si>
  <si>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</si>
  <si>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</si>
  <si>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</si>
  <si>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</si>
  <si>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</si>
  <si>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</si>
  <si>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</si>
  <si>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</si>
  <si>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</si>
  <si>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</si>
  <si>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</si>
  <si>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</si>
  <si>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</si>
  <si>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</si>
  <si>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</si>
  <si>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</si>
  <si>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</si>
  <si>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</si>
  <si>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</si>
  <si>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</si>
  <si>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</si>
  <si>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</si>
  <si>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</si>
  <si>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</si>
  <si>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</si>
  <si>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</si>
  <si>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</si>
  <si>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</si>
  <si>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</si>
  <si>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</si>
  <si>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</si>
  <si>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</si>
  <si>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</si>
  <si>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</si>
  <si>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</si>
  <si>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</si>
  <si>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</si>
  <si>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</si>
  <si>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</si>
  <si>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</si>
  <si>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</si>
  <si>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</si>
  <si>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</si>
  <si>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</si>
  <si>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</si>
  <si>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</si>
  <si>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</si>
  <si>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</si>
  <si>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</si>
  <si>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</si>
  <si>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</si>
  <si>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</si>
  <si>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</si>
  <si>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</si>
  <si>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</si>
  <si>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</si>
  <si>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</si>
  <si>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</si>
  <si>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</si>
  <si>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</si>
  <si>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</si>
  <si>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</si>
  <si>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</si>
  <si>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</si>
  <si>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</si>
  <si>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</si>
  <si>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</si>
  <si>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</si>
  <si>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</si>
  <si>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</si>
  <si>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</si>
  <si>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</si>
  <si>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</si>
  <si>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</si>
  <si>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</si>
  <si>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</si>
  <si>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</si>
  <si>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</si>
  <si>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</si>
  <si>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</si>
  <si>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</si>
  <si>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</si>
  <si>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</si>
  <si>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</si>
  <si>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</si>
  <si>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</si>
  <si>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</si>
  <si>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</si>
  <si>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</si>
  <si>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</si>
  <si>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</si>
  <si>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</si>
  <si>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</si>
  <si>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</si>
  <si>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</si>
  <si>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</si>
  <si>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</si>
  <si>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</si>
  <si>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</si>
  <si>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</si>
  <si>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</si>
  <si>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</si>
  <si>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</si>
  <si>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</si>
  <si>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</si>
  <si>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</si>
  <si>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</si>
  <si>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</si>
  <si>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</si>
  <si>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</si>
  <si>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</si>
  <si>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</si>
  <si>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</si>
  <si>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</si>
  <si>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</si>
  <si>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</si>
  <si>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</si>
  <si>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</si>
  <si>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</si>
  <si>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</si>
  <si>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</si>
  <si>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</si>
  <si>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</si>
  <si>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</si>
  <si>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</si>
  <si>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</si>
  <si>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</si>
  <si>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</si>
  <si>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</si>
  <si>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</si>
  <si>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</si>
  <si>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</si>
  <si>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</si>
  <si>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</si>
  <si>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</si>
  <si>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</si>
  <si>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</si>
  <si>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</si>
  <si>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</si>
  <si>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</si>
  <si>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</si>
  <si>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</si>
  <si>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</si>
  <si>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</si>
  <si>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</si>
  <si>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</si>
  <si>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</si>
  <si>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</si>
  <si>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</si>
  <si>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</si>
  <si>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</si>
  <si>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</si>
  <si>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</si>
  <si>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</si>
  <si>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</si>
  <si>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</si>
  <si>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</si>
  <si>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</si>
  <si>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</si>
  <si>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</si>
  <si>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</si>
  <si>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</si>
  <si>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</si>
  <si>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</si>
  <si>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</si>
  <si>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</si>
  <si>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</si>
  <si>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</si>
  <si>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</si>
  <si>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</si>
  <si>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</si>
  <si>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</si>
  <si>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</si>
  <si>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</si>
  <si>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</si>
  <si>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Internet/SW</t>
  </si>
  <si>
    <t>Pairs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</si>
  <si>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</si>
  <si>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</si>
  <si>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</si>
  <si>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</si>
  <si>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</si>
  <si>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</si>
  <si>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</si>
  <si>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</si>
  <si>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</si>
  <si>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</si>
  <si>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</si>
  <si>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</si>
  <si>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</si>
  <si>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</si>
  <si>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</si>
  <si>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</si>
  <si>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</si>
  <si>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</si>
  <si>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000660 KP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</si>
  <si>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</si>
  <si>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</si>
  <si>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</si>
  <si>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</si>
  <si>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</si>
  <si>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</si>
  <si>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</si>
  <si>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</si>
  <si>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</si>
  <si>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</si>
  <si>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</si>
  <si>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</si>
  <si>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</si>
  <si>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</si>
  <si>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C245</t>
  </si>
  <si>
    <t>META US 07/17/26 C670</t>
  </si>
  <si>
    <t>MSFT US 07/17/26 C465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</si>
  <si>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</si>
  <si>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</si>
  <si>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</si>
  <si>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</si>
  <si>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</si>
  <si>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</si>
  <si>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</si>
  <si>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</si>
  <si>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</si>
  <si>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</si>
  <si>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</si>
  <si>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</si>
  <si>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</si>
  <si>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</si>
  <si>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</si>
  <si>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</si>
  <si>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</si>
  <si>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</si>
  <si>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</si>
  <si>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</si>
  <si>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</si>
  <si>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</si>
  <si>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</si>
  <si>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</si>
  <si>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</si>
  <si>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</si>
  <si>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</si>
  <si>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</si>
  <si>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</si>
  <si>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</si>
  <si>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</si>
  <si>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</si>
  <si>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</si>
  <si>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</si>
  <si>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</si>
  <si>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</si>
  <si>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</si>
  <si>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</si>
  <si>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</si>
  <si>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</si>
  <si>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</si>
  <si>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</si>
  <si>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</si>
  <si>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</si>
  <si>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</si>
  <si>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</si>
  <si>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</si>
  <si>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</si>
  <si>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</si>
  <si>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</si>
  <si>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</si>
  <si>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</si>
  <si>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</si>
  <si>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</si>
  <si>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</si>
  <si>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</si>
  <si>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</si>
  <si>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</si>
  <si>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</si>
  <si>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</si>
  <si>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</si>
  <si>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</si>
  <si>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</si>
  <si>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</si>
  <si>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</si>
  <si>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</si>
  <si>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</si>
  <si>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</si>
  <si>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</si>
  <si>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</si>
  <si>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</si>
  <si>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</si>
  <si>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</si>
  <si>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</si>
  <si>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</si>
  <si>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</si>
  <si>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</si>
  <si>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</si>
  <si>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</si>
  <si>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</si>
  <si>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</si>
  <si>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</si>
  <si>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</si>
  <si>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</si>
  <si>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</si>
  <si>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</si>
  <si>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</si>
  <si>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</si>
  <si>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</si>
  <si>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</si>
  <si>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</si>
  <si>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</si>
  <si>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</si>
  <si>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</si>
  <si>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</si>
  <si>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</si>
  <si>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</si>
  <si>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</si>
  <si>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</si>
  <si>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</si>
  <si>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</si>
  <si>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</si>
  <si>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</si>
  <si>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</si>
  <si>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</si>
  <si>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</si>
  <si>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</si>
  <si>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</si>
  <si>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</si>
  <si>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</si>
  <si>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</si>
  <si>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</si>
  <si>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</si>
  <si>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</si>
  <si>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</si>
  <si>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</si>
  <si>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</si>
  <si>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</si>
  <si>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</si>
  <si>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</si>
  <si>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</si>
  <si>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</si>
  <si>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</si>
  <si>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</si>
  <si>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</si>
  <si>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</si>
  <si>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</si>
  <si>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</si>
  <si>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</si>
  <si>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</si>
  <si>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</si>
  <si>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</si>
  <si>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</si>
  <si>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</si>
  <si>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</si>
  <si>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</si>
  <si>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</si>
  <si>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</si>
  <si>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</si>
  <si>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</si>
  <si>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005930 KS</t>
  </si>
  <si>
    <t>YSS</t>
  </si>
  <si>
    <t>620</t>
  </si>
  <si>
    <t>META US 07/17/26 C750</t>
  </si>
  <si>
    <t>AAPL US 04/17/26 C260</t>
  </si>
  <si>
    <t>AAPL US 04/17/26 C280</t>
  </si>
  <si>
    <t>Expo QQQ Adj</t>
  </si>
  <si>
    <t>market</t>
  </si>
  <si>
    <t>1OG6P 25000</t>
  </si>
  <si>
    <t>1OH6</t>
  </si>
  <si>
    <t>NASDAQ-100 E-mini Futures - CME</t>
  </si>
  <si>
    <t>NQH6</t>
  </si>
  <si>
    <t>AAPL US 04/17/26 C260 Equity</t>
  </si>
  <si>
    <t>AAPL US Equity</t>
  </si>
  <si>
    <t>AAPL US 04/17/26 C280 Equity</t>
  </si>
  <si>
    <t>280</t>
  </si>
  <si>
    <t>META US 07/17/26 C750 Equity</t>
  </si>
  <si>
    <t>B3SA3 20/02/26 C17.67 OTC</t>
  </si>
  <si>
    <t>B3SA3 Equity</t>
  </si>
  <si>
    <t>17.67</t>
  </si>
  <si>
    <t>MOTV3 20/02/26 C18.01 OTC</t>
  </si>
  <si>
    <t>MOTV3 Equity</t>
  </si>
  <si>
    <t>18.01</t>
  </si>
  <si>
    <t>QQQ US 02/06/26 C634</t>
  </si>
  <si>
    <t>QQQ US 02/06/26 P624</t>
  </si>
  <si>
    <t>1OG6P 25750</t>
  </si>
  <si>
    <t>QQQ US 02/06/26 C640</t>
  </si>
  <si>
    <t>QQQ US 02/06/26 P620</t>
  </si>
  <si>
    <t>QQQ US 02/06/26 P615</t>
  </si>
  <si>
    <t>NASDAQ-100 E-mini Options - CME</t>
  </si>
  <si>
    <t>Provision CME USD_</t>
  </si>
  <si>
    <t>QQQ US 02/06/26 P615 Equity</t>
  </si>
  <si>
    <t>615</t>
  </si>
  <si>
    <t>QQQ US 02/06/26 P620 Equity</t>
  </si>
  <si>
    <t>PRIO3 17/04/26 P45.5 OTC</t>
  </si>
  <si>
    <t>45.5</t>
  </si>
  <si>
    <t>PRIO3 17/04/26 P49.5 OTC</t>
  </si>
  <si>
    <t>49.5</t>
  </si>
  <si>
    <t>2OG6P 25000</t>
  </si>
  <si>
    <t>2OH6</t>
  </si>
  <si>
    <t>WMB</t>
  </si>
  <si>
    <t>Korea</t>
  </si>
  <si>
    <t>Others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</si>
  <si>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</si>
  <si>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</si>
  <si>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</si>
  <si>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</si>
  <si>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</si>
  <si>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</si>
  <si>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</si>
  <si>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</si>
  <si>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</si>
  <si>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</si>
  <si>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</si>
  <si>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</si>
  <si>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</si>
  <si>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3110 JT</t>
  </si>
  <si>
    <t>JPY</t>
  </si>
  <si>
    <t>Equity Total Return Swap Payment USD_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</si>
  <si>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</si>
  <si>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</si>
  <si>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</si>
  <si>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</si>
  <si>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</si>
  <si>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18.87</t>
  </si>
  <si>
    <t>VIVA3 20/02/26 C30.64 OTC</t>
  </si>
  <si>
    <t>30.64</t>
  </si>
  <si>
    <t>VIVA3 20/02/26 P26.64 OTC</t>
  </si>
  <si>
    <t>26.64</t>
  </si>
  <si>
    <t>VIVA3 20/02/26 P28.64 OTC</t>
  </si>
  <si>
    <t>28.64</t>
  </si>
  <si>
    <t>SAP</t>
  </si>
  <si>
    <t>1OG6C 26000</t>
  </si>
  <si>
    <t>MELI US 02/20/26 C2150</t>
  </si>
  <si>
    <t>AVGO US 02/06/26 C315</t>
  </si>
  <si>
    <t>AVGO US 02/13/26 C330</t>
  </si>
  <si>
    <t>QQQ US 02/06/26 P600</t>
  </si>
  <si>
    <t>QQQ US 02/06/26 P585</t>
  </si>
  <si>
    <t>GOOG US 02/06/26 P300</t>
  </si>
  <si>
    <t>MELI US 02/20/26 C2150 Equity</t>
  </si>
  <si>
    <t>MELI US Equity</t>
  </si>
  <si>
    <t>2150</t>
  </si>
  <si>
    <t>AVGO US 02/06/26 C315 Equity</t>
  </si>
  <si>
    <t>315</t>
  </si>
  <si>
    <t>AVGO US 02/13/26 C330 Equity</t>
  </si>
  <si>
    <t>GOOG US 02/06/26 P300 Equity</t>
  </si>
  <si>
    <t>GOOG US Equity</t>
  </si>
  <si>
    <t>MELI US 02/06/26 C2060</t>
  </si>
  <si>
    <t>MELI US 02/06/26 C2060 Equity</t>
  </si>
  <si>
    <t>2060</t>
  </si>
  <si>
    <t>MELI US 02/06/26 C2090</t>
  </si>
  <si>
    <t>MELI US 02/06/26 C2090 Equity</t>
  </si>
  <si>
    <t>2090</t>
  </si>
  <si>
    <t>MELI US 02/06/26 C2150</t>
  </si>
  <si>
    <t>MELI US 02/06/26 C2150 Equity</t>
  </si>
  <si>
    <t>QQQ US 02/06/26 P585 Equity</t>
  </si>
  <si>
    <t>QQQ US 02/06/26 P600 Equity</t>
  </si>
  <si>
    <t>INBR32 20/02/26 C53.54 OTC</t>
  </si>
  <si>
    <t>INBR32 Equity</t>
  </si>
  <si>
    <t>53.54</t>
  </si>
  <si>
    <t>INBR32 20/02/26 P45.54 OTC</t>
  </si>
  <si>
    <t>45.54</t>
  </si>
  <si>
    <t>INBR32 20/02/26 P49.29 OTC</t>
  </si>
  <si>
    <t>49.29</t>
  </si>
  <si>
    <t>PGMN3 20/03/26 C7.37 OTC</t>
  </si>
  <si>
    <t>PGMN3 Equity</t>
  </si>
  <si>
    <t>7.37</t>
  </si>
  <si>
    <t>PGMN3 20/03/26 P6.17 OTC</t>
  </si>
  <si>
    <t>6.17</t>
  </si>
  <si>
    <t>PGMN3 20/03/26 P6.77 OTC</t>
  </si>
  <si>
    <t>6.77</t>
  </si>
  <si>
    <t>1OG6C 25550</t>
  </si>
  <si>
    <t>1OG6P 23500</t>
  </si>
  <si>
    <t>QQQ US 02/20/26 P595</t>
  </si>
  <si>
    <t>QQQ US 02/20/26 P580</t>
  </si>
  <si>
    <t>AMZN US 04/17/26 C235</t>
  </si>
  <si>
    <t>AMZN US 04/17/26 C250</t>
  </si>
  <si>
    <t>MSFT US 02/20/26 P375</t>
  </si>
  <si>
    <t>MSFT US 02/20/26 P355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</si>
</sst>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</numFmts>
  <fonts count="10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64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20" fillId="17" borderId="0" applyNumberFormat="0" applyBorder="0" applyAlignment="0" applyProtection="0"/>
    <xf numFmtId="0" fontId="21" fillId="18" borderId="23" applyNumberFormat="0" applyAlignment="0" applyProtection="0"/>
    <xf numFmtId="0" fontId="24" fillId="0" borderId="25" applyNumberFormat="0" applyFill="0" applyAlignment="0" applyProtection="0"/>
    <xf numFmtId="0" fontId="9" fillId="20" borderId="26" applyNumberFormat="0" applyAlignment="0" applyProtection="0"/>
    <xf numFmtId="0" fontId="25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30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6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27" fillId="25" borderId="0" applyNumberFormat="0" applyBorder="0" applyAlignment="0" applyProtection="0"/>
    <xf numFmtId="0" fontId="27" fillId="29" borderId="0" applyNumberFormat="0" applyBorder="0" applyAlignment="0" applyProtection="0"/>
    <xf numFmtId="0" fontId="27" fillId="33" borderId="0" applyNumberFormat="0" applyBorder="0" applyAlignment="0" applyProtection="0"/>
    <xf numFmtId="0" fontId="27" fillId="37" borderId="0" applyNumberFormat="0" applyBorder="0" applyAlignment="0" applyProtection="0"/>
    <xf numFmtId="0" fontId="27" fillId="41" borderId="0" applyNumberFormat="0" applyBorder="0" applyAlignment="0" applyProtection="0"/>
    <xf numFmtId="0" fontId="27" fillId="45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47" borderId="0" applyNumberFormat="0" applyBorder="0" applyAlignment="0" applyProtection="0"/>
    <xf numFmtId="37" fontId="30" fillId="0" borderId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27" fillId="38" borderId="0" applyNumberFormat="0" applyBorder="0" applyAlignment="0" applyProtection="0"/>
    <xf numFmtId="0" fontId="27" fillId="42" borderId="0" applyNumberFormat="0" applyBorder="0" applyAlignment="0" applyProtection="0"/>
    <xf numFmtId="0" fontId="33" fillId="0" borderId="0"/>
    <xf numFmtId="41" fontId="33" fillId="0" borderId="0" applyFont="0" applyFill="0" applyBorder="0" applyAlignment="0" applyProtection="0"/>
    <xf numFmtId="0" fontId="19" fillId="16" borderId="0" applyNumberFormat="0" applyBorder="0" applyAlignment="0" applyProtection="0"/>
    <xf numFmtId="183" fontId="33" fillId="0" borderId="0" applyFill="0" applyBorder="0" applyAlignment="0" applyProtection="0">
      <alignment horizontal="right"/>
      <protection locked="0"/>
    </xf>
    <xf numFmtId="0" fontId="34" fillId="52" borderId="0"/>
    <xf numFmtId="0" fontId="23" fillId="19" borderId="23" applyNumberFormat="0" applyAlignment="0" applyProtection="0"/>
    <xf numFmtId="0" fontId="35" fillId="46" borderId="29" applyNumberFormat="0" applyAlignment="0" applyProtection="0"/>
    <xf numFmtId="0" fontId="9" fillId="20" borderId="26" applyNumberFormat="0" applyAlignment="0" applyProtection="0"/>
    <xf numFmtId="0" fontId="33" fillId="0" borderId="0">
      <alignment horizontal="center" wrapText="1"/>
      <protection hidden="1"/>
    </xf>
    <xf numFmtId="0" fontId="36" fillId="0" borderId="0" applyNumberFormat="0" applyFill="0" applyBorder="0" applyAlignment="0"/>
    <xf numFmtId="182" fontId="33" fillId="0" borderId="0" applyFont="0" applyFill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7" fillId="0" borderId="0" applyFont="0" applyFill="0" applyBorder="0" applyAlignment="0" applyProtection="0"/>
    <xf numFmtId="0" fontId="38" fillId="53" borderId="0">
      <alignment horizontal="center" vertical="center" wrapText="1"/>
    </xf>
    <xf numFmtId="0" fontId="39" fillId="0" borderId="30" applyNumberFormat="0"/>
    <xf numFmtId="0" fontId="40" fillId="0" borderId="30" applyNumberFormat="0"/>
    <xf numFmtId="1" fontId="37" fillId="0" borderId="0" applyFont="0" applyFill="0" applyBorder="0" applyAlignment="0" applyProtection="0"/>
    <xf numFmtId="2" fontId="41" fillId="54" borderId="16">
      <protection locked="0"/>
    </xf>
    <xf numFmtId="0" fontId="42" fillId="0" borderId="0" applyNumberFormat="0" applyBorder="0" applyAlignment="0">
      <alignment horizontal="center"/>
    </xf>
    <xf numFmtId="0" fontId="42" fillId="55" borderId="0" applyNumberFormat="0" applyBorder="0" applyAlignment="0">
      <alignment horizontal="center"/>
    </xf>
    <xf numFmtId="0" fontId="43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32" fillId="51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51" borderId="0" applyNumberFormat="0" applyBorder="0" applyAlignment="0" applyProtection="0"/>
    <xf numFmtId="0" fontId="32" fillId="59" borderId="0" applyNumberFormat="0" applyBorder="0" applyAlignment="0" applyProtection="0"/>
    <xf numFmtId="0" fontId="33" fillId="0" borderId="0"/>
    <xf numFmtId="184" fontId="3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2" fontId="43" fillId="0" borderId="0" applyFont="0" applyFill="0" applyBorder="0" applyAlignment="0" applyProtection="0"/>
    <xf numFmtId="0" fontId="44" fillId="0" borderId="0" applyFill="0" applyBorder="0" applyProtection="0">
      <alignment horizontal="left"/>
    </xf>
    <xf numFmtId="0" fontId="18" fillId="15" borderId="0" applyNumberFormat="0" applyBorder="0" applyAlignment="0" applyProtection="0"/>
    <xf numFmtId="0" fontId="45" fillId="0" borderId="0" applyNumberFormat="0">
      <alignment horizontal="right"/>
    </xf>
    <xf numFmtId="0" fontId="46" fillId="0" borderId="0" applyNumberFormat="0">
      <alignment horizontal="right"/>
    </xf>
    <xf numFmtId="0" fontId="46" fillId="0" borderId="0" applyNumberFormat="0">
      <alignment horizontal="left"/>
    </xf>
    <xf numFmtId="0" fontId="45" fillId="0" borderId="0" applyNumberFormat="0">
      <alignment horizontal="left"/>
    </xf>
    <xf numFmtId="0" fontId="47" fillId="0" borderId="0" applyNumberFormat="0">
      <alignment horizontal="left" vertical="top"/>
    </xf>
    <xf numFmtId="0" fontId="15" fillId="0" borderId="20" applyNumberFormat="0" applyFill="0" applyAlignment="0" applyProtection="0"/>
    <xf numFmtId="0" fontId="16" fillId="0" borderId="21" applyNumberFormat="0" applyFill="0" applyAlignment="0" applyProtection="0"/>
    <xf numFmtId="0" fontId="17" fillId="0" borderId="22" applyNumberFormat="0" applyFill="0" applyAlignment="0" applyProtection="0"/>
    <xf numFmtId="0" fontId="17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49" fillId="60" borderId="0" applyNumberFormat="0" applyBorder="0" applyAlignment="0" applyProtection="0"/>
    <xf numFmtId="0" fontId="21" fillId="18" borderId="23" applyNumberFormat="0" applyAlignment="0" applyProtection="0"/>
    <xf numFmtId="185" fontId="33" fillId="0" borderId="0" applyFill="0" applyBorder="0">
      <alignment horizontal="right"/>
      <protection locked="0"/>
    </xf>
    <xf numFmtId="0" fontId="41" fillId="61" borderId="30">
      <alignment horizontal="left" vertical="center" wrapText="1"/>
    </xf>
    <xf numFmtId="0" fontId="24" fillId="0" borderId="25" applyNumberFormat="0" applyFill="0" applyAlignment="0" applyProtection="0"/>
    <xf numFmtId="0" fontId="50" fillId="62" borderId="0" applyNumberFormat="0" applyBorder="0" applyAlignment="0" applyProtection="0"/>
    <xf numFmtId="0" fontId="29" fillId="17" borderId="0" applyNumberFormat="0" applyBorder="0" applyAlignment="0" applyProtection="0"/>
    <xf numFmtId="171" fontId="33" fillId="0" borderId="0"/>
    <xf numFmtId="0" fontId="51" fillId="0" borderId="0"/>
    <xf numFmtId="0" fontId="33" fillId="0" borderId="0"/>
    <xf numFmtId="0" fontId="1" fillId="0" borderId="0"/>
    <xf numFmtId="0" fontId="33" fillId="0" borderId="0"/>
    <xf numFmtId="186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" fillId="21" borderId="27" applyNumberFormat="0" applyFont="0" applyAlignment="0" applyProtection="0"/>
    <xf numFmtId="0" fontId="52" fillId="0" borderId="19"/>
    <xf numFmtId="0" fontId="53" fillId="0" borderId="0"/>
    <xf numFmtId="0" fontId="22" fillId="19" borderId="24" applyNumberFormat="0" applyAlignment="0" applyProtection="0"/>
    <xf numFmtId="9" fontId="33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3" fillId="0" borderId="0" applyFill="0" applyBorder="0">
      <alignment horizontal="right"/>
      <protection locked="0"/>
    </xf>
    <xf numFmtId="164" fontId="33" fillId="0" borderId="0" applyFont="0" applyFill="0" applyBorder="0" applyAlignment="0" applyProtection="0"/>
    <xf numFmtId="188" fontId="33" fillId="0" borderId="0">
      <alignment horizontal="right"/>
      <protection locked="0"/>
    </xf>
    <xf numFmtId="1" fontId="41" fillId="54" borderId="0" applyBorder="0">
      <protection locked="0"/>
    </xf>
    <xf numFmtId="1" fontId="41" fillId="54" borderId="13" applyBorder="0">
      <protection locked="0"/>
    </xf>
    <xf numFmtId="181" fontId="41" fillId="54" borderId="13" applyBorder="0">
      <protection locked="0"/>
    </xf>
    <xf numFmtId="0" fontId="54" fillId="46" borderId="31" applyNumberFormat="0" applyAlignment="0" applyProtection="0"/>
    <xf numFmtId="4" fontId="55" fillId="63" borderId="32" applyNumberFormat="0" applyProtection="0">
      <alignment vertical="center"/>
    </xf>
    <xf numFmtId="4" fontId="56" fillId="63" borderId="32" applyNumberFormat="0" applyProtection="0">
      <alignment vertical="center"/>
    </xf>
    <xf numFmtId="4" fontId="57" fillId="63" borderId="32" applyNumberFormat="0" applyProtection="0">
      <alignment horizontal="left" vertical="center" indent="1"/>
    </xf>
    <xf numFmtId="4" fontId="57" fillId="64" borderId="0" applyNumberFormat="0" applyProtection="0">
      <alignment horizontal="left" vertical="center" indent="1"/>
    </xf>
    <xf numFmtId="4" fontId="58" fillId="65" borderId="32" applyNumberFormat="0" applyProtection="0">
      <alignment horizontal="right" vertical="center"/>
    </xf>
    <xf numFmtId="4" fontId="58" fillId="66" borderId="32" applyNumberFormat="0" applyProtection="0">
      <alignment horizontal="right" vertical="center"/>
    </xf>
    <xf numFmtId="4" fontId="58" fillId="67" borderId="32" applyNumberFormat="0" applyProtection="0">
      <alignment horizontal="right" vertical="center"/>
    </xf>
    <xf numFmtId="4" fontId="58" fillId="68" borderId="32" applyNumberFormat="0" applyProtection="0">
      <alignment horizontal="right" vertical="center"/>
    </xf>
    <xf numFmtId="4" fontId="58" fillId="69" borderId="32" applyNumberFormat="0" applyProtection="0">
      <alignment horizontal="right" vertical="center"/>
    </xf>
    <xf numFmtId="4" fontId="58" fillId="70" borderId="32" applyNumberFormat="0" applyProtection="0">
      <alignment horizontal="right" vertical="center"/>
    </xf>
    <xf numFmtId="4" fontId="58" fillId="71" borderId="32" applyNumberFormat="0" applyProtection="0">
      <alignment horizontal="right" vertical="center"/>
    </xf>
    <xf numFmtId="4" fontId="58" fillId="72" borderId="32" applyNumberFormat="0" applyProtection="0">
      <alignment horizontal="right" vertical="center"/>
    </xf>
    <xf numFmtId="4" fontId="58" fillId="73" borderId="32" applyNumberFormat="0" applyProtection="0">
      <alignment horizontal="right" vertical="center"/>
    </xf>
    <xf numFmtId="4" fontId="55" fillId="74" borderId="33" applyNumberFormat="0" applyProtection="0">
      <alignment horizontal="left" vertical="center" indent="1"/>
    </xf>
    <xf numFmtId="4" fontId="55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8" fillId="75" borderId="32" applyNumberFormat="0" applyProtection="0">
      <alignment horizontal="right" vertical="center"/>
    </xf>
    <xf numFmtId="4" fontId="60" fillId="75" borderId="0" applyNumberFormat="0" applyProtection="0">
      <alignment horizontal="left" vertical="center" indent="1"/>
    </xf>
    <xf numFmtId="4" fontId="60" fillId="64" borderId="0" applyNumberFormat="0" applyProtection="0">
      <alignment horizontal="left" vertical="center" indent="1"/>
    </xf>
    <xf numFmtId="4" fontId="58" fillId="76" borderId="32" applyNumberFormat="0" applyProtection="0">
      <alignment vertical="center"/>
    </xf>
    <xf numFmtId="4" fontId="61" fillId="76" borderId="32" applyNumberFormat="0" applyProtection="0">
      <alignment vertical="center"/>
    </xf>
    <xf numFmtId="4" fontId="59" fillId="75" borderId="34" applyNumberFormat="0" applyProtection="0">
      <alignment horizontal="left" vertical="center" indent="1"/>
    </xf>
    <xf numFmtId="4" fontId="57" fillId="76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5" fillId="75" borderId="32" applyNumberFormat="0" applyProtection="0">
      <alignment horizontal="left" vertical="center" indent="1"/>
    </xf>
    <xf numFmtId="4" fontId="62" fillId="77" borderId="34" applyNumberFormat="0" applyProtection="0">
      <alignment horizontal="left" vertical="center" indent="1"/>
    </xf>
    <xf numFmtId="4" fontId="63" fillId="76" borderId="32" applyNumberFormat="0" applyProtection="0">
      <alignment horizontal="right" vertical="center"/>
    </xf>
    <xf numFmtId="189" fontId="64" fillId="0" borderId="0" applyFill="0" applyBorder="0">
      <alignment horizontal="right"/>
      <protection hidden="1"/>
    </xf>
    <xf numFmtId="0" fontId="65" fillId="53" borderId="16">
      <alignment horizontal="center" vertical="center" wrapText="1"/>
      <protection hidden="1"/>
    </xf>
    <xf numFmtId="0" fontId="41" fillId="54" borderId="0">
      <protection locked="0"/>
    </xf>
    <xf numFmtId="0" fontId="41" fillId="54" borderId="13" applyBorder="0">
      <protection locked="0"/>
    </xf>
    <xf numFmtId="180" fontId="33" fillId="0" borderId="0"/>
    <xf numFmtId="182" fontId="33" fillId="0" borderId="0">
      <alignment textRotation="255"/>
    </xf>
    <xf numFmtId="0" fontId="66" fillId="0" borderId="0">
      <alignment vertical="center"/>
    </xf>
    <xf numFmtId="0" fontId="33" fillId="0" borderId="0"/>
    <xf numFmtId="0" fontId="67" fillId="0" borderId="0" applyBorder="0" applyProtection="0">
      <alignment horizontal="left"/>
    </xf>
    <xf numFmtId="0" fontId="68" fillId="0" borderId="0" applyFill="0" applyBorder="0" applyProtection="0">
      <alignment horizontal="left"/>
    </xf>
    <xf numFmtId="0" fontId="69" fillId="0" borderId="18" applyFill="0" applyBorder="0" applyProtection="0">
      <alignment horizontal="left" vertical="top"/>
    </xf>
    <xf numFmtId="0" fontId="7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3" fillId="0" borderId="0" applyBorder="0"/>
    <xf numFmtId="0" fontId="71" fillId="0" borderId="0" applyNumberFormat="0" applyFill="0" applyBorder="0" applyAlignment="0" applyProtection="0"/>
    <xf numFmtId="0" fontId="72" fillId="0" borderId="35" applyNumberFormat="0" applyFill="0" applyAlignment="0" applyProtection="0"/>
    <xf numFmtId="0" fontId="73" fillId="0" borderId="36" applyNumberFormat="0" applyFill="0" applyAlignment="0" applyProtection="0"/>
    <xf numFmtId="0" fontId="74" fillId="0" borderId="37" applyNumberFormat="0" applyFill="0" applyAlignment="0" applyProtection="0"/>
    <xf numFmtId="0" fontId="74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1" fillId="54" borderId="16">
      <protection locked="0"/>
    </xf>
    <xf numFmtId="4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3" fillId="0" borderId="0" applyFont="0" applyFill="0" applyBorder="0" applyAlignment="0" applyProtection="0"/>
    <xf numFmtId="191" fontId="3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5" fillId="0" borderId="0"/>
    <xf numFmtId="0" fontId="7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5" fillId="0" borderId="0"/>
    <xf numFmtId="0" fontId="33" fillId="0" borderId="0"/>
    <xf numFmtId="0" fontId="1" fillId="0" borderId="0"/>
    <xf numFmtId="0" fontId="1" fillId="0" borderId="0"/>
    <xf numFmtId="0" fontId="1" fillId="0" borderId="0"/>
    <xf numFmtId="9" fontId="33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14" fontId="30" fillId="0" borderId="0"/>
    <xf numFmtId="14" fontId="30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51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43" fontId="1" fillId="0" borderId="0" applyFont="0" applyFill="0" applyBorder="0" applyAlignment="0" applyProtection="0"/>
    <xf numFmtId="0" fontId="78" fillId="0" borderId="0">
      <alignment vertical="top"/>
    </xf>
    <xf numFmtId="0" fontId="79" fillId="0" borderId="0">
      <alignment horizontal="left" vertical="top"/>
    </xf>
    <xf numFmtId="14" fontId="78" fillId="0" borderId="0">
      <alignment vertical="top"/>
    </xf>
    <xf numFmtId="0" fontId="78" fillId="78" borderId="7">
      <alignment horizontal="left" vertical="top"/>
    </xf>
    <xf numFmtId="0" fontId="77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0" fontId="80" fillId="0" borderId="0"/>
    <xf numFmtId="0" fontId="80" fillId="0" borderId="0"/>
    <xf numFmtId="43" fontId="80" fillId="0" borderId="0" applyFont="0" applyFill="0" applyBorder="0" applyAlignment="0" applyProtection="0"/>
    <xf numFmtId="0" fontId="80" fillId="0" borderId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15" borderId="0" applyNumberFormat="0" applyBorder="0" applyAlignment="0" applyProtection="0"/>
    <xf numFmtId="0" fontId="21" fillId="18" borderId="23" applyNumberFormat="0" applyAlignment="0" applyProtection="0"/>
    <xf numFmtId="0" fontId="24" fillId="0" borderId="25" applyNumberFormat="0" applyFill="0" applyAlignment="0" applyProtection="0"/>
    <xf numFmtId="0" fontId="9" fillId="20" borderId="26" applyNumberFormat="0" applyAlignment="0" applyProtection="0"/>
    <xf numFmtId="0" fontId="25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6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8" borderId="0" applyNumberFormat="0" applyBorder="0" applyAlignment="0" applyProtection="0"/>
    <xf numFmtId="0" fontId="31" fillId="47" borderId="0" applyNumberFormat="0" applyBorder="0" applyAlignment="0" applyProtection="0"/>
    <xf numFmtId="0" fontId="32" fillId="51" borderId="0" applyNumberFormat="0" applyBorder="0" applyAlignment="0" applyProtection="0"/>
    <xf numFmtId="0" fontId="32" fillId="50" borderId="0" applyNumberFormat="0" applyBorder="0" applyAlignment="0" applyProtection="0"/>
    <xf numFmtId="0" fontId="32" fillId="48" borderId="0" applyNumberFormat="0" applyBorder="0" applyAlignment="0" applyProtection="0"/>
    <xf numFmtId="0" fontId="32" fillId="49" borderId="0" applyNumberFormat="0" applyBorder="0" applyAlignment="0" applyProtection="0"/>
    <xf numFmtId="0" fontId="32" fillId="51" borderId="0" applyNumberFormat="0" applyBorder="0" applyAlignment="0" applyProtection="0"/>
    <xf numFmtId="0" fontId="32" fillId="47" borderId="0" applyNumberFormat="0" applyBorder="0" applyAlignment="0" applyProtection="0"/>
    <xf numFmtId="0" fontId="91" fillId="48" borderId="0" applyNumberFormat="0" applyBorder="0" applyAlignment="0" applyProtection="0"/>
    <xf numFmtId="0" fontId="35" fillId="46" borderId="29" applyNumberFormat="0" applyAlignment="0" applyProtection="0"/>
    <xf numFmtId="0" fontId="34" fillId="86" borderId="42" applyNumberFormat="0" applyAlignment="0" applyProtection="0"/>
    <xf numFmtId="0" fontId="92" fillId="0" borderId="43" applyNumberFormat="0" applyFill="0" applyAlignment="0" applyProtection="0"/>
    <xf numFmtId="0" fontId="32" fillId="51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51" borderId="0" applyNumberFormat="0" applyBorder="0" applyAlignment="0" applyProtection="0"/>
    <xf numFmtId="0" fontId="32" fillId="59" borderId="0" applyNumberFormat="0" applyBorder="0" applyAlignment="0" applyProtection="0"/>
    <xf numFmtId="0" fontId="93" fillId="47" borderId="29" applyNumberFormat="0" applyAlignment="0" applyProtection="0"/>
    <xf numFmtId="0" fontId="33" fillId="0" borderId="0" applyFont="0" applyFill="0" applyBorder="0" applyAlignment="0" applyProtection="0"/>
    <xf numFmtId="8" fontId="94" fillId="0" borderId="0" applyFont="0" applyFill="0" applyBorder="0" applyAlignment="0" applyProtection="0"/>
    <xf numFmtId="0" fontId="95" fillId="87" borderId="44" applyNumberFormat="0" applyFont="0" applyAlignment="0" applyProtection="0"/>
    <xf numFmtId="0" fontId="54" fillId="46" borderId="31" applyNumberFormat="0" applyAlignment="0" applyProtection="0"/>
    <xf numFmtId="0" fontId="96" fillId="0" borderId="0" applyFont="0" applyFill="0" applyBorder="0" applyAlignment="0" applyProtection="0"/>
    <xf numFmtId="4" fontId="94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35" applyNumberFormat="0" applyFill="0" applyAlignment="0" applyProtection="0"/>
    <xf numFmtId="0" fontId="73" fillId="0" borderId="36" applyNumberFormat="0" applyFill="0" applyAlignment="0" applyProtection="0"/>
    <xf numFmtId="0" fontId="74" fillId="0" borderId="37" applyNumberFormat="0" applyFill="0" applyAlignment="0" applyProtection="0"/>
    <xf numFmtId="0" fontId="74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4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8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0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4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left"/>
    </xf>
    <xf numFmtId="15" fontId="11" fillId="0" borderId="16" xfId="0" applyNumberFormat="1" applyFont="1" applyBorder="1" applyAlignment="1">
      <alignment horizontal="center"/>
    </xf>
    <xf numFmtId="15" fontId="11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2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3" fillId="0" borderId="17" xfId="190" applyNumberFormat="1" applyFont="1" applyFill="1" applyBorder="1" applyAlignment="1">
      <alignment horizontal="center" vertical="center"/>
    </xf>
    <xf numFmtId="172" fontId="13" fillId="0" borderId="17" xfId="1" applyNumberFormat="1" applyFont="1" applyFill="1" applyBorder="1" applyAlignment="1">
      <alignment horizontal="center" vertical="center"/>
    </xf>
    <xf numFmtId="178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1" fillId="0" borderId="0" xfId="0" applyFont="1"/>
    <xf numFmtId="14" fontId="81" fillId="0" borderId="39" xfId="0" applyNumberFormat="1" applyFont="1" applyBorder="1" applyAlignment="1">
      <alignment horizontal="center"/>
    </xf>
    <xf numFmtId="4" fontId="81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8" fillId="3" borderId="0" xfId="190" applyNumberFormat="1" applyFont="1" applyFill="1"/>
    <xf numFmtId="11" fontId="81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2" fillId="79" borderId="39" xfId="0" applyFont="1" applyFill="1" applyBorder="1" applyAlignment="1">
      <alignment horizontal="center"/>
    </xf>
    <xf numFmtId="0" fontId="82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6" fillId="6" borderId="0" xfId="190" applyFont="1" applyFill="1"/>
    <xf numFmtId="0" fontId="84" fillId="0" borderId="0" xfId="0" applyFont="1" applyAlignment="1">
      <alignment horizontal="left"/>
    </xf>
    <xf numFmtId="172" fontId="84" fillId="0" borderId="0" xfId="1" applyNumberFormat="1" applyFont="1" applyFill="1"/>
    <xf numFmtId="10" fontId="84" fillId="0" borderId="0" xfId="1" applyNumberFormat="1" applyFont="1" applyFill="1"/>
    <xf numFmtId="43" fontId="84" fillId="0" borderId="0" xfId="190" applyNumberFormat="1" applyFont="1"/>
    <xf numFmtId="0" fontId="84" fillId="0" borderId="0" xfId="0" applyFont="1"/>
    <xf numFmtId="169" fontId="84" fillId="0" borderId="0" xfId="0" applyNumberFormat="1" applyFont="1"/>
    <xf numFmtId="170" fontId="85" fillId="0" borderId="0" xfId="190" applyNumberFormat="1" applyFont="1"/>
    <xf numFmtId="0" fontId="85" fillId="0" borderId="0" xfId="0" applyFont="1" applyAlignment="1">
      <alignment horizontal="left"/>
    </xf>
    <xf numFmtId="10" fontId="85" fillId="0" borderId="0" xfId="1" applyNumberFormat="1" applyFont="1" applyFill="1"/>
    <xf numFmtId="10" fontId="84" fillId="0" borderId="0" xfId="1" applyNumberFormat="1" applyFont="1"/>
    <xf numFmtId="172" fontId="85" fillId="8" borderId="2" xfId="1" applyNumberFormat="1" applyFont="1" applyFill="1" applyBorder="1" applyAlignment="1">
      <alignment horizontal="left"/>
    </xf>
    <xf numFmtId="172" fontId="85" fillId="8" borderId="2" xfId="1" applyNumberFormat="1" applyFont="1" applyFill="1" applyBorder="1"/>
    <xf numFmtId="10" fontId="85" fillId="8" borderId="2" xfId="1" applyNumberFormat="1" applyFont="1" applyFill="1" applyBorder="1"/>
    <xf numFmtId="10" fontId="85" fillId="8" borderId="2" xfId="1" applyNumberFormat="1" applyFont="1" applyFill="1" applyBorder="1" applyAlignment="1">
      <alignment horizontal="center"/>
    </xf>
    <xf numFmtId="10" fontId="85" fillId="8" borderId="0" xfId="1" applyNumberFormat="1" applyFont="1" applyFill="1" applyBorder="1"/>
    <xf numFmtId="172" fontId="84" fillId="0" borderId="0" xfId="1" applyNumberFormat="1" applyFont="1" applyFill="1" applyAlignment="1">
      <alignment horizontal="left"/>
    </xf>
    <xf numFmtId="170" fontId="84" fillId="0" borderId="0" xfId="0" applyNumberFormat="1" applyFont="1" applyAlignment="1">
      <alignment wrapText="1"/>
    </xf>
    <xf numFmtId="172" fontId="85" fillId="3" borderId="0" xfId="1" applyNumberFormat="1" applyFont="1" applyFill="1" applyAlignment="1">
      <alignment horizontal="left"/>
    </xf>
    <xf numFmtId="172" fontId="85" fillId="3" borderId="0" xfId="1" applyNumberFormat="1" applyFont="1" applyFill="1"/>
    <xf numFmtId="170" fontId="85" fillId="3" borderId="0" xfId="0" applyNumberFormat="1" applyFont="1" applyFill="1" applyAlignment="1">
      <alignment wrapText="1"/>
    </xf>
    <xf numFmtId="10" fontId="85" fillId="3" borderId="0" xfId="1" applyNumberFormat="1" applyFont="1" applyFill="1"/>
    <xf numFmtId="10" fontId="85" fillId="0" borderId="0" xfId="1" applyNumberFormat="1" applyFont="1"/>
    <xf numFmtId="0" fontId="85" fillId="0" borderId="0" xfId="0" applyFont="1"/>
    <xf numFmtId="169" fontId="85" fillId="0" borderId="0" xfId="0" applyNumberFormat="1" applyFont="1"/>
    <xf numFmtId="172" fontId="85" fillId="0" borderId="0" xfId="1" applyNumberFormat="1" applyFont="1" applyFill="1" applyAlignment="1">
      <alignment horizontal="left"/>
    </xf>
    <xf numFmtId="172" fontId="85" fillId="0" borderId="0" xfId="1" applyNumberFormat="1" applyFont="1" applyFill="1"/>
    <xf numFmtId="168" fontId="85" fillId="0" borderId="0" xfId="190" applyNumberFormat="1" applyFont="1" applyFill="1"/>
    <xf numFmtId="172" fontId="85" fillId="0" borderId="4" xfId="1" applyNumberFormat="1" applyFont="1" applyFill="1" applyBorder="1" applyAlignment="1">
      <alignment horizontal="left"/>
    </xf>
    <xf numFmtId="172" fontId="85" fillId="0" borderId="4" xfId="1" applyNumberFormat="1" applyFont="1" applyFill="1" applyBorder="1"/>
    <xf numFmtId="168" fontId="85" fillId="0" borderId="4" xfId="190" applyNumberFormat="1" applyFont="1" applyFill="1" applyBorder="1"/>
    <xf numFmtId="10" fontId="85" fillId="0" borderId="4" xfId="1" applyNumberFormat="1" applyFont="1" applyFill="1" applyBorder="1"/>
    <xf numFmtId="10" fontId="85" fillId="0" borderId="0" xfId="1" applyNumberFormat="1" applyFont="1" applyFill="1" applyBorder="1"/>
    <xf numFmtId="14" fontId="85" fillId="0" borderId="0" xfId="0" applyNumberFormat="1" applyFont="1" applyAlignment="1">
      <alignment horizontal="left"/>
    </xf>
    <xf numFmtId="172" fontId="84" fillId="0" borderId="0" xfId="0" applyNumberFormat="1" applyFont="1" applyAlignment="1">
      <alignment horizontal="center" vertical="center" wrapText="1"/>
    </xf>
    <xf numFmtId="10" fontId="84" fillId="0" borderId="0" xfId="0" applyNumberFormat="1" applyFont="1"/>
    <xf numFmtId="0" fontId="86" fillId="0" borderId="0" xfId="0" applyFont="1"/>
    <xf numFmtId="169" fontId="85" fillId="0" borderId="0" xfId="190" applyNumberFormat="1" applyFont="1"/>
    <xf numFmtId="170" fontId="85" fillId="2" borderId="0" xfId="190" applyNumberFormat="1" applyFont="1" applyFill="1"/>
    <xf numFmtId="168" fontId="84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8" fillId="0" borderId="0" xfId="0" applyFont="1"/>
    <xf numFmtId="14" fontId="87" fillId="0" borderId="0" xfId="0" applyNumberFormat="1" applyFont="1"/>
    <xf numFmtId="0" fontId="87" fillId="0" borderId="0" xfId="0" applyFont="1"/>
    <xf numFmtId="3" fontId="87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5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5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1" fillId="0" borderId="0" xfId="0" applyFont="1" applyAlignment="1">
      <alignment horizontal="center"/>
    </xf>
    <xf numFmtId="170" fontId="0" fillId="3" borderId="0" xfId="190" applyNumberFormat="1" applyFont="1" applyFill="1"/>
    <xf numFmtId="10" fontId="84" fillId="0" borderId="0" xfId="0" applyNumberFormat="1" applyFont="1" applyAlignment="1">
      <alignment horizontal="center" vertical="center" wrapText="1"/>
    </xf>
    <xf numFmtId="0" fontId="84" fillId="0" borderId="0" xfId="0" applyFont="1" applyAlignment="1">
      <alignment horizontal="center" vertical="center" wrapText="1"/>
    </xf>
    <xf numFmtId="10" fontId="84" fillId="0" borderId="0" xfId="1" applyNumberFormat="1" applyFont="1" applyAlignment="1">
      <alignment horizontal="center" vertical="center" wrapText="1"/>
    </xf>
    <xf numFmtId="170" fontId="85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1" fillId="0" borderId="0" xfId="0" applyNumberFormat="1" applyFont="1"/>
    <xf numFmtId="172" fontId="89" fillId="0" borderId="0" xfId="0" applyNumberFormat="1" applyFont="1"/>
    <xf numFmtId="10" fontId="89" fillId="0" borderId="0" xfId="0" applyNumberFormat="1" applyFont="1"/>
    <xf numFmtId="0" fontId="89" fillId="0" borderId="0" xfId="0" applyFont="1" applyAlignment="1">
      <alignment horizontal="left" indent="1"/>
    </xf>
    <xf numFmtId="170" fontId="89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5" fillId="0" borderId="40" xfId="0" applyFont="1" applyBorder="1" applyAlignment="1">
      <alignment horizontal="left"/>
    </xf>
    <xf numFmtId="172" fontId="85" fillId="0" borderId="40" xfId="0" applyNumberFormat="1" applyFont="1" applyBorder="1"/>
    <xf numFmtId="170" fontId="85" fillId="0" borderId="40" xfId="0" applyNumberFormat="1" applyFont="1" applyBorder="1"/>
    <xf numFmtId="10" fontId="85" fillId="0" borderId="40" xfId="0" applyNumberFormat="1" applyFont="1" applyBorder="1"/>
    <xf numFmtId="0" fontId="85" fillId="84" borderId="41" xfId="0" applyFont="1" applyFill="1" applyBorder="1" applyAlignment="1">
      <alignment horizontal="left"/>
    </xf>
    <xf numFmtId="172" fontId="85" fillId="84" borderId="41" xfId="0" applyNumberFormat="1" applyFont="1" applyFill="1" applyBorder="1"/>
    <xf numFmtId="170" fontId="85" fillId="84" borderId="41" xfId="0" applyNumberFormat="1" applyFont="1" applyFill="1" applyBorder="1"/>
    <xf numFmtId="10" fontId="85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9" fillId="0" borderId="0" xfId="0" applyNumberFormat="1" applyFont="1"/>
    <xf numFmtId="2" fontId="91" fillId="0" borderId="0" xfId="0" applyNumberFormat="1" applyFont="1"/>
    <xf numFmtId="172" fontId="91" fillId="0" borderId="0" xfId="4420" applyNumberFormat="1" applyFont="1"/>
    <xf numFmtId="168" fontId="0" fillId="0" borderId="0" xfId="4419" applyNumberFormat="1" applyFont="1"/>
    <xf numFmtId="0" fontId="99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3" fillId="2" borderId="0" xfId="190" applyNumberFormat="1" applyFont="1" applyFill="1"/>
    <xf numFmtId="43" fontId="83" fillId="11" borderId="0" xfId="190" applyNumberFormat="1" applyFont="1" applyFill="1"/>
    <xf numFmtId="3" fontId="83" fillId="2" borderId="0" xfId="190" applyNumberFormat="1" applyFont="1" applyFill="1"/>
    <xf numFmtId="3" fontId="0" fillId="0" borderId="0" xfId="0" applyNumberFormat="1"/>
    <xf numFmtId="4" fontId="83" fillId="4" borderId="0" xfId="190" applyFont="1" applyFill="1"/>
    <xf numFmtId="4" fontId="83" fillId="0" borderId="0" xfId="190" applyFont="1" applyFill="1"/>
    <xf numFmtId="4" fontId="83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5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3" fillId="92" borderId="18" xfId="190" applyFont="1" applyFill="1" applyBorder="1" applyAlignment="1">
      <alignment horizontal="center"/>
    </xf>
    <xf numFmtId="2" fontId="13" fillId="92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166" fontId="0" fillId="10" borderId="0" xfId="190" applyNumberFormat="1" applyFont="1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9" fontId="0" fillId="10" borderId="0" xfId="1" applyFont="1" applyFill="1"/>
    <xf numFmtId="172" fontId="0" fillId="10" borderId="0" xfId="1" applyNumberFormat="1" applyFont="1" applyFill="1"/>
    <xf numFmtId="2" fontId="0" fillId="10" borderId="0" xfId="0" applyNumberFormat="1" applyFill="1"/>
    <xf numFmtId="172" fontId="0" fillId="10" borderId="0" xfId="0" applyNumberFormat="1" applyFill="1"/>
    <xf numFmtId="169" fontId="0" fillId="10" borderId="0" xfId="190" applyNumberFormat="1" applyFont="1" applyFill="1"/>
    <xf numFmtId="167" fontId="0" fillId="10" borderId="0" xfId="190" applyNumberFormat="1" applyFont="1" applyFill="1"/>
    <xf numFmtId="43" fontId="0" fillId="10" borderId="0" xfId="190" quotePrefix="1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10" borderId="0" xfId="190" applyNumberFormat="1" applyFont="1" applyFill="1"/>
    <xf numFmtId="194" fontId="0" fillId="10" borderId="0" xfId="190" applyNumberFormat="1" applyFont="1" applyFill="1"/>
    <xf numFmtId="4" fontId="1" fillId="10" borderId="0" xfId="190" applyFont="1" applyFill="1" applyAlignment="1">
      <alignment horizontal="right"/>
    </xf>
    <xf numFmtId="170" fontId="1" fillId="10" borderId="0" xfId="190" applyNumberFormat="1" applyFont="1" applyFill="1"/>
    <xf numFmtId="4" fontId="25" fillId="10" borderId="0" xfId="190" applyFont="1" applyFill="1"/>
    <xf numFmtId="43" fontId="0" fillId="2" borderId="0" xfId="190" quotePrefix="1" applyNumberFormat="1" applyFont="1" applyFill="1"/>
    <xf numFmtId="3" fontId="0" fillId="13" borderId="0" xfId="190" applyNumberFormat="1" applyFont="1" applyFill="1"/>
    <xf numFmtId="172" fontId="0" fillId="13" borderId="0" xfId="1" applyNumberFormat="1" applyFont="1" applyFill="1"/>
    <xf numFmtId="0" fontId="0" fillId="13" borderId="0" xfId="0" applyFill="1"/>
    <xf numFmtId="0" fontId="0" fillId="13" borderId="0" xfId="0" applyFill="1" applyAlignment="1">
      <alignment horizontal="center"/>
    </xf>
    <xf numFmtId="166" fontId="0" fillId="13" borderId="0" xfId="190" applyNumberFormat="1" applyFont="1" applyFill="1"/>
    <xf numFmtId="166" fontId="0" fillId="13" borderId="0" xfId="0" applyNumberFormat="1" applyFill="1" applyAlignment="1">
      <alignment horizontal="right"/>
    </xf>
    <xf numFmtId="43" fontId="0" fillId="13" borderId="0" xfId="190" applyNumberFormat="1" applyFont="1" applyFill="1"/>
    <xf numFmtId="10" fontId="0" fillId="13" borderId="1" xfId="1" applyNumberFormat="1" applyFont="1" applyFill="1" applyBorder="1"/>
    <xf numFmtId="43" fontId="0" fillId="13" borderId="19" xfId="190" applyNumberFormat="1" applyFont="1" applyFill="1" applyBorder="1" applyAlignment="1">
      <alignment horizontal="right"/>
    </xf>
    <xf numFmtId="168" fontId="0" fillId="13" borderId="0" xfId="190" applyNumberFormat="1" applyFont="1" applyFill="1"/>
    <xf numFmtId="166" fontId="0" fillId="13" borderId="1" xfId="190" applyNumberFormat="1" applyFont="1" applyFill="1" applyBorder="1"/>
    <xf numFmtId="196" fontId="0" fillId="13" borderId="0" xfId="1" applyNumberFormat="1" applyFont="1" applyFill="1"/>
    <xf numFmtId="170" fontId="0" fillId="13" borderId="1" xfId="190" applyNumberFormat="1" applyFont="1" applyFill="1" applyBorder="1"/>
    <xf numFmtId="10" fontId="0" fillId="13" borderId="0" xfId="1" applyNumberFormat="1" applyFont="1" applyFill="1"/>
    <xf numFmtId="166" fontId="0" fillId="13" borderId="0" xfId="0" applyNumberFormat="1" applyFill="1"/>
    <xf numFmtId="173" fontId="0" fillId="13" borderId="0" xfId="1" applyNumberFormat="1" applyFont="1" applyFill="1"/>
    <xf numFmtId="3" fontId="0" fillId="13" borderId="0" xfId="190" applyNumberFormat="1" applyFont="1" applyFill="1" applyAlignment="1">
      <alignment horizontal="center"/>
    </xf>
    <xf numFmtId="170" fontId="0" fillId="13" borderId="0" xfId="1" applyNumberFormat="1" applyFont="1" applyFill="1"/>
    <xf numFmtId="4" fontId="0" fillId="13" borderId="0" xfId="190" applyFont="1" applyFill="1"/>
    <xf numFmtId="170" fontId="0" fillId="13" borderId="0" xfId="190" applyNumberFormat="1" applyFont="1" applyFill="1" applyBorder="1"/>
    <xf numFmtId="10" fontId="0" fillId="13" borderId="0" xfId="1" applyNumberFormat="1" applyFont="1" applyFill="1" applyBorder="1"/>
    <xf numFmtId="195" fontId="0" fillId="13" borderId="0" xfId="0" applyNumberFormat="1" applyFill="1"/>
    <xf numFmtId="166" fontId="0" fillId="13" borderId="0" xfId="190" applyNumberFormat="1" applyFont="1" applyFill="1" applyAlignment="1">
      <alignment horizontal="center"/>
    </xf>
    <xf numFmtId="166" fontId="0" fillId="13" borderId="0" xfId="190" applyNumberFormat="1" applyFont="1" applyFill="1" applyBorder="1"/>
    <xf numFmtId="168" fontId="0" fillId="13" borderId="0" xfId="1" applyNumberFormat="1" applyFont="1" applyFill="1"/>
    <xf numFmtId="4" fontId="0" fillId="13" borderId="0" xfId="190" applyFont="1" applyFill="1" applyAlignment="1">
      <alignment horizontal="right"/>
    </xf>
    <xf numFmtId="166" fontId="0" fillId="0" borderId="6" xfId="0" applyNumberFormat="1" applyBorder="1"/>
    <xf numFmtId="172" fontId="25" fillId="10" borderId="0" xfId="1" applyNumberFormat="1" applyFont="1" applyFill="1"/>
    <xf numFmtId="170" fontId="0" fillId="0" borderId="8" xfId="190" applyNumberFormat="1" applyFont="1" applyFill="1" applyBorder="1"/>
    <xf numFmtId="166" fontId="0" fillId="0" borderId="9" xfId="0" applyNumberFormat="1" applyBorder="1"/>
    <xf numFmtId="170" fontId="0" fillId="0" borderId="10" xfId="190" applyNumberFormat="1" applyFont="1" applyFill="1" applyBorder="1"/>
    <xf numFmtId="166" fontId="0" fillId="0" borderId="11" xfId="0" applyNumberFormat="1" applyBorder="1"/>
    <xf numFmtId="9" fontId="6" fillId="6" borderId="0" xfId="1" applyFont="1" applyFill="1"/>
    <xf numFmtId="14" fontId="13" fillId="3" borderId="0" xfId="0" applyNumberFormat="1" applyFont="1" applyFill="1" applyAlignment="1">
      <alignment horizontal="center"/>
    </xf>
    <xf numFmtId="0" fontId="3" fillId="91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0" fillId="85" borderId="0" xfId="0" applyFont="1" applyFill="1" applyAlignment="1">
      <alignment horizontal="center"/>
    </xf>
    <xf numFmtId="0" fontId="3" fillId="89" borderId="46" xfId="0" applyFont="1" applyFill="1" applyBorder="1" applyAlignment="1">
      <alignment horizontal="left"/>
    </xf>
    <xf numFmtId="0" fontId="3" fillId="90" borderId="47" xfId="0" applyFont="1" applyFill="1" applyBorder="1" applyAlignment="1">
      <alignment horizontal="center"/>
    </xf>
    <xf numFmtId="0" fontId="3" fillId="90" borderId="48" xfId="0" applyFont="1" applyFill="1" applyBorder="1" applyAlignment="1">
      <alignment horizontal="center"/>
    </xf>
    <xf numFmtId="0" fontId="3" fillId="90" borderId="49" xfId="0" applyFont="1" applyFill="1" applyBorder="1" applyAlignment="1">
      <alignment horizontal="center"/>
    </xf>
    <xf numFmtId="0" fontId="3" fillId="90" borderId="50" xfId="0" applyFont="1" applyFill="1" applyBorder="1" applyAlignment="1">
      <alignment horizontal="center"/>
    </xf>
    <xf numFmtId="0" fontId="3" fillId="90" borderId="51" xfId="0" applyFont="1" applyFill="1" applyBorder="1" applyAlignment="1">
      <alignment horizontal="center"/>
    </xf>
    <xf numFmtId="0" fontId="3" fillId="90" borderId="52" xfId="0" applyFont="1" applyFill="1" applyBorder="1" applyAlignment="1">
      <alignment horizontal="center"/>
    </xf>
    <xf numFmtId="0" fontId="3" fillId="90" borderId="53" xfId="0" applyFont="1" applyFill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13" fillId="0" borderId="19" xfId="0" applyFont="1" applyBorder="1" applyAlignment="1">
      <alignment horizontal="center"/>
    </xf>
    <xf numFmtId="2" fontId="13" fillId="92" borderId="0" xfId="0" applyNumberFormat="1" applyFont="1" applyFill="1" applyAlignment="1">
      <alignment horizontal="center"/>
    </xf>
    <xf numFmtId="2" fontId="13" fillId="92" borderId="1" xfId="0" applyNumberFormat="1" applyFont="1" applyFill="1" applyBorder="1" applyAlignment="1">
      <alignment horizontal="center"/>
    </xf>
    <xf numFmtId="182" fontId="13" fillId="92" borderId="0" xfId="0" applyNumberFormat="1" applyFont="1" applyFill="1" applyAlignment="1">
      <alignment horizontal="center"/>
    </xf>
    <xf numFmtId="0" fontId="25" fillId="0" borderId="0" xfId="0" applyFont="1"/>
    <xf numFmtId="0" fontId="13" fillId="2" borderId="0" xfId="0" applyFont="1" applyFill="1" applyAlignment="1">
      <alignment horizontal="center"/>
    </xf>
    <xf numFmtId="2" fontId="13" fillId="2" borderId="18" xfId="0" applyNumberFormat="1" applyFon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0" fontId="13" fillId="12" borderId="0" xfId="0" applyFont="1" applyFill="1" applyAlignment="1">
      <alignment horizontal="center"/>
    </xf>
    <xf numFmtId="0" fontId="83" fillId="0" borderId="0" xfId="0" applyFont="1"/>
    <xf numFmtId="0" fontId="13" fillId="8" borderId="0" xfId="0" applyFont="1" applyFill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0" xfId="0" applyFont="1" applyAlignment="1">
      <alignment horizontal="left"/>
    </xf>
    <xf numFmtId="0" fontId="83" fillId="0" borderId="0" xfId="0" applyFont="1" applyAlignment="1">
      <alignment horizontal="center"/>
    </xf>
    <xf numFmtId="0" fontId="3" fillId="89" borderId="49" xfId="0" applyFont="1" applyFill="1" applyBorder="1" applyAlignment="1">
      <alignment horizontal="center"/>
    </xf>
    <xf numFmtId="0" fontId="13" fillId="0" borderId="0" xfId="0" quotePrefix="1" applyFont="1"/>
    <xf numFmtId="173" fontId="0" fillId="0" borderId="7" xfId="1" applyNumberFormat="1" applyFont="1" applyFill="1" applyBorder="1"/>
    <xf numFmtId="170" fontId="0" fillId="13" borderId="59" xfId="190" applyNumberFormat="1" applyFont="1" applyFill="1" applyBorder="1"/>
    <xf numFmtId="170" fontId="0" fillId="0" borderId="12" xfId="190" applyNumberFormat="1" applyFont="1" applyFill="1" applyBorder="1"/>
    <xf numFmtId="173" fontId="0" fillId="0" borderId="4" xfId="1" applyNumberFormat="1" applyFont="1" applyFill="1" applyBorder="1"/>
    <xf numFmtId="173" fontId="0" fillId="0" borderId="0" xfId="1" applyNumberFormat="1" applyFont="1" applyFill="1" applyBorder="1"/>
    <xf numFmtId="171" fontId="0" fillId="10" borderId="0" xfId="190" applyNumberFormat="1" applyFont="1" applyFill="1"/>
    <xf numFmtId="4" fontId="83" fillId="10" borderId="0" xfId="190" applyFont="1" applyFill="1"/>
    <xf numFmtId="4" fontId="25" fillId="2" borderId="0" xfId="190" applyFont="1" applyFill="1"/>
    <xf numFmtId="170" fontId="1" fillId="2" borderId="0" xfId="190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0" fontId="0" fillId="13" borderId="58" xfId="190" applyNumberFormat="1" applyFont="1" applyFill="1" applyBorder="1"/>
    <xf numFmtId="170" fontId="0" fillId="13" borderId="57" xfId="190" applyNumberFormat="1" applyFont="1" applyFill="1" applyBorder="1"/>
    <xf numFmtId="170" fontId="102" fillId="0" borderId="0" xfId="0" applyNumberFormat="1" applyFont="1" applyAlignment="1">
      <alignment horizontal="center" vertical="center" wrapText="1"/>
    </xf>
    <xf numFmtId="0" fontId="101" fillId="0" borderId="0" xfId="0" applyFont="1" applyAlignment="1">
      <alignment horizontal="left"/>
    </xf>
    <xf numFmtId="172" fontId="101" fillId="0" borderId="0" xfId="0" applyNumberFormat="1" applyFont="1"/>
    <xf numFmtId="10" fontId="101" fillId="0" borderId="0" xfId="0" applyNumberFormat="1" applyFont="1"/>
    <xf numFmtId="0" fontId="101" fillId="0" borderId="0" xfId="0" applyFont="1" applyAlignment="1">
      <alignment horizontal="left" indent="1"/>
    </xf>
    <xf numFmtId="170" fontId="101" fillId="0" borderId="0" xfId="0" applyNumberFormat="1" applyFont="1"/>
    <xf numFmtId="10" fontId="101" fillId="0" borderId="0" xfId="0" applyNumberFormat="1" applyFont="1" applyAlignment="1">
      <alignment horizontal="center" vertical="center" wrapText="1"/>
    </xf>
    <xf numFmtId="0" fontId="101" fillId="0" borderId="0" xfId="0" applyFont="1" applyAlignment="1">
      <alignment horizontal="center" vertical="center" wrapText="1"/>
    </xf>
  </cellXfs>
  <cellStyles count="10649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3" xfId="6506" xr:uid="{9EBFD5D6-926F-48BB-A7DB-0D34CBDBF3BC}"/>
    <cellStyle name="AutoFormat Options 3" xfId="2301" xr:uid="{515718E6-EF14-42DF-B770-FB0F21FB9650}"/>
    <cellStyle name="AutoFormat Options 3 2" xfId="7534" xr:uid="{DAE5B235-4EDD-4907-840F-776E354204E7}"/>
    <cellStyle name="AutoFormat Options 4" xfId="4426" xr:uid="{B61ED22B-D170-4A3C-A52A-8C8F70EFA008}"/>
    <cellStyle name="AutoFormat Options 4 2" xfId="9602" xr:uid="{53E91573-0194-4FF2-8564-D9C52F30324F}"/>
    <cellStyle name="AutoFormat Options 5" xfId="5473" xr:uid="{E1B38517-246E-45B1-AD68-604EFD07054A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3" xfId="6521" xr:uid="{BCC052D9-2D90-4EAA-B499-FDFF759FA570}"/>
    <cellStyle name="Comma 10 3" xfId="2316" xr:uid="{03D29B66-7BA3-4499-A348-B1B71D267515}"/>
    <cellStyle name="Comma 10 3 2" xfId="7549" xr:uid="{66DDCE90-7293-4A62-B823-A3340BBCB03E}"/>
    <cellStyle name="Comma 10 4" xfId="4442" xr:uid="{9F0C552F-207E-4327-9EF3-D7303194E48B}"/>
    <cellStyle name="Comma 10 4 2" xfId="9618" xr:uid="{64717DBE-CCAE-4CEA-9B05-E3EDFF9D635B}"/>
    <cellStyle name="Comma 10 5" xfId="5490" xr:uid="{29B04A9A-4BDC-4D05-8B43-B323DDAC95C8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3" xfId="6611" xr:uid="{04E0323A-21D0-4E10-8FCB-E6FF3BC6D7FF}"/>
    <cellStyle name="Comma 100 3" xfId="2406" xr:uid="{24EB6B9B-0D33-4789-A338-92093685466A}"/>
    <cellStyle name="Comma 100 3 2" xfId="7639" xr:uid="{1627A066-279C-43E6-9133-C8F69217C7E4}"/>
    <cellStyle name="Comma 100 4" xfId="4532" xr:uid="{408A3474-775A-41B1-9940-D59FCF9A1DC5}"/>
    <cellStyle name="Comma 100 4 2" xfId="9708" xr:uid="{BAE8DB00-C87B-434B-912A-8FFA72183B32}"/>
    <cellStyle name="Comma 100 5" xfId="5580" xr:uid="{40DEDD34-71E0-48C7-82F7-295E282FED2E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3" xfId="7511" xr:uid="{CCB3126E-BA14-4268-800C-7B572AC291DE}"/>
    <cellStyle name="Comma 1000 3" xfId="3306" xr:uid="{15114AEE-04E1-4B47-A1C1-27CA0928C1F2}"/>
    <cellStyle name="Comma 1000 3 2" xfId="8539" xr:uid="{9564A96A-6A30-4E5B-85B6-0CE1BBFBA45B}"/>
    <cellStyle name="Comma 1000 4" xfId="5432" xr:uid="{B1918BD5-D303-4D07-B47B-86E21B7A3ADE}"/>
    <cellStyle name="Comma 1000 4 2" xfId="10608" xr:uid="{736E328F-BE2B-4CBB-9DCE-D72085D8C5BA}"/>
    <cellStyle name="Comma 1000 5" xfId="6480" xr:uid="{F32B94C3-1C8D-48D3-A448-EF865761E0E9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3" xfId="7512" xr:uid="{F9AA30BD-7409-4996-A935-09D993BDAA1A}"/>
    <cellStyle name="Comma 1001 3" xfId="3307" xr:uid="{7383BCDA-D04B-4B89-B874-CB2812826B60}"/>
    <cellStyle name="Comma 1001 3 2" xfId="8540" xr:uid="{358C27F9-72CC-49C8-8D79-34EAFD908099}"/>
    <cellStyle name="Comma 1001 4" xfId="5433" xr:uid="{10897322-EEEB-4BD5-9A5A-13B4C5D04D16}"/>
    <cellStyle name="Comma 1001 4 2" xfId="10609" xr:uid="{7D6EAF7F-2BA8-4440-8D6E-E1F4500CAFEF}"/>
    <cellStyle name="Comma 1001 5" xfId="6481" xr:uid="{6A315250-6315-4544-BAD9-CCB2276EAB5B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3" xfId="7513" xr:uid="{84C9BB7D-8A06-4638-9297-F497345ACCF8}"/>
    <cellStyle name="Comma 1002 3" xfId="3308" xr:uid="{F8CEBDFD-A056-4068-BD0C-EBF1B27A53FF}"/>
    <cellStyle name="Comma 1002 3 2" xfId="8541" xr:uid="{9FEA6EB6-E917-4D0A-BDD9-2095AEE97263}"/>
    <cellStyle name="Comma 1002 4" xfId="5434" xr:uid="{ED38993B-50C0-475B-BD1F-E2774360CF06}"/>
    <cellStyle name="Comma 1002 4 2" xfId="10610" xr:uid="{7ED9AC49-ADD0-4FE7-93DB-71930A4570FC}"/>
    <cellStyle name="Comma 1002 5" xfId="6482" xr:uid="{208666F6-5F7C-4C1A-8B55-32F8F9BAA921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3" xfId="7514" xr:uid="{6C9DB444-E846-43AE-8E7B-CD70F632D07D}"/>
    <cellStyle name="Comma 1003 3" xfId="3309" xr:uid="{09BC3F5C-DF4D-4A46-B2C0-FF993ED6774B}"/>
    <cellStyle name="Comma 1003 3 2" xfId="8542" xr:uid="{A120AD20-FD3D-46D4-B250-00D1F1BAB8EA}"/>
    <cellStyle name="Comma 1003 4" xfId="5435" xr:uid="{AC264BAB-257A-4959-BC99-F7E690F835F2}"/>
    <cellStyle name="Comma 1003 4 2" xfId="10611" xr:uid="{174B3A08-DAA9-47D9-9392-1EF6F2362252}"/>
    <cellStyle name="Comma 1003 5" xfId="6483" xr:uid="{CD15C4CE-66CA-4F4B-BACD-B1E9B470F4EB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3" xfId="7515" xr:uid="{F5DBFBA0-7E2F-4BB6-B27B-4B452C95755D}"/>
    <cellStyle name="Comma 1004 3" xfId="3310" xr:uid="{364C1D47-8BB8-4623-A2DE-2C729F0012BF}"/>
    <cellStyle name="Comma 1004 3 2" xfId="8543" xr:uid="{0EF33FE1-ED14-4A79-8DDE-0989AB6E9E8F}"/>
    <cellStyle name="Comma 1004 4" xfId="5436" xr:uid="{7DC86402-F243-4A7E-B477-B79C0640B342}"/>
    <cellStyle name="Comma 1004 4 2" xfId="10612" xr:uid="{DB4EB9F2-FDC8-41E7-9321-57B74E82FB44}"/>
    <cellStyle name="Comma 1004 5" xfId="6484" xr:uid="{2AC4A7B7-03D1-4B93-9EB4-0884F05C415C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3" xfId="7516" xr:uid="{5DACB8FE-6DCB-487F-99D5-B61ABB7FEC6B}"/>
    <cellStyle name="Comma 1005 3" xfId="3311" xr:uid="{F7B4B3C0-9EF1-44ED-AB75-3492E35DD2C1}"/>
    <cellStyle name="Comma 1005 3 2" xfId="8544" xr:uid="{33D42672-3851-41DC-A788-657659842883}"/>
    <cellStyle name="Comma 1005 4" xfId="5437" xr:uid="{B022E678-01BA-4E5D-B8B7-8EA7F0B1C263}"/>
    <cellStyle name="Comma 1005 4 2" xfId="10613" xr:uid="{C69057A5-C88C-4E90-9A68-2FCBD69C1F45}"/>
    <cellStyle name="Comma 1005 5" xfId="6485" xr:uid="{C83CE757-845E-483A-847A-68E6E57A501E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3" xfId="7517" xr:uid="{943BFAA6-9621-4117-BF25-4A87CD339772}"/>
    <cellStyle name="Comma 1006 3" xfId="3312" xr:uid="{EF497E47-B73D-48D9-B9BD-4DCD7FDEFADA}"/>
    <cellStyle name="Comma 1006 3 2" xfId="8545" xr:uid="{4156EA72-613B-4A69-8232-899B0B75C9E2}"/>
    <cellStyle name="Comma 1006 4" xfId="5438" xr:uid="{FB43255E-EEC3-4122-AF16-104A47E2B907}"/>
    <cellStyle name="Comma 1006 4 2" xfId="10614" xr:uid="{3A50F127-F4E4-449E-B1B8-E9A99AEC55CF}"/>
    <cellStyle name="Comma 1006 5" xfId="6486" xr:uid="{954642C9-A91B-4A51-BAE4-2A9B71711599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3" xfId="7518" xr:uid="{62727079-E8AB-4239-B694-BB5A8E4796EE}"/>
    <cellStyle name="Comma 1007 3" xfId="3313" xr:uid="{099BA72B-6B0B-4F9D-AFF4-C042687F897B}"/>
    <cellStyle name="Comma 1007 3 2" xfId="8546" xr:uid="{0BACE942-5874-4FE1-B354-637330E1ABE8}"/>
    <cellStyle name="Comma 1007 4" xfId="5439" xr:uid="{C338CA5C-6497-4E87-BA9F-5A195A1CFAF1}"/>
    <cellStyle name="Comma 1007 4 2" xfId="10615" xr:uid="{10BB93FA-FF71-474A-A0D1-7D80E7B50813}"/>
    <cellStyle name="Comma 1007 5" xfId="6487" xr:uid="{82AACE62-0A65-470B-968F-8C12B3BF6B7B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3" xfId="7519" xr:uid="{5F20F50B-12D6-4639-A285-F639C1233705}"/>
    <cellStyle name="Comma 1008 3" xfId="3314" xr:uid="{F2390D1F-8FE2-4491-BAC2-6120E8E3D7EB}"/>
    <cellStyle name="Comma 1008 3 2" xfId="8547" xr:uid="{60A23567-6EEA-4E3C-A176-71344599F3B7}"/>
    <cellStyle name="Comma 1008 4" xfId="5440" xr:uid="{A0110322-FAE5-4379-A4B1-D235EFD34F5C}"/>
    <cellStyle name="Comma 1008 4 2" xfId="10616" xr:uid="{915C5B7B-D130-408B-ACFC-5754B1F2754A}"/>
    <cellStyle name="Comma 1008 5" xfId="6488" xr:uid="{D2228CA3-970B-4392-BAC5-BD8B9038A438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3" xfId="7520" xr:uid="{E0EA307F-7D1F-4B47-9718-F6EDB71ABFC2}"/>
    <cellStyle name="Comma 1009 3" xfId="3315" xr:uid="{FFD09C12-FB21-4FA9-A945-3BC72343956C}"/>
    <cellStyle name="Comma 1009 3 2" xfId="8548" xr:uid="{D5851313-C446-4E83-BB28-81C8FCB10037}"/>
    <cellStyle name="Comma 1009 4" xfId="5441" xr:uid="{7AD32F29-BB3E-4547-A8BA-E1A3A7B2F12E}"/>
    <cellStyle name="Comma 1009 4 2" xfId="10617" xr:uid="{72EFBCCC-9539-4FA7-A088-5E330496DE24}"/>
    <cellStyle name="Comma 1009 5" xfId="6489" xr:uid="{DE74D4B0-077A-432C-847C-6925C8BA1B3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3" xfId="6612" xr:uid="{D828F253-A916-4979-AB99-5AEFBD7FAE69}"/>
    <cellStyle name="Comma 101 3" xfId="2407" xr:uid="{A82FA974-DD6D-43EE-9B53-CEA5E253CF59}"/>
    <cellStyle name="Comma 101 3 2" xfId="7640" xr:uid="{E52407DA-E66E-487C-B751-F114F85B9D83}"/>
    <cellStyle name="Comma 101 4" xfId="4533" xr:uid="{0EDFA03B-C580-467B-AAD8-7FA0904CBE3E}"/>
    <cellStyle name="Comma 101 4 2" xfId="9709" xr:uid="{3DB7003D-ECFC-4851-9A47-50A8137E27DC}"/>
    <cellStyle name="Comma 101 5" xfId="5581" xr:uid="{3FB56BBA-DA95-417B-ADC6-4CF92191BD00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3" xfId="7521" xr:uid="{9AF66356-DFAF-4455-9376-FA705D91389E}"/>
    <cellStyle name="Comma 1010 3" xfId="3316" xr:uid="{972878BA-3EAF-424A-93F0-3941005BB23E}"/>
    <cellStyle name="Comma 1010 3 2" xfId="8549" xr:uid="{160C514F-4C10-403C-B6C4-E14F149BCE47}"/>
    <cellStyle name="Comma 1010 4" xfId="5442" xr:uid="{58DEB174-6757-4E39-A81A-87640394919C}"/>
    <cellStyle name="Comma 1010 4 2" xfId="10618" xr:uid="{B2D827A2-792C-4C81-9B64-DE4C23E2B963}"/>
    <cellStyle name="Comma 1010 5" xfId="6490" xr:uid="{6C925D4C-8E37-4EA6-B606-BCFDCFA59F7E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3" xfId="7522" xr:uid="{051E2879-5ABB-4F7B-BEF0-FF9A5674253E}"/>
    <cellStyle name="Comma 1011 3" xfId="3317" xr:uid="{509FD623-33D3-4DBD-8394-B91EE2760FC5}"/>
    <cellStyle name="Comma 1011 3 2" xfId="8550" xr:uid="{12B760BE-6632-4804-B4BE-39577C56CF00}"/>
    <cellStyle name="Comma 1011 4" xfId="5443" xr:uid="{85424B2E-DE30-43CA-B2FB-AF6C2B576283}"/>
    <cellStyle name="Comma 1011 4 2" xfId="10619" xr:uid="{3EB608D1-A5B4-40DC-9EBE-CB025BC04C42}"/>
    <cellStyle name="Comma 1011 5" xfId="6491" xr:uid="{926EA44C-EDB0-49C8-9515-52B3B00685C4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3" xfId="7523" xr:uid="{A0CAFBCA-9AFE-4370-B645-3D19959002A9}"/>
    <cellStyle name="Comma 1012 3" xfId="3318" xr:uid="{17FFFC69-3389-45A4-9587-24C955E60EBF}"/>
    <cellStyle name="Comma 1012 3 2" xfId="8551" xr:uid="{5BD14C97-0E04-4B1B-96FE-87C41F2FAA98}"/>
    <cellStyle name="Comma 1012 4" xfId="5444" xr:uid="{C8AC3E3B-81AC-4616-9ED9-B563714B0D64}"/>
    <cellStyle name="Comma 1012 4 2" xfId="10620" xr:uid="{5FC1728E-7401-4D0B-88EB-A65D598DF69C}"/>
    <cellStyle name="Comma 1012 5" xfId="6492" xr:uid="{0806D11A-E591-4314-9BE6-9361065C5360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3" xfId="7524" xr:uid="{6217B067-A3C2-4208-B98E-6F74143D263D}"/>
    <cellStyle name="Comma 1013 3" xfId="3319" xr:uid="{74780AD3-BDC6-42A5-B57D-4600193A2926}"/>
    <cellStyle name="Comma 1013 3 2" xfId="8552" xr:uid="{249C4DC0-B602-4831-B43B-4E80E152B37E}"/>
    <cellStyle name="Comma 1013 4" xfId="5445" xr:uid="{FE538E5A-9071-4741-A333-577F8B1C0080}"/>
    <cellStyle name="Comma 1013 4 2" xfId="10621" xr:uid="{DB281DDF-4777-4B27-94B9-58FBE9E07854}"/>
    <cellStyle name="Comma 1013 5" xfId="6493" xr:uid="{B5495C27-B93E-45F1-92C8-128AE023614D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3" xfId="7525" xr:uid="{A32C1E54-F681-4567-8FFB-3E40C35FD534}"/>
    <cellStyle name="Comma 1014 3" xfId="3320" xr:uid="{F32F64B2-B02F-4C8D-B8CC-D380C79B3138}"/>
    <cellStyle name="Comma 1014 3 2" xfId="8553" xr:uid="{90BDC7A3-F075-461D-8E86-3C24B9188D97}"/>
    <cellStyle name="Comma 1014 4" xfId="5446" xr:uid="{97853CD8-636B-4C49-9172-EF9ACB9F9DD8}"/>
    <cellStyle name="Comma 1014 4 2" xfId="10622" xr:uid="{77CD22DC-20FA-42BD-9828-6D2F7EEBA6F5}"/>
    <cellStyle name="Comma 1014 5" xfId="6494" xr:uid="{589189EF-51EE-465F-ABF4-5A630E37337B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3" xfId="7526" xr:uid="{D0E831A5-BAD1-4CFF-9988-7DF20FBC45E9}"/>
    <cellStyle name="Comma 1015 3" xfId="3321" xr:uid="{30E8D378-4ACD-48E5-A61E-0DC2AEAEF95A}"/>
    <cellStyle name="Comma 1015 3 2" xfId="8554" xr:uid="{18D46769-371D-4181-9F61-6AE8C394FF5B}"/>
    <cellStyle name="Comma 1015 4" xfId="5447" xr:uid="{8FE02ECF-BA98-4A08-9DC9-F6075FF64F6B}"/>
    <cellStyle name="Comma 1015 4 2" xfId="10623" xr:uid="{451DE166-3EF3-4434-926E-5779DCD7D06D}"/>
    <cellStyle name="Comma 1015 5" xfId="6495" xr:uid="{632AD737-759F-4B97-BF8A-D1EB0E2C585F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3" xfId="7527" xr:uid="{0BF52CB0-7581-4A34-8513-669387D142FC}"/>
    <cellStyle name="Comma 1016 3" xfId="3322" xr:uid="{0B7AD7B8-983C-4BED-915B-618FD86A4FDC}"/>
    <cellStyle name="Comma 1016 3 2" xfId="8555" xr:uid="{F443F03F-BD6D-4783-89DB-886498C9136F}"/>
    <cellStyle name="Comma 1016 4" xfId="5448" xr:uid="{0B3A645E-E66A-4BDF-A2DF-6502F0C001E6}"/>
    <cellStyle name="Comma 1016 4 2" xfId="10624" xr:uid="{E03C3B6D-74CE-4C26-A7E4-5AA69147EC36}"/>
    <cellStyle name="Comma 1016 5" xfId="6496" xr:uid="{7DC89EF8-0B57-4303-9470-D8FDE28A3D53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3" xfId="7528" xr:uid="{CA565C84-8051-4719-9626-33648079CACB}"/>
    <cellStyle name="Comma 1017 3" xfId="3323" xr:uid="{42EE3A1D-2056-46D7-8D5B-9FC25283FD71}"/>
    <cellStyle name="Comma 1017 3 2" xfId="8556" xr:uid="{0042BEAB-51A0-47E8-A0CF-A81FF5E57C5D}"/>
    <cellStyle name="Comma 1017 4" xfId="5449" xr:uid="{2DF57D01-11A3-4D9B-ACE9-A08D219A650F}"/>
    <cellStyle name="Comma 1017 4 2" xfId="10625" xr:uid="{3534E2C3-656E-45A2-9773-0E63DE4E165F}"/>
    <cellStyle name="Comma 1017 5" xfId="6497" xr:uid="{9B414A50-F646-4E21-B107-E696BC03CFE9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3" xfId="7529" xr:uid="{B5DF1C20-30A7-4331-8FE8-96C100944C5F}"/>
    <cellStyle name="Comma 1018 3" xfId="3324" xr:uid="{254F2D93-D049-45F3-81C8-332E5F8EB09A}"/>
    <cellStyle name="Comma 1018 3 2" xfId="8557" xr:uid="{D41B5812-652A-42CF-BECB-878981F45805}"/>
    <cellStyle name="Comma 1018 4" xfId="5450" xr:uid="{A623F689-C7A5-4837-BADB-4A37793F2EFD}"/>
    <cellStyle name="Comma 1018 4 2" xfId="10626" xr:uid="{6F36B8BE-D73D-4059-8B3C-50577471B0E3}"/>
    <cellStyle name="Comma 1018 5" xfId="6498" xr:uid="{3C0F2E95-654C-4BAB-929F-5FE591D8427B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3" xfId="7530" xr:uid="{8C19CD90-DBB8-4083-95DF-D4246BF2BE44}"/>
    <cellStyle name="Comma 1019 3" xfId="3325" xr:uid="{E796068A-38A5-43E5-9042-2D8333E73A9E}"/>
    <cellStyle name="Comma 1019 3 2" xfId="8558" xr:uid="{05F428B5-7FBA-42D2-BF67-CE5434FDD6EF}"/>
    <cellStyle name="Comma 1019 4" xfId="5451" xr:uid="{86233C0A-289E-41FD-ACC9-D1F28BB36B20}"/>
    <cellStyle name="Comma 1019 4 2" xfId="10627" xr:uid="{86B257F1-3728-49F5-A22C-D5D492E11444}"/>
    <cellStyle name="Comma 1019 5" xfId="6499" xr:uid="{42D235B3-1AC0-4875-A5B0-8B9BCED40AB7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3" xfId="6613" xr:uid="{0BE27561-A65A-4B94-9B5A-0E509F57E020}"/>
    <cellStyle name="Comma 102 3" xfId="2408" xr:uid="{433AAF7B-20A5-4F52-BA58-4E5920F0FABD}"/>
    <cellStyle name="Comma 102 3 2" xfId="7641" xr:uid="{BDDCD3C3-7A31-4F43-A065-5AD0C2CB98E2}"/>
    <cellStyle name="Comma 102 4" xfId="4534" xr:uid="{879EB29A-010C-498A-A728-34258DB46F0D}"/>
    <cellStyle name="Comma 102 4 2" xfId="9710" xr:uid="{49A413F6-839D-42A7-B571-DF17A3101164}"/>
    <cellStyle name="Comma 102 5" xfId="5582" xr:uid="{DD1E4168-3CE4-45DB-9F9F-3BDC8653204B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3" xfId="7531" xr:uid="{915E3868-2BB6-4FCF-BE50-7267442E1817}"/>
    <cellStyle name="Comma 1020 3" xfId="3326" xr:uid="{106AC5B0-E419-462E-A9B1-0313B38B9C86}"/>
    <cellStyle name="Comma 1020 3 2" xfId="8559" xr:uid="{73D8E514-55F7-42F1-A951-28915572A671}"/>
    <cellStyle name="Comma 1020 4" xfId="5452" xr:uid="{5B85CDC0-9195-4D76-9756-07CC666C974C}"/>
    <cellStyle name="Comma 1020 4 2" xfId="10628" xr:uid="{69FC214E-2E0D-490B-9D05-C8177EBB5F8E}"/>
    <cellStyle name="Comma 1020 5" xfId="6500" xr:uid="{ADB296CE-F0F8-4E20-9703-04AB66E079EE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3" xfId="7532" xr:uid="{28B8C80F-589B-4440-B061-AB46EF3B9A7A}"/>
    <cellStyle name="Comma 1021 3" xfId="3327" xr:uid="{65BE5EE5-E016-4F87-B63B-E4CF3C5077E6}"/>
    <cellStyle name="Comma 1021 3 2" xfId="8560" xr:uid="{BA2A8AD8-F449-40F6-9C52-66FCE1E8986E}"/>
    <cellStyle name="Comma 1021 4" xfId="5453" xr:uid="{8E518BB0-EBCA-4A15-9BE6-5F44E457D02A}"/>
    <cellStyle name="Comma 1021 4 2" xfId="10629" xr:uid="{F526CF54-825A-4CE9-8436-05801A629B27}"/>
    <cellStyle name="Comma 1021 5" xfId="6501" xr:uid="{3D34CD16-10ED-411D-8004-584F3C6FA86B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3" xfId="6503" xr:uid="{83587698-FB29-4F02-B1A5-95759D5DB793}"/>
    <cellStyle name="Comma 1023" xfId="4414" xr:uid="{5015F830-FE27-443C-A348-F24786225D55}"/>
    <cellStyle name="Comma 1023 2" xfId="9591" xr:uid="{7BEDC4DA-60EE-4DA8-A81F-2C62CEEE22D5}"/>
    <cellStyle name="Comma 1024" xfId="4415" xr:uid="{BACCC1E1-6D17-47C9-A920-45981EA38067}"/>
    <cellStyle name="Comma 1024 2" xfId="9592" xr:uid="{E78D776B-89D7-4F90-A554-9FB9250CFF78}"/>
    <cellStyle name="Comma 1025" xfId="4416" xr:uid="{AA38180E-6B85-4B80-BB8D-3B3F3160BB99}"/>
    <cellStyle name="Comma 1025 2" xfId="9593" xr:uid="{487DA05E-3D7D-4FC8-8475-E5E5FA5C66DA}"/>
    <cellStyle name="Comma 1026" xfId="4417" xr:uid="{BAD99ADF-D919-4940-9660-50CA8C26C7DC}"/>
    <cellStyle name="Comma 1026 2" xfId="9594" xr:uid="{5908C789-EF7E-40B7-9528-A4D48D202BC7}"/>
    <cellStyle name="Comma 1027" xfId="4418" xr:uid="{D38A14E3-BFDB-4F34-BC34-29ABD1E77E80}"/>
    <cellStyle name="Comma 1027 2" xfId="9595" xr:uid="{B2F3A0A8-EB7A-4B12-9C4A-CE41C749A7C3}"/>
    <cellStyle name="Comma 1028" xfId="4419" xr:uid="{F333EB0E-C90B-4110-B498-C52BA6EA4358}"/>
    <cellStyle name="Comma 1028 2" xfId="9596" xr:uid="{8445151C-2951-4B79-B60F-9B664D8C083D}"/>
    <cellStyle name="Comma 1029" xfId="4421" xr:uid="{C849BE3A-B248-4D28-B94C-FE8A49F93D2F}"/>
    <cellStyle name="Comma 1029 2" xfId="9597" xr:uid="{87CA96C6-8A1C-46C7-B146-127BA4E362F1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3" xfId="6614" xr:uid="{3B270769-D004-45CD-8C78-C0293B073BFB}"/>
    <cellStyle name="Comma 103 3" xfId="2409" xr:uid="{F60A78EC-1EAE-4062-A2EB-B0FF9DE5947D}"/>
    <cellStyle name="Comma 103 3 2" xfId="7642" xr:uid="{CFE8BA59-9DFD-494D-8ABA-7F6083E2ACF0}"/>
    <cellStyle name="Comma 103 4" xfId="4535" xr:uid="{9E3013D1-9737-4358-AAB2-C93851941C7A}"/>
    <cellStyle name="Comma 103 4 2" xfId="9711" xr:uid="{37984B43-99C2-403E-A4F0-802B559C915D}"/>
    <cellStyle name="Comma 103 5" xfId="5583" xr:uid="{D8D47BE6-D9C2-4E5B-92BC-AA03A0E8B93B}"/>
    <cellStyle name="Comma 1030" xfId="4422" xr:uid="{A4643C6E-B0B1-4DEB-BB0E-F47F306BC92F}"/>
    <cellStyle name="Comma 1030 2" xfId="9598" xr:uid="{8FC77812-F4EE-4A8E-A6D5-58E046267754}"/>
    <cellStyle name="Comma 1031" xfId="4423" xr:uid="{FD530AC7-61EB-4BE2-93BA-BB4B2A38DB9B}"/>
    <cellStyle name="Comma 1031 2" xfId="9599" xr:uid="{88CF2697-9150-4561-811C-9E3C33D1636A}"/>
    <cellStyle name="Comma 1032" xfId="4424" xr:uid="{F607D93F-CA41-4DE1-B0C3-7944B0074125}"/>
    <cellStyle name="Comma 1032 2" xfId="9600" xr:uid="{ED2D280C-6BA7-4FCB-8526-CB25BD52E542}"/>
    <cellStyle name="Comma 1033" xfId="4425" xr:uid="{98DFA2CC-61A2-40EB-BC6D-4A593E8C158B}"/>
    <cellStyle name="Comma 1033 2" xfId="9601" xr:uid="{DAB81AE9-F3D2-48F5-845F-E7A98E88CA63}"/>
    <cellStyle name="Comma 1034" xfId="5454" xr:uid="{089383CA-D0C2-4434-B42D-99F638921867}"/>
    <cellStyle name="Comma 1034 2" xfId="10630" xr:uid="{414838FD-AACA-45C1-9039-C505E4CCDF5E}"/>
    <cellStyle name="Comma 1035" xfId="5455" xr:uid="{EB01B34E-012F-4B41-9BAE-9208215DA715}"/>
    <cellStyle name="Comma 1035 2" xfId="10631" xr:uid="{3F9CBA5A-8E97-41B0-BFA9-C8389482F58F}"/>
    <cellStyle name="Comma 1036" xfId="5456" xr:uid="{4853C763-1F91-45F2-B8A7-5EB2CA9E90E9}"/>
    <cellStyle name="Comma 1036 2" xfId="10632" xr:uid="{C67A9237-DF63-4877-BC6C-C2DCE7348C3A}"/>
    <cellStyle name="Comma 1037" xfId="5457" xr:uid="{9B508437-C2E3-4D6A-9881-2ED3693AC6FA}"/>
    <cellStyle name="Comma 1037 2" xfId="10633" xr:uid="{0AD13F63-21F3-41FC-80DC-A30CDAA34F1F}"/>
    <cellStyle name="Comma 1038" xfId="5458" xr:uid="{AA173299-CE71-41E8-ABF7-912BF958D8A6}"/>
    <cellStyle name="Comma 1038 2" xfId="10634" xr:uid="{AAE5AD40-6763-4441-8BEE-AFD186561AC5}"/>
    <cellStyle name="Comma 1039" xfId="5459" xr:uid="{87E9A88F-087D-4EEB-99F9-B6CC0A711316}"/>
    <cellStyle name="Comma 1039 2" xfId="10635" xr:uid="{0DE175BD-E385-48E8-93BF-B96AD4F34671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3" xfId="6615" xr:uid="{E6BCBC31-C75E-4609-8BA5-9AE8ECB676E7}"/>
    <cellStyle name="Comma 104 3" xfId="2410" xr:uid="{150A34CC-0EFF-4CDB-93CE-0174DF8B45FE}"/>
    <cellStyle name="Comma 104 3 2" xfId="7643" xr:uid="{09255571-97DE-4AB4-BFB5-961C62E606E2}"/>
    <cellStyle name="Comma 104 4" xfId="4536" xr:uid="{ADF61121-E365-43B4-856B-DF110B3E96DC}"/>
    <cellStyle name="Comma 104 4 2" xfId="9712" xr:uid="{307DE94A-9AB3-4AE2-8E93-3887766BE7BF}"/>
    <cellStyle name="Comma 104 5" xfId="5584" xr:uid="{B12EB070-D65E-4516-A97E-61921F3DE8EF}"/>
    <cellStyle name="Comma 1040" xfId="5460" xr:uid="{C1CDE3AF-6C42-40A4-A830-B045CB152D8D}"/>
    <cellStyle name="Comma 1040 2" xfId="10636" xr:uid="{23C691D9-FA00-4261-9387-7C329821EF62}"/>
    <cellStyle name="Comma 1041" xfId="5461" xr:uid="{1D9E56D4-CAB9-4513-A5AD-78BFD0AB18BC}"/>
    <cellStyle name="Comma 1041 2" xfId="10637" xr:uid="{3D6EFA96-DB54-45AA-BB41-102FDDB8E4AB}"/>
    <cellStyle name="Comma 1042" xfId="5462" xr:uid="{399C54C2-D316-46CE-A002-97FBA15A13A8}"/>
    <cellStyle name="Comma 1042 2" xfId="10638" xr:uid="{66E1D8C0-99AA-43FE-828D-F9BB963D6EE1}"/>
    <cellStyle name="Comma 1043" xfId="5463" xr:uid="{DFCE0AB9-6F55-4925-83C8-AA9836656CD9}"/>
    <cellStyle name="Comma 1043 2" xfId="10639" xr:uid="{CEAB655D-F981-4460-AD44-6AB6B760F6F1}"/>
    <cellStyle name="Comma 1044" xfId="5464" xr:uid="{9F60B737-9FE0-4B85-A883-F517EB1201A4}"/>
    <cellStyle name="Comma 1044 2" xfId="10640" xr:uid="{52CC4590-D7BE-41D3-8B40-D5DC1D33289B}"/>
    <cellStyle name="Comma 1045" xfId="5465" xr:uid="{2B63C518-3F18-4AF8-85EB-FDFA24B05DF4}"/>
    <cellStyle name="Comma 1045 2" xfId="10641" xr:uid="{C12EE450-383A-4415-84AA-05334F765D7D}"/>
    <cellStyle name="Comma 1046" xfId="5466" xr:uid="{5AFE10BD-5E1F-4C99-A272-1B05C0AE7B1E}"/>
    <cellStyle name="Comma 1046 2" xfId="10642" xr:uid="{0C3D528A-02FC-42F5-A38B-CD9592F5D004}"/>
    <cellStyle name="Comma 1047" xfId="5467" xr:uid="{2231C96B-844D-44C8-B54B-712B871FEB27}"/>
    <cellStyle name="Comma 1047 2" xfId="10643" xr:uid="{BBEC9913-CCE9-46AF-AB9A-94775C1CC5E0}"/>
    <cellStyle name="Comma 1048" xfId="5468" xr:uid="{B753660E-6B7A-4CEC-B55D-1D3B678F5647}"/>
    <cellStyle name="Comma 1048 2" xfId="10644" xr:uid="{403E1F8E-8728-419D-92DE-405FAEF12DEC}"/>
    <cellStyle name="Comma 1049" xfId="5469" xr:uid="{B1E668D2-E5E2-4490-A4A2-7E925B1B84FA}"/>
    <cellStyle name="Comma 1049 2" xfId="10645" xr:uid="{D9AB8977-CD74-4462-8C79-A35F50497065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3" xfId="6616" xr:uid="{F3171C63-0B36-449C-81B8-6D54F76C818C}"/>
    <cellStyle name="Comma 105 3" xfId="2411" xr:uid="{86ED2DAE-7B17-41C2-9B77-DCA32DFDCC16}"/>
    <cellStyle name="Comma 105 3 2" xfId="7644" xr:uid="{601ED717-46E4-499E-AECB-FAEAF81FCFBA}"/>
    <cellStyle name="Comma 105 4" xfId="4537" xr:uid="{B63A7EA3-999B-4764-9073-0DEFB6C1D47D}"/>
    <cellStyle name="Comma 105 4 2" xfId="9713" xr:uid="{5CAC3218-C43A-409B-AFCB-AE48C3AA5985}"/>
    <cellStyle name="Comma 105 5" xfId="5585" xr:uid="{DAAF217F-7878-4216-9FB8-F85E413FF355}"/>
    <cellStyle name="Comma 1050" xfId="5470" xr:uid="{D92AC5C4-088B-4121-A06E-0F81EE7A4C82}"/>
    <cellStyle name="Comma 1050 2" xfId="10646" xr:uid="{2A3B75A3-644C-4903-AA75-97778E36421D}"/>
    <cellStyle name="Comma 1051" xfId="5471" xr:uid="{FD881562-DF42-4A4C-A8B6-6B53FF442CDC}"/>
    <cellStyle name="Comma 1051 2" xfId="10647" xr:uid="{31A3D9B9-39F3-4A8C-8A73-EF6EFDDD9A1D}"/>
    <cellStyle name="Comma 1052" xfId="5472" xr:uid="{A5BB7BA3-23CF-4A29-A3A6-52075C340C1A}"/>
    <cellStyle name="Comma 1052 2" xfId="10648" xr:uid="{31617273-229E-4BF4-88CA-9CE7178975EB}"/>
    <cellStyle name="Comma 1053" xfId="6502" xr:uid="{5E1671B3-99CF-4A94-8E9F-3F1741838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3" xfId="6617" xr:uid="{7C6CF209-9197-46BD-A157-1437AD4B9298}"/>
    <cellStyle name="Comma 106 3" xfId="2412" xr:uid="{197DAD20-6612-4C5B-B180-CE937F9BD7F0}"/>
    <cellStyle name="Comma 106 3 2" xfId="7645" xr:uid="{0D3653C8-36E5-4C06-9B58-E0AF85702CFD}"/>
    <cellStyle name="Comma 106 4" xfId="4538" xr:uid="{40F8595A-A1C7-4D82-86C2-34E2783A00C2}"/>
    <cellStyle name="Comma 106 4 2" xfId="9714" xr:uid="{86E718C0-BB8E-4C85-A880-19431BAD9C89}"/>
    <cellStyle name="Comma 106 5" xfId="5586" xr:uid="{7386FDAA-F617-445A-AD10-88BA69A025D6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3" xfId="6618" xr:uid="{D5AE09D3-39B3-4AB1-AE57-08F7ABCF6022}"/>
    <cellStyle name="Comma 107 3" xfId="2413" xr:uid="{28C2750C-C5D3-4B46-AFD1-A42459284953}"/>
    <cellStyle name="Comma 107 3 2" xfId="7646" xr:uid="{04C97E31-5853-4E07-A946-36A9654A4242}"/>
    <cellStyle name="Comma 107 4" xfId="4539" xr:uid="{3DE1BAEA-ED5C-48B5-9898-9DDF8D0533E5}"/>
    <cellStyle name="Comma 107 4 2" xfId="9715" xr:uid="{EF3C968E-2121-483D-ADF2-DD45BDFCDB87}"/>
    <cellStyle name="Comma 107 5" xfId="5587" xr:uid="{AB70D0ED-6174-4E4D-B21A-FBD2486F606B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3" xfId="6619" xr:uid="{FA72CF7A-4709-4725-BD6A-72B59B54D0FA}"/>
    <cellStyle name="Comma 108 3" xfId="2414" xr:uid="{33F746D1-D92B-418C-9AD4-F8274B91EA2E}"/>
    <cellStyle name="Comma 108 3 2" xfId="7647" xr:uid="{6C8102DA-300A-4E5C-8676-7B76557504C2}"/>
    <cellStyle name="Comma 108 4" xfId="4540" xr:uid="{51313FB1-D5E7-4B44-9AE9-F9978AF22BE5}"/>
    <cellStyle name="Comma 108 4 2" xfId="9716" xr:uid="{EB7ACDF9-60D8-4F76-824E-CC09A6B4E68B}"/>
    <cellStyle name="Comma 108 5" xfId="5588" xr:uid="{B382F215-0471-4B40-8346-21A6B32928B6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3" xfId="6620" xr:uid="{5E437C17-F690-49E3-B245-209A21DFF7C0}"/>
    <cellStyle name="Comma 109 3" xfId="2415" xr:uid="{7883BE86-5196-4EB5-BE88-4C842ABC7DD8}"/>
    <cellStyle name="Comma 109 3 2" xfId="7648" xr:uid="{8D2569B2-FF7D-4308-9F66-35BC052F91CF}"/>
    <cellStyle name="Comma 109 4" xfId="4541" xr:uid="{DDC4B66E-1709-45CD-8B02-3AEF8F9ED7B8}"/>
    <cellStyle name="Comma 109 4 2" xfId="9717" xr:uid="{5F2C70AB-A670-43D2-8BF4-F189E0256E00}"/>
    <cellStyle name="Comma 109 5" xfId="5589" xr:uid="{C8E1ABC4-A4DA-4CAA-BFBB-13B56A9E163C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3" xfId="6522" xr:uid="{0D2BED53-DF07-4FF1-AB9C-5AD06C8554B0}"/>
    <cellStyle name="Comma 11 3" xfId="2317" xr:uid="{BD8B3A65-BB7B-401B-815D-C685121B93D2}"/>
    <cellStyle name="Comma 11 3 2" xfId="7550" xr:uid="{F9EBCC7E-C521-4E8A-A295-5BCA904B2F78}"/>
    <cellStyle name="Comma 11 4" xfId="4443" xr:uid="{3CEE7E51-7D5A-4AD3-97AA-5E87ED0E574D}"/>
    <cellStyle name="Comma 11 4 2" xfId="9619" xr:uid="{9BA0D544-B5E0-4B19-9AFC-E2AB0C679057}"/>
    <cellStyle name="Comma 11 5" xfId="5491" xr:uid="{EDB11D81-7922-4C9A-8A23-BCB0B6AA624E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3" xfId="6621" xr:uid="{5A1835D1-E4C6-48AA-8BE0-BB91B0C4DFF3}"/>
    <cellStyle name="Comma 110 3" xfId="2416" xr:uid="{946E5A98-CA75-41A8-AF4C-CDF20A569641}"/>
    <cellStyle name="Comma 110 3 2" xfId="7649" xr:uid="{5C1F4C89-F73E-4666-8D02-A4BFA474A3DD}"/>
    <cellStyle name="Comma 110 4" xfId="4542" xr:uid="{94C8E1DD-23E7-49A2-8C97-4BDE6C6C31A7}"/>
    <cellStyle name="Comma 110 4 2" xfId="9718" xr:uid="{4E586419-C683-442F-BFE1-FA123B759DE4}"/>
    <cellStyle name="Comma 110 5" xfId="5590" xr:uid="{AB0F7B19-72D1-4827-ADDA-D6AC131DE054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3" xfId="6622" xr:uid="{8869DB12-0C22-401F-AC71-F0F655470530}"/>
    <cellStyle name="Comma 111 3" xfId="2417" xr:uid="{74A316BA-95C1-43C5-8B5E-ECAA9874A829}"/>
    <cellStyle name="Comma 111 3 2" xfId="7650" xr:uid="{CEC781F4-6015-4D67-BD0E-396EB66F9A82}"/>
    <cellStyle name="Comma 111 4" xfId="4543" xr:uid="{2AAC9F4F-91C2-4F13-8A9B-062D8E2C0ACE}"/>
    <cellStyle name="Comma 111 4 2" xfId="9719" xr:uid="{40A91033-01ED-43EC-A052-C16635D9A5A1}"/>
    <cellStyle name="Comma 111 5" xfId="5591" xr:uid="{E341D22C-F5B6-46B9-9D0F-CA45F7EEB73D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3" xfId="6623" xr:uid="{89350B4A-6DDC-4F07-9592-6566FFFBE70B}"/>
    <cellStyle name="Comma 112 3" xfId="2418" xr:uid="{FB7217BB-606E-4FCC-A147-BB37B85C012B}"/>
    <cellStyle name="Comma 112 3 2" xfId="7651" xr:uid="{E9EB53EC-DD7A-4AB0-81E9-68AF6B278D32}"/>
    <cellStyle name="Comma 112 4" xfId="4544" xr:uid="{119D2871-B340-4794-B44B-CA72C63BB10E}"/>
    <cellStyle name="Comma 112 4 2" xfId="9720" xr:uid="{16149170-60E3-418E-B138-4D645640DD51}"/>
    <cellStyle name="Comma 112 5" xfId="5592" xr:uid="{4887145F-B2A6-43FA-AC35-8EC05D353044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3" xfId="6624" xr:uid="{C905701D-51AA-443E-B72A-F13349EF2CE2}"/>
    <cellStyle name="Comma 113 3" xfId="2419" xr:uid="{481EF0F8-7DFB-4ECA-BD5D-033129B87D12}"/>
    <cellStyle name="Comma 113 3 2" xfId="7652" xr:uid="{68714BCB-439C-4EA6-9748-D53C14E89894}"/>
    <cellStyle name="Comma 113 4" xfId="4545" xr:uid="{512558A7-9A5C-4326-A118-6F8B78DC1F4A}"/>
    <cellStyle name="Comma 113 4 2" xfId="9721" xr:uid="{E53CE8B8-CFF1-49AE-ABE6-F8DAE18F9BD9}"/>
    <cellStyle name="Comma 113 5" xfId="5593" xr:uid="{B18B9B06-1419-4210-8933-180951ABA4E3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3" xfId="6625" xr:uid="{483FA397-A80E-46C8-A901-8FF064472934}"/>
    <cellStyle name="Comma 114 3" xfId="2420" xr:uid="{7D633B02-5A71-43DF-9649-9F2EC80A1F11}"/>
    <cellStyle name="Comma 114 3 2" xfId="7653" xr:uid="{F55AC7B1-CF29-4DBF-924A-11ABB3BCD091}"/>
    <cellStyle name="Comma 114 4" xfId="4546" xr:uid="{D5791B81-5E59-4725-81AD-F9E956AF9FFB}"/>
    <cellStyle name="Comma 114 4 2" xfId="9722" xr:uid="{7DBB46DC-4EA6-4053-B023-ECD7E2032EAB}"/>
    <cellStyle name="Comma 114 5" xfId="5594" xr:uid="{97B9DD64-04C0-41A3-8988-AB5066278598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3" xfId="6626" xr:uid="{9B558FF0-987C-4E36-8AC6-64DE01A223F6}"/>
    <cellStyle name="Comma 115 3" xfId="2421" xr:uid="{B8ED85C9-051E-4638-817B-66DCC5B0DE50}"/>
    <cellStyle name="Comma 115 3 2" xfId="7654" xr:uid="{4E6A8C7B-33C6-4B4B-97B9-7F0F5D065927}"/>
    <cellStyle name="Comma 115 4" xfId="4547" xr:uid="{90B736FF-6A28-449A-A275-7C23F483669B}"/>
    <cellStyle name="Comma 115 4 2" xfId="9723" xr:uid="{D3DA0E1F-E549-4AE5-9D9E-6FBB6198319B}"/>
    <cellStyle name="Comma 115 5" xfId="5595" xr:uid="{754DD729-6D8D-4259-A23E-925FF794C0F0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3" xfId="6627" xr:uid="{0DFF282A-7631-4F56-8854-C8F40484C20F}"/>
    <cellStyle name="Comma 116 3" xfId="2422" xr:uid="{362FDB9E-926E-40BE-8B6F-130EC9501FCD}"/>
    <cellStyle name="Comma 116 3 2" xfId="7655" xr:uid="{3B9346B5-4CAD-4E0A-AABF-347DB0176C07}"/>
    <cellStyle name="Comma 116 4" xfId="4548" xr:uid="{61AB43D6-2D9C-4A65-BF26-19A13519DEFB}"/>
    <cellStyle name="Comma 116 4 2" xfId="9724" xr:uid="{03BA3D66-90C2-45DB-BDF3-AD2FA3412019}"/>
    <cellStyle name="Comma 116 5" xfId="5596" xr:uid="{B9882CF6-F9F9-4B7C-9F04-E300BC7DB370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3" xfId="6628" xr:uid="{6936CF8E-EFB2-465F-B6F8-D0A8B4052DA6}"/>
    <cellStyle name="Comma 117 3" xfId="2423" xr:uid="{F4E37CDC-7AD9-4FD9-8CF4-B769DF61A706}"/>
    <cellStyle name="Comma 117 3 2" xfId="7656" xr:uid="{B7EBD280-8B85-479E-93AC-A8D9FD00FAB5}"/>
    <cellStyle name="Comma 117 4" xfId="4549" xr:uid="{ED03D858-62DD-4B4D-BEB1-1511A05CA28F}"/>
    <cellStyle name="Comma 117 4 2" xfId="9725" xr:uid="{B973C29A-0502-48B7-883A-390DF66B5764}"/>
    <cellStyle name="Comma 117 5" xfId="5597" xr:uid="{9887630E-79B8-4B9A-9F42-78539EC5D891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3" xfId="6629" xr:uid="{4C3F5B15-D664-43A7-82B6-A31D446B32A9}"/>
    <cellStyle name="Comma 118 3" xfId="2424" xr:uid="{67776558-B3FA-4475-A80F-2E464C64FF6A}"/>
    <cellStyle name="Comma 118 3 2" xfId="7657" xr:uid="{44C5B087-9945-4BEC-87DD-92730868CCB1}"/>
    <cellStyle name="Comma 118 4" xfId="4550" xr:uid="{DC615FC1-6E7A-490A-908F-E1B98AED3A34}"/>
    <cellStyle name="Comma 118 4 2" xfId="9726" xr:uid="{BE4E5CCF-AF1C-4FD9-B609-3EDF0B131C80}"/>
    <cellStyle name="Comma 118 5" xfId="5598" xr:uid="{4E93D8F8-60DE-4716-8F14-7A68117FBA02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3" xfId="6630" xr:uid="{30D868EE-98E3-49EB-851D-F36975AD5BDF}"/>
    <cellStyle name="Comma 119 3" xfId="2425" xr:uid="{8563AB55-E096-4D3F-9BD5-25F69529B0CA}"/>
    <cellStyle name="Comma 119 3 2" xfId="7658" xr:uid="{23C607DB-FFA5-441E-B1FB-83EB36350272}"/>
    <cellStyle name="Comma 119 4" xfId="4551" xr:uid="{279FA778-94DC-4803-97E9-B116E58171F7}"/>
    <cellStyle name="Comma 119 4 2" xfId="9727" xr:uid="{A42CAB27-CFEB-465D-9D37-7B3FFB8BF070}"/>
    <cellStyle name="Comma 119 5" xfId="5599" xr:uid="{39B21792-145C-44EC-A51D-98256D6C26E8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3" xfId="6523" xr:uid="{002CDB9F-9D89-4251-95EE-D6008E9888AE}"/>
    <cellStyle name="Comma 12 3" xfId="2318" xr:uid="{E7AC0F0C-39B2-4637-BA74-FE1DAE2A1DF4}"/>
    <cellStyle name="Comma 12 3 2" xfId="7551" xr:uid="{8D542A97-FA2C-4E07-BDC6-3E445F5F74A6}"/>
    <cellStyle name="Comma 12 4" xfId="4444" xr:uid="{5A11BE60-A701-42DA-8720-74326EB51AA2}"/>
    <cellStyle name="Comma 12 4 2" xfId="9620" xr:uid="{A13183A3-E820-4E3C-B83A-BEC36C997BCA}"/>
    <cellStyle name="Comma 12 5" xfId="5492" xr:uid="{03812676-243D-40F3-84AE-717CE118324C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3" xfId="6631" xr:uid="{E2E93DA8-06E2-4B54-B333-C962A07FEE93}"/>
    <cellStyle name="Comma 120 3" xfId="2426" xr:uid="{9955CEE9-29D6-47D5-90BD-05395E98E011}"/>
    <cellStyle name="Comma 120 3 2" xfId="7659" xr:uid="{1589E49E-8E30-4FF0-8023-46E0D34A89F5}"/>
    <cellStyle name="Comma 120 4" xfId="4552" xr:uid="{83058A1B-5F77-4E2B-ABCE-8B229BA59D51}"/>
    <cellStyle name="Comma 120 4 2" xfId="9728" xr:uid="{CC7901FD-FC6B-4D43-9FF9-3366562FEDFF}"/>
    <cellStyle name="Comma 120 5" xfId="5600" xr:uid="{2DA92127-026A-4EC4-9FEC-106002A634FD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3" xfId="6632" xr:uid="{05D27C31-F5CC-48D9-A4E3-65F65B467D72}"/>
    <cellStyle name="Comma 121 3" xfId="2427" xr:uid="{0478A1AD-2A2D-4D8F-ABE1-BDA9F6F39825}"/>
    <cellStyle name="Comma 121 3 2" xfId="7660" xr:uid="{C562C76B-6A76-415D-B8D0-2440E0ABFA9D}"/>
    <cellStyle name="Comma 121 4" xfId="4553" xr:uid="{B37D70F7-71BC-4832-98C8-D714DF8ACEF9}"/>
    <cellStyle name="Comma 121 4 2" xfId="9729" xr:uid="{2CC2B0E1-569C-4848-8FD7-A027CD1B95F7}"/>
    <cellStyle name="Comma 121 5" xfId="5601" xr:uid="{60E9C97F-4DE6-41DA-BF87-BAE28235B0D2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3" xfId="6633" xr:uid="{17C8817B-2943-404A-8C4E-24479EAD84B2}"/>
    <cellStyle name="Comma 122 3" xfId="2428" xr:uid="{5CC7487B-451F-406A-A097-FB82298444C3}"/>
    <cellStyle name="Comma 122 3 2" xfId="7661" xr:uid="{544DED31-ABE4-4EAA-8FE3-2759D162E616}"/>
    <cellStyle name="Comma 122 4" xfId="4554" xr:uid="{930F7C74-3D24-4257-99BC-DB5E807A0384}"/>
    <cellStyle name="Comma 122 4 2" xfId="9730" xr:uid="{2B926D06-68CE-4F39-A652-05CF233C7DFF}"/>
    <cellStyle name="Comma 122 5" xfId="5602" xr:uid="{D0C0A72B-23E5-4D53-AB4F-57482ECF7E9A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3" xfId="6634" xr:uid="{AE9DA732-6E69-41DC-8D61-75B4289947F7}"/>
    <cellStyle name="Comma 123 3" xfId="2429" xr:uid="{313FE122-0EC5-44A2-9146-D72F994994B9}"/>
    <cellStyle name="Comma 123 3 2" xfId="7662" xr:uid="{5A0B5184-1820-4538-A78E-1BB4470F59E2}"/>
    <cellStyle name="Comma 123 4" xfId="4555" xr:uid="{75E0410F-1B7B-418C-B3E8-2DEF7D26F25B}"/>
    <cellStyle name="Comma 123 4 2" xfId="9731" xr:uid="{6AFEBC0D-9EA2-496E-9DFF-BF014FB06F49}"/>
    <cellStyle name="Comma 123 5" xfId="5603" xr:uid="{A5345897-B352-4CC3-B5AE-4C088BE6D240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3" xfId="6635" xr:uid="{42E7B126-F96C-4487-BD50-33AD4268862F}"/>
    <cellStyle name="Comma 124 3" xfId="2430" xr:uid="{0D0C61FE-2435-4ABA-834A-B1C199AA4F23}"/>
    <cellStyle name="Comma 124 3 2" xfId="7663" xr:uid="{A3D59718-4132-4A44-96A8-6F2E8FA78D0B}"/>
    <cellStyle name="Comma 124 4" xfId="4556" xr:uid="{DBED6134-C20C-4EA4-8425-F4348551D863}"/>
    <cellStyle name="Comma 124 4 2" xfId="9732" xr:uid="{30FBAC67-64B1-48EC-8159-66AC1CC393DB}"/>
    <cellStyle name="Comma 124 5" xfId="5604" xr:uid="{F15F8BA3-7847-4D37-B730-83D9C816341A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3" xfId="6636" xr:uid="{BBA3BFE2-A62B-4436-ACF5-35AEC5B18C34}"/>
    <cellStyle name="Comma 125 3" xfId="2431" xr:uid="{DF3D7C20-9AEA-46A8-973C-4FDB6983899A}"/>
    <cellStyle name="Comma 125 3 2" xfId="7664" xr:uid="{1574AEBD-F2A8-43DF-80EF-155E7676F995}"/>
    <cellStyle name="Comma 125 4" xfId="4557" xr:uid="{A36BC174-5D42-4B6D-A7F4-07CF0FA13E65}"/>
    <cellStyle name="Comma 125 4 2" xfId="9733" xr:uid="{5021218F-2AAF-4705-87E7-E5B99927D9F8}"/>
    <cellStyle name="Comma 125 5" xfId="5605" xr:uid="{78CECABF-2647-4220-969A-F1D1FEB96F7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3" xfId="6637" xr:uid="{3E9E24D0-B5DA-4836-9BF8-D3DCCBEC3C4A}"/>
    <cellStyle name="Comma 126 3" xfId="2432" xr:uid="{9194B9D5-6D28-4743-B55E-D75C0CE37F67}"/>
    <cellStyle name="Comma 126 3 2" xfId="7665" xr:uid="{D0D4BE6A-1DB0-4540-979C-26B886E407ED}"/>
    <cellStyle name="Comma 126 4" xfId="4558" xr:uid="{797D8588-0D15-4FC2-9155-2407A8E6AD48}"/>
    <cellStyle name="Comma 126 4 2" xfId="9734" xr:uid="{00BD0B7E-46F7-4254-A841-3935E5144980}"/>
    <cellStyle name="Comma 126 5" xfId="5606" xr:uid="{4B1DBA42-BA37-40C0-8735-E42311420F87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3" xfId="6638" xr:uid="{151605FF-A913-4BC7-A1C5-9969C4F771A5}"/>
    <cellStyle name="Comma 127 3" xfId="2433" xr:uid="{8427D98B-ACEE-4C04-8CB6-56583F9BE910}"/>
    <cellStyle name="Comma 127 3 2" xfId="7666" xr:uid="{7C92B455-FBA8-420D-B7E7-05332734CE1B}"/>
    <cellStyle name="Comma 127 4" xfId="4559" xr:uid="{B2643823-712B-4A7F-AC93-1782622CE643}"/>
    <cellStyle name="Comma 127 4 2" xfId="9735" xr:uid="{E5651447-2841-4E16-91B3-8D64E938DE3E}"/>
    <cellStyle name="Comma 127 5" xfId="5607" xr:uid="{B652B306-B95B-4289-ADAE-35696409BDFA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3" xfId="6639" xr:uid="{95F5C8BB-AA64-443E-A1FB-811B1E53D33C}"/>
    <cellStyle name="Comma 128 3" xfId="2434" xr:uid="{557BC27A-CE06-4A50-A9A0-F24466F19970}"/>
    <cellStyle name="Comma 128 3 2" xfId="7667" xr:uid="{43317DCC-114F-42CA-AF84-20C44AF10151}"/>
    <cellStyle name="Comma 128 4" xfId="4560" xr:uid="{27694665-5B81-41D5-939A-DC3C9E3BB4D8}"/>
    <cellStyle name="Comma 128 4 2" xfId="9736" xr:uid="{13469AAB-29F3-4ECB-900D-CAD113BD0950}"/>
    <cellStyle name="Comma 128 5" xfId="5608" xr:uid="{922BCDA8-36E8-4CFB-87D0-780F16F719B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3" xfId="6640" xr:uid="{DA00B234-9162-4B1B-8B7F-7684ABB096F7}"/>
    <cellStyle name="Comma 129 3" xfId="2435" xr:uid="{3EC13081-028C-47AE-A6ED-0DC8BF95B943}"/>
    <cellStyle name="Comma 129 3 2" xfId="7668" xr:uid="{15B2F24A-3A34-44CD-B39F-73888A31B2EF}"/>
    <cellStyle name="Comma 129 4" xfId="4561" xr:uid="{D56F63FB-D01B-4A21-A88A-F135A72E8B6D}"/>
    <cellStyle name="Comma 129 4 2" xfId="9737" xr:uid="{7ED99944-C201-4A4B-9648-CD879147C4B0}"/>
    <cellStyle name="Comma 129 5" xfId="5609" xr:uid="{05297D37-FEBC-43CE-960E-94D6CDDAB0B1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3" xfId="6524" xr:uid="{850190DB-D650-4210-BB00-5F9E6FB3E9AC}"/>
    <cellStyle name="Comma 13 3" xfId="2319" xr:uid="{429E9342-1315-4D16-8837-193639FB6078}"/>
    <cellStyle name="Comma 13 3 2" xfId="7552" xr:uid="{E0CD5BB8-1E64-4C3F-BC69-77B5A8418276}"/>
    <cellStyle name="Comma 13 4" xfId="4445" xr:uid="{2E1B5D7E-BF08-42FE-AC72-7B3CC8EB2205}"/>
    <cellStyle name="Comma 13 4 2" xfId="9621" xr:uid="{02F29071-B157-4D38-A1F1-DF657330BA55}"/>
    <cellStyle name="Comma 13 5" xfId="5493" xr:uid="{25140BCB-01EB-414C-A752-5F67004D12D8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3" xfId="6641" xr:uid="{05CCF006-266C-454E-8397-3BCD7CEA126F}"/>
    <cellStyle name="Comma 130 3" xfId="2436" xr:uid="{1E13B266-3519-430F-896F-C0462394C4C8}"/>
    <cellStyle name="Comma 130 3 2" xfId="7669" xr:uid="{84FA30B6-7C3F-4F7A-A0E9-BCED8B159BA9}"/>
    <cellStyle name="Comma 130 4" xfId="4562" xr:uid="{18B0C9C2-13E0-4201-A26E-5BC1E60F1E16}"/>
    <cellStyle name="Comma 130 4 2" xfId="9738" xr:uid="{EC88ED75-060D-42C9-8DF1-28B17E8B5F72}"/>
    <cellStyle name="Comma 130 5" xfId="5610" xr:uid="{1E752FAB-1062-4F33-A490-49EAA529CB9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3" xfId="6642" xr:uid="{CB852844-C1B5-42E7-843C-EDEA01047F51}"/>
    <cellStyle name="Comma 131 3" xfId="2437" xr:uid="{B5E54089-685F-48E2-96B3-B0FABA948194}"/>
    <cellStyle name="Comma 131 3 2" xfId="7670" xr:uid="{E9EF4D17-F603-45A8-A2F0-CBFFDA055BC1}"/>
    <cellStyle name="Comma 131 4" xfId="4563" xr:uid="{86DA05ED-2826-4478-8490-09B244484F38}"/>
    <cellStyle name="Comma 131 4 2" xfId="9739" xr:uid="{888A178F-50C0-4F04-A769-D0AF6B6AE7C8}"/>
    <cellStyle name="Comma 131 5" xfId="5611" xr:uid="{5531478D-5788-421E-95DA-272AD3E22B5D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3" xfId="6643" xr:uid="{D8699BB9-4B58-4897-8F6F-2F985FE6C71A}"/>
    <cellStyle name="Comma 132 3" xfId="2438" xr:uid="{8350010C-12FF-48B4-BE35-5186E8250B87}"/>
    <cellStyle name="Comma 132 3 2" xfId="7671" xr:uid="{95570250-FEB0-436E-80DF-A7F45B34A124}"/>
    <cellStyle name="Comma 132 4" xfId="4564" xr:uid="{A7F954EB-A631-4CE3-BC64-4EFA8F6CDD77}"/>
    <cellStyle name="Comma 132 4 2" xfId="9740" xr:uid="{43BAE5E2-B7E6-486C-A497-2B0B91812889}"/>
    <cellStyle name="Comma 132 5" xfId="5612" xr:uid="{FB53219E-A7CE-420B-A0B7-AC07BB26EAA6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3" xfId="6644" xr:uid="{6E47E934-4511-4782-A6F4-4917917DEAB7}"/>
    <cellStyle name="Comma 133 3" xfId="2439" xr:uid="{E8C13517-0569-443C-BF2F-9A97DAA09757}"/>
    <cellStyle name="Comma 133 3 2" xfId="7672" xr:uid="{C965E1A3-69FC-4953-A2EC-81988354F765}"/>
    <cellStyle name="Comma 133 4" xfId="4565" xr:uid="{54EB4134-7EC9-4F25-9F56-BAE829C49EE6}"/>
    <cellStyle name="Comma 133 4 2" xfId="9741" xr:uid="{6E8A509A-63CC-4525-89A8-49E53873103F}"/>
    <cellStyle name="Comma 133 5" xfId="5613" xr:uid="{85F38693-D21C-4C9F-94CD-9D7C1BBEB033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3" xfId="6645" xr:uid="{168C6380-0278-45CA-AF57-4E79D3CC3E1D}"/>
    <cellStyle name="Comma 134 3" xfId="2440" xr:uid="{717D56E8-2ED8-49EF-86F1-1D108FB33C15}"/>
    <cellStyle name="Comma 134 3 2" xfId="7673" xr:uid="{38DD1C8F-1378-4DD7-9AD4-4DBFD1D5DCE7}"/>
    <cellStyle name="Comma 134 4" xfId="4566" xr:uid="{90BD98B8-C875-42B5-85A4-15869EA50E6C}"/>
    <cellStyle name="Comma 134 4 2" xfId="9742" xr:uid="{4E027717-8471-41CF-AD21-506D6E7542BF}"/>
    <cellStyle name="Comma 134 5" xfId="5614" xr:uid="{53AD75EA-CCE6-44B8-89B8-BF35262DDC9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3" xfId="6646" xr:uid="{3AA8340E-449E-428F-90CC-CE556279C6C0}"/>
    <cellStyle name="Comma 135 3" xfId="2441" xr:uid="{17E420BA-21A8-4A8C-8C22-B38A70F3C36B}"/>
    <cellStyle name="Comma 135 3 2" xfId="7674" xr:uid="{C3BB64DB-B4EC-463A-AB66-7E69F66B6E1E}"/>
    <cellStyle name="Comma 135 4" xfId="4567" xr:uid="{108FB822-425C-44CD-BA0E-242311E93BD6}"/>
    <cellStyle name="Comma 135 4 2" xfId="9743" xr:uid="{23B1EF6B-3035-4E77-B853-8E7D25E30CB8}"/>
    <cellStyle name="Comma 135 5" xfId="5615" xr:uid="{E035523B-E11B-4B36-9F36-A3238A6ACD81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3" xfId="6647" xr:uid="{4808F0B4-C413-4159-8F35-C8D5AC70274C}"/>
    <cellStyle name="Comma 136 3" xfId="2442" xr:uid="{822E6AB3-8D60-45B1-AD1E-74739ACF0FBB}"/>
    <cellStyle name="Comma 136 3 2" xfId="7675" xr:uid="{C5547394-9C0C-4FA3-96F3-535A12449A69}"/>
    <cellStyle name="Comma 136 4" xfId="4568" xr:uid="{E40F3482-1389-4EB5-A688-4D8D6500C206}"/>
    <cellStyle name="Comma 136 4 2" xfId="9744" xr:uid="{AC593FA9-0FD6-4ED8-A473-C424839B70A1}"/>
    <cellStyle name="Comma 136 5" xfId="5616" xr:uid="{4C4EFD63-0931-4C32-B31D-8319A4E2091B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3" xfId="6648" xr:uid="{7538D9B6-8720-4666-8B30-27A13FCFCD82}"/>
    <cellStyle name="Comma 137 3" xfId="2443" xr:uid="{068C0499-E1E7-4ECD-B51D-E9111AE67790}"/>
    <cellStyle name="Comma 137 3 2" xfId="7676" xr:uid="{ED4FAB3E-CD14-4F69-841B-8A309BBCCA4A}"/>
    <cellStyle name="Comma 137 4" xfId="4569" xr:uid="{B01792D1-D1EF-41C1-8595-7FC9FECF26D8}"/>
    <cellStyle name="Comma 137 4 2" xfId="9745" xr:uid="{4BF5C766-DC60-4B71-B359-2AEC0095D5FC}"/>
    <cellStyle name="Comma 137 5" xfId="5617" xr:uid="{6F970151-7806-479C-9132-B1DFB16697AC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3" xfId="6649" xr:uid="{9BA5DB4F-C5EA-49A3-BBB1-46E740E7EBF3}"/>
    <cellStyle name="Comma 138 3" xfId="2444" xr:uid="{E5C018E2-5D58-4705-83DA-E961C5ED55D4}"/>
    <cellStyle name="Comma 138 3 2" xfId="7677" xr:uid="{1BD5B196-474A-4FA2-8A30-ED56A09B8596}"/>
    <cellStyle name="Comma 138 4" xfId="4570" xr:uid="{4BC5A152-1E5D-4430-9770-B087918C9700}"/>
    <cellStyle name="Comma 138 4 2" xfId="9746" xr:uid="{3B837BE5-5927-489B-8D95-DD08AA620275}"/>
    <cellStyle name="Comma 138 5" xfId="5618" xr:uid="{5283AD55-5583-41C0-9DD2-1DF149E00BF4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3" xfId="6650" xr:uid="{FBD666C2-57A1-4DBD-BA59-01BF5B983DB1}"/>
    <cellStyle name="Comma 139 3" xfId="2445" xr:uid="{A6EFF9F6-34FD-4B15-99FF-5DE76BBBF5A3}"/>
    <cellStyle name="Comma 139 3 2" xfId="7678" xr:uid="{703C5BE2-DB49-49F1-8DCE-78D2C8EA158C}"/>
    <cellStyle name="Comma 139 4" xfId="4571" xr:uid="{B5A1CD50-9B8B-48A2-985F-583185CDA79B}"/>
    <cellStyle name="Comma 139 4 2" xfId="9747" xr:uid="{54B21A19-4A58-42B6-835D-AAD7BFB832DC}"/>
    <cellStyle name="Comma 139 5" xfId="5619" xr:uid="{8C92EC7B-871C-4822-BA1E-669477021100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3" xfId="6525" xr:uid="{7F9F42F5-2888-4218-BD73-9E180C23FEE7}"/>
    <cellStyle name="Comma 14 3" xfId="2320" xr:uid="{BE90FD07-EE80-41BF-9C0A-A2854307D678}"/>
    <cellStyle name="Comma 14 3 2" xfId="7553" xr:uid="{85527E4B-6F56-4F15-A4A7-AFF2BDE071E8}"/>
    <cellStyle name="Comma 14 4" xfId="4446" xr:uid="{83E8FDE7-8933-475C-98DF-8D6CB42F19D8}"/>
    <cellStyle name="Comma 14 4 2" xfId="9622" xr:uid="{E9EA955D-13EF-4691-B6B6-8B93DC6B5847}"/>
    <cellStyle name="Comma 14 5" xfId="5494" xr:uid="{EE8E88E9-AD6B-4B52-9927-D12501DAF9F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3" xfId="6651" xr:uid="{2E65C828-4BCC-49FC-B55C-CD8C0F1CDB85}"/>
    <cellStyle name="Comma 140 3" xfId="2446" xr:uid="{D5DD1559-351B-4738-9622-8C9EEE91F8CF}"/>
    <cellStyle name="Comma 140 3 2" xfId="7679" xr:uid="{1C17030A-F227-4837-9038-6147AAAC52EA}"/>
    <cellStyle name="Comma 140 4" xfId="4572" xr:uid="{F0D68277-21B1-4B24-ADB3-541F92E93ADD}"/>
    <cellStyle name="Comma 140 4 2" xfId="9748" xr:uid="{15A12C42-61E8-4BF1-BB59-9802E189A6ED}"/>
    <cellStyle name="Comma 140 5" xfId="5620" xr:uid="{BEE16BF5-FF18-43DA-8523-FCAAB82ED03E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3" xfId="6652" xr:uid="{F238DC59-F3AF-4594-B1F9-861FB3314BE8}"/>
    <cellStyle name="Comma 141 3" xfId="2447" xr:uid="{2267A37E-6C67-43F1-8EAD-440E6A6E593C}"/>
    <cellStyle name="Comma 141 3 2" xfId="7680" xr:uid="{94F69E4E-DBEE-4760-B2D7-4B1AEE58247F}"/>
    <cellStyle name="Comma 141 4" xfId="4573" xr:uid="{154B191E-177F-4895-B07E-E04D0E41BE64}"/>
    <cellStyle name="Comma 141 4 2" xfId="9749" xr:uid="{C896ACC5-EFE0-451D-B707-E641E8F383C3}"/>
    <cellStyle name="Comma 141 5" xfId="5621" xr:uid="{49EC26D8-8F2A-4FCF-8126-056F70FF26F1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3" xfId="6653" xr:uid="{F9A29351-5ED8-48CD-B5BB-F9C3238D1C60}"/>
    <cellStyle name="Comma 142 3" xfId="2448" xr:uid="{135B73A0-E240-4393-A4B6-29C1209B21D2}"/>
    <cellStyle name="Comma 142 3 2" xfId="7681" xr:uid="{582E6F66-74CA-40BA-B97D-1BD31D19E1F3}"/>
    <cellStyle name="Comma 142 4" xfId="4574" xr:uid="{0CC0989A-5C92-471F-8235-7F128E94FC2F}"/>
    <cellStyle name="Comma 142 4 2" xfId="9750" xr:uid="{B0F852F4-62F1-49BE-93E8-8BCEC185694C}"/>
    <cellStyle name="Comma 142 5" xfId="5622" xr:uid="{C8152345-7F92-4761-B144-ACD0319A7169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3" xfId="6654" xr:uid="{3C2D428C-ADA3-4FC4-B440-D5C07B8DB067}"/>
    <cellStyle name="Comma 143 3" xfId="2449" xr:uid="{BEE64EA3-0CF7-4FFE-87C8-EB94608E00A8}"/>
    <cellStyle name="Comma 143 3 2" xfId="7682" xr:uid="{7925DF14-E12A-465E-A260-FBD69E085036}"/>
    <cellStyle name="Comma 143 4" xfId="4575" xr:uid="{27FD36B3-A965-4792-B252-7D9A418C0DF1}"/>
    <cellStyle name="Comma 143 4 2" xfId="9751" xr:uid="{7B6807AF-8C6F-454E-BFDD-342296F848DB}"/>
    <cellStyle name="Comma 143 5" xfId="5623" xr:uid="{E388688C-EB6D-473D-BE30-DC78CB93E86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3" xfId="6655" xr:uid="{43542F74-A57A-4F97-A5D3-7F5DB6B62EE9}"/>
    <cellStyle name="Comma 144 3" xfId="2450" xr:uid="{151A92FA-0C28-4F6B-BB63-42DA4D20D83D}"/>
    <cellStyle name="Comma 144 3 2" xfId="7683" xr:uid="{3A8512E5-F967-4F16-B2AE-9D5706BEF0BC}"/>
    <cellStyle name="Comma 144 4" xfId="4576" xr:uid="{88CA484E-8E7B-4A1B-A02A-64D0F921BC10}"/>
    <cellStyle name="Comma 144 4 2" xfId="9752" xr:uid="{CA73FAC1-15B9-456F-AB32-23F10EF5F692}"/>
    <cellStyle name="Comma 144 5" xfId="5624" xr:uid="{98D006CD-AC10-4B14-9DDC-D8A469DB83D3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3" xfId="6656" xr:uid="{958920CA-81F7-4E2F-8896-A2F16980126B}"/>
    <cellStyle name="Comma 145 3" xfId="2451" xr:uid="{02E443B5-7554-4D3B-97DD-F0BDFF0C8829}"/>
    <cellStyle name="Comma 145 3 2" xfId="7684" xr:uid="{96164DCF-72E7-45E1-AB6C-5F323E0AF64A}"/>
    <cellStyle name="Comma 145 4" xfId="4577" xr:uid="{FC747917-8B8D-4D10-BC4C-BDBC3D59830F}"/>
    <cellStyle name="Comma 145 4 2" xfId="9753" xr:uid="{95388C8E-5C1D-45C5-9241-00DABE6C0BC9}"/>
    <cellStyle name="Comma 145 5" xfId="5625" xr:uid="{F1626356-D425-4431-99B5-C8C3D166FEE4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3" xfId="6657" xr:uid="{A91ED5F8-9DD0-4C95-9896-3AD86B026A34}"/>
    <cellStyle name="Comma 146 3" xfId="2452" xr:uid="{44796546-1C17-4BA1-AF21-A451098C0491}"/>
    <cellStyle name="Comma 146 3 2" xfId="7685" xr:uid="{1D680048-8EE1-4F7A-A8E5-864F9F925CAD}"/>
    <cellStyle name="Comma 146 4" xfId="4578" xr:uid="{20EDE181-DA8D-4C6E-AA7E-B84395903B6E}"/>
    <cellStyle name="Comma 146 4 2" xfId="9754" xr:uid="{98A7406F-3608-4F0B-89DD-2D96D82A2AAA}"/>
    <cellStyle name="Comma 146 5" xfId="5626" xr:uid="{06619E70-C8D4-4723-88AE-7880DB1CCAA5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3" xfId="6658" xr:uid="{8FCCC629-67D6-47EC-8C0F-99950CDA4D6E}"/>
    <cellStyle name="Comma 147 3" xfId="2453" xr:uid="{0E1876A7-4658-4302-B8F0-D593CBCC72E5}"/>
    <cellStyle name="Comma 147 3 2" xfId="7686" xr:uid="{13E17077-3AF0-418A-ACCF-545F1893493A}"/>
    <cellStyle name="Comma 147 4" xfId="4579" xr:uid="{E553E86B-C1A1-46A9-8D52-62E4FB0C4159}"/>
    <cellStyle name="Comma 147 4 2" xfId="9755" xr:uid="{9D05E5E5-E30F-42C1-AF9D-D1046D1B1689}"/>
    <cellStyle name="Comma 147 5" xfId="5627" xr:uid="{E9202C18-25FC-4A02-8D16-B218E794930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3" xfId="6659" xr:uid="{D1030B13-81F4-461B-BD44-ED796F4FFCF9}"/>
    <cellStyle name="Comma 148 3" xfId="2454" xr:uid="{5E8BCCDA-C9AD-4EB3-A50B-92C3FEE25D32}"/>
    <cellStyle name="Comma 148 3 2" xfId="7687" xr:uid="{88EF2027-FBFC-4048-A8CB-820BD6ABE89E}"/>
    <cellStyle name="Comma 148 4" xfId="4580" xr:uid="{A5AAA20F-DB43-4FFE-901B-B8212FEF7A3B}"/>
    <cellStyle name="Comma 148 4 2" xfId="9756" xr:uid="{3AE35B6A-12C2-463D-B847-78A0EB955B7C}"/>
    <cellStyle name="Comma 148 5" xfId="5628" xr:uid="{B1A8C580-1EF9-4832-9819-373BB5734F8E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3" xfId="6660" xr:uid="{CC766A86-AD3B-4BD6-9F17-41FBFEA69A67}"/>
    <cellStyle name="Comma 149 3" xfId="2455" xr:uid="{F2685AB6-BF93-4011-AA0F-4120EF117CA9}"/>
    <cellStyle name="Comma 149 3 2" xfId="7688" xr:uid="{06CB8399-0351-44FF-9C44-2DFB3B45F943}"/>
    <cellStyle name="Comma 149 4" xfId="4581" xr:uid="{CA595001-F9E1-4875-890A-9D00CC7EED28}"/>
    <cellStyle name="Comma 149 4 2" xfId="9757" xr:uid="{D0548F79-EED0-4E89-827E-B961ABDADD70}"/>
    <cellStyle name="Comma 149 5" xfId="5629" xr:uid="{045D3D12-AB5A-49A0-83C9-15B6B1C614F9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3" xfId="6526" xr:uid="{4919AF76-6B48-4680-A117-23DF280859BB}"/>
    <cellStyle name="Comma 15 3" xfId="2321" xr:uid="{4414ED52-E4A3-4E93-AF41-3052D3375090}"/>
    <cellStyle name="Comma 15 3 2" xfId="7554" xr:uid="{144522B8-F028-4BF5-8C89-37D48E4C73FC}"/>
    <cellStyle name="Comma 15 4" xfId="4447" xr:uid="{4EF886F9-57B5-43FA-ABF2-38E9A339BC00}"/>
    <cellStyle name="Comma 15 4 2" xfId="9623" xr:uid="{FAFDFB9A-E106-4372-A9EA-77BBDE2E94A5}"/>
    <cellStyle name="Comma 15 5" xfId="5495" xr:uid="{E23F4A4C-C223-48C5-B65A-8D158A885A27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3" xfId="6661" xr:uid="{9CF0F312-C0C8-477B-820B-53FB2E4D2DBC}"/>
    <cellStyle name="Comma 150 3" xfId="2456" xr:uid="{5173EF34-D9C2-40BE-BB29-57AF5E6EA48E}"/>
    <cellStyle name="Comma 150 3 2" xfId="7689" xr:uid="{1CDFB5A8-54B9-420C-9577-610C833BB390}"/>
    <cellStyle name="Comma 150 4" xfId="4582" xr:uid="{800E47B3-3FEF-454D-AB65-24802B00B65A}"/>
    <cellStyle name="Comma 150 4 2" xfId="9758" xr:uid="{E2FE3A4F-99A3-41C9-94C9-0D2111E1DFD3}"/>
    <cellStyle name="Comma 150 5" xfId="5630" xr:uid="{215483F5-C60F-4487-86D0-33F603F67672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3" xfId="6662" xr:uid="{3055199E-B950-4C1C-B446-1097F875EF8B}"/>
    <cellStyle name="Comma 151 3" xfId="2457" xr:uid="{8244DDE5-D617-4D02-9F33-C40782DFBD64}"/>
    <cellStyle name="Comma 151 3 2" xfId="7690" xr:uid="{E0BE53AB-5F34-42EE-A8CA-A2F1DF6B91B9}"/>
    <cellStyle name="Comma 151 4" xfId="4583" xr:uid="{F0013396-D3B9-4935-8C3F-7B17BF5DE82F}"/>
    <cellStyle name="Comma 151 4 2" xfId="9759" xr:uid="{3FB2AC25-BACA-42C2-A850-A2EE511C6647}"/>
    <cellStyle name="Comma 151 5" xfId="5631" xr:uid="{D43C146F-35CF-436E-B958-22665D2BEAC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3" xfId="6663" xr:uid="{58BD9287-F15D-468B-B89D-287308B803CA}"/>
    <cellStyle name="Comma 152 3" xfId="2458" xr:uid="{BDE7D182-4696-49E4-8B96-99F7F6F79C79}"/>
    <cellStyle name="Comma 152 3 2" xfId="7691" xr:uid="{D8CDE090-9BC5-4309-9977-A7022E932A2E}"/>
    <cellStyle name="Comma 152 4" xfId="4584" xr:uid="{881C96E3-DE3C-4F0A-8EB3-1AE1E04B9281}"/>
    <cellStyle name="Comma 152 4 2" xfId="9760" xr:uid="{D3898F36-4703-4C0B-87C9-2F3CA17FB63B}"/>
    <cellStyle name="Comma 152 5" xfId="5632" xr:uid="{7E9BE344-486D-43E3-AE63-70652509C254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3" xfId="6664" xr:uid="{C9AF9FD5-96ED-4502-9EFD-AC5D9EDE66AD}"/>
    <cellStyle name="Comma 153 3" xfId="2459" xr:uid="{34D69A30-C235-43DD-84AE-CB8E5F3677AE}"/>
    <cellStyle name="Comma 153 3 2" xfId="7692" xr:uid="{6175D48D-61A8-46D0-8E38-0EBAD0DBAC03}"/>
    <cellStyle name="Comma 153 4" xfId="4585" xr:uid="{6DD4C1FB-E697-4737-A713-7264789D3DAB}"/>
    <cellStyle name="Comma 153 4 2" xfId="9761" xr:uid="{7FA9CC36-BF6D-498F-A9E0-2DCEE2BF1FC6}"/>
    <cellStyle name="Comma 153 5" xfId="5633" xr:uid="{7C8CF185-5C0E-4598-AF1E-683C2DE04806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3" xfId="6665" xr:uid="{0ABE84B0-BD4B-4E1D-A770-FA837D36284E}"/>
    <cellStyle name="Comma 154 3" xfId="2460" xr:uid="{764A5A18-4AFD-4C1B-8444-E0082C82F9EA}"/>
    <cellStyle name="Comma 154 3 2" xfId="7693" xr:uid="{90AC5E04-C9D3-47F0-B7C0-35F391A3933A}"/>
    <cellStyle name="Comma 154 4" xfId="4586" xr:uid="{922FE9E8-A6CE-4A1C-B9C5-78149F25A236}"/>
    <cellStyle name="Comma 154 4 2" xfId="9762" xr:uid="{9330F0B3-FBCD-4C56-9E84-CAF40B25D7AF}"/>
    <cellStyle name="Comma 154 5" xfId="5634" xr:uid="{E4C738AB-5691-4502-B01F-307394F41B77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3" xfId="6666" xr:uid="{050F4679-DFD2-4AC4-AB42-E0EBE1E2F8BF}"/>
    <cellStyle name="Comma 155 3" xfId="2461" xr:uid="{41C68FD9-D484-4B0C-8373-F1EA312A1DFD}"/>
    <cellStyle name="Comma 155 3 2" xfId="7694" xr:uid="{4A89D74A-79FF-4F56-9A07-E9301E29B7A6}"/>
    <cellStyle name="Comma 155 4" xfId="4587" xr:uid="{530AC2F9-D267-4087-8A6F-C92D13928DFB}"/>
    <cellStyle name="Comma 155 4 2" xfId="9763" xr:uid="{90042DE0-A42C-4078-8340-58F30D87EE9E}"/>
    <cellStyle name="Comma 155 5" xfId="5635" xr:uid="{0F6B6577-1569-47E8-B443-2F64E60656C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3" xfId="6667" xr:uid="{2ED81B5F-B318-4C61-A221-6F7D83E9E520}"/>
    <cellStyle name="Comma 156 3" xfId="2462" xr:uid="{7828DD7F-E0B7-45AF-938C-5343F5DEA4C0}"/>
    <cellStyle name="Comma 156 3 2" xfId="7695" xr:uid="{D9559741-C1DA-4326-AD3C-49C11B9347B3}"/>
    <cellStyle name="Comma 156 4" xfId="4588" xr:uid="{9C031A61-6016-4F7F-A6D3-A076DBAE1A60}"/>
    <cellStyle name="Comma 156 4 2" xfId="9764" xr:uid="{B6B75B11-111B-4769-8941-627DBF3B7F2B}"/>
    <cellStyle name="Comma 156 5" xfId="5636" xr:uid="{D8A9CE6F-813D-47F9-A31B-67313F256FFA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3" xfId="6668" xr:uid="{631666F6-3529-4B04-979E-C4DA438FB239}"/>
    <cellStyle name="Comma 157 3" xfId="2463" xr:uid="{D0B6621C-8AFC-4EA5-AC9F-C55990B53791}"/>
    <cellStyle name="Comma 157 3 2" xfId="7696" xr:uid="{C5D16B79-34C1-4706-AE20-BB06A3B9B505}"/>
    <cellStyle name="Comma 157 4" xfId="4589" xr:uid="{BDA7F7CE-BDD4-4D9C-ABAB-E7DB4201EC95}"/>
    <cellStyle name="Comma 157 4 2" xfId="9765" xr:uid="{B3E61B9A-A92A-46E1-B4E5-6F6988C871AE}"/>
    <cellStyle name="Comma 157 5" xfId="5637" xr:uid="{56A5EAEE-4E21-42EC-B9EF-47966E2EF702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3" xfId="6669" xr:uid="{1CF99E56-E974-49B9-B551-DFAE45836E98}"/>
    <cellStyle name="Comma 158 3" xfId="2464" xr:uid="{CF8221AD-F420-42AB-B17E-B4B8F1B571FB}"/>
    <cellStyle name="Comma 158 3 2" xfId="7697" xr:uid="{C28705FF-6BA7-476D-85EC-95682E67034D}"/>
    <cellStyle name="Comma 158 4" xfId="4590" xr:uid="{499D2797-B6FB-4218-94B3-A5304D448D09}"/>
    <cellStyle name="Comma 158 4 2" xfId="9766" xr:uid="{17D4121A-31E7-43D3-9175-5351646B5257}"/>
    <cellStyle name="Comma 158 5" xfId="5638" xr:uid="{ADDB2D4C-6AF3-4A62-815F-9ADF4A59222C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3" xfId="6670" xr:uid="{6FC83A47-1441-4F6A-8B38-5AEC80B0587C}"/>
    <cellStyle name="Comma 159 3" xfId="2465" xr:uid="{5D14D5AF-B3E5-4B8C-9B16-D1B1BD34D96F}"/>
    <cellStyle name="Comma 159 3 2" xfId="7698" xr:uid="{BD363568-D681-4517-81AB-2AD894A10737}"/>
    <cellStyle name="Comma 159 4" xfId="4591" xr:uid="{23B36A4B-BF8A-4F8B-8C62-9F2B7F22417F}"/>
    <cellStyle name="Comma 159 4 2" xfId="9767" xr:uid="{2C142673-3706-4688-8C22-CC20785E2400}"/>
    <cellStyle name="Comma 159 5" xfId="5639" xr:uid="{0BD3A584-7C4F-4B42-BB20-5096875B7159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3" xfId="6527" xr:uid="{8B1B4344-945E-4BD9-ACDE-EDA91608CC59}"/>
    <cellStyle name="Comma 16 3" xfId="2322" xr:uid="{45730948-83FC-4210-A965-B8A19DC3819B}"/>
    <cellStyle name="Comma 16 3 2" xfId="7555" xr:uid="{2640FE43-A8DF-44B7-B63A-9DA3469B3428}"/>
    <cellStyle name="Comma 16 4" xfId="4448" xr:uid="{D6536ABC-EB64-43DB-BF0C-FDFCE6F9F3A5}"/>
    <cellStyle name="Comma 16 4 2" xfId="9624" xr:uid="{0E109EF3-BBFC-468A-A933-135E99332945}"/>
    <cellStyle name="Comma 16 5" xfId="5496" xr:uid="{6BEAC57F-3078-4DF8-99CD-9C5EF6F36FE0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3" xfId="6671" xr:uid="{0C2377D4-8A2B-4C2E-8748-4FA29183B9BA}"/>
    <cellStyle name="Comma 160 3" xfId="2466" xr:uid="{FE48D40B-1180-44D1-B6AA-607457168EF9}"/>
    <cellStyle name="Comma 160 3 2" xfId="7699" xr:uid="{B9EA5986-D71F-42DC-AF3F-CDB5789EEB0F}"/>
    <cellStyle name="Comma 160 4" xfId="4592" xr:uid="{33D8436B-0F01-4CFB-ADAA-73500A2DC016}"/>
    <cellStyle name="Comma 160 4 2" xfId="9768" xr:uid="{319651DB-911F-435D-9807-7B3B028E38D2}"/>
    <cellStyle name="Comma 160 5" xfId="5640" xr:uid="{2F43B816-8352-4040-901D-B2D35B869BAC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3" xfId="6672" xr:uid="{84B63352-18AB-4C45-9BE1-9E56691D7B8F}"/>
    <cellStyle name="Comma 161 3" xfId="2467" xr:uid="{7E2BBB61-6B60-42BB-B3D0-2213FFEAD307}"/>
    <cellStyle name="Comma 161 3 2" xfId="7700" xr:uid="{B5F606C5-AE59-4669-B20F-ECF80E6DC4FF}"/>
    <cellStyle name="Comma 161 4" xfId="4593" xr:uid="{66DC479B-9618-496D-9CC5-A20D6EC7D38B}"/>
    <cellStyle name="Comma 161 4 2" xfId="9769" xr:uid="{73CF01D1-A7D5-482F-89DC-986BF1580EE5}"/>
    <cellStyle name="Comma 161 5" xfId="5641" xr:uid="{2C055400-8083-43FC-B551-236228DDBEF7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3" xfId="6673" xr:uid="{8036E2C1-67F2-4CCC-A958-6CC0DC840F01}"/>
    <cellStyle name="Comma 162 3" xfId="2468" xr:uid="{C15F2511-1B79-4DA9-AF16-DEAA074B994F}"/>
    <cellStyle name="Comma 162 3 2" xfId="7701" xr:uid="{60210B24-EE09-4ADB-888C-73D0567F49BC}"/>
    <cellStyle name="Comma 162 4" xfId="4594" xr:uid="{D4BC3E9A-CD50-4497-AFE5-EB5DFD0C814E}"/>
    <cellStyle name="Comma 162 4 2" xfId="9770" xr:uid="{E06C3584-987F-4876-B5CB-0B535D91CE1C}"/>
    <cellStyle name="Comma 162 5" xfId="5642" xr:uid="{EE0C72AE-E444-4578-8756-BFC69E02204D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3" xfId="6674" xr:uid="{97D9B5D2-27A8-4F42-80CB-AA91D1E24408}"/>
    <cellStyle name="Comma 163 3" xfId="2469" xr:uid="{18D66DEC-3C1A-4B81-9879-61178EC3F8F2}"/>
    <cellStyle name="Comma 163 3 2" xfId="7702" xr:uid="{A7A7632E-8BFF-4F76-98CC-2B0704458852}"/>
    <cellStyle name="Comma 163 4" xfId="4595" xr:uid="{A85152FA-0ABC-4231-AAC0-5402CD0CD788}"/>
    <cellStyle name="Comma 163 4 2" xfId="9771" xr:uid="{83F354B4-8785-4E97-B46A-FBC57EA72A44}"/>
    <cellStyle name="Comma 163 5" xfId="5643" xr:uid="{2983DA95-6DE4-4097-9725-9B67537CE2DA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3" xfId="6675" xr:uid="{2845DD23-83DF-491B-AB87-C01044E0AD80}"/>
    <cellStyle name="Comma 164 3" xfId="2470" xr:uid="{C364EA49-2509-4D06-BB57-CB2DC91FAA49}"/>
    <cellStyle name="Comma 164 3 2" xfId="7703" xr:uid="{1D8F8316-64F5-4631-A0E8-5111A620FEC1}"/>
    <cellStyle name="Comma 164 4" xfId="4596" xr:uid="{50917517-1BB8-4B64-B443-A10D9A3922BF}"/>
    <cellStyle name="Comma 164 4 2" xfId="9772" xr:uid="{3B8813ED-C7CD-47FB-B362-D97997F018EB}"/>
    <cellStyle name="Comma 164 5" xfId="5644" xr:uid="{0EDA02F8-E0CB-43D0-82D6-1232FFC3F6F5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3" xfId="6676" xr:uid="{38DDA6CF-B860-481E-8930-A2294626C843}"/>
    <cellStyle name="Comma 165 3" xfId="2471" xr:uid="{946161B6-7C00-4F8D-A28A-478AF56AECC6}"/>
    <cellStyle name="Comma 165 3 2" xfId="7704" xr:uid="{830BEB44-8945-4F39-8881-7407E43531B0}"/>
    <cellStyle name="Comma 165 4" xfId="4597" xr:uid="{8C1F50BF-4365-441C-9F4C-A3C58383C10C}"/>
    <cellStyle name="Comma 165 4 2" xfId="9773" xr:uid="{8118BAD1-EA46-4B9C-85F6-51BDA5B520E7}"/>
    <cellStyle name="Comma 165 5" xfId="5645" xr:uid="{7641D949-9E72-486F-B954-F6A185859BDE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3" xfId="6677" xr:uid="{5344B004-D20A-4E3B-AAAC-EF85C838013E}"/>
    <cellStyle name="Comma 166 3" xfId="2472" xr:uid="{97FAE56E-498A-456E-B9D1-4A7D2E3A6A59}"/>
    <cellStyle name="Comma 166 3 2" xfId="7705" xr:uid="{9C661F70-DF8D-4035-8833-DE88337DE521}"/>
    <cellStyle name="Comma 166 4" xfId="4598" xr:uid="{BBDE5508-1659-49D6-BC63-660DEA939A33}"/>
    <cellStyle name="Comma 166 4 2" xfId="9774" xr:uid="{6DB8E3CE-A0A2-4723-A5A4-F2E64D63F20F}"/>
    <cellStyle name="Comma 166 5" xfId="5646" xr:uid="{8BC38C0C-4FC8-4553-8687-C006436CDC60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3" xfId="6678" xr:uid="{A0549550-6CBD-4D5C-89C1-F9B024FDF8EC}"/>
    <cellStyle name="Comma 167 3" xfId="2473" xr:uid="{72941A52-2961-407E-8621-89ED1AAC24E4}"/>
    <cellStyle name="Comma 167 3 2" xfId="7706" xr:uid="{3A0D8EB1-68B0-46FE-9F4F-2B13B41D6876}"/>
    <cellStyle name="Comma 167 4" xfId="4599" xr:uid="{C61C5E03-6C18-4D63-8AA4-3C2B95802A75}"/>
    <cellStyle name="Comma 167 4 2" xfId="9775" xr:uid="{9EA25C52-3B74-41DB-A0A5-DA9BB276575A}"/>
    <cellStyle name="Comma 167 5" xfId="5647" xr:uid="{CFEEB066-68A6-47C0-B834-782476EC736A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3" xfId="6679" xr:uid="{FC6B84C8-BE9F-4EA6-803C-50BFC1929E4E}"/>
    <cellStyle name="Comma 168 3" xfId="2474" xr:uid="{A9307903-523B-4898-B4F8-FF9D8E02B2CA}"/>
    <cellStyle name="Comma 168 3 2" xfId="7707" xr:uid="{9C78E2D0-B738-465A-A94E-D22C95AECF5C}"/>
    <cellStyle name="Comma 168 4" xfId="4600" xr:uid="{89304B31-6B1B-4CEE-9997-FFB0A8705183}"/>
    <cellStyle name="Comma 168 4 2" xfId="9776" xr:uid="{7F5198FC-F043-43B1-BB51-CE3B5CDE99B8}"/>
    <cellStyle name="Comma 168 5" xfId="5648" xr:uid="{6FC313FD-2DA7-45A7-A2B1-12D22E5DC8EC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3" xfId="6680" xr:uid="{A02572EA-BF1A-4F5B-90B5-C947474EBEFE}"/>
    <cellStyle name="Comma 169 3" xfId="2475" xr:uid="{ECE35866-FA57-4C30-B12A-9310B2D88C17}"/>
    <cellStyle name="Comma 169 3 2" xfId="7708" xr:uid="{CFBA09F8-B832-457F-8B44-A2B314936CB7}"/>
    <cellStyle name="Comma 169 4" xfId="4601" xr:uid="{1E21516F-57FD-42F8-82C9-BCC35EE674AB}"/>
    <cellStyle name="Comma 169 4 2" xfId="9777" xr:uid="{8AEADEA9-4A02-4259-9411-701F3C3A7A65}"/>
    <cellStyle name="Comma 169 5" xfId="5649" xr:uid="{B8A4997D-B01C-4095-979B-7CEAC49CE060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3" xfId="6528" xr:uid="{F473859B-CE29-4500-A559-C395A845FB57}"/>
    <cellStyle name="Comma 17 3" xfId="2323" xr:uid="{B854EA55-BBF8-4E25-9005-52C935484784}"/>
    <cellStyle name="Comma 17 3 2" xfId="7556" xr:uid="{53491BF8-99F6-4EBF-9DC1-7006DAD86442}"/>
    <cellStyle name="Comma 17 4" xfId="4449" xr:uid="{C55DDF09-8147-4925-B837-524BBB0BC4D3}"/>
    <cellStyle name="Comma 17 4 2" xfId="9625" xr:uid="{6058D052-5AC7-4459-B7EF-BD0C016918D1}"/>
    <cellStyle name="Comma 17 5" xfId="5497" xr:uid="{B89C00C7-FC6A-4DE7-9E87-42C6EBDA8AFD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3" xfId="6681" xr:uid="{E8D422AA-BCE8-49A8-90AE-01C141008BA3}"/>
    <cellStyle name="Comma 170 3" xfId="2476" xr:uid="{8A9150D6-97DA-46E6-B21D-BBFFB616F2EF}"/>
    <cellStyle name="Comma 170 3 2" xfId="7709" xr:uid="{B5512790-8D41-468D-AE85-90A5D9CEB472}"/>
    <cellStyle name="Comma 170 4" xfId="4602" xr:uid="{B971D1B6-07F4-4862-B011-1A64B0E374A3}"/>
    <cellStyle name="Comma 170 4 2" xfId="9778" xr:uid="{BC096762-0895-467D-A0ED-EEBD34C76F6B}"/>
    <cellStyle name="Comma 170 5" xfId="5650" xr:uid="{709E85AD-E1B7-44CF-B11A-AFEF31F6E325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3" xfId="6682" xr:uid="{F32C3DBE-1623-4594-9442-BFA8F3E500BB}"/>
    <cellStyle name="Comma 171 3" xfId="2477" xr:uid="{11C14C3B-F9CC-44D8-BFA1-E0B81FC81A9C}"/>
    <cellStyle name="Comma 171 3 2" xfId="7710" xr:uid="{D52A1BF3-1B50-4F72-93F2-09518D60D79F}"/>
    <cellStyle name="Comma 171 4" xfId="4603" xr:uid="{BA5479FA-5FAA-4CBD-9365-2CA397BB33E9}"/>
    <cellStyle name="Comma 171 4 2" xfId="9779" xr:uid="{2A8FAFB4-19FE-4387-A80F-B89CF3499B85}"/>
    <cellStyle name="Comma 171 5" xfId="5651" xr:uid="{962E1469-1DF8-408D-917E-1BEB5E6466A1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3" xfId="6683" xr:uid="{2C4C7008-EA90-4DFB-84B6-BBDC77072D50}"/>
    <cellStyle name="Comma 172 3" xfId="2478" xr:uid="{CB06391A-9B59-4070-93C8-A0BAB6BE60B3}"/>
    <cellStyle name="Comma 172 3 2" xfId="7711" xr:uid="{03DA707A-A64F-4117-8431-E175D99FDACA}"/>
    <cellStyle name="Comma 172 4" xfId="4604" xr:uid="{581E630E-59C1-4C1F-8B82-2B89B2AC4324}"/>
    <cellStyle name="Comma 172 4 2" xfId="9780" xr:uid="{D1CB7961-6DD0-42A5-AABE-5711FD884158}"/>
    <cellStyle name="Comma 172 5" xfId="5652" xr:uid="{5659695C-C577-4EC6-ACFD-947D517010ED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3" xfId="6684" xr:uid="{9A77EC4C-CCEB-4F09-99B8-E8573C58B55B}"/>
    <cellStyle name="Comma 173 3" xfId="2479" xr:uid="{9366028F-EEB6-4264-85DF-EFBC834CC3D3}"/>
    <cellStyle name="Comma 173 3 2" xfId="7712" xr:uid="{6D0DBF8B-F041-47CE-A9A1-7B9F1EE40061}"/>
    <cellStyle name="Comma 173 4" xfId="4605" xr:uid="{9E02DA1A-C81F-411B-AE5B-3F679077674E}"/>
    <cellStyle name="Comma 173 4 2" xfId="9781" xr:uid="{3C679C3E-0A2F-429F-B849-537570BC971A}"/>
    <cellStyle name="Comma 173 5" xfId="5653" xr:uid="{7F021514-AA6E-4309-B5F9-9E01E0E90FA3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3" xfId="6685" xr:uid="{A123C126-FAD1-4007-91DD-FB13028B4CA7}"/>
    <cellStyle name="Comma 174 3" xfId="2480" xr:uid="{BB69AA3E-7B11-45AE-90E3-4F0B4E90E612}"/>
    <cellStyle name="Comma 174 3 2" xfId="7713" xr:uid="{40ADC103-E092-4A99-8405-AFE862B18F55}"/>
    <cellStyle name="Comma 174 4" xfId="4606" xr:uid="{541E998C-C5EE-483B-A62D-BA517EBF7C5D}"/>
    <cellStyle name="Comma 174 4 2" xfId="9782" xr:uid="{68AABBC2-AE4E-42E6-9FEA-3A608BFDE051}"/>
    <cellStyle name="Comma 174 5" xfId="5654" xr:uid="{D8A6FF13-48FB-4A66-AD82-866D2AE0B526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3" xfId="6686" xr:uid="{83739AB0-22AE-4C9B-868C-44DE3D900CF0}"/>
    <cellStyle name="Comma 175 3" xfId="2481" xr:uid="{8B40AC14-3B5A-4163-B5BC-B65C233E9042}"/>
    <cellStyle name="Comma 175 3 2" xfId="7714" xr:uid="{C9E8D8D9-4E67-4422-A846-2E9E7652BC8E}"/>
    <cellStyle name="Comma 175 4" xfId="4607" xr:uid="{3BD4FFEF-EA33-40FB-B529-1E6313743DC5}"/>
    <cellStyle name="Comma 175 4 2" xfId="9783" xr:uid="{5CFCC8E4-2AD9-47D0-A73F-6E9B61466D28}"/>
    <cellStyle name="Comma 175 5" xfId="5655" xr:uid="{97843A4D-EADD-473A-8D4F-E43D07712EEA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3" xfId="6687" xr:uid="{417CEF4A-E5FC-402E-87F4-62FA50E69016}"/>
    <cellStyle name="Comma 176 3" xfId="2482" xr:uid="{D272BD9A-60C3-424C-B167-F57F27151B90}"/>
    <cellStyle name="Comma 176 3 2" xfId="7715" xr:uid="{59F1A289-FD6A-4E60-B3F9-3A61BAEE0F11}"/>
    <cellStyle name="Comma 176 4" xfId="4608" xr:uid="{9C5882EC-29F6-4405-9332-65E83D2EA0B7}"/>
    <cellStyle name="Comma 176 4 2" xfId="9784" xr:uid="{A5FAC90B-1007-4C82-AA58-4A74ACB75C5E}"/>
    <cellStyle name="Comma 176 5" xfId="5656" xr:uid="{D6A62346-38C2-4D08-A6B3-6F7B50659016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3" xfId="6688" xr:uid="{F3F89B8B-3D51-435A-9C2B-7A97BE582CDB}"/>
    <cellStyle name="Comma 177 3" xfId="2483" xr:uid="{89B117C5-4AF8-4C32-8CCD-3EBE846847D6}"/>
    <cellStyle name="Comma 177 3 2" xfId="7716" xr:uid="{84E3256A-7710-4445-BC2D-DB8281D399C8}"/>
    <cellStyle name="Comma 177 4" xfId="4609" xr:uid="{C2066BA9-2C69-4CC7-BF65-04C696E41EA3}"/>
    <cellStyle name="Comma 177 4 2" xfId="9785" xr:uid="{2F07929E-7E13-4C76-9E58-77DEBCFDE2FF}"/>
    <cellStyle name="Comma 177 5" xfId="5657" xr:uid="{BB4525FE-E57E-47E2-B174-5E42D8432DAF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3" xfId="6689" xr:uid="{3A396073-1CEB-4108-8753-973094ED427E}"/>
    <cellStyle name="Comma 178 3" xfId="2484" xr:uid="{E2BA9FFB-550D-4D7A-B501-97AC1DB8DD23}"/>
    <cellStyle name="Comma 178 3 2" xfId="7717" xr:uid="{411029D2-948E-47DA-9B1F-D9813F573F55}"/>
    <cellStyle name="Comma 178 4" xfId="4610" xr:uid="{FC208EF0-6397-4F11-B5D8-71D016307A5A}"/>
    <cellStyle name="Comma 178 4 2" xfId="9786" xr:uid="{DDE69D9F-CA12-43E5-8727-7B6CDC4F342F}"/>
    <cellStyle name="Comma 178 5" xfId="5658" xr:uid="{B02A28E6-9810-4AFE-AEF1-7084E51FCDC9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3" xfId="6690" xr:uid="{B7D2E6D8-D187-46F8-8045-9A2125277A25}"/>
    <cellStyle name="Comma 179 3" xfId="2485" xr:uid="{D5B04826-7970-415F-B32E-1B4102EC9CB0}"/>
    <cellStyle name="Comma 179 3 2" xfId="7718" xr:uid="{3A37EFBA-0478-4C3A-BAFE-D4EF17A6F61F}"/>
    <cellStyle name="Comma 179 4" xfId="4611" xr:uid="{FFB45626-8196-4D5B-AFD4-EDB0734AFCDD}"/>
    <cellStyle name="Comma 179 4 2" xfId="9787" xr:uid="{FA01CE83-DA53-4840-8F5B-E1F0AFA6CC60}"/>
    <cellStyle name="Comma 179 5" xfId="5659" xr:uid="{18591212-9A8B-4AE5-9F02-E12E26BA793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3" xfId="6529" xr:uid="{3F40BECB-4501-4CAE-A243-AE7FF4C14C3A}"/>
    <cellStyle name="Comma 18 3" xfId="2324" xr:uid="{6A9933D7-56E6-4290-9D35-63DFAF2773B3}"/>
    <cellStyle name="Comma 18 3 2" xfId="7557" xr:uid="{38F80CE6-CF95-4B2F-ADA3-AFCFC98DAB4C}"/>
    <cellStyle name="Comma 18 4" xfId="4450" xr:uid="{579BB79F-DAEA-4795-8245-02D1F4CBD044}"/>
    <cellStyle name="Comma 18 4 2" xfId="9626" xr:uid="{28C06557-A372-43E3-82B1-4D6D5666D73B}"/>
    <cellStyle name="Comma 18 5" xfId="5498" xr:uid="{16BF37F6-7201-4A05-B16D-906874AF9A99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3" xfId="6691" xr:uid="{096ED483-5167-4C08-A4F3-586348761A60}"/>
    <cellStyle name="Comma 180 3" xfId="2486" xr:uid="{A35F250B-FE74-4A69-9C0B-338BEDAEE099}"/>
    <cellStyle name="Comma 180 3 2" xfId="7719" xr:uid="{2058CDD6-ADC3-4F00-8D8F-A8A0C358143D}"/>
    <cellStyle name="Comma 180 4" xfId="4612" xr:uid="{8B2AA3AC-1EF0-438E-AB00-7FC80A0B023C}"/>
    <cellStyle name="Comma 180 4 2" xfId="9788" xr:uid="{40108DC6-3A83-4CC8-8110-D0E97B1FDE6E}"/>
    <cellStyle name="Comma 180 5" xfId="5660" xr:uid="{D94EEF26-FA27-4A31-B5AE-E9013D32D81A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3" xfId="6692" xr:uid="{BA59CCE9-4694-4F03-82AA-079178BC1ECC}"/>
    <cellStyle name="Comma 181 3" xfId="2487" xr:uid="{336E4A7B-A061-4DBB-9989-44EF38EBC9F8}"/>
    <cellStyle name="Comma 181 3 2" xfId="7720" xr:uid="{5713BADA-F5F8-47FA-B21C-554B972D58BB}"/>
    <cellStyle name="Comma 181 4" xfId="4613" xr:uid="{F9455903-D626-4656-A116-B75289091E75}"/>
    <cellStyle name="Comma 181 4 2" xfId="9789" xr:uid="{FB6570B3-8275-4CEE-AABE-45A653A2E1FC}"/>
    <cellStyle name="Comma 181 5" xfId="5661" xr:uid="{6658C589-4E9A-4CB3-B6A1-E0D73A2FA2E7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3" xfId="6693" xr:uid="{CA9263D7-5677-4178-B6EA-62924489AC78}"/>
    <cellStyle name="Comma 182 3" xfId="2488" xr:uid="{B4EF5407-B2E1-4151-BC5A-A271BBDB6C0B}"/>
    <cellStyle name="Comma 182 3 2" xfId="7721" xr:uid="{1CBBD4DB-35B1-4B23-9BE8-896704638B79}"/>
    <cellStyle name="Comma 182 4" xfId="4614" xr:uid="{FB9AA4E8-DE34-46BE-AB45-C9C9ADF01F89}"/>
    <cellStyle name="Comma 182 4 2" xfId="9790" xr:uid="{403E92D9-CCA5-41B8-B03D-FAE2DB62AFEA}"/>
    <cellStyle name="Comma 182 5" xfId="5662" xr:uid="{7AED25D9-8A0D-46B7-A921-11C9D55FF30D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3" xfId="6694" xr:uid="{4E29A1DD-13D3-45CE-A929-F10240190B78}"/>
    <cellStyle name="Comma 183 3" xfId="2489" xr:uid="{AD374C99-CBA0-4C3F-A918-92356387153E}"/>
    <cellStyle name="Comma 183 3 2" xfId="7722" xr:uid="{63668FE7-39D1-4226-AC32-80B1D70EF7C6}"/>
    <cellStyle name="Comma 183 4" xfId="4615" xr:uid="{97029EA2-9829-4CA5-AF9F-49994E835FFA}"/>
    <cellStyle name="Comma 183 4 2" xfId="9791" xr:uid="{2D859B4A-A08F-44CB-9F7F-8C802F75DE43}"/>
    <cellStyle name="Comma 183 5" xfId="5663" xr:uid="{E34427DB-E957-448F-BD92-78F2BC9153F7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3" xfId="6695" xr:uid="{A9964FC4-8D1B-42E1-9D05-ED5C5341D852}"/>
    <cellStyle name="Comma 184 3" xfId="2490" xr:uid="{4177D4F4-2A01-40A0-9956-0EE65A06837F}"/>
    <cellStyle name="Comma 184 3 2" xfId="7723" xr:uid="{183BD545-3983-41E3-8256-20F25962743D}"/>
    <cellStyle name="Comma 184 4" xfId="4616" xr:uid="{895AAF70-AF1D-4035-B32B-B11E66265C82}"/>
    <cellStyle name="Comma 184 4 2" xfId="9792" xr:uid="{D65378FD-3013-446C-92F7-4C8F8D8803CE}"/>
    <cellStyle name="Comma 184 5" xfId="5664" xr:uid="{3CFEB33E-1C07-4F7B-BC21-BA4D3DB3AFEA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3" xfId="6696" xr:uid="{15685577-CB2B-4701-B478-9D640245B82E}"/>
    <cellStyle name="Comma 185 3" xfId="2491" xr:uid="{AA0DD689-75AA-4E5B-8613-D98A3CD1CCC7}"/>
    <cellStyle name="Comma 185 3 2" xfId="7724" xr:uid="{A5F8A893-4BDB-4820-A1EC-CFA4907E3414}"/>
    <cellStyle name="Comma 185 4" xfId="4617" xr:uid="{EC009C31-40A6-4776-BAD6-693ACC9F6B18}"/>
    <cellStyle name="Comma 185 4 2" xfId="9793" xr:uid="{50856C6E-C35D-41BC-AA01-3EC50514C538}"/>
    <cellStyle name="Comma 185 5" xfId="5665" xr:uid="{34CCE0CE-152C-43A3-9025-5985ED01AA11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3" xfId="6697" xr:uid="{1419844A-A1F9-485F-A95C-492364F9E869}"/>
    <cellStyle name="Comma 186 3" xfId="2492" xr:uid="{DBB74DF8-D762-4468-A6E2-C8D205549629}"/>
    <cellStyle name="Comma 186 3 2" xfId="7725" xr:uid="{3937B1F1-A600-4E9F-B3E9-D01E6930D3C2}"/>
    <cellStyle name="Comma 186 4" xfId="4618" xr:uid="{8D87266A-2304-42F5-A3D5-BC73A440E3DC}"/>
    <cellStyle name="Comma 186 4 2" xfId="9794" xr:uid="{050038F9-6280-459C-85B8-95734D1D039B}"/>
    <cellStyle name="Comma 186 5" xfId="5666" xr:uid="{990B59DC-85C2-491B-A2DB-3DBDE0FB862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3" xfId="6698" xr:uid="{18F64DCB-A978-41C1-BA23-878E3C6AD595}"/>
    <cellStyle name="Comma 187 3" xfId="2493" xr:uid="{3218E3AE-EAED-4357-9094-50D0F881F38C}"/>
    <cellStyle name="Comma 187 3 2" xfId="7726" xr:uid="{8BA68E9E-531F-434F-9580-981392B1B1C6}"/>
    <cellStyle name="Comma 187 4" xfId="4619" xr:uid="{96416DC3-5491-4F4D-9686-2D471600C826}"/>
    <cellStyle name="Comma 187 4 2" xfId="9795" xr:uid="{B5D81E3E-FD6C-4CE9-B89D-9A04073F9679}"/>
    <cellStyle name="Comma 187 5" xfId="5667" xr:uid="{974DBC26-7DCE-42C8-AE4C-A5F3A885A278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3" xfId="6699" xr:uid="{910961BB-A334-46DE-BFB2-FE58B3D3FABA}"/>
    <cellStyle name="Comma 188 3" xfId="2494" xr:uid="{9C47B1D1-7B77-4934-98B4-C1575FF5479C}"/>
    <cellStyle name="Comma 188 3 2" xfId="7727" xr:uid="{43D35D2C-F717-4EB2-A28C-09395E94FB04}"/>
    <cellStyle name="Comma 188 4" xfId="4620" xr:uid="{FBF2DF9B-E229-437C-AB9E-1FF3FECB7D6F}"/>
    <cellStyle name="Comma 188 4 2" xfId="9796" xr:uid="{DF5BF033-2412-4F77-BDA3-308F24388B5E}"/>
    <cellStyle name="Comma 188 5" xfId="5668" xr:uid="{40C26A1F-5B0C-4132-AC9F-B0D8A1CC4B63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3" xfId="6700" xr:uid="{A4CE9222-8B6F-4920-86DC-CBCD397F2899}"/>
    <cellStyle name="Comma 189 3" xfId="2495" xr:uid="{42C8DD62-3A26-4767-A3A9-2FDEE2B5FFC8}"/>
    <cellStyle name="Comma 189 3 2" xfId="7728" xr:uid="{90F95DD8-D640-4682-8F1E-6C978DC7FE3E}"/>
    <cellStyle name="Comma 189 4" xfId="4621" xr:uid="{9B0507EC-FBBA-43B7-8D7D-B2C6C922850B}"/>
    <cellStyle name="Comma 189 4 2" xfId="9797" xr:uid="{D9540A31-B142-4C70-A38F-DAA3F0FB386D}"/>
    <cellStyle name="Comma 189 5" xfId="5669" xr:uid="{26636BAD-36AF-4F32-AB7C-7FCEE1AA2170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3" xfId="6516" xr:uid="{0AD74A0F-E08A-49F6-AFAA-DBAED2A44B23}"/>
    <cellStyle name="Comma 19 3" xfId="2311" xr:uid="{040405BE-5084-4DA6-BD7D-B755CA895155}"/>
    <cellStyle name="Comma 19 3 2" xfId="7544" xr:uid="{929E89D1-5920-47BC-A2F6-675DC5A88A29}"/>
    <cellStyle name="Comma 19 4" xfId="4437" xr:uid="{3A2A4807-2569-43DE-BC68-DD26B82C2CA9}"/>
    <cellStyle name="Comma 19 4 2" xfId="9613" xr:uid="{FA3FE08D-4015-41E5-9166-4AF5AC6D33FF}"/>
    <cellStyle name="Comma 19 5" xfId="5485" xr:uid="{2C68C04C-BDFC-41D1-BA02-49FDFD7CEEE0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3" xfId="6701" xr:uid="{4F32F023-5578-4D3C-A5D8-E4576BC76B7D}"/>
    <cellStyle name="Comma 190 3" xfId="2496" xr:uid="{091EDC3E-636A-47D2-9C8B-7A20D5FA6E0D}"/>
    <cellStyle name="Comma 190 3 2" xfId="7729" xr:uid="{6A1CC737-ED78-4F3B-879B-CAD25270F474}"/>
    <cellStyle name="Comma 190 4" xfId="4622" xr:uid="{979F0257-402D-4419-8FB2-072235BAC9DD}"/>
    <cellStyle name="Comma 190 4 2" xfId="9798" xr:uid="{5BFAB996-7594-4B7A-A696-544CBC78F9BC}"/>
    <cellStyle name="Comma 190 5" xfId="5670" xr:uid="{BE5F8B74-8E27-449E-8AF4-DB5B6C97000F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3" xfId="6702" xr:uid="{4A767174-0D49-455B-A725-E7D5F0D7B138}"/>
    <cellStyle name="Comma 191 3" xfId="2497" xr:uid="{BF00ED4C-8589-46C9-A172-A487FB9C15A7}"/>
    <cellStyle name="Comma 191 3 2" xfId="7730" xr:uid="{91ACC52B-6278-4E69-AC7E-39BB9851C8B6}"/>
    <cellStyle name="Comma 191 4" xfId="4623" xr:uid="{0F455D8A-46B5-461A-B9DE-CA89FD2CD36B}"/>
    <cellStyle name="Comma 191 4 2" xfId="9799" xr:uid="{8A1A6156-2741-45F7-8417-5E80CFA0DD43}"/>
    <cellStyle name="Comma 191 5" xfId="5671" xr:uid="{45A4C899-887E-4372-8C03-37B6E5613C4A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3" xfId="6703" xr:uid="{0C272DA8-03D8-47E1-88BE-C535E738EEF0}"/>
    <cellStyle name="Comma 192 3" xfId="2498" xr:uid="{F6BEC317-96AE-47D2-9067-09D0F0830E98}"/>
    <cellStyle name="Comma 192 3 2" xfId="7731" xr:uid="{E92BBCAC-B2E1-4EDE-8D35-C4C8469E2B10}"/>
    <cellStyle name="Comma 192 4" xfId="4624" xr:uid="{F4D11563-A43E-4E88-BFD7-C6CE5A09E484}"/>
    <cellStyle name="Comma 192 4 2" xfId="9800" xr:uid="{132F1859-6F5F-4AA2-AA8A-89540598E949}"/>
    <cellStyle name="Comma 192 5" xfId="5672" xr:uid="{0966D8CC-6D36-42E3-BFF7-1EBA2963EE1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3" xfId="6704" xr:uid="{50D6F085-B72E-4911-99DE-2C01B8DF0EC3}"/>
    <cellStyle name="Comma 193 3" xfId="2499" xr:uid="{B821F9C4-C4F0-4BF8-9D69-F7B0AECFCB35}"/>
    <cellStyle name="Comma 193 3 2" xfId="7732" xr:uid="{33003F43-C717-4CD5-A1AD-C778C6C9C161}"/>
    <cellStyle name="Comma 193 4" xfId="4625" xr:uid="{722CB254-FA30-4506-BD91-020501DE5094}"/>
    <cellStyle name="Comma 193 4 2" xfId="9801" xr:uid="{70899142-4E16-4DA2-B110-317C7DC2726A}"/>
    <cellStyle name="Comma 193 5" xfId="5673" xr:uid="{44D63E5D-071F-455A-B0CF-6CD3CA1FC82B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3" xfId="6705" xr:uid="{33031736-8EA7-44A8-8923-D27C15675A19}"/>
    <cellStyle name="Comma 194 3" xfId="2500" xr:uid="{9BB210BB-F252-4998-95B9-855CAB415A96}"/>
    <cellStyle name="Comma 194 3 2" xfId="7733" xr:uid="{79152379-D0E8-46E8-A357-37B1E637E2E8}"/>
    <cellStyle name="Comma 194 4" xfId="4626" xr:uid="{8F702A3A-B6F9-423E-BBBF-704D6D8F17CE}"/>
    <cellStyle name="Comma 194 4 2" xfId="9802" xr:uid="{CB34BB12-90B4-4F2E-8E20-548E13169D10}"/>
    <cellStyle name="Comma 194 5" xfId="5674" xr:uid="{6176CC6D-E0B1-498A-A5FC-DF35614EA33F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3" xfId="6706" xr:uid="{644CA523-72D5-47AF-BC18-CD40257E5189}"/>
    <cellStyle name="Comma 195 3" xfId="2501" xr:uid="{133A2D5E-F0D4-416D-BAE0-46E07D16A478}"/>
    <cellStyle name="Comma 195 3 2" xfId="7734" xr:uid="{A450FC82-F788-49DF-B19F-C6A6F4DC9073}"/>
    <cellStyle name="Comma 195 4" xfId="4627" xr:uid="{BEC4865F-7469-4AE0-9F28-3D8ECD108ACD}"/>
    <cellStyle name="Comma 195 4 2" xfId="9803" xr:uid="{01445903-5FEE-4E53-A1F0-13D6A8EDD698}"/>
    <cellStyle name="Comma 195 5" xfId="5675" xr:uid="{695AAE71-C896-4DAA-99E9-6FE32E068A09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3" xfId="6707" xr:uid="{78FAEDC0-A3F6-4C1C-8969-65B070A0EA22}"/>
    <cellStyle name="Comma 196 3" xfId="2502" xr:uid="{41EDAD26-0627-438C-80B8-518886DF108A}"/>
    <cellStyle name="Comma 196 3 2" xfId="7735" xr:uid="{59A04EDD-93AF-4040-BE2D-CAE4E38091A3}"/>
    <cellStyle name="Comma 196 4" xfId="4628" xr:uid="{1993FC3E-FB65-4983-A948-4D233DD06C23}"/>
    <cellStyle name="Comma 196 4 2" xfId="9804" xr:uid="{029DFE25-16FA-4700-9889-E7D45141B585}"/>
    <cellStyle name="Comma 196 5" xfId="5676" xr:uid="{7B447CAA-ACE2-43C9-A568-715CA312C64E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3" xfId="6708" xr:uid="{285EA16E-89A3-4A75-9531-AFBB52A62FC8}"/>
    <cellStyle name="Comma 197 3" xfId="2503" xr:uid="{AF2AFF93-6A69-437A-B9DF-61E72CBFE9FB}"/>
    <cellStyle name="Comma 197 3 2" xfId="7736" xr:uid="{77C55D60-D1EF-44D7-BC83-0B720187DECD}"/>
    <cellStyle name="Comma 197 4" xfId="4629" xr:uid="{B1FEDCDC-A479-4DEA-8475-2351A96CF4D2}"/>
    <cellStyle name="Comma 197 4 2" xfId="9805" xr:uid="{E7B192C6-6C71-4231-BDC2-D39FA4F98CA2}"/>
    <cellStyle name="Comma 197 5" xfId="5677" xr:uid="{95A3EA9E-B974-4973-94AB-259352771CC3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3" xfId="6709" xr:uid="{DF70106E-0A3D-440A-8AED-23B76D4A5A8B}"/>
    <cellStyle name="Comma 198 3" xfId="2504" xr:uid="{895F5124-044C-40C1-87CD-BE39AAAAB6AD}"/>
    <cellStyle name="Comma 198 3 2" xfId="7737" xr:uid="{7CE6A291-320B-4201-ADDB-75AF04A9D005}"/>
    <cellStyle name="Comma 198 4" xfId="4630" xr:uid="{3790E9E0-1962-4A33-B08B-BD25EE55E35E}"/>
    <cellStyle name="Comma 198 4 2" xfId="9806" xr:uid="{80C6273D-6C94-443E-AE91-4231EE1A4222}"/>
    <cellStyle name="Comma 198 5" xfId="5678" xr:uid="{1758CC9A-DE48-4951-A904-80BB69788203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3" xfId="6710" xr:uid="{83245D60-B608-4A62-86EE-C574D853785C}"/>
    <cellStyle name="Comma 199 3" xfId="2505" xr:uid="{FD395FD6-25C0-4247-AEDB-799E40043443}"/>
    <cellStyle name="Comma 199 3 2" xfId="7738" xr:uid="{EAADFFB5-167F-46FA-B81D-6149951DC3D5}"/>
    <cellStyle name="Comma 199 4" xfId="4631" xr:uid="{0684BFCC-775C-4B5A-A8F9-B5C3D944B4D0}"/>
    <cellStyle name="Comma 199 4 2" xfId="9807" xr:uid="{C4CE7ABE-2378-4340-B6F5-4227A1CF15AB}"/>
    <cellStyle name="Comma 199 5" xfId="5679" xr:uid="{B8B872AE-02A2-49E3-8C5D-25866957FB7F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3" xfId="6507" xr:uid="{F48913F2-BC83-4CD1-A41D-21073100A79D}"/>
    <cellStyle name="Comma 2 2 2 3" xfId="2302" xr:uid="{62CB2D3C-7452-4440-B3EB-988E7CA5449B}"/>
    <cellStyle name="Comma 2 2 2 3 2" xfId="7535" xr:uid="{4D14650F-F645-4974-9BEB-5A74E05D8CAB}"/>
    <cellStyle name="Comma 2 2 2 4" xfId="5483" xr:uid="{577E8095-912D-4E0A-81AA-77F49C507940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3" xfId="6505" xr:uid="{21FBC253-2F69-4E78-B667-4D61E5604EA9}"/>
    <cellStyle name="Comma 2 2 4" xfId="4428" xr:uid="{FC58734D-9DFF-4F25-BED8-C87BAB02817A}"/>
    <cellStyle name="Comma 2 2 4 2" xfId="9604" xr:uid="{C84BC28B-E44B-4EA4-B0D2-FCD93B421962}"/>
    <cellStyle name="Comma 2 2 5" xfId="5475" xr:uid="{A0B759A2-624A-4E86-833E-DA13EAB3B2D6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3" xfId="6508" xr:uid="{B31C27DA-2F55-4C49-9EFA-C40C2457261D}"/>
    <cellStyle name="Comma 2 3 3" xfId="2303" xr:uid="{49120134-9BF1-418D-8F96-3DF05EE86A7F}"/>
    <cellStyle name="Comma 2 3 3 2" xfId="7536" xr:uid="{07A2E8F8-6E92-4413-8D4D-08F8B325A810}"/>
    <cellStyle name="Comma 2 3 4" xfId="4429" xr:uid="{EF995341-F963-4597-A2BD-2B3DAA809E32}"/>
    <cellStyle name="Comma 2 3 4 2" xfId="9605" xr:uid="{65E5D7C7-6785-4FAD-ADAA-59026BBFB45E}"/>
    <cellStyle name="Comma 2 3 5" xfId="5476" xr:uid="{30FBBA3B-E58C-4A24-B1CF-F0D2D16958BD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3" xfId="6504" xr:uid="{CFD991D5-C82A-41C9-9214-1CF87FAB19C4}"/>
    <cellStyle name="Comma 2 5" xfId="2300" xr:uid="{FCA36F7F-441F-4210-AB24-FAAEEB9373D7}"/>
    <cellStyle name="Comma 2 5 2" xfId="7533" xr:uid="{0090B5DE-2102-4275-944E-9001F860DE8D}"/>
    <cellStyle name="Comma 2 6" xfId="4427" xr:uid="{AB2A339E-E2CB-4948-992D-392FCA696AFE}"/>
    <cellStyle name="Comma 2 6 2" xfId="9603" xr:uid="{19DD0564-910C-4DB2-B770-E19DC7BE0B8C}"/>
    <cellStyle name="Comma 2 7" xfId="5474" xr:uid="{3317CD20-76FB-41C9-B7EB-1A89646A0B02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3" xfId="6530" xr:uid="{08A72588-2B8B-43C9-98DE-24356C6AB77E}"/>
    <cellStyle name="Comma 20 3" xfId="2325" xr:uid="{135F72FA-2760-4506-8190-6B49F0C35624}"/>
    <cellStyle name="Comma 20 3 2" xfId="7558" xr:uid="{24111116-710F-4939-8FFE-019CE43CDA45}"/>
    <cellStyle name="Comma 20 4" xfId="4451" xr:uid="{02553C98-189E-40A5-8B2E-9A5AC3688401}"/>
    <cellStyle name="Comma 20 4 2" xfId="9627" xr:uid="{55705A9C-EA17-4135-8254-660AA4F9504C}"/>
    <cellStyle name="Comma 20 5" xfId="5499" xr:uid="{79202F0D-A1C9-44BF-9D0B-F99E5F9A107E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3" xfId="6711" xr:uid="{3488163A-C285-4A7F-AE6E-9925C64D981D}"/>
    <cellStyle name="Comma 200 3" xfId="2506" xr:uid="{CA7B40EB-9882-48E4-B76F-A386AC41DE9E}"/>
    <cellStyle name="Comma 200 3 2" xfId="7739" xr:uid="{3126BB02-A787-4013-890D-E96D34DFCA4E}"/>
    <cellStyle name="Comma 200 4" xfId="4632" xr:uid="{C5A7A69D-2829-43FF-BAB8-0DC91BE4D79E}"/>
    <cellStyle name="Comma 200 4 2" xfId="9808" xr:uid="{802D4C7D-963D-4558-81EB-60502BBB6E28}"/>
    <cellStyle name="Comma 200 5" xfId="5680" xr:uid="{AF62FCC6-F2ED-459C-84BB-596FC18AD705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3" xfId="6712" xr:uid="{F4D1EB9B-F0C3-4F1A-A4FE-A23D6DDDE9AB}"/>
    <cellStyle name="Comma 201 3" xfId="2507" xr:uid="{DB0B5905-835A-4C9D-B1BB-384FE168820D}"/>
    <cellStyle name="Comma 201 3 2" xfId="7740" xr:uid="{D5C56046-2BA9-4FF9-BF2D-3908F76D72ED}"/>
    <cellStyle name="Comma 201 4" xfId="4633" xr:uid="{D8323C13-2F07-46B7-B03A-E47CC744D5FD}"/>
    <cellStyle name="Comma 201 4 2" xfId="9809" xr:uid="{6A463057-ED97-4D27-A447-4865FBA0E86E}"/>
    <cellStyle name="Comma 201 5" xfId="5681" xr:uid="{F0332C26-6347-4D5C-A7CF-10CC4BB59F52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3" xfId="6713" xr:uid="{6C85F42F-4E94-45FF-9A10-1BD3E08310DF}"/>
    <cellStyle name="Comma 202 3" xfId="2508" xr:uid="{EFE76EBB-31FA-42ED-B9A4-097A1989AE32}"/>
    <cellStyle name="Comma 202 3 2" xfId="7741" xr:uid="{097EB277-BA1D-4E8A-94AC-BE4EEE1246AB}"/>
    <cellStyle name="Comma 202 4" xfId="4634" xr:uid="{7E0B16A3-BE45-40DF-AE24-501193847D01}"/>
    <cellStyle name="Comma 202 4 2" xfId="9810" xr:uid="{AA02B30C-D493-410C-86E9-A29F6934B483}"/>
    <cellStyle name="Comma 202 5" xfId="5682" xr:uid="{83B54B1F-3231-4EBE-A69B-39E1E9C1F167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3" xfId="6714" xr:uid="{115D7E00-5232-436C-93C3-71AFA98ED2CC}"/>
    <cellStyle name="Comma 203 3" xfId="2509" xr:uid="{EAE28C1D-F5CE-4B64-B3A9-B356933C304D}"/>
    <cellStyle name="Comma 203 3 2" xfId="7742" xr:uid="{0E822A17-0010-4373-8EF1-B8A29AD0657C}"/>
    <cellStyle name="Comma 203 4" xfId="4635" xr:uid="{06CD425E-05EB-4B75-A57D-FE47F0BBFC12}"/>
    <cellStyle name="Comma 203 4 2" xfId="9811" xr:uid="{E1650655-ADA5-44F8-8327-4CF82C3D70D5}"/>
    <cellStyle name="Comma 203 5" xfId="5683" xr:uid="{E0ABD844-642A-45A9-8BBA-D8B503D55B6C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3" xfId="6715" xr:uid="{1F9A93C0-ACEF-4813-BBA8-67C9680917F3}"/>
    <cellStyle name="Comma 204 3" xfId="2510" xr:uid="{8EB58067-8F9A-494E-9134-DF15C2BFBAAC}"/>
    <cellStyle name="Comma 204 3 2" xfId="7743" xr:uid="{BBB402D4-7B77-43DB-8356-5D03A031F88F}"/>
    <cellStyle name="Comma 204 4" xfId="4636" xr:uid="{418392C5-F500-41D0-A85C-9D3065253A61}"/>
    <cellStyle name="Comma 204 4 2" xfId="9812" xr:uid="{FC158486-7530-44EA-ABBA-77934DDEAD37}"/>
    <cellStyle name="Comma 204 5" xfId="5684" xr:uid="{D98E4F48-8CD5-4ECF-BDAA-068D1E84A57B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3" xfId="6716" xr:uid="{882F2574-8D1B-4DE3-9F10-F3A7DA51E4A3}"/>
    <cellStyle name="Comma 205 3" xfId="2511" xr:uid="{BCBD7B0D-9CE1-45A4-B662-49189D96A3DE}"/>
    <cellStyle name="Comma 205 3 2" xfId="7744" xr:uid="{0089C0E2-EA12-462C-AC7C-0A60AE52DB5C}"/>
    <cellStyle name="Comma 205 4" xfId="4637" xr:uid="{EEFF1E8A-A8BF-4209-AE93-500D01655BEE}"/>
    <cellStyle name="Comma 205 4 2" xfId="9813" xr:uid="{7DD62078-698B-4A46-BA03-53449D2FE1C7}"/>
    <cellStyle name="Comma 205 5" xfId="5685" xr:uid="{C77C5744-6EDB-486A-9924-53CDE8D5813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3" xfId="6717" xr:uid="{488FB88D-3BB3-4430-9C40-3C8196AD0068}"/>
    <cellStyle name="Comma 206 3" xfId="2512" xr:uid="{7E007672-B15C-416C-9F6B-60B85B4CE77B}"/>
    <cellStyle name="Comma 206 3 2" xfId="7745" xr:uid="{0563995E-340B-4743-9C49-D9959FB4EE5A}"/>
    <cellStyle name="Comma 206 4" xfId="4638" xr:uid="{06497A72-28F3-4A94-978F-D26CEF50B285}"/>
    <cellStyle name="Comma 206 4 2" xfId="9814" xr:uid="{82942C32-6634-4A57-BAEB-F735C2DF5BC4}"/>
    <cellStyle name="Comma 206 5" xfId="5686" xr:uid="{852956DB-FFD0-4970-9787-0BA3A4F2213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3" xfId="6718" xr:uid="{6FCE435A-5F0A-497A-A42C-45FE384B41F4}"/>
    <cellStyle name="Comma 207 3" xfId="2513" xr:uid="{2F28D594-B369-41AB-AAB8-4556EEF76333}"/>
    <cellStyle name="Comma 207 3 2" xfId="7746" xr:uid="{C226B6D7-32FA-42C9-B8C6-507229D59999}"/>
    <cellStyle name="Comma 207 4" xfId="4639" xr:uid="{79CD46F6-0C55-40F9-8079-BB88C6604446}"/>
    <cellStyle name="Comma 207 4 2" xfId="9815" xr:uid="{A8DE9802-A6FB-4FA3-9CE7-077DCA7DB00B}"/>
    <cellStyle name="Comma 207 5" xfId="5687" xr:uid="{706E6A85-B0F9-42C5-9726-326F4B36618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3" xfId="6719" xr:uid="{F23DA0F3-B3C5-4B4C-8586-2DDDFECE4AC1}"/>
    <cellStyle name="Comma 208 3" xfId="2514" xr:uid="{1ADF4A4C-AAFD-483B-B560-D367893DE041}"/>
    <cellStyle name="Comma 208 3 2" xfId="7747" xr:uid="{769BE502-1F9E-4CDC-BFF3-63C9C4C0AE30}"/>
    <cellStyle name="Comma 208 4" xfId="4640" xr:uid="{BAF3DB82-3489-4832-B502-499F23EB43BE}"/>
    <cellStyle name="Comma 208 4 2" xfId="9816" xr:uid="{8CFE1C07-9057-4267-8005-CF09577974E5}"/>
    <cellStyle name="Comma 208 5" xfId="5688" xr:uid="{D8A9EFA7-5C18-4989-9342-66B02405C4FC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3" xfId="6720" xr:uid="{9C0D5991-04A2-40B3-9CB8-9B944EDA0298}"/>
    <cellStyle name="Comma 209 3" xfId="2515" xr:uid="{6DFD1E01-453E-4DD8-B7B0-1BD713481741}"/>
    <cellStyle name="Comma 209 3 2" xfId="7748" xr:uid="{58E89512-23D9-4CDA-B46A-1DC991CC4A77}"/>
    <cellStyle name="Comma 209 4" xfId="4641" xr:uid="{68363258-3325-4435-9B18-C83D5CAE3D0A}"/>
    <cellStyle name="Comma 209 4 2" xfId="9817" xr:uid="{A728FBAC-2DB8-417C-8623-B8B33B081D08}"/>
    <cellStyle name="Comma 209 5" xfId="5689" xr:uid="{3E209EB1-4CE9-439F-BA9E-3305669CD56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3" xfId="6531" xr:uid="{F8E5B564-C95E-41E6-BC0E-B77139AFB629}"/>
    <cellStyle name="Comma 21 3" xfId="2326" xr:uid="{8B33290F-E6A5-4353-9843-46757E7DACD7}"/>
    <cellStyle name="Comma 21 3 2" xfId="7559" xr:uid="{D9336473-498A-49A1-903B-F38EB27A9D87}"/>
    <cellStyle name="Comma 21 4" xfId="4452" xr:uid="{564E3CE6-0025-466C-946C-75B8042D6572}"/>
    <cellStyle name="Comma 21 4 2" xfId="9628" xr:uid="{E2D72674-7914-4A03-ADF9-6A6C0ECF1D38}"/>
    <cellStyle name="Comma 21 5" xfId="5500" xr:uid="{D635FC44-D4AD-40A4-AA38-CFA6551C9065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3" xfId="6721" xr:uid="{68F1DEED-986B-411C-A6DE-98041ACCAA2F}"/>
    <cellStyle name="Comma 210 3" xfId="2516" xr:uid="{30CC6DD1-C46E-4C75-8194-0303FA21A53E}"/>
    <cellStyle name="Comma 210 3 2" xfId="7749" xr:uid="{428A0814-2BC3-4A45-B13C-BD02372964F1}"/>
    <cellStyle name="Comma 210 4" xfId="4642" xr:uid="{1C854060-DE00-4B7A-BE3A-D32380E44DD3}"/>
    <cellStyle name="Comma 210 4 2" xfId="9818" xr:uid="{80D8FBF1-E3AC-414D-B8C2-1B282678A155}"/>
    <cellStyle name="Comma 210 5" xfId="5690" xr:uid="{5CFB89FB-0FAD-4FAB-9056-4E3CE8A9553D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3" xfId="6722" xr:uid="{CB2CBB88-7010-424F-A1C9-8219B306CD4E}"/>
    <cellStyle name="Comma 211 3" xfId="2517" xr:uid="{7BA4A36B-E07C-4751-9B70-4B6E8117DEB3}"/>
    <cellStyle name="Comma 211 3 2" xfId="7750" xr:uid="{74ADB970-6AEE-4DD2-AA02-A8D58A345B44}"/>
    <cellStyle name="Comma 211 4" xfId="4643" xr:uid="{5B9FDA48-320E-49AA-9B7A-B3F43440BB02}"/>
    <cellStyle name="Comma 211 4 2" xfId="9819" xr:uid="{3BF678B1-ECD0-4BAE-B4EB-04BBAC3655A4}"/>
    <cellStyle name="Comma 211 5" xfId="5691" xr:uid="{0CF93CB9-C4A8-487A-AA40-36989058059D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3" xfId="6723" xr:uid="{019F5F46-5871-4ADC-AE83-C1380A5130A1}"/>
    <cellStyle name="Comma 212 3" xfId="2518" xr:uid="{764CB76C-8B7F-4B4E-99B0-7C61D04E0B64}"/>
    <cellStyle name="Comma 212 3 2" xfId="7751" xr:uid="{86C850C6-022B-459F-88C0-DC0ED97ED7B4}"/>
    <cellStyle name="Comma 212 4" xfId="4644" xr:uid="{F0E6F105-4A2E-41AF-AF66-ED27885791A6}"/>
    <cellStyle name="Comma 212 4 2" xfId="9820" xr:uid="{99D97523-A37E-442D-96BD-D8C9E9114C9A}"/>
    <cellStyle name="Comma 212 5" xfId="5692" xr:uid="{3FA226E5-F807-4B68-8A62-F0A53F9AD071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3" xfId="6724" xr:uid="{BB8E5FCF-1548-4759-9643-BF498742D7E3}"/>
    <cellStyle name="Comma 213 3" xfId="2519" xr:uid="{67383725-8946-4FA5-B256-ABD77FF1A183}"/>
    <cellStyle name="Comma 213 3 2" xfId="7752" xr:uid="{3E05C6FD-8B6A-49F8-8465-3834402AA7B9}"/>
    <cellStyle name="Comma 213 4" xfId="4645" xr:uid="{945D3BE5-77E7-4B05-8453-C1B6376E4407}"/>
    <cellStyle name="Comma 213 4 2" xfId="9821" xr:uid="{DE7C2409-3E7F-4054-9084-319F6A16671C}"/>
    <cellStyle name="Comma 213 5" xfId="5693" xr:uid="{A7B3E889-9939-4F46-BD2C-F3B846963A9B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3" xfId="6725" xr:uid="{90F0F150-8C97-4360-8E95-98484FBC3F87}"/>
    <cellStyle name="Comma 214 3" xfId="2520" xr:uid="{7F53F612-1886-474F-8CDB-DEB3C903E2AA}"/>
    <cellStyle name="Comma 214 3 2" xfId="7753" xr:uid="{8D524C91-95FF-47A9-828C-23F0A2D85947}"/>
    <cellStyle name="Comma 214 4" xfId="4646" xr:uid="{A946399C-C2FB-4939-97C8-58BC6F4633BC}"/>
    <cellStyle name="Comma 214 4 2" xfId="9822" xr:uid="{D0D633A2-F13D-4913-8CC8-448DD7C7FC0D}"/>
    <cellStyle name="Comma 214 5" xfId="5694" xr:uid="{C4E7814D-0493-49C1-A268-91F7A0F07EC1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3" xfId="6726" xr:uid="{6CAB150B-1528-488E-ACE0-520D6352AE14}"/>
    <cellStyle name="Comma 215 3" xfId="2521" xr:uid="{27855A98-2DBC-4702-90E5-D34F69483C5F}"/>
    <cellStyle name="Comma 215 3 2" xfId="7754" xr:uid="{BF088596-1AB7-4349-832B-37CE8E8826FA}"/>
    <cellStyle name="Comma 215 4" xfId="4647" xr:uid="{31A89BC6-366C-4B55-AEB3-E524A3A6EA8D}"/>
    <cellStyle name="Comma 215 4 2" xfId="9823" xr:uid="{1ED829B6-A159-42E3-8DCD-84319F7731A0}"/>
    <cellStyle name="Comma 215 5" xfId="5695" xr:uid="{3687ED56-473D-473F-9BEA-EBD68E0698F0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3" xfId="6727" xr:uid="{B513297A-4CAD-418F-8E5D-B1A81DC38831}"/>
    <cellStyle name="Comma 216 3" xfId="2522" xr:uid="{E182B9F4-6C59-4255-896F-FCED5446C33D}"/>
    <cellStyle name="Comma 216 3 2" xfId="7755" xr:uid="{29809444-6063-4581-8605-8BB665D8B615}"/>
    <cellStyle name="Comma 216 4" xfId="4648" xr:uid="{FF83C4BD-B8EB-4BD3-8A34-FC2A7B185101}"/>
    <cellStyle name="Comma 216 4 2" xfId="9824" xr:uid="{4F49076E-B192-46FB-BA99-72996857ECDD}"/>
    <cellStyle name="Comma 216 5" xfId="5696" xr:uid="{ECDF45B1-16F0-4F78-8A32-A54F96362D8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3" xfId="6728" xr:uid="{F928812E-4CD4-483D-831C-0A4E8057EF41}"/>
    <cellStyle name="Comma 217 3" xfId="2523" xr:uid="{4E2DFBF3-172F-4009-8877-6C4B46E570AE}"/>
    <cellStyle name="Comma 217 3 2" xfId="7756" xr:uid="{C8FE06E7-BFAE-4C8B-8796-1128F163D18E}"/>
    <cellStyle name="Comma 217 4" xfId="4649" xr:uid="{EEEFFE9D-D20E-4B33-B8E9-8F42985DCC24}"/>
    <cellStyle name="Comma 217 4 2" xfId="9825" xr:uid="{34884975-4FB2-4CDE-9DCF-025E1055D864}"/>
    <cellStyle name="Comma 217 5" xfId="5697" xr:uid="{23FCFEAB-9214-47EB-A2A2-02EA71272C95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3" xfId="6729" xr:uid="{67C3A60D-FD15-458E-B36F-D7E3D162A8E0}"/>
    <cellStyle name="Comma 218 3" xfId="2524" xr:uid="{363898EC-2BF9-4281-9245-5B41B3FCE775}"/>
    <cellStyle name="Comma 218 3 2" xfId="7757" xr:uid="{A52292B3-FAFD-473F-8239-CA4E53410274}"/>
    <cellStyle name="Comma 218 4" xfId="4650" xr:uid="{86B4FBA5-6315-4B39-9D93-C34019DE1CA2}"/>
    <cellStyle name="Comma 218 4 2" xfId="9826" xr:uid="{B648E4CA-27FF-4CA3-8E54-B7E3894AA95B}"/>
    <cellStyle name="Comma 218 5" xfId="5698" xr:uid="{C7DF97B7-0C22-4306-B442-8A8B58C6144D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3" xfId="6730" xr:uid="{B8FB9001-E22D-4792-9D73-49E93CE4ACC7}"/>
    <cellStyle name="Comma 219 3" xfId="2525" xr:uid="{0EED7B06-30D1-4305-86A4-09E384B01D5D}"/>
    <cellStyle name="Comma 219 3 2" xfId="7758" xr:uid="{640B0D8C-D808-40D7-80D7-FAF6EDE555F6}"/>
    <cellStyle name="Comma 219 4" xfId="4651" xr:uid="{5A3BFDF8-2EBD-4E74-9E7E-7DF31EF8AD2E}"/>
    <cellStyle name="Comma 219 4 2" xfId="9827" xr:uid="{7ABF29AF-6FE3-4C8D-86B0-3A54ACC2C9E1}"/>
    <cellStyle name="Comma 219 5" xfId="5699" xr:uid="{D41AD332-2020-4C86-8849-643EA5D57988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3" xfId="6532" xr:uid="{EC81B72C-3626-4905-9187-A1D5679A7DCA}"/>
    <cellStyle name="Comma 22 3" xfId="2327" xr:uid="{CA110876-6C97-4F2C-A572-79C964026270}"/>
    <cellStyle name="Comma 22 3 2" xfId="7560" xr:uid="{1121509C-16E8-416B-AA28-7E3C77B1C0A0}"/>
    <cellStyle name="Comma 22 4" xfId="4453" xr:uid="{DD06D853-ADFC-4DF7-95C3-566712038166}"/>
    <cellStyle name="Comma 22 4 2" xfId="9629" xr:uid="{78C02038-4F7E-429D-8977-FBA4B12CE10F}"/>
    <cellStyle name="Comma 22 5" xfId="5501" xr:uid="{920582E7-19CB-4C17-B085-A594D5960D49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3" xfId="6731" xr:uid="{254EDC1D-5576-4369-9B08-6C916E2EB55B}"/>
    <cellStyle name="Comma 220 3" xfId="2526" xr:uid="{E239086B-0AE9-413D-96E7-A0F6DA678EEA}"/>
    <cellStyle name="Comma 220 3 2" xfId="7759" xr:uid="{04017EA4-5FAB-42E5-810D-BF0C3B9FCF99}"/>
    <cellStyle name="Comma 220 4" xfId="4652" xr:uid="{FABE4EDB-0CF3-427A-96EF-048CCB444ED2}"/>
    <cellStyle name="Comma 220 4 2" xfId="9828" xr:uid="{F9D906CF-DD65-44D3-AF50-81D81812CFE2}"/>
    <cellStyle name="Comma 220 5" xfId="5700" xr:uid="{23028C0F-9912-4A1F-BCC7-8B8510414295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3" xfId="6732" xr:uid="{BF8014EE-D2B3-4E47-A880-BA607E498BE4}"/>
    <cellStyle name="Comma 221 3" xfId="2527" xr:uid="{BC328D33-48F3-4C16-80B0-D08B762C1173}"/>
    <cellStyle name="Comma 221 3 2" xfId="7760" xr:uid="{062D9E54-24DC-4188-95FA-EF7AFC40D774}"/>
    <cellStyle name="Comma 221 4" xfId="4653" xr:uid="{EED7BD71-BBD7-472E-BCA2-68D4A7BE0C2C}"/>
    <cellStyle name="Comma 221 4 2" xfId="9829" xr:uid="{06F1B069-A7C8-4323-B8CD-D7702B2062A3}"/>
    <cellStyle name="Comma 221 5" xfId="5701" xr:uid="{38FB98A7-A13E-4FB4-86D2-17802D69E947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3" xfId="6733" xr:uid="{C01CDB1B-4D43-4D0E-B959-F1BD70BE2E02}"/>
    <cellStyle name="Comma 222 3" xfId="2528" xr:uid="{56043045-8332-4977-9B3C-DDD819B9A973}"/>
    <cellStyle name="Comma 222 3 2" xfId="7761" xr:uid="{17B66C93-EAC9-4679-916B-B1BC80C9D54B}"/>
    <cellStyle name="Comma 222 4" xfId="4654" xr:uid="{13CD6256-C321-4935-9864-3FB7CEBD69B9}"/>
    <cellStyle name="Comma 222 4 2" xfId="9830" xr:uid="{A3CF9BB3-04BC-4127-9208-7D231859CA9F}"/>
    <cellStyle name="Comma 222 5" xfId="5702" xr:uid="{9E5F2C1B-C1F2-4928-87B1-A6F8902CFAA3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3" xfId="6734" xr:uid="{46ED4ABE-2DF3-44F7-A38F-A69335CF5746}"/>
    <cellStyle name="Comma 223 3" xfId="2529" xr:uid="{CE3F1A03-7A38-43B1-B1C1-80E2656353CA}"/>
    <cellStyle name="Comma 223 3 2" xfId="7762" xr:uid="{D78DF234-E291-4F13-BA49-F9D424AF51DF}"/>
    <cellStyle name="Comma 223 4" xfId="4655" xr:uid="{48AF87CA-CB1C-4B2D-BB50-D8B8494083D4}"/>
    <cellStyle name="Comma 223 4 2" xfId="9831" xr:uid="{5A6F8383-F9D9-4271-A386-8440EAC08EE0}"/>
    <cellStyle name="Comma 223 5" xfId="5703" xr:uid="{8943D0DB-7B59-4F5A-82F1-8862B9F66ADA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3" xfId="6735" xr:uid="{D0B887E8-D35D-4F05-BE30-B59769A21E34}"/>
    <cellStyle name="Comma 224 3" xfId="2530" xr:uid="{61C629B3-709D-4808-B582-D6D795FB2DE9}"/>
    <cellStyle name="Comma 224 3 2" xfId="7763" xr:uid="{5AD2CC46-EF7C-40B3-B784-953579B52D59}"/>
    <cellStyle name="Comma 224 4" xfId="4656" xr:uid="{737490D1-EFC6-491B-BBEC-B36606BDD8B3}"/>
    <cellStyle name="Comma 224 4 2" xfId="9832" xr:uid="{A58D544F-0B1F-4E96-93BC-C399112D77EA}"/>
    <cellStyle name="Comma 224 5" xfId="5704" xr:uid="{01EBDA7A-5974-436F-A299-40E8019CDCFF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3" xfId="6736" xr:uid="{3C8899F5-2555-4B7F-AADD-5625021E7347}"/>
    <cellStyle name="Comma 225 3" xfId="2531" xr:uid="{4DDEFB2E-8789-49BA-8204-4155AC592D8E}"/>
    <cellStyle name="Comma 225 3 2" xfId="7764" xr:uid="{0A40A120-9531-42C3-A38E-D57D865BF6D3}"/>
    <cellStyle name="Comma 225 4" xfId="4657" xr:uid="{297DDAD7-2AA6-4F31-B0C6-BAA5AB0A2110}"/>
    <cellStyle name="Comma 225 4 2" xfId="9833" xr:uid="{E0657EAD-1136-4525-A4DC-A979E7403EAE}"/>
    <cellStyle name="Comma 225 5" xfId="5705" xr:uid="{F92A5195-9553-40F1-BA5E-F52CD6199171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3" xfId="6737" xr:uid="{CE3094C0-D40F-412C-9962-F0FDBB8B185E}"/>
    <cellStyle name="Comma 226 3" xfId="2532" xr:uid="{FCF5C4BE-9FA4-4B45-9CCF-8FD23B9548AB}"/>
    <cellStyle name="Comma 226 3 2" xfId="7765" xr:uid="{B73B45D3-32FA-4454-9790-454FC9845E2C}"/>
    <cellStyle name="Comma 226 4" xfId="4658" xr:uid="{619A50B6-3438-4396-95A7-7747F466825F}"/>
    <cellStyle name="Comma 226 4 2" xfId="9834" xr:uid="{30D27B63-885A-43CC-AB6C-3512FD9EDD7C}"/>
    <cellStyle name="Comma 226 5" xfId="5706" xr:uid="{3CC4C4FD-8299-4D6B-B85E-80B57E76A221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3" xfId="6738" xr:uid="{A612E9A1-86C7-4421-87C5-9DD82001C20A}"/>
    <cellStyle name="Comma 227 3" xfId="2533" xr:uid="{F6F776AC-2C80-49AF-A3CE-86F771140360}"/>
    <cellStyle name="Comma 227 3 2" xfId="7766" xr:uid="{F7FD7BCD-36EE-455D-B7F3-BA36AB16C029}"/>
    <cellStyle name="Comma 227 4" xfId="4659" xr:uid="{49DBE360-7FC5-4C13-A2C4-D84E9EB0831A}"/>
    <cellStyle name="Comma 227 4 2" xfId="9835" xr:uid="{4B7E3361-A86F-4E18-84F7-2DE3DD631BC0}"/>
    <cellStyle name="Comma 227 5" xfId="5707" xr:uid="{AA20DC06-1D3D-48E4-84D3-31F794EA2CC0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3" xfId="6739" xr:uid="{ABFBD283-07E2-4176-BB39-89BDC594ED81}"/>
    <cellStyle name="Comma 228 3" xfId="2534" xr:uid="{AFCC032B-1064-4D4F-BDE2-CEB1126D250A}"/>
    <cellStyle name="Comma 228 3 2" xfId="7767" xr:uid="{F03FC67B-DA19-4E9C-B5BA-A68DC9E18EDE}"/>
    <cellStyle name="Comma 228 4" xfId="4660" xr:uid="{0CE9E42F-BBE2-4662-B5AF-C13DD59BA7B6}"/>
    <cellStyle name="Comma 228 4 2" xfId="9836" xr:uid="{759E4BF6-E86C-4205-B8EC-DEE90C6DC758}"/>
    <cellStyle name="Comma 228 5" xfId="5708" xr:uid="{CEBE59B9-7A6A-4AB7-AF68-09C16E99BEED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3" xfId="6740" xr:uid="{8DECE320-9AA4-4CCC-8B11-CEC6D0490030}"/>
    <cellStyle name="Comma 229 3" xfId="2535" xr:uid="{23C10B60-2A7B-42B0-936A-AF36C7DE9685}"/>
    <cellStyle name="Comma 229 3 2" xfId="7768" xr:uid="{D9E2EA8B-6A5D-455D-8D1F-172D89B40D1D}"/>
    <cellStyle name="Comma 229 4" xfId="4661" xr:uid="{8CED921A-3BCD-4BF2-9AB2-B534C4D1F271}"/>
    <cellStyle name="Comma 229 4 2" xfId="9837" xr:uid="{2B562B81-2CB9-4B63-8586-2E21FD032B4E}"/>
    <cellStyle name="Comma 229 5" xfId="5709" xr:uid="{77DCA379-BAD2-45A5-81E6-A505FA5E2D23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3" xfId="6533" xr:uid="{C59D0422-68C0-4EE7-9D18-89CB8D51FCE9}"/>
    <cellStyle name="Comma 23 3" xfId="2328" xr:uid="{998407A5-8F76-4C2A-8FE8-AE788D950299}"/>
    <cellStyle name="Comma 23 3 2" xfId="7561" xr:uid="{F7D701A5-DEDA-41E6-80AD-4C1CED03C23B}"/>
    <cellStyle name="Comma 23 4" xfId="4454" xr:uid="{E597094B-F315-4855-A075-292155CF1E73}"/>
    <cellStyle name="Comma 23 4 2" xfId="9630" xr:uid="{2AF5C45C-8A18-4AC6-89CC-2E7DF308E2FE}"/>
    <cellStyle name="Comma 23 5" xfId="5502" xr:uid="{7168E93E-7DFA-40D8-B2B1-5C0E1D619796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3" xfId="6741" xr:uid="{F21FB838-CB8D-4D06-A280-7237DD2055E2}"/>
    <cellStyle name="Comma 230 3" xfId="2536" xr:uid="{0C1FA420-083E-4BE5-80C8-7FD4FB83C878}"/>
    <cellStyle name="Comma 230 3 2" xfId="7769" xr:uid="{1CEF47B3-F3A0-4A1F-A354-31B119CE10C6}"/>
    <cellStyle name="Comma 230 4" xfId="4662" xr:uid="{E0DBFD5E-B30E-41EC-B82E-132D4B4C0F74}"/>
    <cellStyle name="Comma 230 4 2" xfId="9838" xr:uid="{E1AAF112-A8FD-4C7B-A81F-062D16241B0E}"/>
    <cellStyle name="Comma 230 5" xfId="5710" xr:uid="{6397575E-A979-418C-9164-F543051B15A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3" xfId="6742" xr:uid="{1145D713-356D-49FB-B215-58B022D3979A}"/>
    <cellStyle name="Comma 231 3" xfId="2537" xr:uid="{F8DF79E2-2601-429E-B13E-609162EFBB9E}"/>
    <cellStyle name="Comma 231 3 2" xfId="7770" xr:uid="{A3BF0744-720F-4A1D-B9BB-3F1D39C68559}"/>
    <cellStyle name="Comma 231 4" xfId="4663" xr:uid="{FD0F6191-7375-4AE0-AF45-E43A7198ED2A}"/>
    <cellStyle name="Comma 231 4 2" xfId="9839" xr:uid="{FBB9F67D-7F19-4E69-A55D-92AA20CE4FA2}"/>
    <cellStyle name="Comma 231 5" xfId="5711" xr:uid="{90A1C66F-BCB1-472C-AC85-CF83B9CF5915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3" xfId="6743" xr:uid="{7AEA003A-1C31-49D8-A349-2C7CA88FBCE2}"/>
    <cellStyle name="Comma 232 3" xfId="2538" xr:uid="{E8CEE619-E6A5-45FC-A31F-B1B7DA7A1DC3}"/>
    <cellStyle name="Comma 232 3 2" xfId="7771" xr:uid="{D292C870-1781-45D1-BF95-000A1E1F1DC8}"/>
    <cellStyle name="Comma 232 4" xfId="4664" xr:uid="{9F776979-E01F-497D-81A8-2F245DEDE0A0}"/>
    <cellStyle name="Comma 232 4 2" xfId="9840" xr:uid="{D562BC90-BD03-4183-8653-51E49DF76404}"/>
    <cellStyle name="Comma 232 5" xfId="5712" xr:uid="{2875380C-9080-4554-B0A2-B17C72EF76B7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3" xfId="6744" xr:uid="{40A8A0EC-FC0B-4D05-AEDF-651140F57E9E}"/>
    <cellStyle name="Comma 233 3" xfId="2539" xr:uid="{536CFE87-ED96-46CE-9B64-9F2104065CB1}"/>
    <cellStyle name="Comma 233 3 2" xfId="7772" xr:uid="{54E56146-63D3-4BC5-92E0-FA61CF34E089}"/>
    <cellStyle name="Comma 233 4" xfId="4665" xr:uid="{4902FDD0-7E44-4B63-89B9-02389FF44852}"/>
    <cellStyle name="Comma 233 4 2" xfId="9841" xr:uid="{85D1E212-B0D0-4ADC-BC1F-3B534265A73C}"/>
    <cellStyle name="Comma 233 5" xfId="5713" xr:uid="{C991106D-BD89-46ED-A284-D97074FFBFD3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3" xfId="6745" xr:uid="{819DBE39-6675-46E7-9F20-68DB37A53B3B}"/>
    <cellStyle name="Comma 234 3" xfId="2540" xr:uid="{05BC428E-9B7A-4F23-9A9C-0C7CE19492F0}"/>
    <cellStyle name="Comma 234 3 2" xfId="7773" xr:uid="{0968281B-1BD5-4D53-A995-2C33DABD77BF}"/>
    <cellStyle name="Comma 234 4" xfId="4666" xr:uid="{C4F3EDE8-D7CD-4141-95B1-E3BA70F13119}"/>
    <cellStyle name="Comma 234 4 2" xfId="9842" xr:uid="{0E97D9F2-DFB6-4C0A-B811-AE07C0A70812}"/>
    <cellStyle name="Comma 234 5" xfId="5714" xr:uid="{E3F9AA17-08DD-4B20-AFD2-C87F7C3EDAEA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3" xfId="6746" xr:uid="{8A8F385F-47FD-42FC-8F97-2F7A203EF2B9}"/>
    <cellStyle name="Comma 235 3" xfId="2541" xr:uid="{2CDED412-E67D-44B7-A0C3-43385779A13E}"/>
    <cellStyle name="Comma 235 3 2" xfId="7774" xr:uid="{8FA419DE-9342-46B2-963B-53CC6D641A67}"/>
    <cellStyle name="Comma 235 4" xfId="4667" xr:uid="{9B7D1453-5F85-4093-8617-5759DB5C6FCA}"/>
    <cellStyle name="Comma 235 4 2" xfId="9843" xr:uid="{16399598-CF4F-484F-A390-5E9C68AC1E78}"/>
    <cellStyle name="Comma 235 5" xfId="5715" xr:uid="{78BD106B-3989-4069-BA86-6DDB96E87EE0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3" xfId="6747" xr:uid="{B7C9AE42-762A-4FA4-9A25-F2E42FB58F57}"/>
    <cellStyle name="Comma 236 3" xfId="2542" xr:uid="{04CDF74B-6234-4633-A5AA-FBAE9405A738}"/>
    <cellStyle name="Comma 236 3 2" xfId="7775" xr:uid="{3DE69179-DE5C-455D-8EFC-4702B2B68C74}"/>
    <cellStyle name="Comma 236 4" xfId="4668" xr:uid="{4C8C896C-1D82-4906-A2A8-7E3BC974A3B8}"/>
    <cellStyle name="Comma 236 4 2" xfId="9844" xr:uid="{AA8933D8-2A3B-4EC2-A5B2-E190BD2E8332}"/>
    <cellStyle name="Comma 236 5" xfId="5716" xr:uid="{C65A67CC-82DF-43BC-BEA2-5941C11D01D1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3" xfId="6748" xr:uid="{38A0FE6C-6628-43EF-B27E-9C6A5BC2536B}"/>
    <cellStyle name="Comma 237 3" xfId="2543" xr:uid="{0065E7F6-2D3A-4452-81C8-D245D73CF641}"/>
    <cellStyle name="Comma 237 3 2" xfId="7776" xr:uid="{48B9B485-88B7-48B1-9E53-9611D094880B}"/>
    <cellStyle name="Comma 237 4" xfId="4669" xr:uid="{DBDAFCED-551F-4892-9B50-7EA62F9E209B}"/>
    <cellStyle name="Comma 237 4 2" xfId="9845" xr:uid="{C1F16413-EE61-49B3-961A-8008C78211DF}"/>
    <cellStyle name="Comma 237 5" xfId="5717" xr:uid="{30A3AF39-F3DE-447C-A06F-E5639CC30077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3" xfId="6749" xr:uid="{B44A9200-BB3D-49CD-9B97-EBB52415B164}"/>
    <cellStyle name="Comma 238 3" xfId="2544" xr:uid="{F5884709-15AF-459A-BE8F-D50688C74390}"/>
    <cellStyle name="Comma 238 3 2" xfId="7777" xr:uid="{C21D703B-5DCA-4BCB-B95A-480D3A23E14B}"/>
    <cellStyle name="Comma 238 4" xfId="4670" xr:uid="{1BA8DF60-C912-423A-B05E-325557F98A2E}"/>
    <cellStyle name="Comma 238 4 2" xfId="9846" xr:uid="{7B438A5C-8609-4B09-9BA5-34859EAC5A06}"/>
    <cellStyle name="Comma 238 5" xfId="5718" xr:uid="{036C5CEC-B1B5-4DC4-A5DE-70DE6C7FA9EC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3" xfId="6750" xr:uid="{BF3A6DB9-654E-4079-894D-289324C82EFC}"/>
    <cellStyle name="Comma 239 3" xfId="2545" xr:uid="{F2401B4D-E434-4FE3-9970-587C7569BDE0}"/>
    <cellStyle name="Comma 239 3 2" xfId="7778" xr:uid="{6B6A0F58-C5C9-4AC6-97E1-4097978A2768}"/>
    <cellStyle name="Comma 239 4" xfId="4671" xr:uid="{F57F8D06-6EDE-44C0-BA93-A24047D53F1E}"/>
    <cellStyle name="Comma 239 4 2" xfId="9847" xr:uid="{086D4777-468D-4694-A3B7-66205D29AC3E}"/>
    <cellStyle name="Comma 239 5" xfId="5719" xr:uid="{F4352E52-E536-4C29-821B-6D2276E5F66B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3" xfId="6534" xr:uid="{03B7ED60-0096-4086-957F-0E698219DBA3}"/>
    <cellStyle name="Comma 24 3" xfId="2329" xr:uid="{4498B18E-76B1-47AB-825B-F72DE4950CB9}"/>
    <cellStyle name="Comma 24 3 2" xfId="7562" xr:uid="{2A2C3039-3F05-4F29-B8BD-F76ABEB2CB93}"/>
    <cellStyle name="Comma 24 4" xfId="4455" xr:uid="{765F4673-D103-45D7-AB94-4CD35CD0D416}"/>
    <cellStyle name="Comma 24 4 2" xfId="9631" xr:uid="{DB3248C9-7CD9-42DC-9F2E-A188D738EA2C}"/>
    <cellStyle name="Comma 24 5" xfId="5503" xr:uid="{D689E76A-7610-4874-8A49-0549C5ABE352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3" xfId="6751" xr:uid="{7E517929-DD72-46A5-A399-559DFA96BF03}"/>
    <cellStyle name="Comma 240 3" xfId="2546" xr:uid="{A129A390-10BE-46C0-AA51-75CD7ADAE2A2}"/>
    <cellStyle name="Comma 240 3 2" xfId="7779" xr:uid="{E2C541AE-6BCF-43F2-BE31-CE25597684C1}"/>
    <cellStyle name="Comma 240 4" xfId="4672" xr:uid="{082BE320-F5BD-4D15-837D-332061A01E63}"/>
    <cellStyle name="Comma 240 4 2" xfId="9848" xr:uid="{A0F9D73C-AE08-4F21-BECD-0A54F5178B19}"/>
    <cellStyle name="Comma 240 5" xfId="5720" xr:uid="{F24E0843-D168-4A2F-87DB-DC4AEA106A9B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3" xfId="6752" xr:uid="{33B965B8-63D9-4E61-A995-4B81B780C9EF}"/>
    <cellStyle name="Comma 241 3" xfId="2547" xr:uid="{69E1B2BA-13D2-4B75-AA46-462ED5D469E5}"/>
    <cellStyle name="Comma 241 3 2" xfId="7780" xr:uid="{C1AF3034-A6C3-4FF8-85B7-71B01363C305}"/>
    <cellStyle name="Comma 241 4" xfId="4673" xr:uid="{9AA63C4D-25AB-42F1-941B-5589D57D2CFF}"/>
    <cellStyle name="Comma 241 4 2" xfId="9849" xr:uid="{2A009193-45AF-41CC-A942-BA580FF59433}"/>
    <cellStyle name="Comma 241 5" xfId="5721" xr:uid="{C228EEA3-4CCA-42A2-B46A-3BD5939F9127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3" xfId="6753" xr:uid="{F222B777-12D8-4DB8-9001-EFF97E26BBCB}"/>
    <cellStyle name="Comma 242 3" xfId="2548" xr:uid="{37D66AB3-381E-4727-824F-4C5F11E2894D}"/>
    <cellStyle name="Comma 242 3 2" xfId="7781" xr:uid="{86522D83-CA1D-4B76-BCA5-9929003EE1AA}"/>
    <cellStyle name="Comma 242 4" xfId="4674" xr:uid="{A006B76D-78A1-49DB-9F36-C68518868B7F}"/>
    <cellStyle name="Comma 242 4 2" xfId="9850" xr:uid="{AB93FC47-354A-4C79-A720-45B62DFB61BF}"/>
    <cellStyle name="Comma 242 5" xfId="5722" xr:uid="{14B59D16-9227-4F60-BAE2-752BB267BBDB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3" xfId="6754" xr:uid="{194EB7A1-6E97-4C39-B419-7758B8C236A6}"/>
    <cellStyle name="Comma 243 3" xfId="2549" xr:uid="{8F124171-6FDF-4A96-B824-C6A398D76DC8}"/>
    <cellStyle name="Comma 243 3 2" xfId="7782" xr:uid="{47BC7E4B-4447-4167-82FF-975F6103A562}"/>
    <cellStyle name="Comma 243 4" xfId="4675" xr:uid="{B1A8CDC4-674D-4699-B576-1D9EB14A85F2}"/>
    <cellStyle name="Comma 243 4 2" xfId="9851" xr:uid="{FE70C485-FD06-40AB-9FE3-78270D9BE507}"/>
    <cellStyle name="Comma 243 5" xfId="5723" xr:uid="{82B25128-DF74-4B9F-814E-334B93A979CC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3" xfId="6755" xr:uid="{81CB5DB5-D78D-4042-BCEB-DBDEEDDFB8EA}"/>
    <cellStyle name="Comma 244 3" xfId="2550" xr:uid="{A192697F-EB5A-4305-A2BF-C40A874A5925}"/>
    <cellStyle name="Comma 244 3 2" xfId="7783" xr:uid="{CDEC3DFE-F0C4-4C07-BD75-AABAB72416C0}"/>
    <cellStyle name="Comma 244 4" xfId="4676" xr:uid="{D921469D-DEFF-4F5A-B827-C0F756D56E20}"/>
    <cellStyle name="Comma 244 4 2" xfId="9852" xr:uid="{C016920A-56D9-4D29-B9CC-EC730ED159E4}"/>
    <cellStyle name="Comma 244 5" xfId="5724" xr:uid="{CE5D141C-0D54-481E-8F67-C3199D8D7BAD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3" xfId="6756" xr:uid="{D75C8052-2EC8-4146-8C54-195A0755F9EB}"/>
    <cellStyle name="Comma 245 3" xfId="2551" xr:uid="{3A978234-387A-4011-865F-73250E75EB8A}"/>
    <cellStyle name="Comma 245 3 2" xfId="7784" xr:uid="{E27A3440-AEB5-43A6-BF5A-6C142AFEC5EC}"/>
    <cellStyle name="Comma 245 4" xfId="4677" xr:uid="{8FA8F9D6-85D0-4517-A0C9-7792A8A4B972}"/>
    <cellStyle name="Comma 245 4 2" xfId="9853" xr:uid="{5C613DCF-B242-4E14-B366-BB7CB5407875}"/>
    <cellStyle name="Comma 245 5" xfId="5725" xr:uid="{F779C7F7-4889-407E-BCE9-06D607B89DF6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3" xfId="6757" xr:uid="{80FF292C-4919-4202-8557-02F5324F03FA}"/>
    <cellStyle name="Comma 246 3" xfId="2552" xr:uid="{852D3334-F534-4D17-9451-AEAF15943639}"/>
    <cellStyle name="Comma 246 3 2" xfId="7785" xr:uid="{E041F29E-242D-4C99-967D-7BDCECB1E1AD}"/>
    <cellStyle name="Comma 246 4" xfId="4678" xr:uid="{136DAD11-3F56-4FF3-861D-EC05A2EF01EB}"/>
    <cellStyle name="Comma 246 4 2" xfId="9854" xr:uid="{E6134CC4-B63C-4253-8240-587AC683FF92}"/>
    <cellStyle name="Comma 246 5" xfId="5726" xr:uid="{7B029237-AEC8-4F2E-BE47-C0F463FA203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3" xfId="6758" xr:uid="{DD6F3ABB-A646-4F49-A666-8CC35755F51E}"/>
    <cellStyle name="Comma 247 3" xfId="2553" xr:uid="{27506AD1-AE9F-4DA6-A86F-8EC936EF3B13}"/>
    <cellStyle name="Comma 247 3 2" xfId="7786" xr:uid="{BF6EC4A5-CA78-4123-86F3-38E2182F5BD3}"/>
    <cellStyle name="Comma 247 4" xfId="4679" xr:uid="{18501224-24B0-4D25-A8B3-0A395F4BAC07}"/>
    <cellStyle name="Comma 247 4 2" xfId="9855" xr:uid="{7C8BC428-46EF-4159-8C4A-F313997394BB}"/>
    <cellStyle name="Comma 247 5" xfId="5727" xr:uid="{53D8CA97-AF20-47FC-B8BE-E1CC29558A84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3" xfId="6759" xr:uid="{7ECE0538-F9D7-4817-9AFC-52615DC48F46}"/>
    <cellStyle name="Comma 248 3" xfId="2554" xr:uid="{2C759DE2-16C6-463C-A5B0-9D9F3CB7BA1F}"/>
    <cellStyle name="Comma 248 3 2" xfId="7787" xr:uid="{ABB4366D-7942-481A-AC91-85B0C4886543}"/>
    <cellStyle name="Comma 248 4" xfId="4680" xr:uid="{09E6BC39-DC24-48FF-BD83-CB9BE90701F3}"/>
    <cellStyle name="Comma 248 4 2" xfId="9856" xr:uid="{9A80D7A9-BD88-4AF3-8C4D-B2D9B73CC556}"/>
    <cellStyle name="Comma 248 5" xfId="5728" xr:uid="{C76CDE85-F6A9-4E7F-883E-AD62233D73E2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3" xfId="6760" xr:uid="{B8A3EA77-0BFC-411E-8BAB-0E1A2C7D7DE7}"/>
    <cellStyle name="Comma 249 3" xfId="2555" xr:uid="{BA66669D-BFFA-469B-B325-B263840D927D}"/>
    <cellStyle name="Comma 249 3 2" xfId="7788" xr:uid="{FAD622E0-6617-4621-A16C-65E02CCA7631}"/>
    <cellStyle name="Comma 249 4" xfId="4681" xr:uid="{0DBF909E-F505-4A9C-8787-F9DD932632F6}"/>
    <cellStyle name="Comma 249 4 2" xfId="9857" xr:uid="{9B119644-0931-4D3C-89B4-BCC9A5F1EB7C}"/>
    <cellStyle name="Comma 249 5" xfId="5729" xr:uid="{0399ED3D-9505-474C-A42F-C85C16D82150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3" xfId="6535" xr:uid="{792A0E44-DCCE-4A16-933C-68D775408900}"/>
    <cellStyle name="Comma 25 3" xfId="2330" xr:uid="{30B8F65B-4ED2-45C0-AF91-3DF507C95308}"/>
    <cellStyle name="Comma 25 3 2" xfId="7563" xr:uid="{4A60726D-D72C-4B4A-B36C-1548F0BAEAC7}"/>
    <cellStyle name="Comma 25 4" xfId="4456" xr:uid="{A952FBE6-0D28-4EE4-80BD-AC8CEB2574B0}"/>
    <cellStyle name="Comma 25 4 2" xfId="9632" xr:uid="{860D59F0-0DBA-4231-957B-5D5F6B6A8411}"/>
    <cellStyle name="Comma 25 5" xfId="5504" xr:uid="{6944102E-550B-48E6-8C0D-ADE63B366433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3" xfId="6761" xr:uid="{AB012113-4E86-4F6D-96B1-5F030FDCF4AF}"/>
    <cellStyle name="Comma 250 3" xfId="2556" xr:uid="{74302624-C74F-444E-8B8F-A14D1F0A0507}"/>
    <cellStyle name="Comma 250 3 2" xfId="7789" xr:uid="{526BC6AD-050C-411D-A74D-49FEB55DC2E6}"/>
    <cellStyle name="Comma 250 4" xfId="4682" xr:uid="{BB97121A-664E-4E92-9D65-14AE5AAA03ED}"/>
    <cellStyle name="Comma 250 4 2" xfId="9858" xr:uid="{2232F3F8-0CD0-48DB-A078-8D378BAE9B28}"/>
    <cellStyle name="Comma 250 5" xfId="5730" xr:uid="{FAEEBDBC-B62D-4081-BBF3-7C5BA1AD4CD8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3" xfId="6762" xr:uid="{BF6803C9-0D67-4BB2-9AFA-6C521D23BB90}"/>
    <cellStyle name="Comma 251 3" xfId="2557" xr:uid="{243DE1FB-6703-45C4-BB11-7E176C23AF95}"/>
    <cellStyle name="Comma 251 3 2" xfId="7790" xr:uid="{8B5B0040-0CE3-443C-B7DB-1B2A837A7FE9}"/>
    <cellStyle name="Comma 251 4" xfId="4683" xr:uid="{E02BE753-E309-422A-ABE6-B6C0A33C21BB}"/>
    <cellStyle name="Comma 251 4 2" xfId="9859" xr:uid="{041778B2-12D3-4239-8C99-2B76DF3676DF}"/>
    <cellStyle name="Comma 251 5" xfId="5731" xr:uid="{97967BEC-A5FA-4B31-ABBE-68694D35C9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3" xfId="6763" xr:uid="{6EE6E9AC-0068-4C2C-94AE-B1287C899E41}"/>
    <cellStyle name="Comma 252 3" xfId="2558" xr:uid="{DAEFF718-5FF9-4B42-AA90-F39D2B8EFDB9}"/>
    <cellStyle name="Comma 252 3 2" xfId="7791" xr:uid="{9830F4C5-A426-4C14-BF0A-476E739B5354}"/>
    <cellStyle name="Comma 252 4" xfId="4684" xr:uid="{2DAC3F45-CC47-47BF-AFA3-F38C5AB1877B}"/>
    <cellStyle name="Comma 252 4 2" xfId="9860" xr:uid="{515D8594-DD69-444D-A8E4-91D4D39478E9}"/>
    <cellStyle name="Comma 252 5" xfId="5732" xr:uid="{83CF44F6-DD9B-4F17-A309-065CB4215363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3" xfId="6764" xr:uid="{8D0E9759-3E98-4A46-8904-B8934269F02B}"/>
    <cellStyle name="Comma 253 3" xfId="2559" xr:uid="{D5A48F88-1F37-4D21-B3B4-9A19EECFAACA}"/>
    <cellStyle name="Comma 253 3 2" xfId="7792" xr:uid="{1D4B3416-5433-4DD3-A1A0-8ABE135A724D}"/>
    <cellStyle name="Comma 253 4" xfId="4685" xr:uid="{8D5A8EB6-BF47-4443-8C29-EAFBCDEC7679}"/>
    <cellStyle name="Comma 253 4 2" xfId="9861" xr:uid="{C8B9BD74-B3A3-43A3-AE1E-13FF6A89210F}"/>
    <cellStyle name="Comma 253 5" xfId="5733" xr:uid="{EFE0A642-66B7-469B-B0B6-3767F45ACC11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3" xfId="6765" xr:uid="{97DABB06-6C18-4886-9535-4557C6837582}"/>
    <cellStyle name="Comma 254 3" xfId="2560" xr:uid="{DDA26BBF-81CC-4D60-95B6-B19E6498BC4A}"/>
    <cellStyle name="Comma 254 3 2" xfId="7793" xr:uid="{8CCEE001-32FA-41A7-BEAC-B6EB347CEC16}"/>
    <cellStyle name="Comma 254 4" xfId="4686" xr:uid="{5D4EF5A9-74BE-49E6-99D3-4E13AAF4C2AF}"/>
    <cellStyle name="Comma 254 4 2" xfId="9862" xr:uid="{4F8AB62E-48DC-4A9A-BA64-241743279102}"/>
    <cellStyle name="Comma 254 5" xfId="5734" xr:uid="{2AE9157A-70E0-435A-A8F2-5FEF15D5444A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3" xfId="6766" xr:uid="{A832D201-0758-4646-95A5-B023190B9AC2}"/>
    <cellStyle name="Comma 255 3" xfId="2561" xr:uid="{87EB8CEE-F3F1-46F7-9BE4-6D2D67222C9D}"/>
    <cellStyle name="Comma 255 3 2" xfId="7794" xr:uid="{46A65CFC-3479-432E-9118-3E5276D4A770}"/>
    <cellStyle name="Comma 255 4" xfId="4687" xr:uid="{03C824AA-1CAA-440D-88DC-4C11BC58B655}"/>
    <cellStyle name="Comma 255 4 2" xfId="9863" xr:uid="{6F835623-5DBE-4D10-8EAD-1957A7AB06FF}"/>
    <cellStyle name="Comma 255 5" xfId="5735" xr:uid="{4114C41D-96F3-466A-9F0A-85F9AE5D0990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3" xfId="6767" xr:uid="{D8721584-EE4F-48B1-ABEF-71AB72D2252C}"/>
    <cellStyle name="Comma 256 3" xfId="2562" xr:uid="{929F2C73-2EEE-45CC-B7ED-E384C1D95F30}"/>
    <cellStyle name="Comma 256 3 2" xfId="7795" xr:uid="{5416F0FD-A91F-4E78-A079-E6FA127DC3A6}"/>
    <cellStyle name="Comma 256 4" xfId="4688" xr:uid="{637D6C76-7626-4BF3-8885-BB52B3B7F5EA}"/>
    <cellStyle name="Comma 256 4 2" xfId="9864" xr:uid="{64C3DEC0-E1CC-4B62-B63F-64AD1348A3CF}"/>
    <cellStyle name="Comma 256 5" xfId="5736" xr:uid="{2F8B7A65-1361-4DDD-8CF4-98AA9A2DC786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3" xfId="6768" xr:uid="{073A64BD-D008-4AD8-AFBD-73EAFA2503B4}"/>
    <cellStyle name="Comma 257 3" xfId="2563" xr:uid="{20009CAA-1AB3-4663-9A1B-F2EAE7E77610}"/>
    <cellStyle name="Comma 257 3 2" xfId="7796" xr:uid="{73BD2EE4-6858-4F29-8FCE-5B53557A8126}"/>
    <cellStyle name="Comma 257 4" xfId="4689" xr:uid="{D04E38F7-0AF0-47D6-9F0F-D5D5941C486E}"/>
    <cellStyle name="Comma 257 4 2" xfId="9865" xr:uid="{E3BCBF04-53B6-435F-8E4B-C70302648ED7}"/>
    <cellStyle name="Comma 257 5" xfId="5737" xr:uid="{3BDE4D53-6B9D-4A93-9A4D-3418796C7AC4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3" xfId="6769" xr:uid="{0B5E1D99-1E77-491B-9E0E-303E1BB72BF4}"/>
    <cellStyle name="Comma 258 3" xfId="2564" xr:uid="{0746C1F8-78B4-447C-A5BA-BD5DC6BFFBE4}"/>
    <cellStyle name="Comma 258 3 2" xfId="7797" xr:uid="{15157D33-5A68-4CDC-ACF8-1C7CE4E4425C}"/>
    <cellStyle name="Comma 258 4" xfId="4690" xr:uid="{928123DE-451D-46C9-9C6D-EFF92877CF02}"/>
    <cellStyle name="Comma 258 4 2" xfId="9866" xr:uid="{C902DC2E-8A26-4FF0-9086-897ACA82A2BD}"/>
    <cellStyle name="Comma 258 5" xfId="5738" xr:uid="{5BF46259-6C6B-436C-9572-0D871C0D5ADF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3" xfId="6770" xr:uid="{283D5DB2-C9C6-41A0-AB6D-4D23E9347297}"/>
    <cellStyle name="Comma 259 3" xfId="2565" xr:uid="{A1D088C0-73C0-4015-A0D7-73E37219D88E}"/>
    <cellStyle name="Comma 259 3 2" xfId="7798" xr:uid="{263BD25A-79FF-4AA5-997E-24FDF839B313}"/>
    <cellStyle name="Comma 259 4" xfId="4691" xr:uid="{F7CC4263-28DA-418E-A4FC-D1642BC05D78}"/>
    <cellStyle name="Comma 259 4 2" xfId="9867" xr:uid="{FE88A818-36AA-41E2-B656-8EDB52D8DEAC}"/>
    <cellStyle name="Comma 259 5" xfId="5739" xr:uid="{4591A27E-B77A-4640-8552-9F750886331F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3" xfId="6536" xr:uid="{92684220-0967-45CB-90EA-AB68BF8B8519}"/>
    <cellStyle name="Comma 26 3" xfId="2331" xr:uid="{C1FDDEBA-EF95-47FA-AFF3-1791304D0FD9}"/>
    <cellStyle name="Comma 26 3 2" xfId="7564" xr:uid="{8EB1E4A0-43E6-4FDC-BB08-A1CBD8AA5B64}"/>
    <cellStyle name="Comma 26 4" xfId="4457" xr:uid="{930A53BE-8AC2-45C5-85BB-CA3734505835}"/>
    <cellStyle name="Comma 26 4 2" xfId="9633" xr:uid="{1681F191-0908-42AE-A165-3C0238C9C9C6}"/>
    <cellStyle name="Comma 26 5" xfId="5505" xr:uid="{D4F0A21D-0134-497A-ADCF-9CC20B6AAD5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3" xfId="6771" xr:uid="{542362A4-C580-4C72-8852-527ED70078FF}"/>
    <cellStyle name="Comma 260 3" xfId="2566" xr:uid="{9A3D8EED-9263-473D-8097-BCE3C846E260}"/>
    <cellStyle name="Comma 260 3 2" xfId="7799" xr:uid="{D23DB90A-3C68-4857-8450-129CCC9A9342}"/>
    <cellStyle name="Comma 260 4" xfId="4692" xr:uid="{EC164868-D013-441C-92B9-64B896EBB615}"/>
    <cellStyle name="Comma 260 4 2" xfId="9868" xr:uid="{BA88830B-4DFA-423B-8864-1890EE7B8573}"/>
    <cellStyle name="Comma 260 5" xfId="5740" xr:uid="{C4F46F4D-94DF-4498-95AE-C5C125B8887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3" xfId="6772" xr:uid="{0B2CCC08-9FA0-4906-9EB6-FAFFE92FAA9E}"/>
    <cellStyle name="Comma 261 3" xfId="2567" xr:uid="{17758A6F-85E2-4FD6-BE8E-B21F1FB49BC7}"/>
    <cellStyle name="Comma 261 3 2" xfId="7800" xr:uid="{85373A07-52B4-47DB-A196-05EB86C28CE6}"/>
    <cellStyle name="Comma 261 4" xfId="4693" xr:uid="{C267292B-E15B-462D-ABF7-05C22569A2EA}"/>
    <cellStyle name="Comma 261 4 2" xfId="9869" xr:uid="{C0BD3B0E-434A-44E2-A7A3-4B82846AEA27}"/>
    <cellStyle name="Comma 261 5" xfId="5741" xr:uid="{3492E288-38D0-4C8B-BE7E-13C3C0C20724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3" xfId="6773" xr:uid="{E5042010-4D81-4D13-B4FD-1E4D6FA68084}"/>
    <cellStyle name="Comma 262 3" xfId="2568" xr:uid="{22F12099-FC15-4BAA-AC5D-5C78C907675A}"/>
    <cellStyle name="Comma 262 3 2" xfId="7801" xr:uid="{76931AAE-0E5B-40C4-8A48-EF8826839B51}"/>
    <cellStyle name="Comma 262 4" xfId="4694" xr:uid="{3E4564DE-C23B-48DF-86FD-D2E38BEB961E}"/>
    <cellStyle name="Comma 262 4 2" xfId="9870" xr:uid="{C9FC8EF3-FE3E-4B64-9EA7-A9B68832A825}"/>
    <cellStyle name="Comma 262 5" xfId="5742" xr:uid="{E27B3354-FF24-4D95-B130-41E22B1A59C1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3" xfId="6774" xr:uid="{B08713B7-6D23-4849-B16E-283D91B1FA12}"/>
    <cellStyle name="Comma 263 3" xfId="2569" xr:uid="{0EBA7F16-8D60-4FC9-A2DE-F913938FFB41}"/>
    <cellStyle name="Comma 263 3 2" xfId="7802" xr:uid="{5386747F-C45B-4EB8-8185-5C1A8624599F}"/>
    <cellStyle name="Comma 263 4" xfId="4695" xr:uid="{704F26E1-4CF0-41BD-87B9-BBD4D6E5C137}"/>
    <cellStyle name="Comma 263 4 2" xfId="9871" xr:uid="{D1F8E96B-79A0-427F-A79A-F513DD1685DE}"/>
    <cellStyle name="Comma 263 5" xfId="5743" xr:uid="{A540999E-B706-4D78-9060-E652604D8D58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3" xfId="6775" xr:uid="{A7777E64-B3F3-464C-9F50-890E8F307846}"/>
    <cellStyle name="Comma 264 3" xfId="2570" xr:uid="{90E56A71-D916-436A-83BB-1F7186DBEC5A}"/>
    <cellStyle name="Comma 264 3 2" xfId="7803" xr:uid="{E396FC49-1F22-410B-B9CA-80B832137800}"/>
    <cellStyle name="Comma 264 4" xfId="4696" xr:uid="{184D31C0-0A9D-4DE3-B3FA-7771C78B9951}"/>
    <cellStyle name="Comma 264 4 2" xfId="9872" xr:uid="{9BD40C0B-6430-4DD8-940B-C5419F82F93B}"/>
    <cellStyle name="Comma 264 5" xfId="5744" xr:uid="{D8413E59-897C-4122-8E6D-73A776EDBE19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3" xfId="6776" xr:uid="{0D29C5A2-3FB7-4389-A465-9BB5DD0A7EC4}"/>
    <cellStyle name="Comma 265 3" xfId="2571" xr:uid="{DE2F1746-2B8D-4783-9316-46F45CF85CAF}"/>
    <cellStyle name="Comma 265 3 2" xfId="7804" xr:uid="{06244FAE-4850-4C60-8AFC-1BC70085EA50}"/>
    <cellStyle name="Comma 265 4" xfId="4697" xr:uid="{79DF77B9-594D-497C-98E3-EDA4B8CE1F4A}"/>
    <cellStyle name="Comma 265 4 2" xfId="9873" xr:uid="{2EE5CF9A-248D-4176-8A7D-DE449E93011C}"/>
    <cellStyle name="Comma 265 5" xfId="5745" xr:uid="{5017151E-DD6F-4F98-94D3-5D80C55CF59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3" xfId="6777" xr:uid="{01336CE7-807C-4585-AE5A-C80F31954F4C}"/>
    <cellStyle name="Comma 266 3" xfId="2572" xr:uid="{06F64AFD-7F0A-4390-B229-B4D29F08DA14}"/>
    <cellStyle name="Comma 266 3 2" xfId="7805" xr:uid="{1451AAB6-4BFA-41E4-B982-A463DE5581F7}"/>
    <cellStyle name="Comma 266 4" xfId="4698" xr:uid="{D07EC1BA-6F58-4B24-91E4-271B20BF314F}"/>
    <cellStyle name="Comma 266 4 2" xfId="9874" xr:uid="{CD8EACF4-54B6-4A8A-A8A2-E4862B94383A}"/>
    <cellStyle name="Comma 266 5" xfId="5746" xr:uid="{514E7C73-5374-436F-A5F8-2F6C88F692D3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3" xfId="6778" xr:uid="{5771D7B1-06D0-4DE3-B2F0-A1162A1626E0}"/>
    <cellStyle name="Comma 267 3" xfId="2573" xr:uid="{B4061AE4-E29F-410F-A6EF-1669A5269924}"/>
    <cellStyle name="Comma 267 3 2" xfId="7806" xr:uid="{E3E19247-A654-4702-81C1-0D40BE31D8A0}"/>
    <cellStyle name="Comma 267 4" xfId="4699" xr:uid="{C9AC7CC7-80EE-43BB-8F68-7A9963B7D019}"/>
    <cellStyle name="Comma 267 4 2" xfId="9875" xr:uid="{E4EF3DC1-E26A-45E6-B53E-C2EE57D38323}"/>
    <cellStyle name="Comma 267 5" xfId="5747" xr:uid="{A6F2C8CF-C978-438A-AFC9-3102616859C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3" xfId="6779" xr:uid="{C2F94D78-0DF5-4E29-B01A-6A8C371F5531}"/>
    <cellStyle name="Comma 268 3" xfId="2574" xr:uid="{6BC943C3-6FB9-48C9-9E2A-AD44A62B9253}"/>
    <cellStyle name="Comma 268 3 2" xfId="7807" xr:uid="{E196966E-748E-498C-9C4B-44A6F0644511}"/>
    <cellStyle name="Comma 268 4" xfId="4700" xr:uid="{910B05DB-57CB-4F9A-B7A9-7F9923D51904}"/>
    <cellStyle name="Comma 268 4 2" xfId="9876" xr:uid="{AC41339E-6681-4287-8BF0-7357ECAB71F5}"/>
    <cellStyle name="Comma 268 5" xfId="5748" xr:uid="{18C8A2C6-3B6A-454A-959C-941AF322483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3" xfId="6780" xr:uid="{7F79E317-6E68-4485-8A8A-7FD829C5D250}"/>
    <cellStyle name="Comma 269 3" xfId="2575" xr:uid="{0E6003F4-677C-4F40-9D9A-F995059B2857}"/>
    <cellStyle name="Comma 269 3 2" xfId="7808" xr:uid="{7A4E2274-6115-48BF-BE76-C659153216FF}"/>
    <cellStyle name="Comma 269 4" xfId="4701" xr:uid="{E926A744-B7CF-4363-B6D8-C9227BF7A322}"/>
    <cellStyle name="Comma 269 4 2" xfId="9877" xr:uid="{86BA98A5-1ADC-4D1F-9173-42007BCAFCFE}"/>
    <cellStyle name="Comma 269 5" xfId="5749" xr:uid="{BDFA35DB-46D7-46A7-ABD4-2B381F3C136D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3" xfId="6537" xr:uid="{E682D8CD-5784-4C76-8DDE-D222C1DEB82B}"/>
    <cellStyle name="Comma 27 3" xfId="2332" xr:uid="{A1D2D90D-29FA-43E0-BCB0-D095641DA2F9}"/>
    <cellStyle name="Comma 27 3 2" xfId="7565" xr:uid="{475DB5D0-0B50-4B71-9A53-7762A2F60BFA}"/>
    <cellStyle name="Comma 27 4" xfId="4458" xr:uid="{A326F800-64E6-48FF-84AD-59697385485E}"/>
    <cellStyle name="Comma 27 4 2" xfId="9634" xr:uid="{BB529136-EBFC-4904-9038-66AB0152AA83}"/>
    <cellStyle name="Comma 27 5" xfId="5506" xr:uid="{195D1CE7-9552-41A5-B460-865BF12880DF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3" xfId="6781" xr:uid="{8F389DF2-EC18-491F-AF89-2EF41C114C5E}"/>
    <cellStyle name="Comma 270 3" xfId="2576" xr:uid="{E60D6BFD-CDD1-4751-9EE8-3AB9D0495036}"/>
    <cellStyle name="Comma 270 3 2" xfId="7809" xr:uid="{7BED8592-C450-4FA3-9520-33429ADDC928}"/>
    <cellStyle name="Comma 270 4" xfId="4702" xr:uid="{A2A22927-6051-4FD9-975E-6CE9D31658D4}"/>
    <cellStyle name="Comma 270 4 2" xfId="9878" xr:uid="{1FE037C3-CC51-4E32-8F5A-77116FD40328}"/>
    <cellStyle name="Comma 270 5" xfId="5750" xr:uid="{A3B2882A-9B55-4957-9BB0-D35004EC45C6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3" xfId="6782" xr:uid="{444C3704-78C7-4090-A15A-3A9B11CAAAAB}"/>
    <cellStyle name="Comma 271 3" xfId="2577" xr:uid="{C33626CB-009A-466E-868C-264CC920CF7A}"/>
    <cellStyle name="Comma 271 3 2" xfId="7810" xr:uid="{09221474-1D2D-4C2D-B143-DED12D01E1D4}"/>
    <cellStyle name="Comma 271 4" xfId="4703" xr:uid="{324021ED-FB71-41E1-926E-02B655FFA83E}"/>
    <cellStyle name="Comma 271 4 2" xfId="9879" xr:uid="{E2029BD6-FD9A-419E-8423-3F9BCC17AE46}"/>
    <cellStyle name="Comma 271 5" xfId="5751" xr:uid="{932BD939-0E04-42A6-9C86-D296E94BE111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3" xfId="6783" xr:uid="{3511EA0E-8AAA-410A-B4B7-DA7F27556CCC}"/>
    <cellStyle name="Comma 272 3" xfId="2578" xr:uid="{EBBE1CE8-C591-4183-8278-BEA2A46583A7}"/>
    <cellStyle name="Comma 272 3 2" xfId="7811" xr:uid="{7071F8C2-D7C0-445D-AF15-8B0CE519F16D}"/>
    <cellStyle name="Comma 272 4" xfId="4704" xr:uid="{37BB90AA-EF9F-4AF4-BFC5-E4CC4E17B8C1}"/>
    <cellStyle name="Comma 272 4 2" xfId="9880" xr:uid="{80BB9A7C-E55B-444E-904E-33EC9D7325EE}"/>
    <cellStyle name="Comma 272 5" xfId="5752" xr:uid="{256DDC5F-60E4-4CBD-AA06-383FBD91D0E2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3" xfId="6784" xr:uid="{B688EAC3-873A-4250-AA6F-2DA6B12DEE4F}"/>
    <cellStyle name="Comma 273 3" xfId="2579" xr:uid="{B1AF4A93-42C2-4210-B426-3B782EAE4199}"/>
    <cellStyle name="Comma 273 3 2" xfId="7812" xr:uid="{3270798B-5EEE-4AB9-AA7D-2FC67819DCD5}"/>
    <cellStyle name="Comma 273 4" xfId="4705" xr:uid="{B607C1AE-9E1B-4A1C-A39D-BE70E6A64799}"/>
    <cellStyle name="Comma 273 4 2" xfId="9881" xr:uid="{0A15D6E3-4269-4596-92E2-D578E4FC5CC2}"/>
    <cellStyle name="Comma 273 5" xfId="5753" xr:uid="{635BF416-A8C9-409F-98E7-AC5AA2251FB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3" xfId="6785" xr:uid="{7B9C9778-31C6-4E07-B63F-0938A463EA5D}"/>
    <cellStyle name="Comma 274 3" xfId="2580" xr:uid="{7EBD6306-A79F-465F-86EF-8E67149EFF96}"/>
    <cellStyle name="Comma 274 3 2" xfId="7813" xr:uid="{46F0C35D-A2B5-4CE7-9060-844DF4F1CF1A}"/>
    <cellStyle name="Comma 274 4" xfId="4706" xr:uid="{82B4CA3D-A579-47FC-BE87-5D6EFA65BA29}"/>
    <cellStyle name="Comma 274 4 2" xfId="9882" xr:uid="{7064C139-9C6F-4B8B-A532-553393A1822F}"/>
    <cellStyle name="Comma 274 5" xfId="5754" xr:uid="{3DE18ED3-4EA3-4281-8E9F-CCC7F411966D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3" xfId="6786" xr:uid="{78006052-D736-4BBC-B04F-AC1E381ED130}"/>
    <cellStyle name="Comma 275 3" xfId="2581" xr:uid="{1899B210-B079-4A80-BA7B-CF444CA8AEBA}"/>
    <cellStyle name="Comma 275 3 2" xfId="7814" xr:uid="{F1365222-1D3C-4705-9600-E0927E33C488}"/>
    <cellStyle name="Comma 275 4" xfId="4707" xr:uid="{14F61B1E-5592-4BBF-AC86-B1F76A87B68A}"/>
    <cellStyle name="Comma 275 4 2" xfId="9883" xr:uid="{071AAD3B-0D1F-409D-B0C9-0C3F3FBAE574}"/>
    <cellStyle name="Comma 275 5" xfId="5755" xr:uid="{6D161CCB-78D4-41B7-BCB3-A347AD62BAFE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3" xfId="6787" xr:uid="{65933469-FEB0-4A2B-8B1C-F862EF7CD62D}"/>
    <cellStyle name="Comma 276 3" xfId="2582" xr:uid="{FF7FF158-34EB-4532-92A9-8BA6A0F9BAB9}"/>
    <cellStyle name="Comma 276 3 2" xfId="7815" xr:uid="{E6572F93-AB23-4EC1-9272-3803FBDD48FF}"/>
    <cellStyle name="Comma 276 4" xfId="4708" xr:uid="{E46C877E-62C4-4DE4-87FD-4A39EB564768}"/>
    <cellStyle name="Comma 276 4 2" xfId="9884" xr:uid="{ACE1C591-57C0-4D16-825E-C13C892CE526}"/>
    <cellStyle name="Comma 276 5" xfId="5756" xr:uid="{02D73C86-3C1D-484C-9C6D-E693BE0A2FC6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3" xfId="6788" xr:uid="{363DB029-9DC9-4C0B-A05D-4CB385F2ABCB}"/>
    <cellStyle name="Comma 277 3" xfId="2583" xr:uid="{3BFF507B-3BB0-4A4B-BD94-DE2057915AD6}"/>
    <cellStyle name="Comma 277 3 2" xfId="7816" xr:uid="{186E188E-8693-4D1B-BF46-93F16F872D6C}"/>
    <cellStyle name="Comma 277 4" xfId="4709" xr:uid="{A83ACC76-3848-4D40-8D76-5484F6243D7A}"/>
    <cellStyle name="Comma 277 4 2" xfId="9885" xr:uid="{25BC5547-E0BB-47A6-85D0-BCF99C6CC74F}"/>
    <cellStyle name="Comma 277 5" xfId="5757" xr:uid="{882F6071-FA0B-4B40-BE0F-9496B36E0D06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3" xfId="6789" xr:uid="{BCA54B16-29C0-4FA2-AB6C-8F0753E7A78C}"/>
    <cellStyle name="Comma 278 3" xfId="2584" xr:uid="{A99D9F09-9838-4F50-AE13-2315228F3B3F}"/>
    <cellStyle name="Comma 278 3 2" xfId="7817" xr:uid="{4869FA0F-2E82-463F-9FB2-61E6BC78543E}"/>
    <cellStyle name="Comma 278 4" xfId="4710" xr:uid="{17563AB4-41F6-4D64-AA3D-375740B35068}"/>
    <cellStyle name="Comma 278 4 2" xfId="9886" xr:uid="{ED745B04-8237-4A45-8212-66F29A7D1531}"/>
    <cellStyle name="Comma 278 5" xfId="5758" xr:uid="{419ED193-810C-45F8-BC5C-FAFC9401113A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3" xfId="6790" xr:uid="{C19005A4-E11B-4C32-8CA2-1D7950989F6B}"/>
    <cellStyle name="Comma 279 3" xfId="2585" xr:uid="{433B48CC-ED24-42F9-ADAF-7758F8EBB5ED}"/>
    <cellStyle name="Comma 279 3 2" xfId="7818" xr:uid="{E9D55361-11B2-4567-B9D6-B4AD16361750}"/>
    <cellStyle name="Comma 279 4" xfId="4711" xr:uid="{3EB192A2-CAEB-4B44-9533-34424133EFBC}"/>
    <cellStyle name="Comma 279 4 2" xfId="9887" xr:uid="{97BCDBF7-8B67-4A23-8A4D-61A830C169B5}"/>
    <cellStyle name="Comma 279 5" xfId="5759" xr:uid="{9CA12DA5-BDAE-4BBE-A5E5-371631168F1E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3" xfId="6538" xr:uid="{7BBEABE2-8D34-4393-80EF-BBB03237E4C0}"/>
    <cellStyle name="Comma 28 3" xfId="2333" xr:uid="{0B8A41D3-358A-4D49-B161-62F7D17B76CB}"/>
    <cellStyle name="Comma 28 3 2" xfId="7566" xr:uid="{7F5515FF-E558-45C4-AFC4-53994E1A78D0}"/>
    <cellStyle name="Comma 28 4" xfId="4459" xr:uid="{01492A6C-AF92-4FBF-864C-4B8EA4DED880}"/>
    <cellStyle name="Comma 28 4 2" xfId="9635" xr:uid="{FDBA982B-74C5-4CB8-98F5-B4F0542EFD99}"/>
    <cellStyle name="Comma 28 5" xfId="5507" xr:uid="{059F5644-5ACF-4BE2-8240-208D2310D74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3" xfId="6791" xr:uid="{31C37E9E-3F7F-43BF-A766-3C40449749F2}"/>
    <cellStyle name="Comma 280 3" xfId="2586" xr:uid="{488D4016-7CE7-4DC9-8B0F-11FC624AC25D}"/>
    <cellStyle name="Comma 280 3 2" xfId="7819" xr:uid="{779ECB7F-E101-450F-8829-BD7652488A39}"/>
    <cellStyle name="Comma 280 4" xfId="4712" xr:uid="{29381CB3-4EA9-4216-BEA4-BA4F1F521A32}"/>
    <cellStyle name="Comma 280 4 2" xfId="9888" xr:uid="{5B9655AA-290D-4191-9473-5013721D2CE7}"/>
    <cellStyle name="Comma 280 5" xfId="5760" xr:uid="{B4AC7760-B8F4-470C-87F4-936EC876193A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3" xfId="6792" xr:uid="{585CEA94-F81C-4302-BD45-7C61EAEF0042}"/>
    <cellStyle name="Comma 281 3" xfId="2587" xr:uid="{6A51B79B-8587-4172-A146-E8F97510E1A2}"/>
    <cellStyle name="Comma 281 3 2" xfId="7820" xr:uid="{401AF7D7-8E81-440B-A4F0-0B0E3C399BDC}"/>
    <cellStyle name="Comma 281 4" xfId="4713" xr:uid="{F3405409-B3C7-4908-955D-A7B37C6A7C5A}"/>
    <cellStyle name="Comma 281 4 2" xfId="9889" xr:uid="{A82DA410-AC06-4CB6-B3C3-278AAB7B3B4C}"/>
    <cellStyle name="Comma 281 5" xfId="5761" xr:uid="{1CCBC681-D812-49EA-BDD6-9BDE79DCF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3" xfId="6793" xr:uid="{499E4A46-A8CF-458A-9143-95BDBF92FB3D}"/>
    <cellStyle name="Comma 282 3" xfId="2588" xr:uid="{32CC2892-5665-4025-BDBC-F759ED698F99}"/>
    <cellStyle name="Comma 282 3 2" xfId="7821" xr:uid="{6AEEAE26-C01B-405C-B755-F516AE25333D}"/>
    <cellStyle name="Comma 282 4" xfId="4714" xr:uid="{46A5FFBA-74CA-4D1A-8BE8-9E93E3BD3E37}"/>
    <cellStyle name="Comma 282 4 2" xfId="9890" xr:uid="{5E0A5AA9-BAFA-4FBF-A7A3-C8904D408EFF}"/>
    <cellStyle name="Comma 282 5" xfId="5762" xr:uid="{B54E4BB0-7360-4468-9A44-25F75DE52539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3" xfId="6794" xr:uid="{C4C18A5C-90FA-4CDB-8ACB-A497293FE475}"/>
    <cellStyle name="Comma 283 3" xfId="2589" xr:uid="{3916AB13-56F0-43D6-91D0-11C717D43236}"/>
    <cellStyle name="Comma 283 3 2" xfId="7822" xr:uid="{D3E39326-6ADA-403C-9873-C2EE2EC34BA5}"/>
    <cellStyle name="Comma 283 4" xfId="4715" xr:uid="{8F491DAD-DEED-4EDD-A962-AA310A67865B}"/>
    <cellStyle name="Comma 283 4 2" xfId="9891" xr:uid="{1F45468F-59D5-4B27-8F2F-9FE750EFBA3F}"/>
    <cellStyle name="Comma 283 5" xfId="5763" xr:uid="{D2A8C2F0-3092-4066-812D-26041579AAA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3" xfId="6795" xr:uid="{A072EFC6-BB07-44D4-A461-9742AF134A4E}"/>
    <cellStyle name="Comma 284 3" xfId="2590" xr:uid="{F89D60F3-B0B5-4A47-A2EF-13B9702A5790}"/>
    <cellStyle name="Comma 284 3 2" xfId="7823" xr:uid="{01DD00BE-B3CC-42E6-96D1-157E6FFE234A}"/>
    <cellStyle name="Comma 284 4" xfId="4716" xr:uid="{27867856-FCD0-4DED-B967-05E0414E5BBF}"/>
    <cellStyle name="Comma 284 4 2" xfId="9892" xr:uid="{6B17A8FB-0982-48EB-A982-74D78D57F98C}"/>
    <cellStyle name="Comma 284 5" xfId="5764" xr:uid="{C9F9B777-FCD7-4988-85AF-A5CE0DBBD6C3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3" xfId="6796" xr:uid="{90768186-F07B-45FD-822A-17D126F8DCB6}"/>
    <cellStyle name="Comma 285 3" xfId="2591" xr:uid="{3E4004ED-41C4-4A44-B543-FBF7ECDB4946}"/>
    <cellStyle name="Comma 285 3 2" xfId="7824" xr:uid="{F240CFFC-8D8B-45DF-98E5-09CBA24FAB78}"/>
    <cellStyle name="Comma 285 4" xfId="4717" xr:uid="{8D14129E-6721-4D8E-AC12-1CB74F094712}"/>
    <cellStyle name="Comma 285 4 2" xfId="9893" xr:uid="{9A2AFBC5-91CF-4FEA-92E7-65AF69245AA9}"/>
    <cellStyle name="Comma 285 5" xfId="5765" xr:uid="{2CCB44A3-C6E1-477B-9CE0-219399A96508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3" xfId="6797" xr:uid="{66AF414A-4BD8-4AB7-AEE1-626074AAC9EA}"/>
    <cellStyle name="Comma 286 3" xfId="2592" xr:uid="{6065D419-98A8-4AEA-8A8E-51BB7A707BCC}"/>
    <cellStyle name="Comma 286 3 2" xfId="7825" xr:uid="{8F40C456-C5F2-4412-B66F-962ED9593C52}"/>
    <cellStyle name="Comma 286 4" xfId="4718" xr:uid="{D9E61179-C222-49F6-AD5C-FEB8010B1A78}"/>
    <cellStyle name="Comma 286 4 2" xfId="9894" xr:uid="{E13D4880-A669-4AE1-B5CF-AFDADFB33C5C}"/>
    <cellStyle name="Comma 286 5" xfId="5766" xr:uid="{0CEEC9DD-2660-41B1-9F4F-C4E15ED89089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3" xfId="6798" xr:uid="{B6699C60-FB19-4BBF-9007-DCEDCFCD157A}"/>
    <cellStyle name="Comma 287 3" xfId="2593" xr:uid="{00227867-C7A9-4DB8-991A-EB62B75072E1}"/>
    <cellStyle name="Comma 287 3 2" xfId="7826" xr:uid="{5254E5B6-EDAA-4A15-9DA6-B603E6E9A3CA}"/>
    <cellStyle name="Comma 287 4" xfId="4719" xr:uid="{9C6AE282-EE98-4ABC-8C02-BA48E640A83A}"/>
    <cellStyle name="Comma 287 4 2" xfId="9895" xr:uid="{30D84BBF-49CA-4D83-88EB-03071EDC6592}"/>
    <cellStyle name="Comma 287 5" xfId="5767" xr:uid="{D48329CE-E730-493F-BCA3-E770B0488B7D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3" xfId="6799" xr:uid="{3668A493-B3F7-40A1-96DF-DB9016172C45}"/>
    <cellStyle name="Comma 288 3" xfId="2594" xr:uid="{1DA7E453-BABE-43FF-A9BD-FA6E0BF5BED7}"/>
    <cellStyle name="Comma 288 3 2" xfId="7827" xr:uid="{A2E9D2CF-9252-4263-B740-E7107F4B8BDB}"/>
    <cellStyle name="Comma 288 4" xfId="4720" xr:uid="{5444C410-9260-4687-980C-01DDB7A2114E}"/>
    <cellStyle name="Comma 288 4 2" xfId="9896" xr:uid="{F4B7C6AB-A438-4870-A3BE-9C8C8B549E5E}"/>
    <cellStyle name="Comma 288 5" xfId="5768" xr:uid="{7751FCB1-3A4A-47BF-9746-ABA4A0D62D69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3" xfId="6800" xr:uid="{E1CD68DC-2CFC-411A-960C-8D18D1C3A67D}"/>
    <cellStyle name="Comma 289 3" xfId="2595" xr:uid="{3C72AFD3-87A5-44B6-88CB-93BCEB52B07A}"/>
    <cellStyle name="Comma 289 3 2" xfId="7828" xr:uid="{4663935B-2BF8-4BBA-A1C7-1EC21A06BE1A}"/>
    <cellStyle name="Comma 289 4" xfId="4721" xr:uid="{E654BE1A-1FFB-45BD-B7BD-EF32850D7A5B}"/>
    <cellStyle name="Comma 289 4 2" xfId="9897" xr:uid="{06448947-3024-49DD-A870-83295E9611DE}"/>
    <cellStyle name="Comma 289 5" xfId="5769" xr:uid="{3FC750CD-6420-41B1-9835-963481329BF5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3" xfId="6539" xr:uid="{08B4CDAA-D9B1-4E95-A762-5DA987EF6E96}"/>
    <cellStyle name="Comma 29 3" xfId="2334" xr:uid="{2C0A9DFF-A7EA-4FF8-8751-1C295601C598}"/>
    <cellStyle name="Comma 29 3 2" xfId="7567" xr:uid="{5FC95352-44D1-499A-8E83-0B953A3804C0}"/>
    <cellStyle name="Comma 29 4" xfId="4460" xr:uid="{7BF738C1-300C-4B3F-9F7E-2FC62B33CFA1}"/>
    <cellStyle name="Comma 29 4 2" xfId="9636" xr:uid="{AB7C7A9A-5706-4D08-A6FD-97066A7C1A49}"/>
    <cellStyle name="Comma 29 5" xfId="5508" xr:uid="{7BDF46B7-E403-457F-A4BA-BA0E61E1A480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3" xfId="6801" xr:uid="{EBB08A19-006A-4339-BDE3-CA7CB750C62F}"/>
    <cellStyle name="Comma 290 3" xfId="2596" xr:uid="{436A20D0-4A76-46BE-91AC-DFEA88DC0DC3}"/>
    <cellStyle name="Comma 290 3 2" xfId="7829" xr:uid="{A9C64F52-EAB1-497C-83A7-62D533007917}"/>
    <cellStyle name="Comma 290 4" xfId="4722" xr:uid="{E45DED1C-90D1-4A55-97E0-03248DB96B46}"/>
    <cellStyle name="Comma 290 4 2" xfId="9898" xr:uid="{868DE818-1636-4E04-AC55-FCD13FFCDE89}"/>
    <cellStyle name="Comma 290 5" xfId="5770" xr:uid="{074D1922-0F2A-45CD-A199-33FF28AF893E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3" xfId="6802" xr:uid="{B3D76CBE-6D44-4DF6-AC81-799F756BFC9C}"/>
    <cellStyle name="Comma 291 3" xfId="2597" xr:uid="{288832E0-A2C6-4BEC-B106-A492015061B3}"/>
    <cellStyle name="Comma 291 3 2" xfId="7830" xr:uid="{D742124B-5906-4ADD-8D8D-817366F3E2DF}"/>
    <cellStyle name="Comma 291 4" xfId="4723" xr:uid="{DF665563-0FB5-400C-9222-43B8D4EC48FE}"/>
    <cellStyle name="Comma 291 4 2" xfId="9899" xr:uid="{068F019C-1423-42CB-985B-DE61DCE388EF}"/>
    <cellStyle name="Comma 291 5" xfId="5771" xr:uid="{3B19BAB6-47BA-4011-A8E4-D96205E3A17A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3" xfId="6803" xr:uid="{97C8EDA7-D06B-460B-9348-A38EF3EF5254}"/>
    <cellStyle name="Comma 292 3" xfId="2598" xr:uid="{912A6EE1-80BE-4090-9561-07DC8CAD966E}"/>
    <cellStyle name="Comma 292 3 2" xfId="7831" xr:uid="{6769D9ED-E097-494E-9701-68D9E70EB622}"/>
    <cellStyle name="Comma 292 4" xfId="4724" xr:uid="{0528209C-A2E9-418D-B649-F472428853E8}"/>
    <cellStyle name="Comma 292 4 2" xfId="9900" xr:uid="{3E713D21-1E2E-42EE-894E-83AA25A72248}"/>
    <cellStyle name="Comma 292 5" xfId="5772" xr:uid="{C1F894B6-4DF7-432D-84D2-133B1D1D8FA9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3" xfId="6804" xr:uid="{E0B1B1FC-CDEB-4C32-8FD0-615E975EAA07}"/>
    <cellStyle name="Comma 293 3" xfId="2599" xr:uid="{025FF40B-14FD-4BB1-8D78-3B84E61CA5A2}"/>
    <cellStyle name="Comma 293 3 2" xfId="7832" xr:uid="{B85D77F9-72A2-4B98-8B5A-B6D753DE76C2}"/>
    <cellStyle name="Comma 293 4" xfId="4725" xr:uid="{A5DBED01-0CB8-45B4-B1B9-4CA6DA16A0AD}"/>
    <cellStyle name="Comma 293 4 2" xfId="9901" xr:uid="{07F9C836-E73F-41BF-A28B-C53654288CDF}"/>
    <cellStyle name="Comma 293 5" xfId="5773" xr:uid="{FC52F2ED-0D69-4249-9551-C4E8074A491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3" xfId="6805" xr:uid="{57A8B88E-B676-4D5E-8807-8384D400EA44}"/>
    <cellStyle name="Comma 294 3" xfId="2600" xr:uid="{40BC9F1C-C03F-4CD5-A3C1-F8E00AF3ABC6}"/>
    <cellStyle name="Comma 294 3 2" xfId="7833" xr:uid="{D097B8BA-2A36-4074-88E9-24FC9B2B93EA}"/>
    <cellStyle name="Comma 294 4" xfId="4726" xr:uid="{6A6DFA39-D755-4594-AE8C-1907D114AC9C}"/>
    <cellStyle name="Comma 294 4 2" xfId="9902" xr:uid="{5D6C79BC-2544-460D-988C-0B20BB886EC0}"/>
    <cellStyle name="Comma 294 5" xfId="5774" xr:uid="{9F236DA3-2772-43A6-A8C6-8D8BE1656C6A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3" xfId="6806" xr:uid="{994CFAFA-73DF-4583-96A9-2B72B9EA7778}"/>
    <cellStyle name="Comma 295 3" xfId="2601" xr:uid="{ECDFBD1F-41FD-42ED-A742-686F86FA9C1C}"/>
    <cellStyle name="Comma 295 3 2" xfId="7834" xr:uid="{EAF0524A-3586-49B8-B970-CB6A48099EED}"/>
    <cellStyle name="Comma 295 4" xfId="4727" xr:uid="{847AD7BD-5C31-42D2-8C8D-5304F6566D33}"/>
    <cellStyle name="Comma 295 4 2" xfId="9903" xr:uid="{4C742E9C-27AD-4F7E-8A99-5303126DF4AB}"/>
    <cellStyle name="Comma 295 5" xfId="5775" xr:uid="{F6BE3FAC-A697-4839-85B2-62E62119C308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3" xfId="6807" xr:uid="{D83C20C5-5520-4A30-A269-B2D5ED8DCF2D}"/>
    <cellStyle name="Comma 296 3" xfId="2602" xr:uid="{1AAB30A0-6D46-42C3-A38F-A8D43165BC07}"/>
    <cellStyle name="Comma 296 3 2" xfId="7835" xr:uid="{E6EAE329-7CBF-4DA6-9798-B5106555B025}"/>
    <cellStyle name="Comma 296 4" xfId="4728" xr:uid="{29E5FB65-EA1C-4780-BF8F-2F53EFC14B69}"/>
    <cellStyle name="Comma 296 4 2" xfId="9904" xr:uid="{F980C6F5-BCF6-43AE-873D-4819897AA52B}"/>
    <cellStyle name="Comma 296 5" xfId="5776" xr:uid="{E1471176-E102-4F03-9C4A-E8F6E8286374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3" xfId="6808" xr:uid="{3CFFFB01-545A-41B2-ACBE-4453FEE1BEF5}"/>
    <cellStyle name="Comma 297 3" xfId="2603" xr:uid="{496ECD53-C1C9-4DFE-924B-0745BD0F20C5}"/>
    <cellStyle name="Comma 297 3 2" xfId="7836" xr:uid="{1E3B8236-03BF-4998-B3BD-CE5569123562}"/>
    <cellStyle name="Comma 297 4" xfId="4729" xr:uid="{80EBAAE2-8E52-434C-94B1-B36AED2593A1}"/>
    <cellStyle name="Comma 297 4 2" xfId="9905" xr:uid="{F45B93A7-2559-4E6B-BFD7-5E503055B129}"/>
    <cellStyle name="Comma 297 5" xfId="5777" xr:uid="{6F90CC69-196F-4786-919D-3E4BD2FAC360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3" xfId="6809" xr:uid="{D4C090F6-205F-46E9-A300-5FBBA53FD5F7}"/>
    <cellStyle name="Comma 298 3" xfId="2604" xr:uid="{43BD4114-8A3F-4936-87A3-2BA879F3AF0E}"/>
    <cellStyle name="Comma 298 3 2" xfId="7837" xr:uid="{3B9BE117-C6A3-4EC3-8749-FAC1F21D12E4}"/>
    <cellStyle name="Comma 298 4" xfId="4730" xr:uid="{25E4D8EA-6C17-494F-BB19-2B0AF548EC2D}"/>
    <cellStyle name="Comma 298 4 2" xfId="9906" xr:uid="{A8C68C54-C5A2-45D4-8728-37D9E04D9310}"/>
    <cellStyle name="Comma 298 5" xfId="5778" xr:uid="{CF5DA435-7DCF-48D8-B408-52DC312F1344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3" xfId="6810" xr:uid="{751FE408-8707-4822-81D2-98F62BFAC1B1}"/>
    <cellStyle name="Comma 299 3" xfId="2605" xr:uid="{1B9AD13C-11B7-4769-877D-D9F86A23F254}"/>
    <cellStyle name="Comma 299 3 2" xfId="7838" xr:uid="{3CC068B9-14E5-498A-A9CC-69402B21FC5C}"/>
    <cellStyle name="Comma 299 4" xfId="4731" xr:uid="{06FB09F3-7F63-458C-B10D-DA1CA26FFF46}"/>
    <cellStyle name="Comma 299 4 2" xfId="9907" xr:uid="{B7948756-6384-43A3-A63E-20852DD1F298}"/>
    <cellStyle name="Comma 299 5" xfId="5779" xr:uid="{B99B2E71-8497-4B14-8795-16637BF5F9E9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3" xfId="6510" xr:uid="{C2CDE11D-45A3-4C2D-807B-54B0EF2671FF}"/>
    <cellStyle name="Comma 3 2 3" xfId="2305" xr:uid="{6608C437-FB7F-429E-802A-E9698A5961B1}"/>
    <cellStyle name="Comma 3 2 3 2" xfId="7538" xr:uid="{5F480C35-FA65-4E0B-B5A0-8F2CFF6525EE}"/>
    <cellStyle name="Comma 3 2 4" xfId="4431" xr:uid="{A1D8042B-676C-4428-8EED-96B213818C37}"/>
    <cellStyle name="Comma 3 2 4 2" xfId="9607" xr:uid="{268EA930-7829-49A0-AF8B-0B6FD28A5D9D}"/>
    <cellStyle name="Comma 3 2 5" xfId="5478" xr:uid="{4402DE7A-06B6-4D9C-8A05-02AB9912329A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3" xfId="6511" xr:uid="{88008D75-78B7-4FCC-A737-1642206EAEFE}"/>
    <cellStyle name="Comma 3 3 3" xfId="2306" xr:uid="{713E449F-42BA-4069-854D-131C916221E5}"/>
    <cellStyle name="Comma 3 3 3 2" xfId="7539" xr:uid="{E4AD3363-0FE1-44FF-BE12-1686049C5BFA}"/>
    <cellStyle name="Comma 3 3 4" xfId="4432" xr:uid="{A4A53D20-A265-4775-BE5B-0C828BEDC16B}"/>
    <cellStyle name="Comma 3 3 4 2" xfId="9608" xr:uid="{6B86AF7D-D921-4C79-A357-8F1B06F81B00}"/>
    <cellStyle name="Comma 3 3 5" xfId="5479" xr:uid="{80A49F56-03D0-4FE9-842A-0A29070BC973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3" xfId="6509" xr:uid="{74366563-5555-4DCB-A3AE-57B8F116964A}"/>
    <cellStyle name="Comma 3 5" xfId="2304" xr:uid="{A3BEF739-2EE8-4273-A95F-69F15DD73397}"/>
    <cellStyle name="Comma 3 5 2" xfId="7537" xr:uid="{BEA90B33-97E2-45E6-AB79-3751F9EAACF4}"/>
    <cellStyle name="Comma 3 6" xfId="4430" xr:uid="{F74F05F1-F93E-45BC-95A2-D3791BCF808A}"/>
    <cellStyle name="Comma 3 6 2" xfId="9606" xr:uid="{B3D465E4-B057-4EC7-823D-B595F3A15F5E}"/>
    <cellStyle name="Comma 3 7" xfId="5477" xr:uid="{9C058EAA-8D7B-458A-81E3-0A34FCFCDEFE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3" xfId="6540" xr:uid="{D92725F5-6528-47E6-8C4C-B80D981D2046}"/>
    <cellStyle name="Comma 30 3" xfId="2335" xr:uid="{13357266-94E1-4632-A69B-D9D622D13B76}"/>
    <cellStyle name="Comma 30 3 2" xfId="7568" xr:uid="{28A8F5DB-832D-4D3C-917E-A88241995816}"/>
    <cellStyle name="Comma 30 4" xfId="4461" xr:uid="{A7CE06AB-289B-4888-A0DB-06065CD4D385}"/>
    <cellStyle name="Comma 30 4 2" xfId="9637" xr:uid="{F54C0ACD-FEF3-4BD6-9034-37B73FD7CFBE}"/>
    <cellStyle name="Comma 30 5" xfId="5509" xr:uid="{097CB24F-4C8A-4795-ACDC-43547393B1A9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3" xfId="6811" xr:uid="{48C4A8DF-6382-4AAF-A20F-CFD241C80472}"/>
    <cellStyle name="Comma 300 3" xfId="2606" xr:uid="{AC3EC441-7479-4D97-AD03-40070B2E7305}"/>
    <cellStyle name="Comma 300 3 2" xfId="7839" xr:uid="{852F24C2-9132-4295-A1D8-4E6730DB14AF}"/>
    <cellStyle name="Comma 300 4" xfId="4732" xr:uid="{C2D884A5-257E-4934-B7F9-ED92655011E0}"/>
    <cellStyle name="Comma 300 4 2" xfId="9908" xr:uid="{0F37CE8A-41AE-4961-A78F-D52DE4580635}"/>
    <cellStyle name="Comma 300 5" xfId="5780" xr:uid="{762E35E3-8207-45FD-851E-A1B689320168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3" xfId="6812" xr:uid="{82A65736-057C-47CA-AD62-FC2913B2B18C}"/>
    <cellStyle name="Comma 301 3" xfId="2607" xr:uid="{52266DA3-6147-413F-A354-D4D189FFFB13}"/>
    <cellStyle name="Comma 301 3 2" xfId="7840" xr:uid="{E28D0CA5-FF12-47EB-9E82-AE0A22B6926B}"/>
    <cellStyle name="Comma 301 4" xfId="4733" xr:uid="{3D505D24-3E95-426E-B9B9-D3883B54E3E2}"/>
    <cellStyle name="Comma 301 4 2" xfId="9909" xr:uid="{17097BD5-9BC5-48BA-B90B-C5673E22A51D}"/>
    <cellStyle name="Comma 301 5" xfId="5781" xr:uid="{FF956425-DBAE-4B2B-A532-F1BC1DDA888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3" xfId="6813" xr:uid="{A28086F1-9C70-4354-B61F-846C6F126A5F}"/>
    <cellStyle name="Comma 302 3" xfId="2608" xr:uid="{6174D5DA-F384-4233-BB93-690BCFE3955B}"/>
    <cellStyle name="Comma 302 3 2" xfId="7841" xr:uid="{074BA81B-56C7-4E5F-9F39-3CE13B092438}"/>
    <cellStyle name="Comma 302 4" xfId="4734" xr:uid="{DF81A0EE-4E40-40AC-88DA-678372E006F7}"/>
    <cellStyle name="Comma 302 4 2" xfId="9910" xr:uid="{01D8451D-69A8-44A6-97B1-8B63B1A388C7}"/>
    <cellStyle name="Comma 302 5" xfId="5782" xr:uid="{83275CD6-A45A-4172-8A9E-B4BD0885E67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3" xfId="6814" xr:uid="{1FE5DADF-67A3-4D05-B23D-4232B8E2E47C}"/>
    <cellStyle name="Comma 303 3" xfId="2609" xr:uid="{FBC8BC48-C7BA-4FE0-A0E8-59AFFB4188D4}"/>
    <cellStyle name="Comma 303 3 2" xfId="7842" xr:uid="{BFCF0FF0-2EFA-4A3D-BC67-40F4F18F608D}"/>
    <cellStyle name="Comma 303 4" xfId="4735" xr:uid="{FB755F72-120F-48B6-B4D0-209D9880CA8D}"/>
    <cellStyle name="Comma 303 4 2" xfId="9911" xr:uid="{931910B0-54EB-4BC6-BD44-A07BD04B8119}"/>
    <cellStyle name="Comma 303 5" xfId="5783" xr:uid="{9F06A381-14FC-42C4-B89D-46D9B4AF1D5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3" xfId="6815" xr:uid="{6B5EDB81-689A-42CB-B1F4-6033DDA859F9}"/>
    <cellStyle name="Comma 304 3" xfId="2610" xr:uid="{E544F4C1-2E2C-41C2-B5C0-EBA006F8D6CD}"/>
    <cellStyle name="Comma 304 3 2" xfId="7843" xr:uid="{13237D9F-42AC-425B-B980-494F8B9FD046}"/>
    <cellStyle name="Comma 304 4" xfId="4736" xr:uid="{186A36A0-7CAB-4775-9110-0ABE40FCEC9C}"/>
    <cellStyle name="Comma 304 4 2" xfId="9912" xr:uid="{26964593-0D80-4291-AD68-7431046FB024}"/>
    <cellStyle name="Comma 304 5" xfId="5784" xr:uid="{81C0E6B4-F0B6-4604-9054-43F532741339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3" xfId="6816" xr:uid="{A8F522C9-D147-4B77-9E80-9E292E4F17C2}"/>
    <cellStyle name="Comma 305 3" xfId="2611" xr:uid="{7398F58E-14A8-42A5-96CA-CD63E21F99DB}"/>
    <cellStyle name="Comma 305 3 2" xfId="7844" xr:uid="{FDEDFE0A-D6FC-46AE-814E-049021DCAAEF}"/>
    <cellStyle name="Comma 305 4" xfId="4737" xr:uid="{B920FAB5-C6D5-4CF6-8287-5C5BBF124A27}"/>
    <cellStyle name="Comma 305 4 2" xfId="9913" xr:uid="{4ECD6010-6FFC-4558-B3A8-55AA93969539}"/>
    <cellStyle name="Comma 305 5" xfId="5785" xr:uid="{66197D31-FF1C-41F6-AE28-BE4F10D81B72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3" xfId="6817" xr:uid="{68160441-3635-4A4B-B8DD-EB7104675E13}"/>
    <cellStyle name="Comma 306 3" xfId="2612" xr:uid="{DB7F938F-F10F-4475-A816-D88318B6FF51}"/>
    <cellStyle name="Comma 306 3 2" xfId="7845" xr:uid="{73F4DF12-F0DA-4798-AD02-59A7352A6A4D}"/>
    <cellStyle name="Comma 306 4" xfId="4738" xr:uid="{157D8807-5F06-4F1A-BDC8-4340812655CA}"/>
    <cellStyle name="Comma 306 4 2" xfId="9914" xr:uid="{90F6D03D-C96F-40B4-BFDF-4989736BF0DF}"/>
    <cellStyle name="Comma 306 5" xfId="5786" xr:uid="{7DCE5CF3-CB6B-46DC-AA10-D1C6E02CF9D1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3" xfId="6818" xr:uid="{7C48FF86-9DA9-438B-8E20-028F3B59FE3C}"/>
    <cellStyle name="Comma 307 3" xfId="2613" xr:uid="{CF59B702-85C5-44BB-9AC0-571E0E79D855}"/>
    <cellStyle name="Comma 307 3 2" xfId="7846" xr:uid="{A1DBA591-4D7F-43EB-A77B-9599F7E04C8A}"/>
    <cellStyle name="Comma 307 4" xfId="4739" xr:uid="{8C1D1246-CAE8-490E-86CF-C2F1AF3F82AA}"/>
    <cellStyle name="Comma 307 4 2" xfId="9915" xr:uid="{806B953A-B40A-49DE-BAFA-2E15D6A78C25}"/>
    <cellStyle name="Comma 307 5" xfId="5787" xr:uid="{44FF6A30-88D4-4D35-A749-443AC7214A33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3" xfId="6819" xr:uid="{1FC96EF8-1C34-4A07-B184-DE28F3452E87}"/>
    <cellStyle name="Comma 308 3" xfId="2614" xr:uid="{7D404B98-72F1-44CE-89FB-1480CCB11024}"/>
    <cellStyle name="Comma 308 3 2" xfId="7847" xr:uid="{6F29343E-DBA8-4F1D-BCA4-CF24CFE42249}"/>
    <cellStyle name="Comma 308 4" xfId="4740" xr:uid="{91CEDA1D-2FAA-40F8-914F-9586AD378287}"/>
    <cellStyle name="Comma 308 4 2" xfId="9916" xr:uid="{1E975C95-968C-4D68-AE88-7894D86C351B}"/>
    <cellStyle name="Comma 308 5" xfId="5788" xr:uid="{B36A0E50-FCE7-45CB-BC77-2DB73BA844ED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3" xfId="6820" xr:uid="{64D34A2B-99CA-4B84-B416-9368D14C350F}"/>
    <cellStyle name="Comma 309 3" xfId="2615" xr:uid="{BE45173C-CE4B-4847-94D3-B64AC61C92D0}"/>
    <cellStyle name="Comma 309 3 2" xfId="7848" xr:uid="{A1DCC538-5817-493D-95CF-FA713B31CB25}"/>
    <cellStyle name="Comma 309 4" xfId="4741" xr:uid="{ECB76FDE-85DE-46D8-8BC5-7146A0C63C7A}"/>
    <cellStyle name="Comma 309 4 2" xfId="9917" xr:uid="{4EE62D8A-716C-4182-A1BC-8055ABEA7C62}"/>
    <cellStyle name="Comma 309 5" xfId="5789" xr:uid="{E55FB5E1-0CCC-4D3C-A58A-6D80B0116C7B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3" xfId="6541" xr:uid="{6F287000-A667-427C-B49E-5E370B975607}"/>
    <cellStyle name="Comma 31 3" xfId="2336" xr:uid="{231DDBDA-095E-46C8-9167-3E1A6A056A1F}"/>
    <cellStyle name="Comma 31 3 2" xfId="7569" xr:uid="{AC9433BA-1321-460B-AD99-CFBD16DAE27D}"/>
    <cellStyle name="Comma 31 4" xfId="4462" xr:uid="{167CEE08-69F8-4176-99C5-C8BEC53F47CF}"/>
    <cellStyle name="Comma 31 4 2" xfId="9638" xr:uid="{65DF8226-0A92-44CF-9E55-EDAE0052DD37}"/>
    <cellStyle name="Comma 31 5" xfId="5510" xr:uid="{A245604A-7170-4A41-82CE-D7C685C0E31E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3" xfId="6821" xr:uid="{715AC8C2-BDC3-4BCC-BD06-85B48287D483}"/>
    <cellStyle name="Comma 310 3" xfId="2616" xr:uid="{804EE8CF-B746-4662-B768-A22C07605336}"/>
    <cellStyle name="Comma 310 3 2" xfId="7849" xr:uid="{119D8B4F-5F51-4678-9B12-75187971B248}"/>
    <cellStyle name="Comma 310 4" xfId="4742" xr:uid="{59A351F7-AB77-44DC-9DB5-4CBC7C3D297A}"/>
    <cellStyle name="Comma 310 4 2" xfId="9918" xr:uid="{137E3CBD-C708-44E8-8F5C-2171405D5BC0}"/>
    <cellStyle name="Comma 310 5" xfId="5790" xr:uid="{5711DDE4-272C-4F61-8A03-AFC339670758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3" xfId="6822" xr:uid="{DB211B0F-7B18-4208-BC1F-83DAE9C2A101}"/>
    <cellStyle name="Comma 311 3" xfId="2617" xr:uid="{6E789538-3DA3-4C4A-8B97-383102C85A51}"/>
    <cellStyle name="Comma 311 3 2" xfId="7850" xr:uid="{D0E44744-80E7-4EB1-AEDE-C4FFB46C0E73}"/>
    <cellStyle name="Comma 311 4" xfId="4743" xr:uid="{2460D602-8606-4E8F-9A6D-9F7E74B73A93}"/>
    <cellStyle name="Comma 311 4 2" xfId="9919" xr:uid="{D5932961-9A56-476C-B244-51D266785BF3}"/>
    <cellStyle name="Comma 311 5" xfId="5791" xr:uid="{1BE026ED-9ADA-4B06-BB70-6F923B11FC6E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3" xfId="6823" xr:uid="{ACF18FE6-4C11-40F1-B2E8-8474FE586929}"/>
    <cellStyle name="Comma 312 3" xfId="2618" xr:uid="{EC4EB2B6-EA0C-4228-8FF6-C9986A954F29}"/>
    <cellStyle name="Comma 312 3 2" xfId="7851" xr:uid="{A028E8B1-920A-4624-8D2F-26CE8AD0A214}"/>
    <cellStyle name="Comma 312 4" xfId="4744" xr:uid="{1AE049F4-E507-49EF-80A1-A5847CA15482}"/>
    <cellStyle name="Comma 312 4 2" xfId="9920" xr:uid="{613F84D5-6907-4190-837A-727BD64660F0}"/>
    <cellStyle name="Comma 312 5" xfId="5792" xr:uid="{948F4D2D-4438-4BF6-AFF5-5CB3028FB8E4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3" xfId="6824" xr:uid="{1EF25D07-A1C6-4E47-B53E-895BE76239BD}"/>
    <cellStyle name="Comma 313 3" xfId="2619" xr:uid="{5DE1EB73-848E-4958-BEA6-7CC634E4F50D}"/>
    <cellStyle name="Comma 313 3 2" xfId="7852" xr:uid="{BD0ABB1B-91B4-445F-85B1-FA3FC706E1C0}"/>
    <cellStyle name="Comma 313 4" xfId="4745" xr:uid="{2D02BEFD-9CBE-47B3-9B7D-1B2D73B21A09}"/>
    <cellStyle name="Comma 313 4 2" xfId="9921" xr:uid="{80972755-63EC-4900-A756-296D5F929787}"/>
    <cellStyle name="Comma 313 5" xfId="5793" xr:uid="{B399ED90-695B-4E77-BC3A-3F9FF72B4B75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3" xfId="6825" xr:uid="{C204BAD2-157C-41D0-8AE6-327E088F6F4F}"/>
    <cellStyle name="Comma 314 3" xfId="2620" xr:uid="{93C3D9F8-9E9D-4E9C-B532-C4356D78F9A7}"/>
    <cellStyle name="Comma 314 3 2" xfId="7853" xr:uid="{38465B77-8D63-4145-9EBC-13C0D920891C}"/>
    <cellStyle name="Comma 314 4" xfId="4746" xr:uid="{02B21954-9E2A-4DF2-9CF6-47E724257FED}"/>
    <cellStyle name="Comma 314 4 2" xfId="9922" xr:uid="{53886930-6331-43E6-9467-E33F26E999AA}"/>
    <cellStyle name="Comma 314 5" xfId="5794" xr:uid="{995A80A9-D55D-4F58-A53C-5E9FF7AB12A3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3" xfId="6826" xr:uid="{6C2A2FAA-D9F7-4357-9C1C-B2E88B372B3C}"/>
    <cellStyle name="Comma 315 3" xfId="2621" xr:uid="{DA9360DD-C773-4D59-A80F-27559ABF221E}"/>
    <cellStyle name="Comma 315 3 2" xfId="7854" xr:uid="{A5A71599-375B-4EB1-BEA0-66990F71887D}"/>
    <cellStyle name="Comma 315 4" xfId="4747" xr:uid="{A3CAAD4B-E4C9-4ECE-9064-8D2BD2A10416}"/>
    <cellStyle name="Comma 315 4 2" xfId="9923" xr:uid="{C4E2956C-3711-4406-93EF-26DD8668A154}"/>
    <cellStyle name="Comma 315 5" xfId="5795" xr:uid="{3C41C5E3-E011-40A7-B30F-912CF3E5B69E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3" xfId="6827" xr:uid="{E49217B6-CDD4-4C1D-BD5D-853871187951}"/>
    <cellStyle name="Comma 316 3" xfId="2622" xr:uid="{85C3CFD8-A74F-4A11-A6F4-61337B54C1F7}"/>
    <cellStyle name="Comma 316 3 2" xfId="7855" xr:uid="{1BC9E99C-BCD5-4AA0-9021-C5BF014FC530}"/>
    <cellStyle name="Comma 316 4" xfId="4748" xr:uid="{0463A7E8-8D16-412E-B4B4-84039E9F88C0}"/>
    <cellStyle name="Comma 316 4 2" xfId="9924" xr:uid="{3B502A64-275F-4EE2-9FB7-58EB09C6E691}"/>
    <cellStyle name="Comma 316 5" xfId="5796" xr:uid="{6270C19D-F44D-4457-9460-4E8D57BD95A8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3" xfId="6828" xr:uid="{6B35E286-2349-40B5-9101-D9E0D161758F}"/>
    <cellStyle name="Comma 317 3" xfId="2623" xr:uid="{7F50CBFA-D37A-44EF-8107-937E508A0F75}"/>
    <cellStyle name="Comma 317 3 2" xfId="7856" xr:uid="{B20C72C7-8077-4CEC-A08C-E0E135938D8E}"/>
    <cellStyle name="Comma 317 4" xfId="4749" xr:uid="{2860170E-215A-44BA-B9E4-D2029D68944B}"/>
    <cellStyle name="Comma 317 4 2" xfId="9925" xr:uid="{6B9B76E4-EB57-48E8-8A76-C302A650DCC3}"/>
    <cellStyle name="Comma 317 5" xfId="5797" xr:uid="{B317A104-F885-422B-AF98-B25F70A280DA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3" xfId="6829" xr:uid="{A9214EB2-6A72-415F-BB3A-4374E214832B}"/>
    <cellStyle name="Comma 318 3" xfId="2624" xr:uid="{A17054DF-26AF-484B-AC70-905B6BE218B6}"/>
    <cellStyle name="Comma 318 3 2" xfId="7857" xr:uid="{83C12D26-168D-433D-AC9C-06510AE773C4}"/>
    <cellStyle name="Comma 318 4" xfId="4750" xr:uid="{15607165-43B1-433F-89DA-27B8A9303DB7}"/>
    <cellStyle name="Comma 318 4 2" xfId="9926" xr:uid="{BFD255C6-E4A3-40E4-8605-0417333733E5}"/>
    <cellStyle name="Comma 318 5" xfId="5798" xr:uid="{5A0EC29F-C698-437B-BE41-E3A96DED4143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3" xfId="6830" xr:uid="{031DDB3D-3FF8-4C45-B04B-AFBCA0B08A33}"/>
    <cellStyle name="Comma 319 3" xfId="2625" xr:uid="{39E21517-6BCF-4A31-B9CB-7381B5452B30}"/>
    <cellStyle name="Comma 319 3 2" xfId="7858" xr:uid="{9959A45C-9DAE-4C82-8BBC-441C4C4229A9}"/>
    <cellStyle name="Comma 319 4" xfId="4751" xr:uid="{8E108592-A59C-4D80-938C-88B47AB26AAC}"/>
    <cellStyle name="Comma 319 4 2" xfId="9927" xr:uid="{F2732948-7E0F-412D-BFC2-4BF0AC624196}"/>
    <cellStyle name="Comma 319 5" xfId="5799" xr:uid="{6DC2E81B-AD77-45AA-A5A8-5AA92448E543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3" xfId="6542" xr:uid="{9AEDF75B-CF13-42C0-B811-0AFF27D53558}"/>
    <cellStyle name="Comma 32 3" xfId="2337" xr:uid="{7E1E2F28-0BF7-4BEA-BEAA-B4CC1D4FE6B0}"/>
    <cellStyle name="Comma 32 3 2" xfId="7570" xr:uid="{A349AF3E-B17F-4DC8-A587-A5520E85CD84}"/>
    <cellStyle name="Comma 32 4" xfId="4463" xr:uid="{3CCD9160-C3CA-455D-94BE-AE79237D1843}"/>
    <cellStyle name="Comma 32 4 2" xfId="9639" xr:uid="{C8B146B4-CBBB-4928-B4E4-7870ED325D2C}"/>
    <cellStyle name="Comma 32 5" xfId="5511" xr:uid="{19FC4CC4-EDEC-4E2C-9B4B-366D3DABFAD4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3" xfId="6831" xr:uid="{2FCE8BB0-2D73-44BA-8538-CE984BF3404C}"/>
    <cellStyle name="Comma 320 3" xfId="2626" xr:uid="{8E6A6E66-BB43-4C40-B212-FB9EA3CF589D}"/>
    <cellStyle name="Comma 320 3 2" xfId="7859" xr:uid="{FB373464-788B-44E8-BB68-4114C073C9FD}"/>
    <cellStyle name="Comma 320 4" xfId="4752" xr:uid="{55CA16FB-6A58-483F-A666-106E9706DFF5}"/>
    <cellStyle name="Comma 320 4 2" xfId="9928" xr:uid="{86EAF0DC-010E-4329-9B6C-0DDB238930AE}"/>
    <cellStyle name="Comma 320 5" xfId="5800" xr:uid="{6BAE1E23-4D84-4D96-B930-943BB0A44852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3" xfId="6832" xr:uid="{6B861AAB-BBEC-42AE-AB13-C2D78C563E60}"/>
    <cellStyle name="Comma 321 3" xfId="2627" xr:uid="{C279A73F-3317-4E51-9760-68A0F0AE5E1E}"/>
    <cellStyle name="Comma 321 3 2" xfId="7860" xr:uid="{F9DE1142-5479-42E6-8931-6B518978A201}"/>
    <cellStyle name="Comma 321 4" xfId="4753" xr:uid="{7BD49924-39C5-4FF5-8C27-E1A2805820BA}"/>
    <cellStyle name="Comma 321 4 2" xfId="9929" xr:uid="{7F8418B6-2F3C-4E3A-9364-92A2878EA799}"/>
    <cellStyle name="Comma 321 5" xfId="5801" xr:uid="{53BD1DD2-EA10-4F28-BE6D-E1AEA0AFC937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3" xfId="6833" xr:uid="{68271068-2BFD-4C45-9920-60C900809FE2}"/>
    <cellStyle name="Comma 322 3" xfId="2628" xr:uid="{EF3075B3-2551-4C10-A0AD-F2895FC556EF}"/>
    <cellStyle name="Comma 322 3 2" xfId="7861" xr:uid="{99EA91E0-2F2E-4A85-AC45-3C4D067CDC9A}"/>
    <cellStyle name="Comma 322 4" xfId="4754" xr:uid="{26773D58-0F86-4D46-BF95-7C35E18B8340}"/>
    <cellStyle name="Comma 322 4 2" xfId="9930" xr:uid="{4750101D-AD24-444E-A939-C95EB33B580F}"/>
    <cellStyle name="Comma 322 5" xfId="5802" xr:uid="{7F2E9279-8DB6-4B69-ABE9-710CB3A7F6EE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3" xfId="6834" xr:uid="{D6E6F785-C436-480F-AFAE-B65A669AB296}"/>
    <cellStyle name="Comma 323 3" xfId="2629" xr:uid="{08EFF4B1-BB5D-4F66-BE02-0235809DE46D}"/>
    <cellStyle name="Comma 323 3 2" xfId="7862" xr:uid="{C3C91B31-B258-41DE-A6CB-1075CB56A396}"/>
    <cellStyle name="Comma 323 4" xfId="4755" xr:uid="{D983CCD1-9FA8-4644-A7D3-7C707D3ABE29}"/>
    <cellStyle name="Comma 323 4 2" xfId="9931" xr:uid="{5BF7D19D-8024-429F-B86C-A399CB903CAF}"/>
    <cellStyle name="Comma 323 5" xfId="5803" xr:uid="{DFC512C2-1E49-47E8-BECB-3AAC132AC3E1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3" xfId="6835" xr:uid="{C8A5080F-E0E9-4C9A-8319-B8EE809D3D2C}"/>
    <cellStyle name="Comma 324 3" xfId="2630" xr:uid="{EBE6248E-1FB6-479B-8CEB-00299340815F}"/>
    <cellStyle name="Comma 324 3 2" xfId="7863" xr:uid="{C6CA598C-1D26-488B-88E8-5164548F7D1D}"/>
    <cellStyle name="Comma 324 4" xfId="4756" xr:uid="{08EDB386-907F-4216-810A-EC34C9A48E63}"/>
    <cellStyle name="Comma 324 4 2" xfId="9932" xr:uid="{A4ED2492-6E45-4C36-BCA6-9561E3E4B4AA}"/>
    <cellStyle name="Comma 324 5" xfId="5804" xr:uid="{015F73E3-1F80-4E48-AD32-26A968B3AA0E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3" xfId="6836" xr:uid="{9B257CC3-5B00-459C-9105-90021D108813}"/>
    <cellStyle name="Comma 325 3" xfId="2631" xr:uid="{9750F8A1-763F-40B7-A2E3-9170F053C3E5}"/>
    <cellStyle name="Comma 325 3 2" xfId="7864" xr:uid="{AD99B4F7-5888-4920-B50B-13EBE26ECBF7}"/>
    <cellStyle name="Comma 325 4" xfId="4757" xr:uid="{097B0998-4D76-403D-97CC-752ACFEBC0B4}"/>
    <cellStyle name="Comma 325 4 2" xfId="9933" xr:uid="{7D927443-3108-46ED-833F-DD0FEC687F7D}"/>
    <cellStyle name="Comma 325 5" xfId="5805" xr:uid="{5B624F50-565C-42E2-9B3E-4F1A6FB62FAB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3" xfId="6837" xr:uid="{9FC2976F-5DC7-4328-BB76-1B758F2BECA8}"/>
    <cellStyle name="Comma 326 3" xfId="2632" xr:uid="{5AED2503-DF08-482F-8EFC-0376A036A042}"/>
    <cellStyle name="Comma 326 3 2" xfId="7865" xr:uid="{68732AF1-60AC-4D71-B7ED-53816DA4B85A}"/>
    <cellStyle name="Comma 326 4" xfId="4758" xr:uid="{1B4DCB74-15BA-41BF-B6B4-C063C66D97C2}"/>
    <cellStyle name="Comma 326 4 2" xfId="9934" xr:uid="{A92FE057-B46A-45B4-B6E7-14AAECAE1B9A}"/>
    <cellStyle name="Comma 326 5" xfId="5806" xr:uid="{41E289FF-261C-42E1-A4FA-1D225A39EC95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3" xfId="6838" xr:uid="{3F7102CE-7F2E-4CFB-8268-A92AAE96AF44}"/>
    <cellStyle name="Comma 327 3" xfId="2633" xr:uid="{E7CF6643-2AC7-43AD-9362-3A376196694A}"/>
    <cellStyle name="Comma 327 3 2" xfId="7866" xr:uid="{E3A50C79-525E-45D5-8E60-EDED36A8EC15}"/>
    <cellStyle name="Comma 327 4" xfId="4759" xr:uid="{381B4136-C362-4CDD-9B26-952C7649515F}"/>
    <cellStyle name="Comma 327 4 2" xfId="9935" xr:uid="{A7A3A1E8-50D5-4DE4-891E-5B91BFD830B4}"/>
    <cellStyle name="Comma 327 5" xfId="5807" xr:uid="{8929520A-5F99-450C-AE42-A71218336568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3" xfId="6839" xr:uid="{F287AD8E-ACFA-434A-8907-1B6E7D324762}"/>
    <cellStyle name="Comma 328 3" xfId="2634" xr:uid="{E9203C27-CCBB-466C-B5A7-B6DB1D316A1C}"/>
    <cellStyle name="Comma 328 3 2" xfId="7867" xr:uid="{9B175412-D800-4D3B-9BBC-79BA699B7BEC}"/>
    <cellStyle name="Comma 328 4" xfId="4760" xr:uid="{197E3233-64EF-4FE0-9B17-4DF3AF44E307}"/>
    <cellStyle name="Comma 328 4 2" xfId="9936" xr:uid="{87B65AE8-8C2F-452C-B6ED-8A068F86B3CE}"/>
    <cellStyle name="Comma 328 5" xfId="5808" xr:uid="{76E0980E-5275-4E4A-BDE3-539D8BFFADE4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3" xfId="6840" xr:uid="{F8C20AE3-4D91-4665-9A81-2873CD7AF247}"/>
    <cellStyle name="Comma 329 3" xfId="2635" xr:uid="{065455C2-11AC-41E5-AA56-DF6990E34512}"/>
    <cellStyle name="Comma 329 3 2" xfId="7868" xr:uid="{E931CDDE-D896-4FB4-9121-59E61A466BF0}"/>
    <cellStyle name="Comma 329 4" xfId="4761" xr:uid="{9DFDF376-4B0C-45C7-8203-AD5BF196607D}"/>
    <cellStyle name="Comma 329 4 2" xfId="9937" xr:uid="{211700F2-B57D-458B-AEF0-D99165EA9E82}"/>
    <cellStyle name="Comma 329 5" xfId="5809" xr:uid="{5353ED9D-389D-4B76-98F4-6D5057C0C790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3" xfId="6544" xr:uid="{F8D72157-1AD2-4B6F-936B-FD19069581FA}"/>
    <cellStyle name="Comma 33 3" xfId="2339" xr:uid="{1810487B-40F7-4805-8934-8314246FB0F9}"/>
    <cellStyle name="Comma 33 3 2" xfId="7572" xr:uid="{420E6FE1-9688-4667-A074-743C6866EE23}"/>
    <cellStyle name="Comma 33 4" xfId="4465" xr:uid="{8723284A-F670-4864-B34F-06574731B8AE}"/>
    <cellStyle name="Comma 33 4 2" xfId="9641" xr:uid="{A1ADA10F-8C79-47A6-980D-30FC42F2D540}"/>
    <cellStyle name="Comma 33 5" xfId="5513" xr:uid="{C65D029F-9563-4F5B-A476-25DE16B75823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3" xfId="6841" xr:uid="{DC9ED4B0-2656-4463-8FAB-9C5EDB0B0FA9}"/>
    <cellStyle name="Comma 330 3" xfId="2636" xr:uid="{CBBA65AF-880A-4885-A036-620269546E0C}"/>
    <cellStyle name="Comma 330 3 2" xfId="7869" xr:uid="{2025A938-DA7E-4B87-83E7-4CC7A4D96B47}"/>
    <cellStyle name="Comma 330 4" xfId="4762" xr:uid="{439AE337-281A-48D9-B0A1-16468A5F28DD}"/>
    <cellStyle name="Comma 330 4 2" xfId="9938" xr:uid="{00C0A206-F83F-4F94-A559-900D02278E18}"/>
    <cellStyle name="Comma 330 5" xfId="5810" xr:uid="{80A42FBE-D1CA-4960-A120-7F40518C21C0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3" xfId="6842" xr:uid="{32E652DC-7B16-4CED-BF5A-FAD6CAD11D3C}"/>
    <cellStyle name="Comma 331 3" xfId="2637" xr:uid="{24850F51-F70A-49FF-BB38-960F078F69E4}"/>
    <cellStyle name="Comma 331 3 2" xfId="7870" xr:uid="{59D01BED-5796-44BF-AB93-AA1C591CB5A5}"/>
    <cellStyle name="Comma 331 4" xfId="4763" xr:uid="{82C8A114-D4FA-43AB-A2C2-162CA356EF7F}"/>
    <cellStyle name="Comma 331 4 2" xfId="9939" xr:uid="{93FDFFE8-8657-4A92-9267-9D9129EDDE51}"/>
    <cellStyle name="Comma 331 5" xfId="5811" xr:uid="{96068564-9EEE-46BF-8423-C622F5151131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3" xfId="6843" xr:uid="{7C397272-26B4-42C9-ACD7-902262F3E8D0}"/>
    <cellStyle name="Comma 332 3" xfId="2638" xr:uid="{8837F253-548F-412C-9088-10C673A91EB6}"/>
    <cellStyle name="Comma 332 3 2" xfId="7871" xr:uid="{779BF94D-6CFE-4CB1-BC21-35C5CC7CCFA3}"/>
    <cellStyle name="Comma 332 4" xfId="4764" xr:uid="{AFD73E03-7EE3-4099-9D4B-0B17E38E3B35}"/>
    <cellStyle name="Comma 332 4 2" xfId="9940" xr:uid="{A1B7A348-9F74-490E-A4EE-AFFF15DE1415}"/>
    <cellStyle name="Comma 332 5" xfId="5812" xr:uid="{F992325A-E766-41A9-9822-8B49AADE5E71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3" xfId="6844" xr:uid="{D2F95CBD-F99B-4EFA-B3E9-BA0B8AF75DE5}"/>
    <cellStyle name="Comma 333 3" xfId="2639" xr:uid="{300C9BF8-E388-4DFE-8B6E-F0F60DAB9AF7}"/>
    <cellStyle name="Comma 333 3 2" xfId="7872" xr:uid="{5F598C32-0138-4EB5-8F99-C8C81FD8C4D5}"/>
    <cellStyle name="Comma 333 4" xfId="4765" xr:uid="{3639EE44-E683-48AC-9C8A-9005A91AC0A0}"/>
    <cellStyle name="Comma 333 4 2" xfId="9941" xr:uid="{9E10006C-65BC-40A2-8E72-304AEA41F341}"/>
    <cellStyle name="Comma 333 5" xfId="5813" xr:uid="{5B722100-069B-4FBD-BBE9-04CCC845ED8A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3" xfId="6845" xr:uid="{40F447B2-F2BE-41F3-9A10-BFCAF5EBBC94}"/>
    <cellStyle name="Comma 334 3" xfId="2640" xr:uid="{A8DC8FDB-750E-47FD-985E-114CD9F7DE1F}"/>
    <cellStyle name="Comma 334 3 2" xfId="7873" xr:uid="{CA63D62E-D07B-4F2D-B12C-6BC39D0E856D}"/>
    <cellStyle name="Comma 334 4" xfId="4766" xr:uid="{1B4556B2-52B4-42E4-A1E5-ED86CD3CCBDE}"/>
    <cellStyle name="Comma 334 4 2" xfId="9942" xr:uid="{96CC0E90-02E1-49A8-BF8E-397059E7CC00}"/>
    <cellStyle name="Comma 334 5" xfId="5814" xr:uid="{108385DF-89CA-4F40-8A61-7719EFB3594C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3" xfId="6846" xr:uid="{E6267146-C816-4037-A819-612A346D9B95}"/>
    <cellStyle name="Comma 335 3" xfId="2641" xr:uid="{202BBE51-CFC8-48F4-9074-1EB27597475F}"/>
    <cellStyle name="Comma 335 3 2" xfId="7874" xr:uid="{F3E2BC69-CB7B-4129-AAFA-E89923637BDE}"/>
    <cellStyle name="Comma 335 4" xfId="4767" xr:uid="{17874DEA-345A-498D-8131-F992F9A04252}"/>
    <cellStyle name="Comma 335 4 2" xfId="9943" xr:uid="{C4BE9826-5378-48AA-A7CF-18E89137E9FB}"/>
    <cellStyle name="Comma 335 5" xfId="5815" xr:uid="{541D7217-8540-4C8B-BD98-F09FD12161DB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3" xfId="6847" xr:uid="{A3C7244C-EFDD-4FE0-A0E3-A8364A3CD1E0}"/>
    <cellStyle name="Comma 336 3" xfId="2642" xr:uid="{42B9DBBB-59F8-499F-BD4A-8DDA667BFD99}"/>
    <cellStyle name="Comma 336 3 2" xfId="7875" xr:uid="{FA08D655-F175-4455-889C-F8DFDD0ECA23}"/>
    <cellStyle name="Comma 336 4" xfId="4768" xr:uid="{83207136-517B-404A-A350-6A900D4FFAE4}"/>
    <cellStyle name="Comma 336 4 2" xfId="9944" xr:uid="{D0818CF5-8CF0-4B17-A7CF-64E3FD262BC2}"/>
    <cellStyle name="Comma 336 5" xfId="5816" xr:uid="{DE3786F7-BF7F-4AA4-BA4D-CEC8A53B4C7C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3" xfId="6848" xr:uid="{8FE8BD4F-D07D-4B0B-B618-9D2D289E9747}"/>
    <cellStyle name="Comma 337 3" xfId="2643" xr:uid="{D4A22070-7F82-46D3-8002-4CBAEF56FC37}"/>
    <cellStyle name="Comma 337 3 2" xfId="7876" xr:uid="{01CF31A6-1334-4E50-B427-1F5804BD309C}"/>
    <cellStyle name="Comma 337 4" xfId="4769" xr:uid="{37AB06D4-B5ED-455A-9222-872C3761D51E}"/>
    <cellStyle name="Comma 337 4 2" xfId="9945" xr:uid="{AD095E68-789E-4775-98E5-D71B99F4D058}"/>
    <cellStyle name="Comma 337 5" xfId="5817" xr:uid="{456DC8EA-ED5F-4596-BF51-F013AEDF83F4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3" xfId="6849" xr:uid="{A149BAE7-DB27-4CC1-8CBB-B1F56D6408D3}"/>
    <cellStyle name="Comma 338 3" xfId="2644" xr:uid="{F5BD1458-7D02-44EA-AE79-2779FE442C1D}"/>
    <cellStyle name="Comma 338 3 2" xfId="7877" xr:uid="{8D39D012-F976-4DF8-B6AC-C0DC1B8CC565}"/>
    <cellStyle name="Comma 338 4" xfId="4770" xr:uid="{88FA7D8C-4850-4A5D-903E-024E491A9B48}"/>
    <cellStyle name="Comma 338 4 2" xfId="9946" xr:uid="{878E19B2-629F-49EA-A74F-513BA391197D}"/>
    <cellStyle name="Comma 338 5" xfId="5818" xr:uid="{00BA9769-7DAF-4A28-89C4-F8F2023169B7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3" xfId="6850" xr:uid="{0B8B9D0A-E515-42C2-89A9-384783910796}"/>
    <cellStyle name="Comma 339 3" xfId="2645" xr:uid="{92FC0868-AA6D-4662-9A9F-591F548414DC}"/>
    <cellStyle name="Comma 339 3 2" xfId="7878" xr:uid="{5CE68200-AF28-41EE-8ABF-31248CE0E783}"/>
    <cellStyle name="Comma 339 4" xfId="4771" xr:uid="{49F97ED3-679E-4CDF-9932-A8480A9C5D9C}"/>
    <cellStyle name="Comma 339 4 2" xfId="9947" xr:uid="{D7E77B5E-64A6-4B51-82EC-C208459EEACC}"/>
    <cellStyle name="Comma 339 5" xfId="5819" xr:uid="{00344829-6D6E-4241-8DB6-BDE1498941E8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3" xfId="6545" xr:uid="{9B0FC4E9-A123-4456-BABD-341DF6EB27D9}"/>
    <cellStyle name="Comma 34 3" xfId="2340" xr:uid="{DB4CC308-1165-4B51-A88D-1D8F2D96ACA6}"/>
    <cellStyle name="Comma 34 3 2" xfId="7573" xr:uid="{AF5D5157-5571-411B-9E28-797933313BBF}"/>
    <cellStyle name="Comma 34 4" xfId="4466" xr:uid="{41B2B57F-1422-405B-B942-9EF64246A86C}"/>
    <cellStyle name="Comma 34 4 2" xfId="9642" xr:uid="{0C189731-A07D-4B93-8276-7283289A1BA6}"/>
    <cellStyle name="Comma 34 5" xfId="5514" xr:uid="{BB7C7115-49E2-4FE8-BBC6-8B3220EE63F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3" xfId="6851" xr:uid="{FE9B8EE3-582F-492D-BA75-6FC51ABA3826}"/>
    <cellStyle name="Comma 340 3" xfId="2646" xr:uid="{BD823753-3FD2-4ADB-BCC5-993FC5CA7A19}"/>
    <cellStyle name="Comma 340 3 2" xfId="7879" xr:uid="{1369EF3D-975E-45E2-8A0D-BF2A8CE0ABB3}"/>
    <cellStyle name="Comma 340 4" xfId="4772" xr:uid="{9806BC25-0AC7-45CC-9138-97D07B4ACC59}"/>
    <cellStyle name="Comma 340 4 2" xfId="9948" xr:uid="{8A585232-47C0-4049-BA18-835C6EE524FB}"/>
    <cellStyle name="Comma 340 5" xfId="5820" xr:uid="{C8F12E20-3AD9-466C-BAF6-723DABE55C2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3" xfId="6852" xr:uid="{60ACECAC-8E4C-4469-AC35-F7F69069C164}"/>
    <cellStyle name="Comma 341 3" xfId="2647" xr:uid="{55BB4B67-D8D2-4032-8724-494B51C67AE3}"/>
    <cellStyle name="Comma 341 3 2" xfId="7880" xr:uid="{0825DF26-373E-4028-B650-7C031A67A916}"/>
    <cellStyle name="Comma 341 4" xfId="4773" xr:uid="{5B96DD96-57DA-4A6E-A9D8-163B4300F7CD}"/>
    <cellStyle name="Comma 341 4 2" xfId="9949" xr:uid="{19C5C96B-BA1D-4291-8AE9-B5F2B91FE35E}"/>
    <cellStyle name="Comma 341 5" xfId="5821" xr:uid="{B81A7520-453C-4831-867F-928C3128ECAE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3" xfId="6853" xr:uid="{51E216C9-9E7B-4162-BD47-22104865A745}"/>
    <cellStyle name="Comma 342 3" xfId="2648" xr:uid="{0ED998C2-4179-4467-B982-676538560ADF}"/>
    <cellStyle name="Comma 342 3 2" xfId="7881" xr:uid="{1DEBE72B-7B32-4E23-AFDE-8780309109A7}"/>
    <cellStyle name="Comma 342 4" xfId="4774" xr:uid="{2B736391-C8DD-4848-A4A5-B156869E48D0}"/>
    <cellStyle name="Comma 342 4 2" xfId="9950" xr:uid="{B0D036AF-1FCD-40B3-9D75-ACC8EA23E4CB}"/>
    <cellStyle name="Comma 342 5" xfId="5822" xr:uid="{E4AFA056-13C9-40F3-80CB-6B10A35133C5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3" xfId="6854" xr:uid="{55CECB46-FC12-4469-A967-02FCC83769A0}"/>
    <cellStyle name="Comma 343 3" xfId="2649" xr:uid="{2E74A09B-F7A2-4334-8083-8A383BE8D708}"/>
    <cellStyle name="Comma 343 3 2" xfId="7882" xr:uid="{C8FC58DB-C6C8-41EC-9F32-C7CCE9BE6D95}"/>
    <cellStyle name="Comma 343 4" xfId="4775" xr:uid="{AE0E2CA1-D970-4467-B42A-6F25837EBA2D}"/>
    <cellStyle name="Comma 343 4 2" xfId="9951" xr:uid="{31A95F7A-BBA7-42EB-854D-7DFA3BA5D862}"/>
    <cellStyle name="Comma 343 5" xfId="5823" xr:uid="{58DF2DE7-CC14-454A-B12A-DC74F5716FDB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3" xfId="6855" xr:uid="{E65C7E3A-B5AE-469F-A30C-6CCC3E032981}"/>
    <cellStyle name="Comma 344 3" xfId="2650" xr:uid="{0C7F2D50-C18F-4D02-8892-2C1EB269FEA2}"/>
    <cellStyle name="Comma 344 3 2" xfId="7883" xr:uid="{D4DF6992-FD1B-4509-90A9-04B7D8D42965}"/>
    <cellStyle name="Comma 344 4" xfId="4776" xr:uid="{28C878BF-45ED-4154-9644-1774BA67FB85}"/>
    <cellStyle name="Comma 344 4 2" xfId="9952" xr:uid="{C92CBFF3-AC61-45BA-BDED-0E23DD9BEB40}"/>
    <cellStyle name="Comma 344 5" xfId="5824" xr:uid="{12B81410-C196-49BF-AB3B-82D048BEEA3B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3" xfId="6856" xr:uid="{5EA6E09B-AABE-44CE-9FFE-EE9B95FE88F8}"/>
    <cellStyle name="Comma 345 3" xfId="2651" xr:uid="{BC92C1B7-41A5-4899-9F11-040D547A08EE}"/>
    <cellStyle name="Comma 345 3 2" xfId="7884" xr:uid="{F6CC9769-C73C-48F9-BAEA-49BD6008EE97}"/>
    <cellStyle name="Comma 345 4" xfId="4777" xr:uid="{BB65664C-B11A-4C2F-A8F5-2140AB62E2A0}"/>
    <cellStyle name="Comma 345 4 2" xfId="9953" xr:uid="{0DFC6706-FCE7-4755-95C8-2376693EB795}"/>
    <cellStyle name="Comma 345 5" xfId="5825" xr:uid="{4670A03F-EFD7-4036-9923-200FFB29B00C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3" xfId="6857" xr:uid="{38444150-99DD-4E3D-A5A6-7192A6FC9D4B}"/>
    <cellStyle name="Comma 346 3" xfId="2652" xr:uid="{B821705B-8884-4783-B698-E968956323FB}"/>
    <cellStyle name="Comma 346 3 2" xfId="7885" xr:uid="{3447A3A5-69EA-4A71-AF69-97E1F63B0427}"/>
    <cellStyle name="Comma 346 4" xfId="4778" xr:uid="{DFCB98F9-70ED-425C-BD60-5C4A5662F16C}"/>
    <cellStyle name="Comma 346 4 2" xfId="9954" xr:uid="{74E91E6A-AD60-4526-9209-7B0F4BDF4A21}"/>
    <cellStyle name="Comma 346 5" xfId="5826" xr:uid="{A0EEAC58-9895-4FF5-9C94-35B27247C89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3" xfId="6858" xr:uid="{C9AB0E01-282D-4F45-BE85-872A860436E2}"/>
    <cellStyle name="Comma 347 3" xfId="2653" xr:uid="{20C38B6C-5B03-4AB9-91BE-EC15D14BE905}"/>
    <cellStyle name="Comma 347 3 2" xfId="7886" xr:uid="{210BA919-4DF7-4C2A-80B1-76930E244C87}"/>
    <cellStyle name="Comma 347 4" xfId="4779" xr:uid="{702D3FEC-5B2D-4D32-972F-305B582AD54E}"/>
    <cellStyle name="Comma 347 4 2" xfId="9955" xr:uid="{FDB92CF3-0FF7-4A63-9707-1E69272B487F}"/>
    <cellStyle name="Comma 347 5" xfId="5827" xr:uid="{63063C64-79FF-449E-AA25-869FB8CC4A26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3" xfId="6859" xr:uid="{2CD477E5-E8C4-4DB2-93BF-80FC6BB2B0E1}"/>
    <cellStyle name="Comma 348 3" xfId="2654" xr:uid="{867A6D7A-59A6-4BD5-BCA5-10C0280BA925}"/>
    <cellStyle name="Comma 348 3 2" xfId="7887" xr:uid="{24BDB600-9E5A-41C5-8F3C-CEC31E6508B5}"/>
    <cellStyle name="Comma 348 4" xfId="4780" xr:uid="{E67E7190-9768-4DAB-A475-991248F47BBF}"/>
    <cellStyle name="Comma 348 4 2" xfId="9956" xr:uid="{6F14D8B3-0A7B-4A2F-A852-B039A6A27D4F}"/>
    <cellStyle name="Comma 348 5" xfId="5828" xr:uid="{5CA7D03D-5B1F-4816-8C3A-DF7495DCEB42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3" xfId="6860" xr:uid="{6E7AF1A4-FD6D-4358-9ABD-F0EA760B739D}"/>
    <cellStyle name="Comma 349 3" xfId="2655" xr:uid="{7544ECCC-4A78-49A6-A73C-F205E695A51B}"/>
    <cellStyle name="Comma 349 3 2" xfId="7888" xr:uid="{226584D8-C9A3-4EDF-B0D9-A5DBDC4CE9FD}"/>
    <cellStyle name="Comma 349 4" xfId="4781" xr:uid="{A3E0ADD3-C7FD-4E7A-B70B-0285804123EF}"/>
    <cellStyle name="Comma 349 4 2" xfId="9957" xr:uid="{257D45B0-8206-491A-84AA-F113FC66EDF4}"/>
    <cellStyle name="Comma 349 5" xfId="5829" xr:uid="{F3427F2E-8E48-4D4F-8B3D-613C84139930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3" xfId="6546" xr:uid="{3F366B0A-2A4F-4780-A765-3B8D57A98D6E}"/>
    <cellStyle name="Comma 35 3" xfId="2341" xr:uid="{717300EC-9CDF-4586-9BD5-486A2ACA3F65}"/>
    <cellStyle name="Comma 35 3 2" xfId="7574" xr:uid="{89EA669C-C4C7-49DC-91C6-E398AFDFCD08}"/>
    <cellStyle name="Comma 35 4" xfId="4467" xr:uid="{19ACC474-AEFC-47AC-A4D1-E21DA0C16783}"/>
    <cellStyle name="Comma 35 4 2" xfId="9643" xr:uid="{B914AAC2-47F5-4673-849D-FDCCDD809FB2}"/>
    <cellStyle name="Comma 35 5" xfId="5515" xr:uid="{EBA8F17C-7EB0-4A53-8C55-DFB28B25BED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3" xfId="6861" xr:uid="{FB15AFB5-1F5B-4DDF-8952-FA2087EFFF09}"/>
    <cellStyle name="Comma 350 3" xfId="2656" xr:uid="{AB14CB7B-21BE-4FFD-A251-750B7894A65B}"/>
    <cellStyle name="Comma 350 3 2" xfId="7889" xr:uid="{B0A4B4FD-48C3-4014-99F6-EE4DACB32EE6}"/>
    <cellStyle name="Comma 350 4" xfId="4782" xr:uid="{A94E4E04-2815-4326-A92E-4D1CD7AFA501}"/>
    <cellStyle name="Comma 350 4 2" xfId="9958" xr:uid="{4602B3D6-5E9F-459A-BC9A-DB9DE5BBFE76}"/>
    <cellStyle name="Comma 350 5" xfId="5830" xr:uid="{8C37CF1E-CE4E-48C7-BB24-9762409A9A05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3" xfId="6862" xr:uid="{CF40A9C5-8018-4A9B-82F7-FA73CAA6030D}"/>
    <cellStyle name="Comma 351 3" xfId="2657" xr:uid="{D58C7C37-9DDF-41F2-BFF1-AD253FD0EDBF}"/>
    <cellStyle name="Comma 351 3 2" xfId="7890" xr:uid="{48576616-6992-49F6-974F-680574C96396}"/>
    <cellStyle name="Comma 351 4" xfId="4783" xr:uid="{D6402734-B012-44C9-843E-439B23FD32B7}"/>
    <cellStyle name="Comma 351 4 2" xfId="9959" xr:uid="{1B83EE54-440C-48F8-8A0A-325711E1C2A3}"/>
    <cellStyle name="Comma 351 5" xfId="5831" xr:uid="{B75C04E2-463B-4C0B-8586-C2DB741A1EB8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3" xfId="6863" xr:uid="{32C97EC3-A799-4992-BF53-8684B83F7FCD}"/>
    <cellStyle name="Comma 352 3" xfId="2658" xr:uid="{7E6AE409-6348-4E98-82B9-D5D77C858A3D}"/>
    <cellStyle name="Comma 352 3 2" xfId="7891" xr:uid="{B897191D-9DF0-4337-9C7A-EB3EA3964CE5}"/>
    <cellStyle name="Comma 352 4" xfId="4784" xr:uid="{167433F8-054C-4D42-A876-3CD1776AB62F}"/>
    <cellStyle name="Comma 352 4 2" xfId="9960" xr:uid="{B19885FF-FBA5-4B6D-BE90-F23A9D98AF9A}"/>
    <cellStyle name="Comma 352 5" xfId="5832" xr:uid="{A140AC53-A238-43A7-BA04-72CAE42D4180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3" xfId="6864" xr:uid="{E2469D5F-6104-4F3A-8DBA-FFFE8BBF4717}"/>
    <cellStyle name="Comma 353 3" xfId="2659" xr:uid="{7A783AAD-F346-49C2-9AF5-75457530D208}"/>
    <cellStyle name="Comma 353 3 2" xfId="7892" xr:uid="{0EF59D81-D300-4AED-AF4E-11B58809DEBF}"/>
    <cellStyle name="Comma 353 4" xfId="4785" xr:uid="{528FBEBF-A780-4533-A680-2E7296BE93E3}"/>
    <cellStyle name="Comma 353 4 2" xfId="9961" xr:uid="{3A57C346-A40C-4309-A824-1FB98834FF8B}"/>
    <cellStyle name="Comma 353 5" xfId="5833" xr:uid="{D5DE172E-893E-4C27-8CC0-9CC664CF109C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3" xfId="6865" xr:uid="{92633159-911E-435B-8EFA-3BEE9ACA2082}"/>
    <cellStyle name="Comma 354 3" xfId="2660" xr:uid="{F7415CD3-138C-42B8-A3B6-67F48C1D9E03}"/>
    <cellStyle name="Comma 354 3 2" xfId="7893" xr:uid="{FF4BEDB8-3D8A-484C-A2B2-25D3998CE05A}"/>
    <cellStyle name="Comma 354 4" xfId="4786" xr:uid="{1D34E2B6-EA76-42D0-A58E-AF1CC55FBD68}"/>
    <cellStyle name="Comma 354 4 2" xfId="9962" xr:uid="{F7911A24-018B-402F-AD0F-02C463B140DF}"/>
    <cellStyle name="Comma 354 5" xfId="5834" xr:uid="{7791E226-DB27-48F6-BE81-576624FE5C4A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3" xfId="6866" xr:uid="{B5E94D62-0376-4E74-BCD1-E077BD3ACFA3}"/>
    <cellStyle name="Comma 355 3" xfId="2661" xr:uid="{41FD35C7-C008-4F0D-A4FC-39623515ED97}"/>
    <cellStyle name="Comma 355 3 2" xfId="7894" xr:uid="{803BBB71-8499-4B14-8FA3-310A2318F4FF}"/>
    <cellStyle name="Comma 355 4" xfId="4787" xr:uid="{DD2F7D50-69F0-4488-A190-E30720A7AEE7}"/>
    <cellStyle name="Comma 355 4 2" xfId="9963" xr:uid="{3F66F532-1111-4D39-84AF-5B882B4BD85B}"/>
    <cellStyle name="Comma 355 5" xfId="5835" xr:uid="{9C206FCF-004A-48DD-A5EF-CE32A070236B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3" xfId="6867" xr:uid="{5F21E2F1-1AEF-4E8A-BE41-8FD0BF0441B5}"/>
    <cellStyle name="Comma 356 3" xfId="2662" xr:uid="{222C72EC-8881-49AA-B7ED-433ABC8A2577}"/>
    <cellStyle name="Comma 356 3 2" xfId="7895" xr:uid="{896FFF52-B5B7-43CB-84C6-DA7323AF4F3B}"/>
    <cellStyle name="Comma 356 4" xfId="4788" xr:uid="{3AE5E713-2B94-4B0E-84E4-A22193E68665}"/>
    <cellStyle name="Comma 356 4 2" xfId="9964" xr:uid="{45A09577-2FF7-47BF-B54D-BD8D6E9094D1}"/>
    <cellStyle name="Comma 356 5" xfId="5836" xr:uid="{F7AC7836-6ECE-4F8E-90E0-87EA71D873AF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3" xfId="6868" xr:uid="{2ACE4E60-8C45-4207-BB83-335217DB137A}"/>
    <cellStyle name="Comma 357 3" xfId="2663" xr:uid="{89A6B10B-24F2-47B1-9AEB-B28C9F39A590}"/>
    <cellStyle name="Comma 357 3 2" xfId="7896" xr:uid="{37AF0ED6-F21F-457E-9F12-BDF233B19BDE}"/>
    <cellStyle name="Comma 357 4" xfId="4789" xr:uid="{B9A40EB3-B8A6-4A90-9A52-DA2157763BFE}"/>
    <cellStyle name="Comma 357 4 2" xfId="9965" xr:uid="{F64CD3AC-D203-4904-8D41-28A7BFDBC6EA}"/>
    <cellStyle name="Comma 357 5" xfId="5837" xr:uid="{DE9EF346-4E5C-4535-A596-D09A3A6A922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3" xfId="6869" xr:uid="{600ABC8D-FE12-4DCF-91A4-6B8264C04BB5}"/>
    <cellStyle name="Comma 358 3" xfId="2664" xr:uid="{9EA0CF51-02D1-4C4E-9372-C5454D105F9B}"/>
    <cellStyle name="Comma 358 3 2" xfId="7897" xr:uid="{7F588B07-BBF2-4FDA-A177-C38F90128688}"/>
    <cellStyle name="Comma 358 4" xfId="4790" xr:uid="{4DF95B46-B55D-47AF-8509-B3D2842F79F0}"/>
    <cellStyle name="Comma 358 4 2" xfId="9966" xr:uid="{7C766778-7F39-4D5F-B79D-B4D1D8574B4C}"/>
    <cellStyle name="Comma 358 5" xfId="5838" xr:uid="{DA30126A-AB64-4F57-A65A-1DD1873D658E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3" xfId="6870" xr:uid="{B579F213-E52E-45E4-A4B8-109515DEB20E}"/>
    <cellStyle name="Comma 359 3" xfId="2665" xr:uid="{46FDEEA7-456C-45E1-A0C6-17A93D00B447}"/>
    <cellStyle name="Comma 359 3 2" xfId="7898" xr:uid="{7E403AA7-1AD7-4905-9CA5-7D6E1074BDFF}"/>
    <cellStyle name="Comma 359 4" xfId="4791" xr:uid="{FDC215D6-196F-48FA-9260-668ADD7F06F2}"/>
    <cellStyle name="Comma 359 4 2" xfId="9967" xr:uid="{F7A96321-E02E-48F4-827D-CFE8BEF9E1AF}"/>
    <cellStyle name="Comma 359 5" xfId="5839" xr:uid="{ED6E08C9-B452-481A-BF82-C6480497B46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3" xfId="6547" xr:uid="{9EE1F1D9-75E2-44C5-BCC5-7FC341C93DEE}"/>
    <cellStyle name="Comma 36 3" xfId="2342" xr:uid="{386F56D1-FAD9-4E7E-A0EB-0750CDD82B56}"/>
    <cellStyle name="Comma 36 3 2" xfId="7575" xr:uid="{3EDA1203-797C-4597-A67B-8DD74425484A}"/>
    <cellStyle name="Comma 36 4" xfId="4468" xr:uid="{0FA2C9F6-D223-4060-842C-5DEA1D1FB6DC}"/>
    <cellStyle name="Comma 36 4 2" xfId="9644" xr:uid="{F13EFCC0-8BD9-43D8-A41E-1853EE621913}"/>
    <cellStyle name="Comma 36 5" xfId="5516" xr:uid="{DA5B32A9-B118-463C-9833-F2CF2B090B3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3" xfId="6871" xr:uid="{E51FB73E-A15F-471F-AE9F-FFF1343A976B}"/>
    <cellStyle name="Comma 360 3" xfId="2666" xr:uid="{FB47C58C-A120-4F31-9CF3-C1794F515568}"/>
    <cellStyle name="Comma 360 3 2" xfId="7899" xr:uid="{C36324B0-DECF-43DE-93F3-9391E3329956}"/>
    <cellStyle name="Comma 360 4" xfId="4792" xr:uid="{905830D6-8983-476E-87B2-BB2DD371A431}"/>
    <cellStyle name="Comma 360 4 2" xfId="9968" xr:uid="{DA8F2181-9E3A-4FB5-97BC-A5CFE6E0541A}"/>
    <cellStyle name="Comma 360 5" xfId="5840" xr:uid="{C133FDFC-F03C-4157-BF35-887369E46DD3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3" xfId="6872" xr:uid="{13ADEAA1-732C-4C63-9568-B968F87871D1}"/>
    <cellStyle name="Comma 361 3" xfId="2667" xr:uid="{B85FAF2B-E631-47EC-92EF-BCDE1D3D3BB1}"/>
    <cellStyle name="Comma 361 3 2" xfId="7900" xr:uid="{A13A097F-8DBB-467B-BFDC-CD1350F5FD72}"/>
    <cellStyle name="Comma 361 4" xfId="4793" xr:uid="{5EF3347D-7B72-46B2-8EFE-A7EF3CFE48A9}"/>
    <cellStyle name="Comma 361 4 2" xfId="9969" xr:uid="{92AEDF88-8F60-4600-9868-6C16C82DFF9B}"/>
    <cellStyle name="Comma 361 5" xfId="5841" xr:uid="{14764272-A20F-454F-97A7-81463A5F7DCD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3" xfId="6873" xr:uid="{42DC2C43-3DCE-4881-AF37-813E5B058B14}"/>
    <cellStyle name="Comma 362 3" xfId="2668" xr:uid="{05930442-D2F1-4D65-AD72-BDC1336E1D2F}"/>
    <cellStyle name="Comma 362 3 2" xfId="7901" xr:uid="{16CC975E-C0F5-4DCA-AE13-243583E9B01A}"/>
    <cellStyle name="Comma 362 4" xfId="4794" xr:uid="{9D359C95-8E18-4520-99CB-CFE21D022765}"/>
    <cellStyle name="Comma 362 4 2" xfId="9970" xr:uid="{FC68AFD6-E857-4BF8-A784-F5BB3807B5FB}"/>
    <cellStyle name="Comma 362 5" xfId="5842" xr:uid="{8BDEC718-3C63-497B-9613-022F180F8FB6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3" xfId="6874" xr:uid="{B9C2996E-DF8F-49CE-AB1F-F70F23D074C4}"/>
    <cellStyle name="Comma 363 3" xfId="2669" xr:uid="{DF135435-C5EC-443E-8EFA-B4A6EA29BCBA}"/>
    <cellStyle name="Comma 363 3 2" xfId="7902" xr:uid="{82BE4EE3-CB3F-411D-8731-12EDB4E7E1A2}"/>
    <cellStyle name="Comma 363 4" xfId="4795" xr:uid="{07F7CF20-1611-468B-8878-0E665157069D}"/>
    <cellStyle name="Comma 363 4 2" xfId="9971" xr:uid="{3A4252A4-51B1-451A-A7CA-6B7B98EC151D}"/>
    <cellStyle name="Comma 363 5" xfId="5843" xr:uid="{6062A961-E180-4472-8FD1-4A7D4803B5FB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3" xfId="6875" xr:uid="{45FA9815-8ECA-4ACA-BE38-673B476B9446}"/>
    <cellStyle name="Comma 364 3" xfId="2670" xr:uid="{FFF77209-734B-4A35-894D-C85DFD143BD8}"/>
    <cellStyle name="Comma 364 3 2" xfId="7903" xr:uid="{7C40BEC6-F818-43BA-9760-CC098FC297FC}"/>
    <cellStyle name="Comma 364 4" xfId="4796" xr:uid="{B447BCD2-6F1A-4847-A8A9-B73868D45795}"/>
    <cellStyle name="Comma 364 4 2" xfId="9972" xr:uid="{E527B9B9-753E-4447-A503-D9F760C0DC78}"/>
    <cellStyle name="Comma 364 5" xfId="5844" xr:uid="{9E94ABB9-F84B-471B-9478-85C2E63A5894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3" xfId="6876" xr:uid="{03F3F080-208C-4076-A694-C7E8B21608D0}"/>
    <cellStyle name="Comma 365 3" xfId="2671" xr:uid="{7FCA8F52-A825-48BA-813E-776F8961DFCD}"/>
    <cellStyle name="Comma 365 3 2" xfId="7904" xr:uid="{CBCEB803-CBC7-4D10-B190-415B754CC7D3}"/>
    <cellStyle name="Comma 365 4" xfId="4797" xr:uid="{242F5CA8-856F-4FB9-B4E1-FADDDEF1C3E9}"/>
    <cellStyle name="Comma 365 4 2" xfId="9973" xr:uid="{DAE02118-1C04-438E-BC53-7914D7C51F78}"/>
    <cellStyle name="Comma 365 5" xfId="5845" xr:uid="{D09B571E-C98C-4A64-A4F0-3FA235B89D10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3" xfId="6877" xr:uid="{55DB4500-65EF-4143-B1E9-082B8F4C892A}"/>
    <cellStyle name="Comma 366 3" xfId="2672" xr:uid="{AE242DF3-1EAE-42C0-8C3B-9BBD86830473}"/>
    <cellStyle name="Comma 366 3 2" xfId="7905" xr:uid="{777C3293-8418-4A66-8E49-7E2439C8D012}"/>
    <cellStyle name="Comma 366 4" xfId="4798" xr:uid="{FEFE68F9-D4B7-4C17-8F63-0C6C119AEF55}"/>
    <cellStyle name="Comma 366 4 2" xfId="9974" xr:uid="{1D4BF45C-8726-4A76-B913-4AA9ED69B91E}"/>
    <cellStyle name="Comma 366 5" xfId="5846" xr:uid="{755D740E-B739-43E1-92AB-C4401A27C01E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3" xfId="6878" xr:uid="{B5E0C20B-C081-4A10-A48A-63632DC349A1}"/>
    <cellStyle name="Comma 367 3" xfId="2673" xr:uid="{ABACFB26-6E16-4FBF-A228-18FFD0ED7E31}"/>
    <cellStyle name="Comma 367 3 2" xfId="7906" xr:uid="{A330951C-F26C-4AE1-9F73-6FEF56823B34}"/>
    <cellStyle name="Comma 367 4" xfId="4799" xr:uid="{95CFF020-1674-4213-A3E1-C1ADB2F5FFEF}"/>
    <cellStyle name="Comma 367 4 2" xfId="9975" xr:uid="{93AC0F19-0736-40A6-9BE2-CF55F8327E0C}"/>
    <cellStyle name="Comma 367 5" xfId="5847" xr:uid="{A4437610-C4ED-4EE1-9069-449A8CB7E9F8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3" xfId="6879" xr:uid="{F2E3DD3E-01D3-4B62-8B83-9A85B3A59FDD}"/>
    <cellStyle name="Comma 368 3" xfId="2674" xr:uid="{F4C12A37-9EEE-4AD0-B2D7-F28CBE86C148}"/>
    <cellStyle name="Comma 368 3 2" xfId="7907" xr:uid="{CAC06029-E842-4EF0-9790-86CDC3D408AD}"/>
    <cellStyle name="Comma 368 4" xfId="4800" xr:uid="{8BEBFE41-B5CC-458C-9FA3-D38D8E106B5E}"/>
    <cellStyle name="Comma 368 4 2" xfId="9976" xr:uid="{F748BABA-1935-4012-8F92-227FA289C08C}"/>
    <cellStyle name="Comma 368 5" xfId="5848" xr:uid="{BD65B41A-63D0-4418-A79D-F3EE9A68B0E6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3" xfId="6880" xr:uid="{0599FE4E-73EA-4BA3-A1BD-21167E4E8E77}"/>
    <cellStyle name="Comma 369 3" xfId="2675" xr:uid="{AFEB1B93-BCB6-4BCF-A0E3-3915B2DA12B9}"/>
    <cellStyle name="Comma 369 3 2" xfId="7908" xr:uid="{13B50587-1387-413A-B293-7004BE5EA622}"/>
    <cellStyle name="Comma 369 4" xfId="4801" xr:uid="{B0F5CF71-48D4-463D-9C4D-395AA6CE9961}"/>
    <cellStyle name="Comma 369 4 2" xfId="9977" xr:uid="{A7C8E91F-7F82-4679-8B11-5C581B53F7F7}"/>
    <cellStyle name="Comma 369 5" xfId="5849" xr:uid="{4BEF681A-665F-4B15-9F07-5940ACD4060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3" xfId="6548" xr:uid="{93A73EF7-5809-4365-A0A6-82E603A27994}"/>
    <cellStyle name="Comma 37 3" xfId="2343" xr:uid="{927513A7-775D-4392-8293-505822F400FF}"/>
    <cellStyle name="Comma 37 3 2" xfId="7576" xr:uid="{4C4904CD-DAB0-4983-8F37-F3839C474C66}"/>
    <cellStyle name="Comma 37 4" xfId="4469" xr:uid="{3063954C-DB06-49E3-88E3-F893F702BA80}"/>
    <cellStyle name="Comma 37 4 2" xfId="9645" xr:uid="{45D9F5CB-C06B-4A97-A3AD-D78FD8A1FFC2}"/>
    <cellStyle name="Comma 37 5" xfId="5517" xr:uid="{BB8A20ED-51FA-4F41-94C4-3B425FCCFA78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3" xfId="6881" xr:uid="{2D9AC43C-89AB-4A3D-8B29-6F29DBE28FFD}"/>
    <cellStyle name="Comma 370 3" xfId="2676" xr:uid="{3DE6AD8D-446C-45AB-B719-2220D74E2388}"/>
    <cellStyle name="Comma 370 3 2" xfId="7909" xr:uid="{F3F8D84A-D375-4099-8B97-3E7D39B5BAB3}"/>
    <cellStyle name="Comma 370 4" xfId="4802" xr:uid="{6FA6BF01-705A-4D13-9054-1FA774836F00}"/>
    <cellStyle name="Comma 370 4 2" xfId="9978" xr:uid="{2DFD1BF3-9EB9-4A0A-87DA-65B98F912E6B}"/>
    <cellStyle name="Comma 370 5" xfId="5850" xr:uid="{CE104C08-2033-474D-85F3-E3AD17ED26E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3" xfId="6882" xr:uid="{EB2EA538-3734-451A-8513-57BE77948A10}"/>
    <cellStyle name="Comma 371 3" xfId="2677" xr:uid="{1A61EF9B-F374-42D4-8ADE-13678BE43477}"/>
    <cellStyle name="Comma 371 3 2" xfId="7910" xr:uid="{F72B06DC-ED6A-402D-98E1-6C61A38A3C9A}"/>
    <cellStyle name="Comma 371 4" xfId="4803" xr:uid="{92AF3483-7BA5-4D02-A40F-E0FC55F74B65}"/>
    <cellStyle name="Comma 371 4 2" xfId="9979" xr:uid="{965E3CA0-6240-4604-A266-3373CCF704E8}"/>
    <cellStyle name="Comma 371 5" xfId="5851" xr:uid="{03900197-7892-4AEF-8149-91785C3E80B4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3" xfId="6883" xr:uid="{AF69909D-85F6-4025-BB6F-12148945D304}"/>
    <cellStyle name="Comma 372 3" xfId="2678" xr:uid="{965AF5AD-9B23-4951-A202-AB4FF1FDF2AC}"/>
    <cellStyle name="Comma 372 3 2" xfId="7911" xr:uid="{8EBCB0CA-16B4-450A-8575-BB6D48204037}"/>
    <cellStyle name="Comma 372 4" xfId="4804" xr:uid="{DB54F0AA-9EB4-4788-9DDC-80FFD05B3EC0}"/>
    <cellStyle name="Comma 372 4 2" xfId="9980" xr:uid="{2733B531-96B3-4067-8776-23E819D4B12F}"/>
    <cellStyle name="Comma 372 5" xfId="5852" xr:uid="{2735895E-516F-4A25-A2C1-967565360AD7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3" xfId="6884" xr:uid="{859365D3-39B6-4C40-BEB0-4E9B0CFA0D33}"/>
    <cellStyle name="Comma 373 3" xfId="2679" xr:uid="{0A70ACAC-83C4-4A2A-BC90-77E8A0C6E2F0}"/>
    <cellStyle name="Comma 373 3 2" xfId="7912" xr:uid="{71749AE9-50E9-453A-86C7-FBDF34D0CF3C}"/>
    <cellStyle name="Comma 373 4" xfId="4805" xr:uid="{7423EA3B-C1BF-436B-93C1-AAEF934954ED}"/>
    <cellStyle name="Comma 373 4 2" xfId="9981" xr:uid="{1E5FD852-2A81-4A90-843A-611A60285BAA}"/>
    <cellStyle name="Comma 373 5" xfId="5853" xr:uid="{3EBFF057-CA2A-445C-B1D6-E4657EB87438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3" xfId="6885" xr:uid="{1574BFAF-6263-41F4-9D0C-6E5D479814CE}"/>
    <cellStyle name="Comma 374 3" xfId="2680" xr:uid="{7D6C2A97-ED2B-4171-B84E-3267D763DDFF}"/>
    <cellStyle name="Comma 374 3 2" xfId="7913" xr:uid="{BA2A1021-CE8B-4BE6-BB3E-129F9E60D10E}"/>
    <cellStyle name="Comma 374 4" xfId="4806" xr:uid="{1EA7D533-EDD2-4E30-B530-04A1878FFC63}"/>
    <cellStyle name="Comma 374 4 2" xfId="9982" xr:uid="{4BBFDCE7-2E10-4FBF-B21A-EDF43D012131}"/>
    <cellStyle name="Comma 374 5" xfId="5854" xr:uid="{618EE791-BDAC-46B3-9781-E54B14516E4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3" xfId="6886" xr:uid="{C91713C7-E6D8-4EF6-A77B-D98EAD1A228D}"/>
    <cellStyle name="Comma 375 3" xfId="2681" xr:uid="{8471C37E-1385-4789-A573-EEE574F102E1}"/>
    <cellStyle name="Comma 375 3 2" xfId="7914" xr:uid="{88B41144-CE1A-4643-B0DF-E8CD3F9E0783}"/>
    <cellStyle name="Comma 375 4" xfId="4807" xr:uid="{393773CE-5679-4290-B7D1-B8DA871FEE86}"/>
    <cellStyle name="Comma 375 4 2" xfId="9983" xr:uid="{BEFC67B1-B30C-498B-B5B4-EE6D7A7C9C81}"/>
    <cellStyle name="Comma 375 5" xfId="5855" xr:uid="{0350991E-8391-4188-BE1E-D1B74DBF89C4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3" xfId="6887" xr:uid="{3BB81A6D-9E41-4DC4-AD31-46D76C6783AA}"/>
    <cellStyle name="Comma 376 3" xfId="2682" xr:uid="{088243B5-6B51-40C2-8516-42A974D9B535}"/>
    <cellStyle name="Comma 376 3 2" xfId="7915" xr:uid="{8E48160C-C71A-4351-8723-F8E8AE7F36EA}"/>
    <cellStyle name="Comma 376 4" xfId="4808" xr:uid="{C24F5E3A-5908-4EE9-8B38-7CC29360F345}"/>
    <cellStyle name="Comma 376 4 2" xfId="9984" xr:uid="{C079616A-0AAE-4AA7-AE7D-12601D282DE0}"/>
    <cellStyle name="Comma 376 5" xfId="5856" xr:uid="{D5362025-5506-433B-9D19-9F4041B327BB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3" xfId="6888" xr:uid="{36FD5A4C-2C64-4E28-A7AA-827F78F16617}"/>
    <cellStyle name="Comma 377 3" xfId="2683" xr:uid="{3F2952A0-A027-402E-BF37-38C622CEE679}"/>
    <cellStyle name="Comma 377 3 2" xfId="7916" xr:uid="{978C4F25-7EFF-41C5-ACBD-5B91B9F684B4}"/>
    <cellStyle name="Comma 377 4" xfId="4809" xr:uid="{B0CD5D61-7A13-451C-95D8-2FDAC108BD65}"/>
    <cellStyle name="Comma 377 4 2" xfId="9985" xr:uid="{0633D09C-BBE9-48B7-BD8C-20785351B995}"/>
    <cellStyle name="Comma 377 5" xfId="5857" xr:uid="{615B9839-331E-4E17-BB15-B758D5BD89C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3" xfId="6889" xr:uid="{58E34DC2-21B2-4B70-8DCF-97139F6F4690}"/>
    <cellStyle name="Comma 378 3" xfId="2684" xr:uid="{FC995D27-842F-48F4-87A0-67BE5F59B62D}"/>
    <cellStyle name="Comma 378 3 2" xfId="7917" xr:uid="{8453E39E-2FB3-4E9B-B04C-9D659B701F99}"/>
    <cellStyle name="Comma 378 4" xfId="4810" xr:uid="{2B615B38-92C7-42E6-BAD4-956C478DDC0A}"/>
    <cellStyle name="Comma 378 4 2" xfId="9986" xr:uid="{D0639F23-0E9E-44B2-8513-37929B4170F0}"/>
    <cellStyle name="Comma 378 5" xfId="5858" xr:uid="{359A7E56-B089-4CCE-A617-DBEE01ED3613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3" xfId="6890" xr:uid="{00DC90E1-3FA3-48B1-B3FA-BD7C49586EC2}"/>
    <cellStyle name="Comma 379 3" xfId="2685" xr:uid="{7EA5F7D5-94E7-45C2-917D-6A13BFD8E8B0}"/>
    <cellStyle name="Comma 379 3 2" xfId="7918" xr:uid="{96610994-4643-47DA-88F5-7167664EB8FD}"/>
    <cellStyle name="Comma 379 4" xfId="4811" xr:uid="{4F1DE037-F63A-4169-8B94-DE0565D5514E}"/>
    <cellStyle name="Comma 379 4 2" xfId="9987" xr:uid="{0E81BB36-0D80-4C17-B010-8F1794316D3D}"/>
    <cellStyle name="Comma 379 5" xfId="5859" xr:uid="{5EF75189-C277-45A3-A07B-1A5A23315ADA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3" xfId="6549" xr:uid="{FF238720-BBCF-4B82-B155-8A079F435726}"/>
    <cellStyle name="Comma 38 3" xfId="2344" xr:uid="{5FE2975E-D943-4108-AE1B-B29DB2714041}"/>
    <cellStyle name="Comma 38 3 2" xfId="7577" xr:uid="{DE7D05C8-0E24-42A9-AE39-5CE56820B91D}"/>
    <cellStyle name="Comma 38 4" xfId="4470" xr:uid="{32ED07A6-92BF-4292-AA5F-ADA0CDD1C591}"/>
    <cellStyle name="Comma 38 4 2" xfId="9646" xr:uid="{AFF0F101-157B-4DE1-AC8C-CB43C84209EF}"/>
    <cellStyle name="Comma 38 5" xfId="5518" xr:uid="{E3A5410F-1757-40B0-98FB-8534483DA5C8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3" xfId="6891" xr:uid="{C681C584-7EC2-4ECC-B90C-7C9D976485BE}"/>
    <cellStyle name="Comma 380 3" xfId="2686" xr:uid="{E14E1D74-E8DB-4FD6-8849-811CC4808105}"/>
    <cellStyle name="Comma 380 3 2" xfId="7919" xr:uid="{C6FDD9F9-7EFB-422F-8E3A-FFADBBC59745}"/>
    <cellStyle name="Comma 380 4" xfId="4812" xr:uid="{671592A5-4676-4CF1-B900-15FA28FDC752}"/>
    <cellStyle name="Comma 380 4 2" xfId="9988" xr:uid="{24DE4D8B-0541-4418-8A08-0F34B0F267B4}"/>
    <cellStyle name="Comma 380 5" xfId="5860" xr:uid="{61405E11-6038-4F5B-8538-E4359F1E0F3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3" xfId="6892" xr:uid="{017EA881-CC8E-48CD-BD32-5DCFA2195C8D}"/>
    <cellStyle name="Comma 381 3" xfId="2687" xr:uid="{3BB864CF-B8E8-455D-9C8C-30B664370FF0}"/>
    <cellStyle name="Comma 381 3 2" xfId="7920" xr:uid="{97B83866-8D18-4E2B-8FA0-1B108F2B343F}"/>
    <cellStyle name="Comma 381 4" xfId="4813" xr:uid="{ED663941-F1D5-4BF3-BDB2-1D3DD078610F}"/>
    <cellStyle name="Comma 381 4 2" xfId="9989" xr:uid="{56E4C84B-C7C0-4DD6-996E-2ABAB63314AA}"/>
    <cellStyle name="Comma 381 5" xfId="5861" xr:uid="{C27E2C7E-8930-43B0-8648-30D3BE929E1C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3" xfId="6893" xr:uid="{B78DE497-7C46-4A7F-8314-65631860FC5A}"/>
    <cellStyle name="Comma 382 3" xfId="2688" xr:uid="{959E2441-5D9B-44F2-BACF-A7EAF2266832}"/>
    <cellStyle name="Comma 382 3 2" xfId="7921" xr:uid="{E4D04F9B-BB01-44F7-9993-3FB0C60F0721}"/>
    <cellStyle name="Comma 382 4" xfId="4814" xr:uid="{83943059-63D9-482C-BE0F-7B444FCEBC30}"/>
    <cellStyle name="Comma 382 4 2" xfId="9990" xr:uid="{79DDBE5D-2C5F-47C5-B75A-51BABE0C1F9B}"/>
    <cellStyle name="Comma 382 5" xfId="5862" xr:uid="{FCEAE2C8-49D0-4318-BDC4-D51B7BC9428F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3" xfId="6894" xr:uid="{50FA4D36-1709-480E-9E5D-FF386923A672}"/>
    <cellStyle name="Comma 383 3" xfId="2689" xr:uid="{F48A3770-F25E-497B-BFE7-2D6F20EB8B43}"/>
    <cellStyle name="Comma 383 3 2" xfId="7922" xr:uid="{3B078796-E87A-48C5-89D9-83E181BB1618}"/>
    <cellStyle name="Comma 383 4" xfId="4815" xr:uid="{9D409BE9-76C1-4477-ACBC-C897256986EC}"/>
    <cellStyle name="Comma 383 4 2" xfId="9991" xr:uid="{9DDDC789-05C6-4039-AE86-7CFB5B4AA22F}"/>
    <cellStyle name="Comma 383 5" xfId="5863" xr:uid="{9662C17B-885A-4149-AE78-31EF8C2F59A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3" xfId="6895" xr:uid="{4D643C28-E6B6-4ACB-A3B9-5D7ACEC92C51}"/>
    <cellStyle name="Comma 384 3" xfId="2690" xr:uid="{10C06E2B-09D2-4C92-8CCE-DF49A0CE87FD}"/>
    <cellStyle name="Comma 384 3 2" xfId="7923" xr:uid="{DD875EC9-3108-473C-AB6D-C8DB19A015D8}"/>
    <cellStyle name="Comma 384 4" xfId="4816" xr:uid="{44F0410A-DE6B-4AC0-8A1D-9A9DA50E9A47}"/>
    <cellStyle name="Comma 384 4 2" xfId="9992" xr:uid="{C5A887EF-D1BC-478C-81E5-39CC47115678}"/>
    <cellStyle name="Comma 384 5" xfId="5864" xr:uid="{875F47FE-5FC0-42B1-9E59-934374E4BAE2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3" xfId="6896" xr:uid="{9769F385-78D8-4C08-988D-C6644D133140}"/>
    <cellStyle name="Comma 385 3" xfId="2691" xr:uid="{678EAB5E-E045-48A5-90A2-D80AEB386AE4}"/>
    <cellStyle name="Comma 385 3 2" xfId="7924" xr:uid="{67C3CB6A-4708-494F-AAF5-FF9DF73335A7}"/>
    <cellStyle name="Comma 385 4" xfId="4817" xr:uid="{11486CD4-0965-4A6B-8BD8-447C468E1919}"/>
    <cellStyle name="Comma 385 4 2" xfId="9993" xr:uid="{664BD407-66D9-4339-9FF1-477588FF984A}"/>
    <cellStyle name="Comma 385 5" xfId="5865" xr:uid="{FA24A289-103E-4341-A16F-8E353FD8B221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3" xfId="6897" xr:uid="{1D540D29-C6F5-44C3-B915-1D6C2C49EBFD}"/>
    <cellStyle name="Comma 386 3" xfId="2692" xr:uid="{773CC24D-248C-40A9-AB8B-8F7BE149C40D}"/>
    <cellStyle name="Comma 386 3 2" xfId="7925" xr:uid="{E8227189-8331-49C6-AF58-B5215EE9B1BB}"/>
    <cellStyle name="Comma 386 4" xfId="4818" xr:uid="{C32A3D1B-9E41-442F-BCD5-F2853A849FCB}"/>
    <cellStyle name="Comma 386 4 2" xfId="9994" xr:uid="{1DCB1659-F4B5-4CE9-9F8A-DC2C047DA681}"/>
    <cellStyle name="Comma 386 5" xfId="5866" xr:uid="{22B0A1B1-3D0B-4AC6-ADF8-EBA1389CA618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3" xfId="6898" xr:uid="{8303057A-7FF4-4D35-A858-95FB0F4A8888}"/>
    <cellStyle name="Comma 387 3" xfId="2693" xr:uid="{2621DD5C-8218-4943-AF16-B25799B2E7F3}"/>
    <cellStyle name="Comma 387 3 2" xfId="7926" xr:uid="{FF056CE6-5184-4CC7-A949-565EC4EEF9B1}"/>
    <cellStyle name="Comma 387 4" xfId="4819" xr:uid="{1E2A35DE-D3B4-40F2-95E9-2C58CCED2CFD}"/>
    <cellStyle name="Comma 387 4 2" xfId="9995" xr:uid="{68310499-49D3-4C85-973B-47B98436715A}"/>
    <cellStyle name="Comma 387 5" xfId="5867" xr:uid="{AD70EE25-EE64-4431-96D0-4A96050C4DE0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3" xfId="6899" xr:uid="{E181A4C2-CCC0-4AB2-AC80-DDB9C64DB300}"/>
    <cellStyle name="Comma 388 3" xfId="2694" xr:uid="{F3102EC6-3F1D-4B1A-AEF7-8730D95B0384}"/>
    <cellStyle name="Comma 388 3 2" xfId="7927" xr:uid="{F0BB74BE-F186-436C-BB5E-A3A4314A0A6E}"/>
    <cellStyle name="Comma 388 4" xfId="4820" xr:uid="{386B251B-2B61-44C5-839B-5C9A3B73EA21}"/>
    <cellStyle name="Comma 388 4 2" xfId="9996" xr:uid="{2A0B32C3-977F-4A9A-A693-308E287B3C63}"/>
    <cellStyle name="Comma 388 5" xfId="5868" xr:uid="{097273E6-580F-4053-9283-265F1AC6E3FC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3" xfId="6900" xr:uid="{2745CF6F-C938-4599-87A5-33AA494B213E}"/>
    <cellStyle name="Comma 389 3" xfId="2695" xr:uid="{42B83D69-ECFF-4617-859C-F8090ADB6433}"/>
    <cellStyle name="Comma 389 3 2" xfId="7928" xr:uid="{0162EFBE-DF20-4641-B725-FB19455DE0DF}"/>
    <cellStyle name="Comma 389 4" xfId="4821" xr:uid="{29264845-14FF-42A6-91BE-C5C64F42E6D4}"/>
    <cellStyle name="Comma 389 4 2" xfId="9997" xr:uid="{A030D119-B49A-44A5-93E3-78C3046B2901}"/>
    <cellStyle name="Comma 389 5" xfId="5869" xr:uid="{F0A733D1-C531-444E-A91E-DFDFF3123268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3" xfId="6550" xr:uid="{BA7583E7-66BC-4CE3-9B19-B78F2C61C76F}"/>
    <cellStyle name="Comma 39 3" xfId="2345" xr:uid="{062E643A-FBD3-4496-B472-E4C02A20FDBE}"/>
    <cellStyle name="Comma 39 3 2" xfId="7578" xr:uid="{F8CC7E97-FE18-4C6B-B0B3-0ED6478313B0}"/>
    <cellStyle name="Comma 39 4" xfId="4471" xr:uid="{C94BA7A2-4AB5-4FA1-9F6A-1150391B2227}"/>
    <cellStyle name="Comma 39 4 2" xfId="9647" xr:uid="{A60D5C5A-DDFF-4117-B5AE-ED6378732D04}"/>
    <cellStyle name="Comma 39 5" xfId="5519" xr:uid="{1AEF6837-6142-418B-98EA-342A2EA3FA04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3" xfId="6901" xr:uid="{E4E2CCB8-0262-4BE9-90EE-E6038972170A}"/>
    <cellStyle name="Comma 390 3" xfId="2696" xr:uid="{33AFF1D3-909F-4058-8B5A-16DB333238AD}"/>
    <cellStyle name="Comma 390 3 2" xfId="7929" xr:uid="{C9C33EC9-48FE-4338-A3EA-3CD2B83AE835}"/>
    <cellStyle name="Comma 390 4" xfId="4822" xr:uid="{0B3615A9-2A23-46A3-9EF0-46534294C14E}"/>
    <cellStyle name="Comma 390 4 2" xfId="9998" xr:uid="{CE73ACC5-3CC7-4E2C-B725-415F8CD574BE}"/>
    <cellStyle name="Comma 390 5" xfId="5870" xr:uid="{87F3581E-F735-4D18-BE96-4218C5BBD891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3" xfId="6902" xr:uid="{78C1A059-AA5A-439A-A577-352B4B5E0496}"/>
    <cellStyle name="Comma 391 3" xfId="2697" xr:uid="{D98025C8-7FD1-4D81-A46A-40EF850CCE98}"/>
    <cellStyle name="Comma 391 3 2" xfId="7930" xr:uid="{C4F2EB33-9A1B-465B-B95A-2000482F1356}"/>
    <cellStyle name="Comma 391 4" xfId="4823" xr:uid="{6871C888-5ABC-4F6E-A2E0-6AF8E887F996}"/>
    <cellStyle name="Comma 391 4 2" xfId="9999" xr:uid="{67BD620C-2ADA-41A0-8470-FD9C723B3215}"/>
    <cellStyle name="Comma 391 5" xfId="5871" xr:uid="{0B7E1B88-531D-4ABD-9096-698FD168EA02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3" xfId="6903" xr:uid="{D8B4A075-4784-4BA2-8DE0-9E8E457779BC}"/>
    <cellStyle name="Comma 392 3" xfId="2698" xr:uid="{2C8F2CCD-2B3F-43E1-BC0C-88E1B7A7DA25}"/>
    <cellStyle name="Comma 392 3 2" xfId="7931" xr:uid="{466971CB-42C0-4767-B7B5-F4CD46CCF806}"/>
    <cellStyle name="Comma 392 4" xfId="4824" xr:uid="{1A69A77B-89A4-4B0D-A16C-A3CC983F4DA7}"/>
    <cellStyle name="Comma 392 4 2" xfId="10000" xr:uid="{74ADA1A8-DAFA-4636-8D64-16C6E4C695F9}"/>
    <cellStyle name="Comma 392 5" xfId="5872" xr:uid="{806B9DDD-6A16-4E2B-B614-D59484E9DEDE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3" xfId="6904" xr:uid="{9B597968-4F73-4A89-B683-A72CAE3B563C}"/>
    <cellStyle name="Comma 393 3" xfId="2699" xr:uid="{3E5FEA5E-16F2-42AA-8CFF-2DE8AE386D24}"/>
    <cellStyle name="Comma 393 3 2" xfId="7932" xr:uid="{F217F190-314B-48B2-8070-9ECA8DE7BFFF}"/>
    <cellStyle name="Comma 393 4" xfId="4825" xr:uid="{1D6A4986-7742-41A8-AAF6-C2CD42132286}"/>
    <cellStyle name="Comma 393 4 2" xfId="10001" xr:uid="{AC639653-55CE-4574-AF77-5C4DA88EA653}"/>
    <cellStyle name="Comma 393 5" xfId="5873" xr:uid="{A182C00A-D9DA-4E76-8163-DB283032ACB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3" xfId="6905" xr:uid="{8992498D-7837-443C-A4B1-8B0559008936}"/>
    <cellStyle name="Comma 394 3" xfId="2700" xr:uid="{0838CE47-DA18-4451-A049-09472BCA7AFC}"/>
    <cellStyle name="Comma 394 3 2" xfId="7933" xr:uid="{B9554DD7-8918-408E-A6D0-B8A21BB0D5F2}"/>
    <cellStyle name="Comma 394 4" xfId="4826" xr:uid="{11F06E55-9253-4654-979A-8725C866D399}"/>
    <cellStyle name="Comma 394 4 2" xfId="10002" xr:uid="{206F7188-BE73-4BF5-BAAA-BBA94452546A}"/>
    <cellStyle name="Comma 394 5" xfId="5874" xr:uid="{30158FD8-8EB0-4645-B232-504BC2494E7F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3" xfId="6906" xr:uid="{D2B4168A-B60D-4000-B530-75335632AEE9}"/>
    <cellStyle name="Comma 395 3" xfId="2701" xr:uid="{FC08EAAE-FE1A-46F1-8C24-4475F7339C8C}"/>
    <cellStyle name="Comma 395 3 2" xfId="7934" xr:uid="{FED27580-48C8-444A-B53A-EEFAA6E07606}"/>
    <cellStyle name="Comma 395 4" xfId="4827" xr:uid="{2B79402F-1E4D-4527-97F4-544796FF45BC}"/>
    <cellStyle name="Comma 395 4 2" xfId="10003" xr:uid="{8D20EFC1-DA02-4AE4-A684-73C81F15CBE4}"/>
    <cellStyle name="Comma 395 5" xfId="5875" xr:uid="{4291DB97-1CD8-40C8-A268-9D71D164313F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3" xfId="6907" xr:uid="{E81ACBF7-2D76-4044-97B7-F1240F7B5AAE}"/>
    <cellStyle name="Comma 396 3" xfId="2702" xr:uid="{14A71C76-7CE5-455F-A8A5-D36D1B562F49}"/>
    <cellStyle name="Comma 396 3 2" xfId="7935" xr:uid="{B333AEE3-1F52-4E56-956B-9FF9AAD45EF6}"/>
    <cellStyle name="Comma 396 4" xfId="4828" xr:uid="{8F9151FF-224E-4C8A-898E-B0C694ACDDFF}"/>
    <cellStyle name="Comma 396 4 2" xfId="10004" xr:uid="{D4484733-665F-4BD9-8C31-9E8A029EA417}"/>
    <cellStyle name="Comma 396 5" xfId="5876" xr:uid="{3F06C0EC-F780-4D7F-BCD7-C2681873298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3" xfId="6908" xr:uid="{3A65FABD-30C3-494E-A1AC-B8415E7D5AAC}"/>
    <cellStyle name="Comma 397 3" xfId="2703" xr:uid="{AE69C23F-BA12-4EB5-997F-3C55E5457D4C}"/>
    <cellStyle name="Comma 397 3 2" xfId="7936" xr:uid="{451CE67E-699B-4FD6-86F4-AE4336E2B9ED}"/>
    <cellStyle name="Comma 397 4" xfId="4829" xr:uid="{37A7AD45-3386-457E-B9D2-A9448DB6E9E1}"/>
    <cellStyle name="Comma 397 4 2" xfId="10005" xr:uid="{F66391FF-47FB-4394-8DF9-DFB7995A00D1}"/>
    <cellStyle name="Comma 397 5" xfId="5877" xr:uid="{F2F1982E-786A-4927-89FA-E3EDB90C8FE8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3" xfId="6909" xr:uid="{F19F832A-2A83-487C-9B5F-F92B3539685C}"/>
    <cellStyle name="Comma 398 3" xfId="2704" xr:uid="{EBF8DAEE-D064-45E3-AF23-F2A426A83BD6}"/>
    <cellStyle name="Comma 398 3 2" xfId="7937" xr:uid="{1C869D0A-78D4-4715-8967-4CCB06933592}"/>
    <cellStyle name="Comma 398 4" xfId="4830" xr:uid="{801FB0C4-19A6-4FE5-9D49-5B083569CD32}"/>
    <cellStyle name="Comma 398 4 2" xfId="10006" xr:uid="{0F52CEE7-1869-4CB2-ACF4-E7AFEDB37AB8}"/>
    <cellStyle name="Comma 398 5" xfId="5878" xr:uid="{7A8CC62F-9B00-4513-A9BF-FCC171051285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3" xfId="6910" xr:uid="{83B423BF-8238-4A63-81A5-A5366CA10A8E}"/>
    <cellStyle name="Comma 399 3" xfId="2705" xr:uid="{2D48ADE3-DFB1-4CB3-9991-EE995504121A}"/>
    <cellStyle name="Comma 399 3 2" xfId="7938" xr:uid="{30357BC9-FCC4-4407-896B-263722C4210D}"/>
    <cellStyle name="Comma 399 4" xfId="4831" xr:uid="{AC3710DA-ACAB-4D7E-BE80-A436B08A21D5}"/>
    <cellStyle name="Comma 399 4 2" xfId="10007" xr:uid="{C0BDC881-D19A-4BB0-ADD8-177A438869BE}"/>
    <cellStyle name="Comma 399 5" xfId="5879" xr:uid="{B1185610-5747-4CFC-BD9F-1A67C8892B4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3" xfId="6513" xr:uid="{AB6ED8F4-234D-4243-A7EC-4F0D77D1BCE5}"/>
    <cellStyle name="Comma 4 2 3" xfId="2308" xr:uid="{4300A57A-9FB4-4922-91A7-3A498F3F92FC}"/>
    <cellStyle name="Comma 4 2 3 2" xfId="7541" xr:uid="{3A47CA0B-BBEB-4354-89EF-7D6A833D55BE}"/>
    <cellStyle name="Comma 4 2 4" xfId="4434" xr:uid="{351AEE52-835B-4BD0-9788-46AA6920BECE}"/>
    <cellStyle name="Comma 4 2 4 2" xfId="9610" xr:uid="{2E977BAE-B405-48CF-B40F-AB43A4ADC9C2}"/>
    <cellStyle name="Comma 4 2 5" xfId="5481" xr:uid="{25A7518C-B53F-4418-8EB6-57B84B156B98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3" xfId="6512" xr:uid="{F01D80AE-92ED-4275-BA74-DC0A07223165}"/>
    <cellStyle name="Comma 4 4" xfId="2307" xr:uid="{A5F3BE57-7C6D-477F-8DCE-AB5480EB3DEB}"/>
    <cellStyle name="Comma 4 4 2" xfId="7540" xr:uid="{0AD2C1CA-89F1-4809-B888-5077F214C3CE}"/>
    <cellStyle name="Comma 4 5" xfId="4433" xr:uid="{58D3B546-94B0-4D0C-BA0A-01715240250E}"/>
    <cellStyle name="Comma 4 5 2" xfId="9609" xr:uid="{BF779286-5E7C-4B76-882A-86E74E220840}"/>
    <cellStyle name="Comma 4 6" xfId="5480" xr:uid="{184690C8-6908-4EF2-8E7C-040FCE6AC5F2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3" xfId="6551" xr:uid="{4A9561A4-E49E-46B8-8FDC-542AE856F6A1}"/>
    <cellStyle name="Comma 40 3" xfId="2346" xr:uid="{9033F154-0799-4C87-B812-4F2FC3266EB7}"/>
    <cellStyle name="Comma 40 3 2" xfId="7579" xr:uid="{7B2B0095-4FB1-4FB0-A9DE-1E56A0455874}"/>
    <cellStyle name="Comma 40 4" xfId="4472" xr:uid="{89F4EB85-04A3-4266-82B9-39CB22D08D1C}"/>
    <cellStyle name="Comma 40 4 2" xfId="9648" xr:uid="{7CA118F7-978A-48D1-8A72-64EC2A2D8847}"/>
    <cellStyle name="Comma 40 5" xfId="5520" xr:uid="{314446D6-1172-4517-B286-374E760B1E1A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3" xfId="6911" xr:uid="{4D92A645-E14A-4DE6-BD6B-9867CDFB5272}"/>
    <cellStyle name="Comma 400 3" xfId="2706" xr:uid="{5F41C4F1-BBE8-4A9B-93CD-4D9DAC083568}"/>
    <cellStyle name="Comma 400 3 2" xfId="7939" xr:uid="{CB9F5F56-E5B3-4FA4-A019-03AEEA182947}"/>
    <cellStyle name="Comma 400 4" xfId="4832" xr:uid="{5DEDD15F-FCDB-4B17-9AF2-D3A43F4F4A38}"/>
    <cellStyle name="Comma 400 4 2" xfId="10008" xr:uid="{05AE7644-D386-4569-ACD3-C370E2CBDD4F}"/>
    <cellStyle name="Comma 400 5" xfId="5880" xr:uid="{C7743FC7-E70B-4AFC-81C4-88C11EDA8EAA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3" xfId="6912" xr:uid="{F8ABAE6D-438A-428D-8897-1BD3B24AC131}"/>
    <cellStyle name="Comma 401 3" xfId="2707" xr:uid="{819325B7-5E0A-454B-8381-30A7F4F3A60C}"/>
    <cellStyle name="Comma 401 3 2" xfId="7940" xr:uid="{E527675E-7C3F-4C53-A8FD-830027519784}"/>
    <cellStyle name="Comma 401 4" xfId="4833" xr:uid="{57785EC4-D9C9-45C3-AC18-51F2920FE4A6}"/>
    <cellStyle name="Comma 401 4 2" xfId="10009" xr:uid="{F3870835-4923-489C-9BB8-FCD93A664DF7}"/>
    <cellStyle name="Comma 401 5" xfId="5881" xr:uid="{914BB3D2-871C-4B9F-8A8B-07D29CFB0DA4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3" xfId="6913" xr:uid="{69449B86-E161-419A-9895-9B0882BF5C68}"/>
    <cellStyle name="Comma 402 3" xfId="2708" xr:uid="{051A2204-6B60-43F6-BEA2-94BCE492B4DD}"/>
    <cellStyle name="Comma 402 3 2" xfId="7941" xr:uid="{17004961-14E1-4A98-9DEF-2F44EF96CAF3}"/>
    <cellStyle name="Comma 402 4" xfId="4834" xr:uid="{FB511F9B-5EE3-4D2E-BFAC-70F57DF6CBFD}"/>
    <cellStyle name="Comma 402 4 2" xfId="10010" xr:uid="{6E8B5E1B-3EFA-4396-A4C4-061666E96054}"/>
    <cellStyle name="Comma 402 5" xfId="5882" xr:uid="{953549E1-F0A9-442D-A926-C2698175691F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3" xfId="6914" xr:uid="{BCEE261F-71D3-4215-B37A-6168DC4B241F}"/>
    <cellStyle name="Comma 403 3" xfId="2709" xr:uid="{AE36826C-748E-41F8-BF77-3AA4223E4255}"/>
    <cellStyle name="Comma 403 3 2" xfId="7942" xr:uid="{2B39AE91-46F5-48B4-AD00-D81B739308FF}"/>
    <cellStyle name="Comma 403 4" xfId="4835" xr:uid="{072E64AA-1308-42C8-B46A-5CD8E0688ADD}"/>
    <cellStyle name="Comma 403 4 2" xfId="10011" xr:uid="{D5B81983-E34F-4AD7-B87B-85B458D1661C}"/>
    <cellStyle name="Comma 403 5" xfId="5883" xr:uid="{53BA544D-A627-47DC-9580-D8FEB857595A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3" xfId="6915" xr:uid="{09060DD6-BF11-4968-949F-194664B8C590}"/>
    <cellStyle name="Comma 404 3" xfId="2710" xr:uid="{73479C8A-08A6-499E-BCFF-F2C140B4A3DB}"/>
    <cellStyle name="Comma 404 3 2" xfId="7943" xr:uid="{C34090F1-C69F-4B12-81FC-30A4AC36F7DA}"/>
    <cellStyle name="Comma 404 4" xfId="4836" xr:uid="{3FB4C1BC-8137-4A46-B271-27001A588F9B}"/>
    <cellStyle name="Comma 404 4 2" xfId="10012" xr:uid="{13BC4507-7394-48C1-B87D-18669A316A42}"/>
    <cellStyle name="Comma 404 5" xfId="5884" xr:uid="{2DE6E1DE-C54E-4EC1-8C7C-BEE026F80FC1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3" xfId="6916" xr:uid="{8AE3A759-2C74-4949-84F6-6195FD10AD45}"/>
    <cellStyle name="Comma 405 3" xfId="2711" xr:uid="{715CBC8E-CB76-47C8-A72B-7C355ECBA9D5}"/>
    <cellStyle name="Comma 405 3 2" xfId="7944" xr:uid="{E1BD40B0-12E2-4F31-BC1A-8E6C04363B62}"/>
    <cellStyle name="Comma 405 4" xfId="4837" xr:uid="{8E83757B-E034-44AA-A427-0D9816332FBD}"/>
    <cellStyle name="Comma 405 4 2" xfId="10013" xr:uid="{3D0B0EA3-E394-41E7-A8AB-E446DAC830D1}"/>
    <cellStyle name="Comma 405 5" xfId="5885" xr:uid="{5A117FBF-CE2C-4BA5-840A-35D5C4295F44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3" xfId="6917" xr:uid="{91EF5F31-63BA-43ED-B1E7-1C641BEB6A04}"/>
    <cellStyle name="Comma 406 3" xfId="2712" xr:uid="{D151796B-86A2-4451-9EE4-4E88E6FE7728}"/>
    <cellStyle name="Comma 406 3 2" xfId="7945" xr:uid="{6CD53662-D3B6-4621-B3EC-384F9CA066C0}"/>
    <cellStyle name="Comma 406 4" xfId="4838" xr:uid="{B83A243E-994A-4C1B-AB7D-ED8838A4DC2F}"/>
    <cellStyle name="Comma 406 4 2" xfId="10014" xr:uid="{30EA759F-F7D0-4767-BBDA-2AD239F6A071}"/>
    <cellStyle name="Comma 406 5" xfId="5886" xr:uid="{556F0655-23D5-4A5B-B74E-730F724C9BF5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3" xfId="6918" xr:uid="{0334AAA0-865D-4D33-8257-8A28F300262A}"/>
    <cellStyle name="Comma 407 3" xfId="2713" xr:uid="{994BB5D0-F963-49D8-B70E-49FC9F5334A7}"/>
    <cellStyle name="Comma 407 3 2" xfId="7946" xr:uid="{4C5F08B9-ED6D-476C-841E-A438FDF1CF05}"/>
    <cellStyle name="Comma 407 4" xfId="4839" xr:uid="{3B2B73AE-4A44-4443-8F2B-DB27D02457FD}"/>
    <cellStyle name="Comma 407 4 2" xfId="10015" xr:uid="{5DE1E4FF-F085-435C-A03C-ACC74901C2BC}"/>
    <cellStyle name="Comma 407 5" xfId="5887" xr:uid="{9A2BF22C-3DCC-4BBA-9255-A02E8446F1CE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3" xfId="6919" xr:uid="{5DCBA8BB-958F-4C0A-8151-DB4A72FE9F16}"/>
    <cellStyle name="Comma 408 3" xfId="2714" xr:uid="{349F763B-15AE-4C90-A1A9-01CE77866B5C}"/>
    <cellStyle name="Comma 408 3 2" xfId="7947" xr:uid="{91352153-2DA7-4DCA-AC3C-30C7EFDA0F34}"/>
    <cellStyle name="Comma 408 4" xfId="4840" xr:uid="{926FE6AE-D98E-4CA2-8921-DC9802C0F117}"/>
    <cellStyle name="Comma 408 4 2" xfId="10016" xr:uid="{C1E51EDD-9E44-483C-A9AA-DC7559269829}"/>
    <cellStyle name="Comma 408 5" xfId="5888" xr:uid="{F1F5B9C7-5720-4EF4-A7D7-793A8220107E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3" xfId="6920" xr:uid="{1DF719DB-6442-489C-97C6-F9D843C5ACC0}"/>
    <cellStyle name="Comma 409 3" xfId="2715" xr:uid="{95022E11-FFA7-49B4-825F-16F2E445132A}"/>
    <cellStyle name="Comma 409 3 2" xfId="7948" xr:uid="{10BD7ED0-186A-45A0-89D2-7C0B6E6F9CF8}"/>
    <cellStyle name="Comma 409 4" xfId="4841" xr:uid="{F2968893-31A6-476B-BF08-922F0083B2FB}"/>
    <cellStyle name="Comma 409 4 2" xfId="10017" xr:uid="{86CC54CE-99CF-4E58-B8EA-B6B249A51F53}"/>
    <cellStyle name="Comma 409 5" xfId="5889" xr:uid="{209704BF-5C49-43D0-894B-1547EF6C2A9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3" xfId="6552" xr:uid="{1824EC78-8139-42DD-90D7-D256D249AF6B}"/>
    <cellStyle name="Comma 41 3" xfId="2347" xr:uid="{9A948138-2E7B-4567-9DCE-C1F980047D83}"/>
    <cellStyle name="Comma 41 3 2" xfId="7580" xr:uid="{36DA60C8-7DDA-4FD3-8673-C3EBC87E0E5F}"/>
    <cellStyle name="Comma 41 4" xfId="4473" xr:uid="{E36A2EB4-5C2C-43BD-959F-E1B48056B067}"/>
    <cellStyle name="Comma 41 4 2" xfId="9649" xr:uid="{7C557D70-8E45-497E-AC87-1E2D6E4A8736}"/>
    <cellStyle name="Comma 41 5" xfId="5521" xr:uid="{240E95B5-CD08-4043-B2CF-0A2B2667C83E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3" xfId="6921" xr:uid="{487691A8-85AA-4CBB-82CC-052576BBD852}"/>
    <cellStyle name="Comma 410 3" xfId="2716" xr:uid="{F5DCF610-6889-4CE2-AAE0-30DC83B9CBFE}"/>
    <cellStyle name="Comma 410 3 2" xfId="7949" xr:uid="{456DB2D8-E26E-49CA-B20B-8B92161B00CF}"/>
    <cellStyle name="Comma 410 4" xfId="4842" xr:uid="{6A2022A6-C9A2-4866-8A58-88021CA52927}"/>
    <cellStyle name="Comma 410 4 2" xfId="10018" xr:uid="{B377C1AF-429B-4D6D-B78B-660B4CA1CF9F}"/>
    <cellStyle name="Comma 410 5" xfId="5890" xr:uid="{41366E6D-4F9C-43E0-8576-8B5E4725DCA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3" xfId="6922" xr:uid="{3F25E2B4-319B-4C82-98A3-2C6958754D01}"/>
    <cellStyle name="Comma 411 3" xfId="2717" xr:uid="{EBBAA727-8E5B-4B43-9567-716EB648471A}"/>
    <cellStyle name="Comma 411 3 2" xfId="7950" xr:uid="{405890F3-2899-49CD-8817-0EAC9F287424}"/>
    <cellStyle name="Comma 411 4" xfId="4843" xr:uid="{E45429AA-5907-4BB5-BA04-56BE33262B35}"/>
    <cellStyle name="Comma 411 4 2" xfId="10019" xr:uid="{17AAED6B-F52B-45E7-885A-8AA42C066FE1}"/>
    <cellStyle name="Comma 411 5" xfId="5891" xr:uid="{46162911-C601-4754-8B15-0FE474698B42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3" xfId="6923" xr:uid="{D09DE7A8-997F-4CF7-8DCE-55CFAFBA9656}"/>
    <cellStyle name="Comma 412 3" xfId="2718" xr:uid="{E24D0ADB-C97B-4A58-B6A0-0FCCC5C6EAF2}"/>
    <cellStyle name="Comma 412 3 2" xfId="7951" xr:uid="{60FCE470-3F9C-4F00-97D1-BA4810F6CD13}"/>
    <cellStyle name="Comma 412 4" xfId="4844" xr:uid="{127B5680-D4E4-48B3-BB8E-8CC7A8C49891}"/>
    <cellStyle name="Comma 412 4 2" xfId="10020" xr:uid="{E4DD4C26-3C16-4A29-B346-A401EDE34CD0}"/>
    <cellStyle name="Comma 412 5" xfId="5892" xr:uid="{BB89D355-071B-43D5-AAC7-DD6632076B8E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3" xfId="6924" xr:uid="{64087818-89A8-4B11-B2F3-58A0395A0B89}"/>
    <cellStyle name="Comma 413 3" xfId="2719" xr:uid="{692081E8-4BDE-4F4F-B277-8CE86588428E}"/>
    <cellStyle name="Comma 413 3 2" xfId="7952" xr:uid="{68245A06-D99D-431A-A9D4-9D9E56717570}"/>
    <cellStyle name="Comma 413 4" xfId="4845" xr:uid="{8AF9537C-9A95-48AC-B806-0C4FE33B451D}"/>
    <cellStyle name="Comma 413 4 2" xfId="10021" xr:uid="{A3759514-F9B5-46F8-9C78-3588BEFD1270}"/>
    <cellStyle name="Comma 413 5" xfId="5893" xr:uid="{4F189E9E-0A4B-4161-82B4-1F187DFA5BA6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3" xfId="6925" xr:uid="{9B7AFC12-DE05-4EC0-9868-E3CC3CEA804E}"/>
    <cellStyle name="Comma 414 3" xfId="2720" xr:uid="{E1416E69-9DE8-4171-BB64-296FB83BA311}"/>
    <cellStyle name="Comma 414 3 2" xfId="7953" xr:uid="{F1664721-72AC-4CEA-A098-5E25F64DFC2E}"/>
    <cellStyle name="Comma 414 4" xfId="4846" xr:uid="{1A705301-A084-4D8D-8C6E-8823D684F261}"/>
    <cellStyle name="Comma 414 4 2" xfId="10022" xr:uid="{E7F0B7E5-7EF9-488F-9703-7FE895F129E7}"/>
    <cellStyle name="Comma 414 5" xfId="5894" xr:uid="{5A710F35-3716-4ABE-BEE5-17AAD5612E4B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3" xfId="6926" xr:uid="{9F539306-DD8B-427E-A6FC-217585FD2EFD}"/>
    <cellStyle name="Comma 415 3" xfId="2721" xr:uid="{FDC9EC84-73C0-4E58-B01F-D449EAC6B2F5}"/>
    <cellStyle name="Comma 415 3 2" xfId="7954" xr:uid="{5107834A-AB76-4A6D-9665-8C4761485CBD}"/>
    <cellStyle name="Comma 415 4" xfId="4847" xr:uid="{5EB835BE-C78E-4A81-B900-E5345BE4A4B4}"/>
    <cellStyle name="Comma 415 4 2" xfId="10023" xr:uid="{FDFBCB79-ACD7-45A2-B5E3-F6BB057386E3}"/>
    <cellStyle name="Comma 415 5" xfId="5895" xr:uid="{166404D9-E014-4A2B-9A96-3BBE4B0E6641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3" xfId="6927" xr:uid="{73BEF8F0-3CCB-477B-B01E-20504A008CBA}"/>
    <cellStyle name="Comma 416 3" xfId="2722" xr:uid="{A06A2072-BBB2-4B4A-8B4F-CBC0A1B84A14}"/>
    <cellStyle name="Comma 416 3 2" xfId="7955" xr:uid="{572DA54B-8F5E-4ACC-B20D-5C96C864C6FB}"/>
    <cellStyle name="Comma 416 4" xfId="4848" xr:uid="{C7839B42-052A-4D85-8946-08ACE120D553}"/>
    <cellStyle name="Comma 416 4 2" xfId="10024" xr:uid="{666B7B9C-8A1F-40AC-AF24-3D98A412E239}"/>
    <cellStyle name="Comma 416 5" xfId="5896" xr:uid="{6EF69488-FCD5-41B4-8379-9175BA25CEA5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3" xfId="6928" xr:uid="{1383051A-E335-422E-9EEF-A6B137135143}"/>
    <cellStyle name="Comma 417 3" xfId="2723" xr:uid="{99FCD031-5E1E-4C83-9324-2528914D86D6}"/>
    <cellStyle name="Comma 417 3 2" xfId="7956" xr:uid="{DFE2CD82-364B-4425-8E41-15CFB0506E3A}"/>
    <cellStyle name="Comma 417 4" xfId="4849" xr:uid="{1DBCF2D2-0188-4BF9-9DDD-4115D99B6442}"/>
    <cellStyle name="Comma 417 4 2" xfId="10025" xr:uid="{ED11A793-2931-42F2-8415-CC5075603247}"/>
    <cellStyle name="Comma 417 5" xfId="5897" xr:uid="{B571AAC5-B402-451A-AF77-01299861270B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3" xfId="6929" xr:uid="{20FC088D-F475-4466-9B52-C0F416CB1D8C}"/>
    <cellStyle name="Comma 418 3" xfId="2724" xr:uid="{C46CFCD3-1D17-41E0-921D-3CEB702E8CA3}"/>
    <cellStyle name="Comma 418 3 2" xfId="7957" xr:uid="{D7C3A8E7-65E1-45F4-8AE6-F59F98D3754E}"/>
    <cellStyle name="Comma 418 4" xfId="4850" xr:uid="{BC0A27ED-0991-405C-8EAF-A438D2F6934D}"/>
    <cellStyle name="Comma 418 4 2" xfId="10026" xr:uid="{EDB4E02D-1E2D-4A19-B868-E6D0FFC56973}"/>
    <cellStyle name="Comma 418 5" xfId="5898" xr:uid="{A6A5DDC9-1F15-4911-BE54-62AC290608FA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3" xfId="6930" xr:uid="{922D2070-105A-4C56-AD77-A6E41F6AA2FF}"/>
    <cellStyle name="Comma 419 3" xfId="2725" xr:uid="{12FD6FD5-68A7-49E2-B36F-03DE365ED839}"/>
    <cellStyle name="Comma 419 3 2" xfId="7958" xr:uid="{AAB0B6DA-38CB-4725-B91A-7EEE300B2520}"/>
    <cellStyle name="Comma 419 4" xfId="4851" xr:uid="{40F06906-8F76-4AE1-8CA6-33F1F1B02192}"/>
    <cellStyle name="Comma 419 4 2" xfId="10027" xr:uid="{F66C1E0D-65A9-4C91-9AD5-4A467974F553}"/>
    <cellStyle name="Comma 419 5" xfId="5899" xr:uid="{F4B492F7-CA1B-45F7-AB49-44D554B5DA0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3" xfId="6553" xr:uid="{573114F4-828C-4D1D-B749-8A64CE1C3A2F}"/>
    <cellStyle name="Comma 42 3" xfId="2348" xr:uid="{788C2009-ED4B-44C3-A8CC-A7824DB80EC1}"/>
    <cellStyle name="Comma 42 3 2" xfId="7581" xr:uid="{501B9646-9C6F-4325-BF05-FD8C5FE734B6}"/>
    <cellStyle name="Comma 42 4" xfId="4474" xr:uid="{A661FF34-C2C6-499E-95BD-C5E0D2A1A587}"/>
    <cellStyle name="Comma 42 4 2" xfId="9650" xr:uid="{E1510BF5-F459-49EF-9691-DF57CCF9C57C}"/>
    <cellStyle name="Comma 42 5" xfId="5522" xr:uid="{E9EAFBEB-197F-400A-B2B3-FC254CAFB3D9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3" xfId="6931" xr:uid="{83B6CB44-68FF-41F4-B80F-C6737124BF9B}"/>
    <cellStyle name="Comma 420 3" xfId="2726" xr:uid="{CCE0E5A8-9E0C-4644-9672-E7B7CC9DDCD7}"/>
    <cellStyle name="Comma 420 3 2" xfId="7959" xr:uid="{56C27B5E-0436-48D1-AD6D-A406140D9DE8}"/>
    <cellStyle name="Comma 420 4" xfId="4852" xr:uid="{6059C563-9FC7-43E4-ADA6-DC7AE2875775}"/>
    <cellStyle name="Comma 420 4 2" xfId="10028" xr:uid="{1DF5E6DB-3512-4543-AF92-113C034C8BDC}"/>
    <cellStyle name="Comma 420 5" xfId="5900" xr:uid="{A4AFB68E-337E-4F11-9F98-89A5568B89C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3" xfId="6932" xr:uid="{E575CA7D-FA70-4DDB-9410-47BE3F06F452}"/>
    <cellStyle name="Comma 421 3" xfId="2727" xr:uid="{208716DC-02C8-43B9-BAAA-06AAE46261D6}"/>
    <cellStyle name="Comma 421 3 2" xfId="7960" xr:uid="{0C67E591-1AE3-4FB4-86CA-A75AE22D90AF}"/>
    <cellStyle name="Comma 421 4" xfId="4853" xr:uid="{DF7C5774-418D-4F03-AB5D-F2C62B6EB3A4}"/>
    <cellStyle name="Comma 421 4 2" xfId="10029" xr:uid="{265292E3-A2CF-4300-9867-84AE2FDED84E}"/>
    <cellStyle name="Comma 421 5" xfId="5901" xr:uid="{985DB606-7380-4013-9CAE-C835AD2CF6B9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3" xfId="6933" xr:uid="{B9DAE45D-3550-480F-B12E-CE79D27BCF4C}"/>
    <cellStyle name="Comma 422 3" xfId="2728" xr:uid="{13916D84-A1C2-4075-B6C3-A3FF3FC0EDBE}"/>
    <cellStyle name="Comma 422 3 2" xfId="7961" xr:uid="{C01E15E6-EE7A-41F6-BCA2-744476113278}"/>
    <cellStyle name="Comma 422 4" xfId="4854" xr:uid="{A0108942-0546-4506-9E6C-77347EB49076}"/>
    <cellStyle name="Comma 422 4 2" xfId="10030" xr:uid="{A36C0A59-C196-4098-9BC9-2BE59B1E33D1}"/>
    <cellStyle name="Comma 422 5" xfId="5902" xr:uid="{2D715E13-B9B1-436D-91A3-0FAE7BBA08A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3" xfId="6934" xr:uid="{75303C2D-4D41-4E39-B27F-165FD75C59A2}"/>
    <cellStyle name="Comma 423 3" xfId="2729" xr:uid="{177D3D96-6D09-486A-8C86-B84659D262FF}"/>
    <cellStyle name="Comma 423 3 2" xfId="7962" xr:uid="{A20FA1B2-9B87-4B85-9CFB-5E8B1B9EC4C8}"/>
    <cellStyle name="Comma 423 4" xfId="4855" xr:uid="{E24B2885-B79D-40FA-AE8C-4742A88347DA}"/>
    <cellStyle name="Comma 423 4 2" xfId="10031" xr:uid="{9B640456-669F-4A23-AAA2-A67727C8B8CF}"/>
    <cellStyle name="Comma 423 5" xfId="5903" xr:uid="{E55985A8-6F38-4BA8-A95A-420F2E75A6D0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3" xfId="6935" xr:uid="{06A321F9-2354-4C0B-8392-BE316FE6E25D}"/>
    <cellStyle name="Comma 424 3" xfId="2730" xr:uid="{0B95E37C-EDC2-4FC3-A2BE-4F29F65132AC}"/>
    <cellStyle name="Comma 424 3 2" xfId="7963" xr:uid="{49837F2E-83BE-40DE-8F0F-94525DE4CFD3}"/>
    <cellStyle name="Comma 424 4" xfId="4856" xr:uid="{29B8F57D-6AFC-40B7-BD15-1DD9BA9FE92D}"/>
    <cellStyle name="Comma 424 4 2" xfId="10032" xr:uid="{A8794B24-4E38-41B9-AE6B-7FC69667937D}"/>
    <cellStyle name="Comma 424 5" xfId="5904" xr:uid="{7AEB08CA-6030-46E1-9B47-835D0EE8E1EA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3" xfId="6936" xr:uid="{0CDD7BDD-74FE-43AE-922C-36A07C6AADBB}"/>
    <cellStyle name="Comma 425 3" xfId="2731" xr:uid="{1B28A62F-6087-4F06-91BA-CA9AA68A2624}"/>
    <cellStyle name="Comma 425 3 2" xfId="7964" xr:uid="{EBF5A0CB-9DED-4181-9312-967191D7DEB0}"/>
    <cellStyle name="Comma 425 4" xfId="4857" xr:uid="{14EC4785-E8B9-4987-8D9E-69E93FD65297}"/>
    <cellStyle name="Comma 425 4 2" xfId="10033" xr:uid="{026918CF-B7C7-4FDF-B745-B4C557743334}"/>
    <cellStyle name="Comma 425 5" xfId="5905" xr:uid="{B6A44E19-93EB-44D4-9B15-0036B7699C19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3" xfId="6937" xr:uid="{DB396758-7588-4AB6-9B6B-F82AADC51690}"/>
    <cellStyle name="Comma 426 3" xfId="2732" xr:uid="{A02758A9-5DDD-4433-83B9-B1A300A800CB}"/>
    <cellStyle name="Comma 426 3 2" xfId="7965" xr:uid="{A003191C-0DBC-4A43-AA02-5B362BB163D1}"/>
    <cellStyle name="Comma 426 4" xfId="4858" xr:uid="{9C99AC70-269A-441B-9B9F-7867E788173A}"/>
    <cellStyle name="Comma 426 4 2" xfId="10034" xr:uid="{1D09A14F-267D-4F7D-9D5C-320A95079673}"/>
    <cellStyle name="Comma 426 5" xfId="5906" xr:uid="{8078EF6E-63C2-470D-BCA2-8D0AC117E09D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3" xfId="6938" xr:uid="{A910E55C-35C7-4A3F-94D3-6E262EAAF76D}"/>
    <cellStyle name="Comma 427 3" xfId="2733" xr:uid="{8231CA87-D02C-43D7-B854-BF728C936742}"/>
    <cellStyle name="Comma 427 3 2" xfId="7966" xr:uid="{90C53A20-757A-4024-93AF-CA19EEFF6FB9}"/>
    <cellStyle name="Comma 427 4" xfId="4859" xr:uid="{03E64EDA-4D11-411A-844E-FF0340037F73}"/>
    <cellStyle name="Comma 427 4 2" xfId="10035" xr:uid="{CE78372E-162D-4DD6-8E1A-B44F5A7FD151}"/>
    <cellStyle name="Comma 427 5" xfId="5907" xr:uid="{A8B1A87F-F107-4C58-91D3-F7E3E4721828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3" xfId="6939" xr:uid="{F72B2F6C-7CB3-498C-B015-BF6801A9E45E}"/>
    <cellStyle name="Comma 428 3" xfId="2734" xr:uid="{9CD09F36-D142-401C-8122-895CEBA21D24}"/>
    <cellStyle name="Comma 428 3 2" xfId="7967" xr:uid="{121C6B62-94D5-4AC0-9E29-875168CC4F6E}"/>
    <cellStyle name="Comma 428 4" xfId="4860" xr:uid="{0FD5809B-703E-42CC-BE9B-EF41AE4487A7}"/>
    <cellStyle name="Comma 428 4 2" xfId="10036" xr:uid="{4638B14B-A440-49EE-9F21-49F98975E381}"/>
    <cellStyle name="Comma 428 5" xfId="5908" xr:uid="{4DED9A78-6228-4C47-B506-CDDAB5A71A58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3" xfId="6940" xr:uid="{B9C9C76B-C1E3-412A-AAE0-FAAC028BA0EA}"/>
    <cellStyle name="Comma 429 3" xfId="2735" xr:uid="{8EBD3A2A-E9B6-41DE-9E88-63B9478E0902}"/>
    <cellStyle name="Comma 429 3 2" xfId="7968" xr:uid="{0FA25E29-9495-40E8-A07A-8D11990061EC}"/>
    <cellStyle name="Comma 429 4" xfId="4861" xr:uid="{0F5EECBE-F516-4E98-AF23-91B474CC55D4}"/>
    <cellStyle name="Comma 429 4 2" xfId="10037" xr:uid="{8317C52D-6830-4A5D-AB0D-3175D74A2345}"/>
    <cellStyle name="Comma 429 5" xfId="5909" xr:uid="{AE12298C-33CF-492F-B55D-6FB4666B557C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3" xfId="6554" xr:uid="{A46C578E-A821-4782-882C-BBB099BF79ED}"/>
    <cellStyle name="Comma 43 3" xfId="2349" xr:uid="{20A8CE51-38E5-478E-9B74-30F9A9B29919}"/>
    <cellStyle name="Comma 43 3 2" xfId="7582" xr:uid="{6B1C75BA-FBD9-40C2-8DC8-B243A874866E}"/>
    <cellStyle name="Comma 43 4" xfId="4475" xr:uid="{825F8AF8-8014-48B5-98B3-26BB324C6757}"/>
    <cellStyle name="Comma 43 4 2" xfId="9651" xr:uid="{979091E3-9428-4A0E-AE3E-2388C686160C}"/>
    <cellStyle name="Comma 43 5" xfId="5523" xr:uid="{160D6744-326F-4AEE-9288-8F0CF96099AA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3" xfId="6941" xr:uid="{E1850286-4F8E-4C75-8541-DA6EDF3196E7}"/>
    <cellStyle name="Comma 430 3" xfId="2736" xr:uid="{014C7296-F9F9-409A-A220-76428A9CBC99}"/>
    <cellStyle name="Comma 430 3 2" xfId="7969" xr:uid="{C53F93AF-7A32-4E3A-9EBC-29A520E30095}"/>
    <cellStyle name="Comma 430 4" xfId="4862" xr:uid="{4148887A-7C53-40EF-95BA-A4E466598CCC}"/>
    <cellStyle name="Comma 430 4 2" xfId="10038" xr:uid="{5CB3E7B4-136C-4F62-87EE-48E618B55B83}"/>
    <cellStyle name="Comma 430 5" xfId="5910" xr:uid="{9A36382F-AA56-439B-8E44-9B9F1EA62C45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3" xfId="6942" xr:uid="{6B3673FA-992A-4C0B-9F1F-87E673013068}"/>
    <cellStyle name="Comma 431 3" xfId="2737" xr:uid="{59FC5B41-405A-439A-9CA7-62DA6E75D9C1}"/>
    <cellStyle name="Comma 431 3 2" xfId="7970" xr:uid="{77839489-4795-41F2-AAA4-AB407282EB21}"/>
    <cellStyle name="Comma 431 4" xfId="4863" xr:uid="{2ECC24B3-0355-42E3-9957-CE9397845B79}"/>
    <cellStyle name="Comma 431 4 2" xfId="10039" xr:uid="{D6F8BC6D-B92A-4750-9152-8403FA15CF55}"/>
    <cellStyle name="Comma 431 5" xfId="5911" xr:uid="{EC7C1FC3-2CC2-4722-B518-893A3AA5EAE6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3" xfId="6943" xr:uid="{C7ACC207-6BFB-407E-942A-D242B48B603B}"/>
    <cellStyle name="Comma 432 3" xfId="2738" xr:uid="{1CD34E90-5D79-47F7-8BDD-57EEF395368E}"/>
    <cellStyle name="Comma 432 3 2" xfId="7971" xr:uid="{D7AFCED0-23F1-432A-949A-6A8CA1FC1EFB}"/>
    <cellStyle name="Comma 432 4" xfId="4864" xr:uid="{FCA4AEB7-C07E-4C3F-BB3F-16193BF6AEFF}"/>
    <cellStyle name="Comma 432 4 2" xfId="10040" xr:uid="{5F708E78-9F0B-4CE1-8CDE-5180EC05F904}"/>
    <cellStyle name="Comma 432 5" xfId="5912" xr:uid="{3D285705-EE04-4594-9DF9-4C1CF64BAF62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3" xfId="6944" xr:uid="{9C5A8114-DC90-4F7B-92D2-BBCE05FF8C8A}"/>
    <cellStyle name="Comma 433 3" xfId="2739" xr:uid="{AEEEF673-08BE-498F-B027-3290927BC19E}"/>
    <cellStyle name="Comma 433 3 2" xfId="7972" xr:uid="{987FE71D-65E7-4D75-87E7-E9F171FAEE7E}"/>
    <cellStyle name="Comma 433 4" xfId="4865" xr:uid="{C7598BB6-8294-4773-9663-25C0F3CBDE4A}"/>
    <cellStyle name="Comma 433 4 2" xfId="10041" xr:uid="{4E8BA863-8D1A-4F9A-A34D-4410EB65AEFB}"/>
    <cellStyle name="Comma 433 5" xfId="5913" xr:uid="{1226C579-60BE-4186-BE15-833AE84D7ECE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3" xfId="6945" xr:uid="{5B5F297B-9206-464C-9BA9-DC339A5C9194}"/>
    <cellStyle name="Comma 434 3" xfId="2740" xr:uid="{75561B41-E324-4B68-992A-F8425A3CA59D}"/>
    <cellStyle name="Comma 434 3 2" xfId="7973" xr:uid="{C0D545AB-C1E0-4BF1-939F-FD0B3CB136BF}"/>
    <cellStyle name="Comma 434 4" xfId="4866" xr:uid="{7CD45660-DBB9-4FC7-856A-296B569BF41B}"/>
    <cellStyle name="Comma 434 4 2" xfId="10042" xr:uid="{E9454A7C-AEB4-4A84-A83E-C4D5D027513F}"/>
    <cellStyle name="Comma 434 5" xfId="5914" xr:uid="{20A78F83-71FF-4806-B34F-02F2DFDF669D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3" xfId="6946" xr:uid="{0436B8C7-47FA-4DD9-A038-1079BC7F9DE4}"/>
    <cellStyle name="Comma 435 3" xfId="2741" xr:uid="{22E04853-AAB4-4EE9-B8BE-770361914AB3}"/>
    <cellStyle name="Comma 435 3 2" xfId="7974" xr:uid="{FC49B60B-5D2F-4B08-8A92-677913E14ECC}"/>
    <cellStyle name="Comma 435 4" xfId="4867" xr:uid="{EE08F667-3A1D-49FE-8AD0-83833900983C}"/>
    <cellStyle name="Comma 435 4 2" xfId="10043" xr:uid="{ED5C05AA-A576-4BE7-BA99-E6C1CED1BAF0}"/>
    <cellStyle name="Comma 435 5" xfId="5915" xr:uid="{DACD11F8-3FB0-4460-920D-147CE313C2F2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3" xfId="6947" xr:uid="{B34ED4A0-869F-49BB-8E10-F89DF9DF79BC}"/>
    <cellStyle name="Comma 436 3" xfId="2742" xr:uid="{0E116E90-7546-4281-AD18-47DF50268161}"/>
    <cellStyle name="Comma 436 3 2" xfId="7975" xr:uid="{7F7CD8CD-8373-4851-8688-B83F189BEC76}"/>
    <cellStyle name="Comma 436 4" xfId="4868" xr:uid="{07DF4E79-EA7F-4E2E-8F86-315BD8FD415F}"/>
    <cellStyle name="Comma 436 4 2" xfId="10044" xr:uid="{77F98E92-1BD6-4B4A-9B37-938F0BE7F1EF}"/>
    <cellStyle name="Comma 436 5" xfId="5916" xr:uid="{F5698531-DE93-4216-ABBE-F6FD2788FD3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3" xfId="6948" xr:uid="{1E9A6717-45E8-47DB-BB3C-A1E958120499}"/>
    <cellStyle name="Comma 437 3" xfId="2743" xr:uid="{311A5BDA-5216-428B-8610-A553A0FFA575}"/>
    <cellStyle name="Comma 437 3 2" xfId="7976" xr:uid="{11E6099C-1DB9-4F82-947C-B8AD31E5F669}"/>
    <cellStyle name="Comma 437 4" xfId="4869" xr:uid="{3A2631D5-5D76-4C78-9CFA-45777634BC4B}"/>
    <cellStyle name="Comma 437 4 2" xfId="10045" xr:uid="{E465BE2E-D3AE-4DD0-9268-51536EACF38C}"/>
    <cellStyle name="Comma 437 5" xfId="5917" xr:uid="{2354C816-7873-4437-A9FE-ADA6BF40EC10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3" xfId="6949" xr:uid="{6435D7A8-4AC3-4858-9C07-AC307BF79CD0}"/>
    <cellStyle name="Comma 438 3" xfId="2744" xr:uid="{2C8522CF-C3F8-4C8A-9011-8FE92FE9ECDF}"/>
    <cellStyle name="Comma 438 3 2" xfId="7977" xr:uid="{AB028F7D-D204-418B-8F5B-D729E9951F73}"/>
    <cellStyle name="Comma 438 4" xfId="4870" xr:uid="{6F2FB522-7B71-49C5-91D7-B3D108FA8A97}"/>
    <cellStyle name="Comma 438 4 2" xfId="10046" xr:uid="{60621BB3-4F09-4C2D-ABB4-A136A2005ECC}"/>
    <cellStyle name="Comma 438 5" xfId="5918" xr:uid="{0AF70116-0033-430A-B224-2CE6623E754E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3" xfId="6950" xr:uid="{39CF5EBF-0BCF-4D72-9C96-E086E3B8F029}"/>
    <cellStyle name="Comma 439 3" xfId="2745" xr:uid="{587E9839-4DE5-420C-9441-9DAF68F67501}"/>
    <cellStyle name="Comma 439 3 2" xfId="7978" xr:uid="{5D0C7234-B92A-47DA-9B84-8103613E17E4}"/>
    <cellStyle name="Comma 439 4" xfId="4871" xr:uid="{2C258833-25C6-41FE-A567-F19609C37BD3}"/>
    <cellStyle name="Comma 439 4 2" xfId="10047" xr:uid="{A6834BC9-99DB-46DC-A0E6-4070689F6BE5}"/>
    <cellStyle name="Comma 439 5" xfId="5919" xr:uid="{15B30441-AF64-4B98-A5C6-2B61D038E420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3" xfId="6555" xr:uid="{BFDC94D6-DDD1-4E93-9415-3C4A1B33FA31}"/>
    <cellStyle name="Comma 44 3" xfId="2350" xr:uid="{2771F357-4F08-4554-AF76-F524C69660BE}"/>
    <cellStyle name="Comma 44 3 2" xfId="7583" xr:uid="{54F2C11F-78FB-4647-BBC9-8D88AAC33608}"/>
    <cellStyle name="Comma 44 4" xfId="4476" xr:uid="{F920926D-2432-40CA-80C8-201C2ECC4FA4}"/>
    <cellStyle name="Comma 44 4 2" xfId="9652" xr:uid="{6D73752D-7C98-4F76-B010-BD245146871E}"/>
    <cellStyle name="Comma 44 5" xfId="5524" xr:uid="{A386D7AC-A790-439B-84AA-F04F473BE325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3" xfId="6951" xr:uid="{04DC47C6-036E-4BAC-BA78-3821170E62D4}"/>
    <cellStyle name="Comma 440 3" xfId="2746" xr:uid="{E43B55D7-1196-4ADD-B1EC-0C4F784F9C16}"/>
    <cellStyle name="Comma 440 3 2" xfId="7979" xr:uid="{44B90906-91C4-4521-AEB0-D5B96FCBAC15}"/>
    <cellStyle name="Comma 440 4" xfId="4872" xr:uid="{5CDECDE7-17D9-4314-B3AB-0F8B15800574}"/>
    <cellStyle name="Comma 440 4 2" xfId="10048" xr:uid="{A574547E-8E48-487E-9883-01BBEBE82059}"/>
    <cellStyle name="Comma 440 5" xfId="5920" xr:uid="{8ABEA662-4D98-49D7-AA77-567BEBD45FDE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3" xfId="6952" xr:uid="{F0B70226-48AE-45EF-858E-A4CEA931E8CA}"/>
    <cellStyle name="Comma 441 3" xfId="2747" xr:uid="{02AD324B-E5B8-4B5B-8733-9F363BA87244}"/>
    <cellStyle name="Comma 441 3 2" xfId="7980" xr:uid="{69D740C3-48DE-4A38-9D06-77D25F06A9FA}"/>
    <cellStyle name="Comma 441 4" xfId="4873" xr:uid="{5A22DF40-D337-4F8C-A7FA-73070F914113}"/>
    <cellStyle name="Comma 441 4 2" xfId="10049" xr:uid="{1E7D1ED4-8C38-4E05-87DC-35C37132343F}"/>
    <cellStyle name="Comma 441 5" xfId="5921" xr:uid="{80467732-105B-4612-9181-352CFF91D922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3" xfId="6953" xr:uid="{BE17FE00-28AC-464C-A138-340DF9200300}"/>
    <cellStyle name="Comma 442 3" xfId="2748" xr:uid="{7E3DB75A-ACF6-4519-A59D-49DECCDC100A}"/>
    <cellStyle name="Comma 442 3 2" xfId="7981" xr:uid="{6FD443E2-C6FD-4BCD-BA9E-5876D0CDA414}"/>
    <cellStyle name="Comma 442 4" xfId="4874" xr:uid="{158E53A6-A2A9-4C10-9A89-F5A4D1B8E085}"/>
    <cellStyle name="Comma 442 4 2" xfId="10050" xr:uid="{42407E96-BA84-4409-B7F3-4A01D4F4167B}"/>
    <cellStyle name="Comma 442 5" xfId="5922" xr:uid="{855CE3DC-78BD-47F8-BC61-9E4ECB74DC16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3" xfId="6954" xr:uid="{48632A18-7FEE-433B-81DB-13F625EEC697}"/>
    <cellStyle name="Comma 443 3" xfId="2749" xr:uid="{A4958CC4-A4A7-44D7-8CF1-55918F68A72A}"/>
    <cellStyle name="Comma 443 3 2" xfId="7982" xr:uid="{E6F0190C-1063-45D5-BF7D-5BA0F79484FE}"/>
    <cellStyle name="Comma 443 4" xfId="4875" xr:uid="{BC2751C8-84ED-4009-A810-08CB6DC46E49}"/>
    <cellStyle name="Comma 443 4 2" xfId="10051" xr:uid="{D3D837EE-372D-4DCE-AC84-98644F90A4ED}"/>
    <cellStyle name="Comma 443 5" xfId="5923" xr:uid="{2D084084-65CB-4FEB-A29B-9FD947E80AD3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3" xfId="6955" xr:uid="{E55BFEBD-6E61-4845-8245-AF69DCCBCFAF}"/>
    <cellStyle name="Comma 444 3" xfId="2750" xr:uid="{289B201A-291F-4CB3-887C-1DDC53F166ED}"/>
    <cellStyle name="Comma 444 3 2" xfId="7983" xr:uid="{280FBF66-6EBC-4A30-9810-6EAF3AE8CACD}"/>
    <cellStyle name="Comma 444 4" xfId="4876" xr:uid="{B22E8933-8CE9-476D-AB2E-F0931D0171AB}"/>
    <cellStyle name="Comma 444 4 2" xfId="10052" xr:uid="{7E50152E-965B-4533-B277-F4D392E5CFA1}"/>
    <cellStyle name="Comma 444 5" xfId="5924" xr:uid="{16205947-F66B-4FE1-9B47-A53AB1C68A70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3" xfId="6956" xr:uid="{7F7071BB-19EF-4C3F-A492-84CBFC5400D2}"/>
    <cellStyle name="Comma 445 3" xfId="2751" xr:uid="{A0D30CA7-CA55-47E4-8057-57D87CFF4EDF}"/>
    <cellStyle name="Comma 445 3 2" xfId="7984" xr:uid="{7B9A52C0-1C81-4EEF-807E-A9B0A2D35DC5}"/>
    <cellStyle name="Comma 445 4" xfId="4877" xr:uid="{E7320505-F3D5-4278-997F-05EE4226B764}"/>
    <cellStyle name="Comma 445 4 2" xfId="10053" xr:uid="{09CC69A4-F6C0-407E-A437-F9A92C534662}"/>
    <cellStyle name="Comma 445 5" xfId="5925" xr:uid="{428EB939-A29A-4DED-AC13-1A7B77C41A1E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3" xfId="6957" xr:uid="{11FEF574-139B-4A5D-B06A-5CE8D3E10D97}"/>
    <cellStyle name="Comma 446 3" xfId="2752" xr:uid="{9D10358B-2F63-49BA-8BAB-0F17BDCA2472}"/>
    <cellStyle name="Comma 446 3 2" xfId="7985" xr:uid="{E4FA29BA-1346-4BD0-86E1-ADE01CC878E6}"/>
    <cellStyle name="Comma 446 4" xfId="4878" xr:uid="{69FAE03A-0263-4C4D-9C63-A073791CCA15}"/>
    <cellStyle name="Comma 446 4 2" xfId="10054" xr:uid="{BB9940DA-CEE3-41CC-A101-E1A700CCD21B}"/>
    <cellStyle name="Comma 446 5" xfId="5926" xr:uid="{4BA7AE5D-2EF6-4D56-B771-9FE4C4B7F586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3" xfId="6958" xr:uid="{E0AD2756-79D0-4B84-B142-6D72DE2507B6}"/>
    <cellStyle name="Comma 447 3" xfId="2753" xr:uid="{B33DD138-3D3C-4237-8830-E67037EAFD5C}"/>
    <cellStyle name="Comma 447 3 2" xfId="7986" xr:uid="{FB3F6959-95E2-4BF6-8764-B9730B301508}"/>
    <cellStyle name="Comma 447 4" xfId="4879" xr:uid="{09E1401F-2CF0-4978-AB15-DDDB324F791A}"/>
    <cellStyle name="Comma 447 4 2" xfId="10055" xr:uid="{57D5CB21-6B14-4D29-8E69-AEB0DC6C0C23}"/>
    <cellStyle name="Comma 447 5" xfId="5927" xr:uid="{9657A0DF-07A3-4AA4-A17A-0E235ED2B182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3" xfId="6959" xr:uid="{EB29F48E-6C00-4D95-98FF-79EF2DAA157B}"/>
    <cellStyle name="Comma 448 3" xfId="2754" xr:uid="{4AC60A81-F08C-4F8B-AED1-FA5C753CCE83}"/>
    <cellStyle name="Comma 448 3 2" xfId="7987" xr:uid="{08D8BB8A-45B2-4BC9-AF0B-E5AF7D03C1AF}"/>
    <cellStyle name="Comma 448 4" xfId="4880" xr:uid="{816AC87B-13EF-4F97-9374-A25738EB5967}"/>
    <cellStyle name="Comma 448 4 2" xfId="10056" xr:uid="{7A5C35C9-A60E-4112-BBC4-BB186DB3B5FA}"/>
    <cellStyle name="Comma 448 5" xfId="5928" xr:uid="{4D93E3CC-4004-476D-9467-CBE5278C2640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3" xfId="6960" xr:uid="{3EF8C2F4-F44D-43BF-A478-AFC4DAB09AD4}"/>
    <cellStyle name="Comma 449 3" xfId="2755" xr:uid="{9435B60E-DCA8-4009-BBA2-3E311DED0EEA}"/>
    <cellStyle name="Comma 449 3 2" xfId="7988" xr:uid="{8581DA25-695E-4155-8DF0-C2FF3162F2F5}"/>
    <cellStyle name="Comma 449 4" xfId="4881" xr:uid="{EAEE59B3-6DB0-4F56-A14C-8F03F121D6B9}"/>
    <cellStyle name="Comma 449 4 2" xfId="10057" xr:uid="{5285AFEB-B638-439E-B27B-0AF90241BB93}"/>
    <cellStyle name="Comma 449 5" xfId="5929" xr:uid="{93B5EFD3-6FA7-44F4-979D-06BE4E194E37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3" xfId="6556" xr:uid="{B8B8B228-472F-48BA-BF5D-D12DA5D48BE7}"/>
    <cellStyle name="Comma 45 3" xfId="2351" xr:uid="{BF13FAC6-E65C-40D5-84E1-CD939504B452}"/>
    <cellStyle name="Comma 45 3 2" xfId="7584" xr:uid="{2BC4A8FE-DE0F-4EF2-A5F0-0A7139DC7BEA}"/>
    <cellStyle name="Comma 45 4" xfId="4477" xr:uid="{6F8F7D29-7D21-46C9-B610-EF5FB3F9CB4F}"/>
    <cellStyle name="Comma 45 4 2" xfId="9653" xr:uid="{C79379CD-D498-4177-9516-B9F7336CBC5D}"/>
    <cellStyle name="Comma 45 5" xfId="5525" xr:uid="{661F5701-9D9B-467D-AECE-37240805AB2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3" xfId="6961" xr:uid="{1904F26E-C665-4582-8C33-67ECEEB075E2}"/>
    <cellStyle name="Comma 450 3" xfId="2756" xr:uid="{A12E672A-2537-4029-A0BE-E1A9AEDDA5EE}"/>
    <cellStyle name="Comma 450 3 2" xfId="7989" xr:uid="{98107CB0-0A82-4D1C-A523-D7C12FD79B9D}"/>
    <cellStyle name="Comma 450 4" xfId="4882" xr:uid="{A5CB7551-45FB-474E-ACE8-C0418274FB66}"/>
    <cellStyle name="Comma 450 4 2" xfId="10058" xr:uid="{5C2DD2B0-B938-4AFD-B041-D2D6DF47390A}"/>
    <cellStyle name="Comma 450 5" xfId="5930" xr:uid="{3B897EC3-10EA-456C-A6BA-17F8EE9ED01C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3" xfId="6962" xr:uid="{25419F01-112C-4CC1-8503-5403ACECCF50}"/>
    <cellStyle name="Comma 451 3" xfId="2757" xr:uid="{BB763298-86F9-41C7-8454-2EA4D15FAED4}"/>
    <cellStyle name="Comma 451 3 2" xfId="7990" xr:uid="{D6715B3A-21FA-4A9F-A8EC-DC2EFFF0CD89}"/>
    <cellStyle name="Comma 451 4" xfId="4883" xr:uid="{12F2FDDE-6508-4B33-AA4E-6D246EC72665}"/>
    <cellStyle name="Comma 451 4 2" xfId="10059" xr:uid="{E5E19E5A-24C6-42CF-8E99-F62E06798107}"/>
    <cellStyle name="Comma 451 5" xfId="5931" xr:uid="{5E2F7D54-03E7-4470-ACDE-357E3B7AF0B4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3" xfId="6963" xr:uid="{B8FF64E7-B214-4D56-B947-17D6F56F1429}"/>
    <cellStyle name="Comma 452 3" xfId="2758" xr:uid="{320D414B-7D08-429F-9B5D-4E0C37359D26}"/>
    <cellStyle name="Comma 452 3 2" xfId="7991" xr:uid="{3A267620-6B6E-437F-B6D8-46D2DF7D26E8}"/>
    <cellStyle name="Comma 452 4" xfId="4884" xr:uid="{06613347-4983-41D9-B24B-22D1A8B85589}"/>
    <cellStyle name="Comma 452 4 2" xfId="10060" xr:uid="{C92FC753-C63C-487F-8B53-713431A5429E}"/>
    <cellStyle name="Comma 452 5" xfId="5932" xr:uid="{A7526367-9376-40F1-B966-CA4C15FE735F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3" xfId="6964" xr:uid="{92D9B363-AF70-4D9C-9828-F4F304AD8D88}"/>
    <cellStyle name="Comma 453 3" xfId="2759" xr:uid="{FE2D75D0-8A87-4E68-9CB5-10AA10E0532F}"/>
    <cellStyle name="Comma 453 3 2" xfId="7992" xr:uid="{9B097F64-DF32-40D7-BA20-1941D63E860B}"/>
    <cellStyle name="Comma 453 4" xfId="4885" xr:uid="{9AF9C270-318E-4BF8-8FC8-BD91D2B04D42}"/>
    <cellStyle name="Comma 453 4 2" xfId="10061" xr:uid="{BC58624F-D554-450D-A4B4-711D770BC0FC}"/>
    <cellStyle name="Comma 453 5" xfId="5933" xr:uid="{03F237FA-F6EA-4DEB-8C02-72CD5415233F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3" xfId="6965" xr:uid="{8DBFCBFF-1658-41B9-96C7-A13BA0A06570}"/>
    <cellStyle name="Comma 454 3" xfId="2760" xr:uid="{290BDCB3-5EC5-4FBF-A292-CDE3EED4FB04}"/>
    <cellStyle name="Comma 454 3 2" xfId="7993" xr:uid="{373DE840-FA1C-4B0A-B9DE-2E7A23EFE1B1}"/>
    <cellStyle name="Comma 454 4" xfId="4886" xr:uid="{E9AC520D-7660-46FC-927C-0BFA9B332480}"/>
    <cellStyle name="Comma 454 4 2" xfId="10062" xr:uid="{7B84C999-3E4D-468F-9CC5-A9D5D553A338}"/>
    <cellStyle name="Comma 454 5" xfId="5934" xr:uid="{74A9D540-2F56-40CE-8326-F79182982D76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3" xfId="6966" xr:uid="{DDB48F55-B7E7-44FE-86B1-00F48BF5E305}"/>
    <cellStyle name="Comma 455 3" xfId="2761" xr:uid="{61D742E7-3A82-49B7-8EA3-E0C1C3A34573}"/>
    <cellStyle name="Comma 455 3 2" xfId="7994" xr:uid="{9B9B51CC-B5AF-4956-BFB1-F483B2F69EFC}"/>
    <cellStyle name="Comma 455 4" xfId="4887" xr:uid="{4A2E1285-44D0-45FD-B3B6-E421FC735D4F}"/>
    <cellStyle name="Comma 455 4 2" xfId="10063" xr:uid="{9BD2CA60-4464-43F8-B899-57473F7E21A3}"/>
    <cellStyle name="Comma 455 5" xfId="5935" xr:uid="{25590FC1-1A82-4D8A-96CA-14D5F06A63A9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3" xfId="6967" xr:uid="{D61E42B9-77FB-4BB7-8249-2B639121F928}"/>
    <cellStyle name="Comma 456 3" xfId="2762" xr:uid="{BCE0EC88-ACDC-4AE0-8B61-FC72475FB958}"/>
    <cellStyle name="Comma 456 3 2" xfId="7995" xr:uid="{4D66532E-EE7C-47BC-9DDE-01CFC5AC0A2E}"/>
    <cellStyle name="Comma 456 4" xfId="4888" xr:uid="{408B726B-C9B3-42CA-BA7B-A55538A821A4}"/>
    <cellStyle name="Comma 456 4 2" xfId="10064" xr:uid="{41586DF9-5428-4AC6-8EAD-C6846E931A7B}"/>
    <cellStyle name="Comma 456 5" xfId="5936" xr:uid="{3E297FA5-7653-4D62-8CF1-403E80385698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3" xfId="6968" xr:uid="{1A8B924D-7395-4B74-84FE-6CCF967AEDDC}"/>
    <cellStyle name="Comma 457 3" xfId="2763" xr:uid="{925696C2-AC56-4D3A-8F3A-57F5CA7634FB}"/>
    <cellStyle name="Comma 457 3 2" xfId="7996" xr:uid="{418C0BA9-CF15-4752-A9BD-968E000904A3}"/>
    <cellStyle name="Comma 457 4" xfId="4889" xr:uid="{10D7CF99-4B2F-4F5D-B38A-A99718ECE49C}"/>
    <cellStyle name="Comma 457 4 2" xfId="10065" xr:uid="{C8ED678C-436F-4E1C-8F73-A99BFE4F69FF}"/>
    <cellStyle name="Comma 457 5" xfId="5937" xr:uid="{5F8EBB09-AC61-43BC-9F4B-3FA9A35A2492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3" xfId="6969" xr:uid="{DC8BAD76-B649-4C52-90BE-30AA5915A329}"/>
    <cellStyle name="Comma 458 3" xfId="2764" xr:uid="{67EC6E9E-A5AA-4C89-B824-1CF8CF1BBEDC}"/>
    <cellStyle name="Comma 458 3 2" xfId="7997" xr:uid="{625A8CCD-6968-489C-9A26-4F725F4DBA5E}"/>
    <cellStyle name="Comma 458 4" xfId="4890" xr:uid="{9CF892CB-112B-4C4E-9923-CF6D150B782B}"/>
    <cellStyle name="Comma 458 4 2" xfId="10066" xr:uid="{6D6361A3-4A84-45CA-8165-2B03FFC53C33}"/>
    <cellStyle name="Comma 458 5" xfId="5938" xr:uid="{554086F8-3260-4906-8F62-DA0769BBA1C8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3" xfId="6970" xr:uid="{4659D9D6-0ED6-41EB-B23B-45FBC9B35703}"/>
    <cellStyle name="Comma 459 3" xfId="2765" xr:uid="{D19243F2-261B-481D-B39D-77DE12FC4969}"/>
    <cellStyle name="Comma 459 3 2" xfId="7998" xr:uid="{36C4D945-836E-4444-918F-E5C27E3B77EB}"/>
    <cellStyle name="Comma 459 4" xfId="4891" xr:uid="{31EA6D3A-B4E8-4D9E-AC39-CCAC3931F614}"/>
    <cellStyle name="Comma 459 4 2" xfId="10067" xr:uid="{89E99E35-FD57-441E-9055-1E3C9F0AC40C}"/>
    <cellStyle name="Comma 459 5" xfId="5939" xr:uid="{865960CA-557F-4278-AEDB-C0951A79850D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3" xfId="6557" xr:uid="{B4EDA0A7-1A7A-44C6-BDAD-2E4F374B0A08}"/>
    <cellStyle name="Comma 46 3" xfId="2352" xr:uid="{FD7DB33D-51D8-4D9B-A224-DE8BF7180761}"/>
    <cellStyle name="Comma 46 3 2" xfId="7585" xr:uid="{184EA1A4-3BD7-46B9-9A85-804D27BD0008}"/>
    <cellStyle name="Comma 46 4" xfId="4478" xr:uid="{5BC89529-7E82-41E6-96BF-77B6F40B58F9}"/>
    <cellStyle name="Comma 46 4 2" xfId="9654" xr:uid="{D7C7DA91-A28E-4FE3-88DE-E92CEEB44C67}"/>
    <cellStyle name="Comma 46 5" xfId="5526" xr:uid="{41ED443C-C433-49E1-A9AA-5C39D0D18136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3" xfId="6971" xr:uid="{A6616B7C-6E48-4C44-B363-01BA12043BD0}"/>
    <cellStyle name="Comma 460 3" xfId="2766" xr:uid="{3BAFB7F3-5233-4DC6-9DAD-594801B7C488}"/>
    <cellStyle name="Comma 460 3 2" xfId="7999" xr:uid="{698C6EF2-A9F9-4EB3-A474-9B8208A94420}"/>
    <cellStyle name="Comma 460 4" xfId="4892" xr:uid="{CC0D3A06-2F91-49FD-8FEE-4F692D58A659}"/>
    <cellStyle name="Comma 460 4 2" xfId="10068" xr:uid="{701FCE97-CE56-40D4-B095-E6A08DEA7291}"/>
    <cellStyle name="Comma 460 5" xfId="5940" xr:uid="{89684CFF-45FB-4CF5-ABF9-4E23D0AC2BD5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3" xfId="6972" xr:uid="{37066165-1309-4156-AB20-BFCDBA668842}"/>
    <cellStyle name="Comma 461 3" xfId="2767" xr:uid="{93C0CC17-8774-48E7-B342-87D0C7DB89EB}"/>
    <cellStyle name="Comma 461 3 2" xfId="8000" xr:uid="{4F840922-66EE-4F8B-892A-74925F48DCDB}"/>
    <cellStyle name="Comma 461 4" xfId="4893" xr:uid="{60B622ED-3E86-478D-AB6B-9295443D4477}"/>
    <cellStyle name="Comma 461 4 2" xfId="10069" xr:uid="{41AA0D7B-98DB-440B-A0A1-92864E9BBD18}"/>
    <cellStyle name="Comma 461 5" xfId="5941" xr:uid="{E0791337-D6B4-49BE-8844-F0A3C9CF90E2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3" xfId="6973" xr:uid="{0D0122DE-44EC-4F2D-8540-00327D2C4D02}"/>
    <cellStyle name="Comma 462 3" xfId="2768" xr:uid="{97286EC8-356F-4F60-B27B-68E527E5BE8D}"/>
    <cellStyle name="Comma 462 3 2" xfId="8001" xr:uid="{8A7646F3-4FC5-4CBA-9631-D7856B00B1B7}"/>
    <cellStyle name="Comma 462 4" xfId="4894" xr:uid="{F0035297-4E18-4FAC-B994-78B3715726F1}"/>
    <cellStyle name="Comma 462 4 2" xfId="10070" xr:uid="{E1E5B481-A407-49EC-8C55-EB24CA9660A1}"/>
    <cellStyle name="Comma 462 5" xfId="5942" xr:uid="{F52D0D79-2DA5-4DB1-AE8E-3BBFEB06CC00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3" xfId="6974" xr:uid="{FABCB466-0D1D-4BC5-96B1-A7FA5E0BF6C6}"/>
    <cellStyle name="Comma 463 3" xfId="2769" xr:uid="{F9C10ACC-4692-4B08-B59A-14E7437255DF}"/>
    <cellStyle name="Comma 463 3 2" xfId="8002" xr:uid="{C8AD898C-08DD-4D0E-B462-7DCC209D0C4B}"/>
    <cellStyle name="Comma 463 4" xfId="4895" xr:uid="{9ADB5AFE-748B-4674-A916-336D64FBCB00}"/>
    <cellStyle name="Comma 463 4 2" xfId="10071" xr:uid="{CF4A2AE4-9871-42F9-88DA-DB5DFAC48041}"/>
    <cellStyle name="Comma 463 5" xfId="5943" xr:uid="{A8105A56-1395-4382-9F09-A5291A9CECA7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3" xfId="6975" xr:uid="{DDDA8FFB-0DDD-4F93-81BE-FBC44FED5D69}"/>
    <cellStyle name="Comma 464 3" xfId="2770" xr:uid="{50E274D6-D2ED-4037-B27B-C0A8056C1231}"/>
    <cellStyle name="Comma 464 3 2" xfId="8003" xr:uid="{9223D2A8-E4E9-4DD7-BCB9-114817613662}"/>
    <cellStyle name="Comma 464 4" xfId="4896" xr:uid="{E823BF58-192F-4FC9-BA4B-9DCF36AAC11B}"/>
    <cellStyle name="Comma 464 4 2" xfId="10072" xr:uid="{CCCCE272-93E5-4673-8B9E-4D04231C051F}"/>
    <cellStyle name="Comma 464 5" xfId="5944" xr:uid="{EFC4FA58-BE35-4F51-8F8B-EA111C32EBB8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3" xfId="6976" xr:uid="{01DD1E4D-E3A2-4FCE-B188-F20E2CECFAAF}"/>
    <cellStyle name="Comma 465 3" xfId="2771" xr:uid="{F3BB50DD-095A-4355-A620-C4654A6B150F}"/>
    <cellStyle name="Comma 465 3 2" xfId="8004" xr:uid="{B2208689-2CC9-45E9-8E82-51C2F3626FBA}"/>
    <cellStyle name="Comma 465 4" xfId="4897" xr:uid="{5EFA538C-BA57-4ED8-ABAC-353A90D86706}"/>
    <cellStyle name="Comma 465 4 2" xfId="10073" xr:uid="{748F8627-58E9-459E-937B-38AA7F007D13}"/>
    <cellStyle name="Comma 465 5" xfId="5945" xr:uid="{2138BE6D-33F0-4ADA-9C8C-CE8791E5483D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3" xfId="6977" xr:uid="{E6127418-EBBE-41B5-AE96-58DF59178CD1}"/>
    <cellStyle name="Comma 466 3" xfId="2772" xr:uid="{686EAC76-4547-4F33-91B1-2790AE9A9531}"/>
    <cellStyle name="Comma 466 3 2" xfId="8005" xr:uid="{BC44B074-5318-43E6-B468-1DEC5EEA2643}"/>
    <cellStyle name="Comma 466 4" xfId="4898" xr:uid="{29C5934C-D8A5-4944-BD3A-D5016BA59A0A}"/>
    <cellStyle name="Comma 466 4 2" xfId="10074" xr:uid="{82B61309-F773-4CD7-A80E-A9994CD86086}"/>
    <cellStyle name="Comma 466 5" xfId="5946" xr:uid="{9FE922DC-A118-4C53-B35A-C20587C8146D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3" xfId="6978" xr:uid="{7F41D6A4-1F42-4E48-880C-D92AD88FF425}"/>
    <cellStyle name="Comma 467 3" xfId="2773" xr:uid="{14D512EA-48CA-4BD7-B783-BF4FC0BABC5E}"/>
    <cellStyle name="Comma 467 3 2" xfId="8006" xr:uid="{329545A2-B508-45E2-8980-F785B482B902}"/>
    <cellStyle name="Comma 467 4" xfId="4899" xr:uid="{3E14E167-50B4-4353-AC9B-61CF1557BA20}"/>
    <cellStyle name="Comma 467 4 2" xfId="10075" xr:uid="{50825E7A-F10E-480A-BAEF-4F0EFBF17A90}"/>
    <cellStyle name="Comma 467 5" xfId="5947" xr:uid="{8D177B52-6F38-4021-9960-75D5F83AF49F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3" xfId="6979" xr:uid="{37588EC9-B13F-460F-BE65-E885A78616DD}"/>
    <cellStyle name="Comma 468 3" xfId="2774" xr:uid="{B5CAE71D-9C3B-43F2-B80E-2FB91C411584}"/>
    <cellStyle name="Comma 468 3 2" xfId="8007" xr:uid="{486C8BEF-0D71-4C99-915F-65DBC6091A13}"/>
    <cellStyle name="Comma 468 4" xfId="4900" xr:uid="{6B5CF332-B587-4154-BE0C-43664D737A43}"/>
    <cellStyle name="Comma 468 4 2" xfId="10076" xr:uid="{4D318651-3760-4382-BF2E-01A4F6C6FB49}"/>
    <cellStyle name="Comma 468 5" xfId="5948" xr:uid="{AD4B7D17-95D7-4029-A163-5F04C6B73E9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3" xfId="6980" xr:uid="{327D1859-D280-4F4A-87C0-CA9B6DBB1F25}"/>
    <cellStyle name="Comma 469 3" xfId="2775" xr:uid="{B9EBAA48-540E-4697-88C9-2F8D47C063E7}"/>
    <cellStyle name="Comma 469 3 2" xfId="8008" xr:uid="{81570BEE-0E73-41E7-BF3B-3D8265387767}"/>
    <cellStyle name="Comma 469 4" xfId="4901" xr:uid="{6EFD5CE8-45BD-4132-9727-FB81DF11D432}"/>
    <cellStyle name="Comma 469 4 2" xfId="10077" xr:uid="{3312562B-7600-45D0-8182-D4F714913C24}"/>
    <cellStyle name="Comma 469 5" xfId="5949" xr:uid="{D7EBC78D-CB9F-4929-B063-142BC02CB866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3" xfId="6558" xr:uid="{CAB852B0-4712-45D8-8268-CB6A523D8B7E}"/>
    <cellStyle name="Comma 47 3" xfId="2353" xr:uid="{0CFA1EED-936A-4335-94E1-A748E60BB1E3}"/>
    <cellStyle name="Comma 47 3 2" xfId="7586" xr:uid="{73B2B70D-22D4-4967-908A-E72F291A125D}"/>
    <cellStyle name="Comma 47 4" xfId="4479" xr:uid="{C66C2B04-8C07-4639-84F7-633F624C066C}"/>
    <cellStyle name="Comma 47 4 2" xfId="9655" xr:uid="{D1212B2F-BDD0-4B8C-8ECC-2784472D5AEE}"/>
    <cellStyle name="Comma 47 5" xfId="5527" xr:uid="{751AD7B3-AEDB-41AB-BF82-DD5911DFCEBB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3" xfId="6981" xr:uid="{8DF4AF48-CB31-4E9C-96F3-BFCD6DD11E5C}"/>
    <cellStyle name="Comma 470 3" xfId="2776" xr:uid="{FFE2DE70-1FB2-479E-9164-18A9B959229E}"/>
    <cellStyle name="Comma 470 3 2" xfId="8009" xr:uid="{9A6BE422-A684-42C5-AED6-51E9BB0839C8}"/>
    <cellStyle name="Comma 470 4" xfId="4902" xr:uid="{B534A7E3-7254-46D6-8248-F20BACE5F0DF}"/>
    <cellStyle name="Comma 470 4 2" xfId="10078" xr:uid="{1931A465-9F6F-4E8C-8D08-02DF05C96722}"/>
    <cellStyle name="Comma 470 5" xfId="5950" xr:uid="{25A82907-EF60-4313-BABC-54860E9418F0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3" xfId="6982" xr:uid="{FEA99956-D016-42F1-B390-6281BB3AEBEE}"/>
    <cellStyle name="Comma 471 3" xfId="2777" xr:uid="{104566BC-FFD8-4F54-8CEC-FA8017B9DEBB}"/>
    <cellStyle name="Comma 471 3 2" xfId="8010" xr:uid="{CDD728C2-6A45-4C24-B3CC-43EAD8CDA1E3}"/>
    <cellStyle name="Comma 471 4" xfId="4903" xr:uid="{C7109537-1DC7-4771-AB68-3F4C123FDBFA}"/>
    <cellStyle name="Comma 471 4 2" xfId="10079" xr:uid="{2813CA81-D3A3-41B5-917F-69C1AEAFDE35}"/>
    <cellStyle name="Comma 471 5" xfId="5951" xr:uid="{9A996632-D999-40FE-9FA2-2B0E290A02AC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3" xfId="6983" xr:uid="{BC6F408D-1BF0-482B-890A-4426D79CAE19}"/>
    <cellStyle name="Comma 472 3" xfId="2778" xr:uid="{20E48395-D5AB-4E24-BCDA-4C95628621EF}"/>
    <cellStyle name="Comma 472 3 2" xfId="8011" xr:uid="{D9D087C4-FF9B-4681-A226-FB4FABB36F6E}"/>
    <cellStyle name="Comma 472 4" xfId="4904" xr:uid="{45CFDF8F-5C21-4E5D-A5F9-1C637DD0F297}"/>
    <cellStyle name="Comma 472 4 2" xfId="10080" xr:uid="{47F499BB-096D-4265-835E-A9AA2EF08DDE}"/>
    <cellStyle name="Comma 472 5" xfId="5952" xr:uid="{28DC54E2-9E0D-45BC-B163-8C4B95BE5AA4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3" xfId="6984" xr:uid="{A13B508A-0906-41F9-86B8-BF1F6F099592}"/>
    <cellStyle name="Comma 473 3" xfId="2779" xr:uid="{48B24CAF-85CD-46ED-9B99-7D20EED69037}"/>
    <cellStyle name="Comma 473 3 2" xfId="8012" xr:uid="{E4D2CC77-A261-47D8-8CFF-CA934D1D718D}"/>
    <cellStyle name="Comma 473 4" xfId="4905" xr:uid="{263F0663-FBD3-46D3-B147-47186F20C08E}"/>
    <cellStyle name="Comma 473 4 2" xfId="10081" xr:uid="{9BD7A60C-C523-4D9A-BD90-A891842D16A1}"/>
    <cellStyle name="Comma 473 5" xfId="5953" xr:uid="{88E63C22-773B-4390-9F1F-8865D2FCAEBC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3" xfId="6985" xr:uid="{0C23BC85-3F6E-4CB4-B9EE-D8F748CA437B}"/>
    <cellStyle name="Comma 474 3" xfId="2780" xr:uid="{901FE9C1-9062-43B1-90EB-1E8131DC7E2A}"/>
    <cellStyle name="Comma 474 3 2" xfId="8013" xr:uid="{E34299E2-0482-416C-A828-0DAB04ED92B6}"/>
    <cellStyle name="Comma 474 4" xfId="4906" xr:uid="{437A55B3-6891-429E-BAD3-E677853C2BA3}"/>
    <cellStyle name="Comma 474 4 2" xfId="10082" xr:uid="{0130D23D-6586-4155-8D20-6A99F19F3C93}"/>
    <cellStyle name="Comma 474 5" xfId="5954" xr:uid="{73862420-FBCF-4E41-BE21-BD6E03B0D1F8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3" xfId="6986" xr:uid="{4F5EFBD6-033C-43C6-A0CE-62B486DED85E}"/>
    <cellStyle name="Comma 475 3" xfId="2781" xr:uid="{7037A583-893F-4421-AB0F-70756A03FEF4}"/>
    <cellStyle name="Comma 475 3 2" xfId="8014" xr:uid="{DB330892-F8A6-4FE4-84BB-5B4FDCB6D3E1}"/>
    <cellStyle name="Comma 475 4" xfId="4907" xr:uid="{2B74D6D4-E5D7-4929-AEA3-E987D6C93F1C}"/>
    <cellStyle name="Comma 475 4 2" xfId="10083" xr:uid="{B8777B3B-9C2A-45AA-B2A3-A3C147EC9F41}"/>
    <cellStyle name="Comma 475 5" xfId="5955" xr:uid="{CEED500D-6C9D-4789-BF38-0534D129CD64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3" xfId="6987" xr:uid="{5E18340D-AEE1-4A6B-A832-EC0094BFEBB5}"/>
    <cellStyle name="Comma 476 3" xfId="2782" xr:uid="{CB5A9706-E991-4E77-98DA-88FE381070E3}"/>
    <cellStyle name="Comma 476 3 2" xfId="8015" xr:uid="{74CA8ED3-F6B2-4136-80A9-EFAE676E0F73}"/>
    <cellStyle name="Comma 476 4" xfId="4908" xr:uid="{40A07CF7-7434-4F94-8B1B-D0737EFDFA02}"/>
    <cellStyle name="Comma 476 4 2" xfId="10084" xr:uid="{4FFB99DF-DA5C-484B-A503-7784D564E4FD}"/>
    <cellStyle name="Comma 476 5" xfId="5956" xr:uid="{86F91746-FBEB-40AE-831D-4D5D7BF7B50B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3" xfId="6988" xr:uid="{0283AF1E-65EC-49BB-BC4E-FAEF43E21E6A}"/>
    <cellStyle name="Comma 477 3" xfId="2783" xr:uid="{578AD9C2-32E3-4A1F-8F8F-C84ADF7B2A95}"/>
    <cellStyle name="Comma 477 3 2" xfId="8016" xr:uid="{50B1B336-C0CB-462D-856B-87EEB8AF1E71}"/>
    <cellStyle name="Comma 477 4" xfId="4909" xr:uid="{F0DB0016-45F5-40A8-9F58-F6A118DCB5B6}"/>
    <cellStyle name="Comma 477 4 2" xfId="10085" xr:uid="{C767AA5F-00BA-46E4-A333-4AE0AD45D207}"/>
    <cellStyle name="Comma 477 5" xfId="5957" xr:uid="{43DF7F03-ED68-4DE9-B627-8C42BDDBA147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3" xfId="6989" xr:uid="{8B43D974-3CB6-4112-8B77-C6591AF5CE93}"/>
    <cellStyle name="Comma 478 3" xfId="2784" xr:uid="{10137478-F2F2-49F7-9E25-6B88DAC3B9D9}"/>
    <cellStyle name="Comma 478 3 2" xfId="8017" xr:uid="{A7D735A6-6C2F-44FD-85CA-28850AFFBF3F}"/>
    <cellStyle name="Comma 478 4" xfId="4910" xr:uid="{E0100B70-AADC-44C3-B7E6-F5315BE2E8D9}"/>
    <cellStyle name="Comma 478 4 2" xfId="10086" xr:uid="{8EC4C795-97EC-44C0-B7F4-D4DDEF820381}"/>
    <cellStyle name="Comma 478 5" xfId="5958" xr:uid="{6694B14D-8C47-4463-8353-FAC225FA9B06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3" xfId="6990" xr:uid="{0D6C819D-6EB0-4856-9388-E61DE9517B8E}"/>
    <cellStyle name="Comma 479 3" xfId="2785" xr:uid="{E104E4AB-F638-4FE9-9916-9D697E05420B}"/>
    <cellStyle name="Comma 479 3 2" xfId="8018" xr:uid="{CCC499F1-D40B-4D1A-A2E3-218F623E50D9}"/>
    <cellStyle name="Comma 479 4" xfId="4911" xr:uid="{8190CE7F-4BFF-4DAB-A075-591BB64EC2A9}"/>
    <cellStyle name="Comma 479 4 2" xfId="10087" xr:uid="{41AB375D-5488-487D-89B1-B2FE41115F31}"/>
    <cellStyle name="Comma 479 5" xfId="5959" xr:uid="{0CF2FAFC-7C1C-41BE-8962-AAE874ED490D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3" xfId="6559" xr:uid="{1C36A98F-CAB8-492B-9656-0851F0084098}"/>
    <cellStyle name="Comma 48 3" xfId="2354" xr:uid="{B6E38A75-DB2F-4A5C-A80F-CDC35FDE0D2C}"/>
    <cellStyle name="Comma 48 3 2" xfId="7587" xr:uid="{008117CD-EE5D-4B9D-8A5B-9A0972E353D5}"/>
    <cellStyle name="Comma 48 4" xfId="4480" xr:uid="{B6B4A2B3-7343-4B86-8C8F-77056176605F}"/>
    <cellStyle name="Comma 48 4 2" xfId="9656" xr:uid="{949E81F6-F232-483F-90E7-6DF96789D61E}"/>
    <cellStyle name="Comma 48 5" xfId="5528" xr:uid="{C4311907-4393-4A2E-A29E-CA759D3A6FB6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3" xfId="6991" xr:uid="{A1BCC358-E214-4C64-BA3B-1734CB6DB8E6}"/>
    <cellStyle name="Comma 480 3" xfId="2786" xr:uid="{51FCBD1E-ACBD-44D8-B1C2-9869C7745F33}"/>
    <cellStyle name="Comma 480 3 2" xfId="8019" xr:uid="{4209DDF1-C55D-4B58-9017-F6B50AF32C9E}"/>
    <cellStyle name="Comma 480 4" xfId="4912" xr:uid="{0948DCE2-77A9-4483-A622-0BA127A6748C}"/>
    <cellStyle name="Comma 480 4 2" xfId="10088" xr:uid="{7D358D37-485D-4376-A7D9-53C545C61AE6}"/>
    <cellStyle name="Comma 480 5" xfId="5960" xr:uid="{6FFE69F7-B896-4B9E-818E-2EFDD6E18131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3" xfId="6992" xr:uid="{09BB769C-3142-47D0-A62E-8E5592C9A1D6}"/>
    <cellStyle name="Comma 481 3" xfId="2787" xr:uid="{7D0328E3-0B90-4191-8997-E4CAEF8AC048}"/>
    <cellStyle name="Comma 481 3 2" xfId="8020" xr:uid="{4300E8DB-A0E1-4721-B03F-6DCCB64D496B}"/>
    <cellStyle name="Comma 481 4" xfId="4913" xr:uid="{523A5FC9-FF9F-4360-9F32-F0CD669AECFF}"/>
    <cellStyle name="Comma 481 4 2" xfId="10089" xr:uid="{662F162D-4A91-454E-9CBE-F6866F4D538A}"/>
    <cellStyle name="Comma 481 5" xfId="5961" xr:uid="{A572D2B4-6C94-45A1-8CC3-AD4E8F6CFD46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3" xfId="6993" xr:uid="{3470302E-D2F8-41FD-BD07-2764935132A0}"/>
    <cellStyle name="Comma 482 3" xfId="2788" xr:uid="{83D46FFA-D191-4F4D-AF13-64A403255276}"/>
    <cellStyle name="Comma 482 3 2" xfId="8021" xr:uid="{C0C9CE82-B657-49A0-82AF-BC7BED14504D}"/>
    <cellStyle name="Comma 482 4" xfId="4914" xr:uid="{00413711-FB94-48AF-8D2B-F7CED6041980}"/>
    <cellStyle name="Comma 482 4 2" xfId="10090" xr:uid="{669218F6-DB6E-47E2-9D2E-08DB163F2024}"/>
    <cellStyle name="Comma 482 5" xfId="5962" xr:uid="{C5A85C7B-0F75-42F4-983B-01D2014CF949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3" xfId="6994" xr:uid="{D6F92C7B-D858-4209-ADCB-FCE49B37AC4D}"/>
    <cellStyle name="Comma 483 3" xfId="2789" xr:uid="{71C182E3-48D4-4673-9AD9-76C482D9A341}"/>
    <cellStyle name="Comma 483 3 2" xfId="8022" xr:uid="{57C99643-8A4D-4623-BFC9-80C82645B6CD}"/>
    <cellStyle name="Comma 483 4" xfId="4915" xr:uid="{DFDE3CE3-6C71-4DF0-A7CE-B4750F330954}"/>
    <cellStyle name="Comma 483 4 2" xfId="10091" xr:uid="{087E7401-381C-42B5-B4BC-F5BB65E3E146}"/>
    <cellStyle name="Comma 483 5" xfId="5963" xr:uid="{CF74145B-8A4A-4017-B62C-D9D3887A95DD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3" xfId="6995" xr:uid="{F801001C-EB41-44B4-AD8E-3E6C0EB98543}"/>
    <cellStyle name="Comma 484 3" xfId="2790" xr:uid="{B928988E-A587-4053-B32D-3EA5A7CD674B}"/>
    <cellStyle name="Comma 484 3 2" xfId="8023" xr:uid="{B6B004B9-DC38-415B-9C1D-A3E0BFF85038}"/>
    <cellStyle name="Comma 484 4" xfId="4916" xr:uid="{D2FC28CF-8201-4F10-A3AB-356C6A83C67F}"/>
    <cellStyle name="Comma 484 4 2" xfId="10092" xr:uid="{4E0E75CE-C92D-4F6F-B9B9-F4FEFCFF76CC}"/>
    <cellStyle name="Comma 484 5" xfId="5964" xr:uid="{AFF023AF-B873-4D96-A151-EAD975EE60F7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3" xfId="6996" xr:uid="{81EA919A-05DC-4B2B-A8A3-B8FA0E689A60}"/>
    <cellStyle name="Comma 485 3" xfId="2791" xr:uid="{112DE888-BFCC-4EE8-AA88-1ACD427B78A6}"/>
    <cellStyle name="Comma 485 3 2" xfId="8024" xr:uid="{4FFCB7A1-1A43-4B67-B21E-DF6F926E9E22}"/>
    <cellStyle name="Comma 485 4" xfId="4917" xr:uid="{56412F83-053C-49E3-83F6-34C3C12D6917}"/>
    <cellStyle name="Comma 485 4 2" xfId="10093" xr:uid="{8269E5A4-74A7-47B5-A63D-4E30C0CA9F2C}"/>
    <cellStyle name="Comma 485 5" xfId="5965" xr:uid="{8C718519-726D-4974-AEB5-6FB906E15281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3" xfId="6997" xr:uid="{477D5495-D296-4C5B-B3B6-037722016A20}"/>
    <cellStyle name="Comma 486 3" xfId="2792" xr:uid="{06BCD601-B096-4140-87E4-C62D0D6D293E}"/>
    <cellStyle name="Comma 486 3 2" xfId="8025" xr:uid="{76D611F9-1009-447D-B428-61E9B2BCE4CD}"/>
    <cellStyle name="Comma 486 4" xfId="4918" xr:uid="{9762B220-4907-480C-BACF-A599BDA65007}"/>
    <cellStyle name="Comma 486 4 2" xfId="10094" xr:uid="{94833C25-634D-4FC2-825F-8A9F80DC25F0}"/>
    <cellStyle name="Comma 486 5" xfId="5966" xr:uid="{922631D4-36EF-4EA9-B991-D4EB10631FB1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3" xfId="6998" xr:uid="{BC5EE135-7305-4DFD-9E4A-BFB075DBA900}"/>
    <cellStyle name="Comma 487 3" xfId="2793" xr:uid="{496FC4AC-0785-49EF-826D-3E0B128BB93C}"/>
    <cellStyle name="Comma 487 3 2" xfId="8026" xr:uid="{E5D67D85-5403-47E2-A7AD-DE3F2CAE04AB}"/>
    <cellStyle name="Comma 487 4" xfId="4919" xr:uid="{4ECD40C1-EEB8-4808-B036-B4C87B8A19DC}"/>
    <cellStyle name="Comma 487 4 2" xfId="10095" xr:uid="{859CF83D-1172-4843-864D-875ABD2AA6F1}"/>
    <cellStyle name="Comma 487 5" xfId="5967" xr:uid="{D57AAF4F-BFB9-48C5-9AD1-03CC5050B2C2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3" xfId="6999" xr:uid="{7AE53674-DC38-47F2-86C5-0A254A35AF64}"/>
    <cellStyle name="Comma 488 3" xfId="2794" xr:uid="{4B39AEF5-2844-4B32-828D-EC17F3BABCCA}"/>
    <cellStyle name="Comma 488 3 2" xfId="8027" xr:uid="{F38806E4-D334-4615-93D9-DD209C95492C}"/>
    <cellStyle name="Comma 488 4" xfId="4920" xr:uid="{36FE423D-C941-4A14-83DA-34745AB3FE75}"/>
    <cellStyle name="Comma 488 4 2" xfId="10096" xr:uid="{076D0880-51E2-46EA-B0DB-0353D9908F1F}"/>
    <cellStyle name="Comma 488 5" xfId="5968" xr:uid="{E711E905-4DB3-47B6-8E8B-29D52B9E0231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3" xfId="7000" xr:uid="{8D17D2B5-784A-4FAC-871B-C4CCCCB2E6C2}"/>
    <cellStyle name="Comma 489 3" xfId="2795" xr:uid="{75D503F5-CD5F-4DC7-B52A-D32D5305380F}"/>
    <cellStyle name="Comma 489 3 2" xfId="8028" xr:uid="{388BF7C0-41BD-4876-872F-2E20373A24CD}"/>
    <cellStyle name="Comma 489 4" xfId="4921" xr:uid="{6305B41B-9DC4-448A-811E-FB396E9160AC}"/>
    <cellStyle name="Comma 489 4 2" xfId="10097" xr:uid="{374056A8-3952-4250-A40E-81D12CCC36E3}"/>
    <cellStyle name="Comma 489 5" xfId="5969" xr:uid="{BAD49DDD-7182-46C5-B2B0-E83032568740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3" xfId="6560" xr:uid="{486CEDF3-9CDD-44D2-9D9C-0CAE690303F8}"/>
    <cellStyle name="Comma 49 3" xfId="2355" xr:uid="{227DDF45-894B-4EB2-9A32-8D178B69E398}"/>
    <cellStyle name="Comma 49 3 2" xfId="7588" xr:uid="{EF3B9ECF-8FEC-463E-9024-E79B15D478FC}"/>
    <cellStyle name="Comma 49 4" xfId="4481" xr:uid="{27C63192-E30B-489A-BF11-DDB2FE99AA4F}"/>
    <cellStyle name="Comma 49 4 2" xfId="9657" xr:uid="{A8AA3D25-0525-4DD7-8D5F-D73186D392F9}"/>
    <cellStyle name="Comma 49 5" xfId="5529" xr:uid="{5F88E7CE-DEE7-4510-90F3-B2E9A833568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3" xfId="7001" xr:uid="{EAD258BA-FFC1-429C-9F1B-FA83CAC89121}"/>
    <cellStyle name="Comma 490 3" xfId="2796" xr:uid="{A225A3E0-987B-42B6-88FB-B9C25EDDB65C}"/>
    <cellStyle name="Comma 490 3 2" xfId="8029" xr:uid="{B0B4433F-882F-41A8-90A8-30BF4276A736}"/>
    <cellStyle name="Comma 490 4" xfId="4922" xr:uid="{4337FA18-D913-409F-A5C4-905110AA63B9}"/>
    <cellStyle name="Comma 490 4 2" xfId="10098" xr:uid="{3F75A2E9-4533-4E37-8DEF-69302634533B}"/>
    <cellStyle name="Comma 490 5" xfId="5970" xr:uid="{819FC737-858B-4808-88EE-40C7F6A6A4F8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3" xfId="7002" xr:uid="{05B3E458-24CE-45AD-BF1F-87E623056918}"/>
    <cellStyle name="Comma 491 3" xfId="2797" xr:uid="{CDF8C776-790F-4979-9009-19085ADE69CD}"/>
    <cellStyle name="Comma 491 3 2" xfId="8030" xr:uid="{FEBE8B27-FAC9-43A6-BA2D-A361195205A4}"/>
    <cellStyle name="Comma 491 4" xfId="4923" xr:uid="{CAFEEAA7-8D7A-49D6-A818-C5C3E665D922}"/>
    <cellStyle name="Comma 491 4 2" xfId="10099" xr:uid="{29DEC4A2-0321-4107-A1A9-5E57A862E49B}"/>
    <cellStyle name="Comma 491 5" xfId="5971" xr:uid="{19303D9D-1EA0-4B22-95A1-05916E9E575B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3" xfId="7003" xr:uid="{73AC1B51-09E5-4036-8C3E-E9B535E10597}"/>
    <cellStyle name="Comma 492 3" xfId="2798" xr:uid="{ECD8CDD9-7766-4F47-8D77-8EAB28131845}"/>
    <cellStyle name="Comma 492 3 2" xfId="8031" xr:uid="{F3D3F10F-4456-489B-9F2D-80C71FAB628D}"/>
    <cellStyle name="Comma 492 4" xfId="4924" xr:uid="{B0965256-C407-48A8-A6EF-9A4C5606A293}"/>
    <cellStyle name="Comma 492 4 2" xfId="10100" xr:uid="{BC334B71-FFFA-4A67-B4E3-E3BDF26D2091}"/>
    <cellStyle name="Comma 492 5" xfId="5972" xr:uid="{541DFC58-D0F6-47C0-A1DC-0F41332290D8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3" xfId="7004" xr:uid="{91BCEFD5-1F4E-4C27-B68C-E718DDF9E6DC}"/>
    <cellStyle name="Comma 493 3" xfId="2799" xr:uid="{19D87F4F-5289-4952-B3BB-41539F6FF6F7}"/>
    <cellStyle name="Comma 493 3 2" xfId="8032" xr:uid="{E1EE3144-8D34-4959-9F67-121D9A1A3208}"/>
    <cellStyle name="Comma 493 4" xfId="4925" xr:uid="{B0DCA790-C08C-4112-A0BA-D12351841894}"/>
    <cellStyle name="Comma 493 4 2" xfId="10101" xr:uid="{2A014250-A381-4CF5-971D-F067EC44ACA7}"/>
    <cellStyle name="Comma 493 5" xfId="5973" xr:uid="{812B1C1A-1A95-4653-B1C8-DDEF2052C1C6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3" xfId="7005" xr:uid="{755B516F-82D8-49D7-AB9A-72C0B6230D5C}"/>
    <cellStyle name="Comma 494 3" xfId="2800" xr:uid="{7CF06F3A-9CFA-4FD1-BCB8-989A8208441E}"/>
    <cellStyle name="Comma 494 3 2" xfId="8033" xr:uid="{3D1F737B-A5FC-43CF-B4E7-755838E0849B}"/>
    <cellStyle name="Comma 494 4" xfId="4926" xr:uid="{AAA6FE48-3F7D-4232-9C97-45B97477B95C}"/>
    <cellStyle name="Comma 494 4 2" xfId="10102" xr:uid="{A81D0758-870E-4B2D-86CE-AA106B85F132}"/>
    <cellStyle name="Comma 494 5" xfId="5974" xr:uid="{97B63340-352F-4CC1-976E-80101D04DCC4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3" xfId="7006" xr:uid="{2AAA4B58-7FD9-42F0-B2EB-F66FEE384748}"/>
    <cellStyle name="Comma 495 3" xfId="2801" xr:uid="{AB290F38-E6BA-43BC-8EAD-B76ACF4A4314}"/>
    <cellStyle name="Comma 495 3 2" xfId="8034" xr:uid="{DBDFE684-DB69-47A6-8B6E-87531904E15C}"/>
    <cellStyle name="Comma 495 4" xfId="4927" xr:uid="{145B9F48-3C51-4CD2-A4A7-A2E566D8C76E}"/>
    <cellStyle name="Comma 495 4 2" xfId="10103" xr:uid="{A807F93F-51BA-4236-A017-88CA8CE05A34}"/>
    <cellStyle name="Comma 495 5" xfId="5975" xr:uid="{B1A15E32-AFE0-4DF8-B0EC-B76691CC0255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3" xfId="7007" xr:uid="{0351A245-0340-4B0F-A659-10709E49003B}"/>
    <cellStyle name="Comma 496 3" xfId="2802" xr:uid="{CF067056-FF91-4EA3-8C09-B358B921A098}"/>
    <cellStyle name="Comma 496 3 2" xfId="8035" xr:uid="{DCCE0433-E281-4483-817C-403D8183C763}"/>
    <cellStyle name="Comma 496 4" xfId="4928" xr:uid="{9FA51A44-BCA2-4C9E-9E14-E851246FEE8C}"/>
    <cellStyle name="Comma 496 4 2" xfId="10104" xr:uid="{ED867B6E-6D4E-4546-975C-9855F2B8B017}"/>
    <cellStyle name="Comma 496 5" xfId="5976" xr:uid="{7DF0BE57-147F-4959-BFB0-A41C62B47B3D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3" xfId="7008" xr:uid="{26A3889D-446A-4FDE-A44D-37A7180FFEB2}"/>
    <cellStyle name="Comma 497 3" xfId="2803" xr:uid="{603AEB8A-E24B-45DC-955F-F3430CAB7570}"/>
    <cellStyle name="Comma 497 3 2" xfId="8036" xr:uid="{974A8683-4DD7-43A4-8F78-301CCB9F8BF9}"/>
    <cellStyle name="Comma 497 4" xfId="4929" xr:uid="{639B8558-1ED1-44D6-A432-F9CF04938E92}"/>
    <cellStyle name="Comma 497 4 2" xfId="10105" xr:uid="{F92C2AE9-2824-49A8-BF7B-89A1E513552D}"/>
    <cellStyle name="Comma 497 5" xfId="5977" xr:uid="{03359E63-DE35-49C5-B4F3-52EABF715CF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3" xfId="7009" xr:uid="{BF046317-0AA6-4BA6-911C-8413AD39DA75}"/>
    <cellStyle name="Comma 498 3" xfId="2804" xr:uid="{D4D19EB7-8C67-4ED0-9923-2CEB63ED0923}"/>
    <cellStyle name="Comma 498 3 2" xfId="8037" xr:uid="{8FF29846-AF8A-4CE4-ADDE-76BA3E518352}"/>
    <cellStyle name="Comma 498 4" xfId="4930" xr:uid="{F6197492-0B4C-4115-9D6F-F801327DA65D}"/>
    <cellStyle name="Comma 498 4 2" xfId="10106" xr:uid="{7CDE659C-781C-4FFE-9129-50DA4DB5A171}"/>
    <cellStyle name="Comma 498 5" xfId="5978" xr:uid="{2986780D-2145-4E80-A74A-0D65FE827E7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3" xfId="7010" xr:uid="{07645B14-C391-41E1-918D-7CCE76F24939}"/>
    <cellStyle name="Comma 499 3" xfId="2805" xr:uid="{1FBE9BE2-7622-44D7-B4FC-4AABE2CB7688}"/>
    <cellStyle name="Comma 499 3 2" xfId="8038" xr:uid="{4D5B75CA-A906-4D7B-A587-31F0180BC487}"/>
    <cellStyle name="Comma 499 4" xfId="4931" xr:uid="{296D776D-660B-44E1-A871-8BB038939757}"/>
    <cellStyle name="Comma 499 4 2" xfId="10107" xr:uid="{141727CA-3589-4BC8-B42A-B4A700E5DE4B}"/>
    <cellStyle name="Comma 499 5" xfId="5979" xr:uid="{E8FDEAC7-AD97-499C-AA8E-054A5DA49D11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3" xfId="6543" xr:uid="{589BCFAB-CE40-4FFB-8CBB-4FF1E5320422}"/>
    <cellStyle name="Comma 5 2 3" xfId="2338" xr:uid="{23631C17-62AC-485F-ABD8-B333E521FA26}"/>
    <cellStyle name="Comma 5 2 3 2" xfId="7571" xr:uid="{1128AE12-2E61-4556-81E4-2947AB08DF4E}"/>
    <cellStyle name="Comma 5 2 4" xfId="4464" xr:uid="{C573470F-E187-48FB-9CE6-0504BAAD77EE}"/>
    <cellStyle name="Comma 5 2 4 2" xfId="9640" xr:uid="{3A143721-CA9D-4E6E-8C01-D2D85AF7EBFC}"/>
    <cellStyle name="Comma 5 2 5" xfId="5512" xr:uid="{10184A7F-87FC-4F4E-B8E1-CD3DC0D1C06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3" xfId="6514" xr:uid="{801973DF-1AA9-4035-8AED-18F3132771DC}"/>
    <cellStyle name="Comma 5 4" xfId="2309" xr:uid="{4DD8A212-2032-49F0-BD95-ACEF34A13B04}"/>
    <cellStyle name="Comma 5 4 2" xfId="7542" xr:uid="{600A2A96-C577-4A4D-B9F0-6050DB7E7DCD}"/>
    <cellStyle name="Comma 5 5" xfId="4435" xr:uid="{58F8F96E-2024-4BCC-82C0-D1F7349A2E38}"/>
    <cellStyle name="Comma 5 5 2" xfId="9611" xr:uid="{4C526862-6AA7-4E4D-BB72-E43F56800C89}"/>
    <cellStyle name="Comma 5 6" xfId="5482" xr:uid="{6485C0E4-DD0D-4790-93EA-D4823C506344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3" xfId="6561" xr:uid="{6622D285-8489-438E-B33D-A7CAA8DB1AD8}"/>
    <cellStyle name="Comma 50 3" xfId="2356" xr:uid="{02B66910-D673-415B-BC3C-85111E627CE2}"/>
    <cellStyle name="Comma 50 3 2" xfId="7589" xr:uid="{756AB151-C979-4AE9-BB82-84DD9DD2079F}"/>
    <cellStyle name="Comma 50 4" xfId="4482" xr:uid="{F363FF63-6308-41FD-999F-2C9559F4E883}"/>
    <cellStyle name="Comma 50 4 2" xfId="9658" xr:uid="{2920C7B1-CE2B-4885-9177-8061ADE07A41}"/>
    <cellStyle name="Comma 50 5" xfId="5530" xr:uid="{DD34FC33-3274-4EC4-965F-E47D48FA239B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3" xfId="7011" xr:uid="{1DACEC51-8566-47FE-94CF-65D1C0B4DDBE}"/>
    <cellStyle name="Comma 500 3" xfId="2806" xr:uid="{E82779AB-2E8B-4BEE-8668-18762741D3F9}"/>
    <cellStyle name="Comma 500 3 2" xfId="8039" xr:uid="{E12DA20B-F217-4B42-9F8B-1F0AA2BB1AB4}"/>
    <cellStyle name="Comma 500 4" xfId="4932" xr:uid="{51E6B61B-ACAC-4EA2-A36C-5989EA7626AB}"/>
    <cellStyle name="Comma 500 4 2" xfId="10108" xr:uid="{2DCE1922-DC4F-4B42-B561-7197AC196ACE}"/>
    <cellStyle name="Comma 500 5" xfId="5980" xr:uid="{C846E05D-E2FB-4699-BB3A-EFF892BF867A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3" xfId="7012" xr:uid="{FB1C8955-BD3A-45FE-A862-EEDD6539609D}"/>
    <cellStyle name="Comma 501 3" xfId="2807" xr:uid="{911D91D1-D188-4991-BE6B-8B3A73B937D6}"/>
    <cellStyle name="Comma 501 3 2" xfId="8040" xr:uid="{7DBE8F65-31BB-4F78-89ED-F1A27CAF4643}"/>
    <cellStyle name="Comma 501 4" xfId="4933" xr:uid="{F34CAA7B-87A0-4E4A-8DE6-09EE84C669FB}"/>
    <cellStyle name="Comma 501 4 2" xfId="10109" xr:uid="{D6401A3A-4257-46F0-89E0-3859FE3DDFE6}"/>
    <cellStyle name="Comma 501 5" xfId="5981" xr:uid="{3FB6F409-CDC6-42F3-86C5-92D5C8A9C9A9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3" xfId="7013" xr:uid="{1741212C-B4F4-4B43-8254-8955C25441C0}"/>
    <cellStyle name="Comma 502 3" xfId="2808" xr:uid="{2BCD3281-9489-41D0-AD4D-60855ABDA928}"/>
    <cellStyle name="Comma 502 3 2" xfId="8041" xr:uid="{FDAA0A81-33E9-4D9C-A3F5-F30E86DFCE5B}"/>
    <cellStyle name="Comma 502 4" xfId="4934" xr:uid="{93BDB9C0-3C68-432B-8928-D468F8986C41}"/>
    <cellStyle name="Comma 502 4 2" xfId="10110" xr:uid="{0839445B-0C15-48F3-B713-5B6C278D643A}"/>
    <cellStyle name="Comma 502 5" xfId="5982" xr:uid="{3C923B4D-F884-4E2E-89BF-3CBB65CC9BF3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3" xfId="7014" xr:uid="{3624D24C-DD22-4B82-895C-834511A067F0}"/>
    <cellStyle name="Comma 503 3" xfId="2809" xr:uid="{05075C12-767E-4847-9B82-2DCFF5E5DAA7}"/>
    <cellStyle name="Comma 503 3 2" xfId="8042" xr:uid="{C8164816-D412-4581-AF74-3648EFC3717D}"/>
    <cellStyle name="Comma 503 4" xfId="4935" xr:uid="{B39F04A1-6879-43F3-B547-392E3E6FC2D9}"/>
    <cellStyle name="Comma 503 4 2" xfId="10111" xr:uid="{6B187F44-90A7-4427-8348-9C2A7360B663}"/>
    <cellStyle name="Comma 503 5" xfId="5983" xr:uid="{ECA3CD57-1D7C-47DA-8141-FF856AE015F2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3" xfId="7015" xr:uid="{CAE695EB-F881-42BB-B955-0F55DE15391E}"/>
    <cellStyle name="Comma 504 3" xfId="2810" xr:uid="{6BF3D6E3-0BE8-4FEA-9D9B-6178BD1F4541}"/>
    <cellStyle name="Comma 504 3 2" xfId="8043" xr:uid="{AA26F194-EF9F-4A5F-BE6B-50802C866C72}"/>
    <cellStyle name="Comma 504 4" xfId="4936" xr:uid="{46DBFDF4-D2B1-4543-BAA4-B2595306365D}"/>
    <cellStyle name="Comma 504 4 2" xfId="10112" xr:uid="{B781D2B9-AE15-4E79-9FB6-BD3692C6EEDA}"/>
    <cellStyle name="Comma 504 5" xfId="5984" xr:uid="{23D7898A-3137-4FA8-9212-F030387F03F0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3" xfId="7016" xr:uid="{35FF213A-CEDA-4B04-9BD8-796E85414086}"/>
    <cellStyle name="Comma 505 3" xfId="2811" xr:uid="{AB55FD6A-7A0B-4FDE-8D31-65A7D35B8DFD}"/>
    <cellStyle name="Comma 505 3 2" xfId="8044" xr:uid="{E450B9B1-53EC-4D19-AC6F-CD9EFA1BA630}"/>
    <cellStyle name="Comma 505 4" xfId="4937" xr:uid="{DCC0898B-115A-4F22-B78F-26FC39A84007}"/>
    <cellStyle name="Comma 505 4 2" xfId="10113" xr:uid="{95E798C5-2F95-4B6A-AB3C-DCECF04A43B1}"/>
    <cellStyle name="Comma 505 5" xfId="5985" xr:uid="{AB431C6F-BB28-4A8E-8DF5-589EBA5D2642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3" xfId="7017" xr:uid="{B9E1BB50-549F-49BC-AAC0-3FC0EFE4F22D}"/>
    <cellStyle name="Comma 506 3" xfId="2812" xr:uid="{24A88616-74EF-4726-9A2C-63891BFEA73B}"/>
    <cellStyle name="Comma 506 3 2" xfId="8045" xr:uid="{307F4FBE-C751-4C17-BC5B-78DDFF32CE47}"/>
    <cellStyle name="Comma 506 4" xfId="4938" xr:uid="{9A36966B-DC40-4EC3-8583-50B3A982AD12}"/>
    <cellStyle name="Comma 506 4 2" xfId="10114" xr:uid="{2165F7DB-E652-4EE2-B64F-E51F04FACBFC}"/>
    <cellStyle name="Comma 506 5" xfId="5986" xr:uid="{9E0C6B22-707F-415F-9501-1FE61EC813A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3" xfId="7018" xr:uid="{C6EE1BD1-5736-4E43-87C2-0044842CC26C}"/>
    <cellStyle name="Comma 507 3" xfId="2813" xr:uid="{041F3D27-9F88-413F-B301-F0EA153E2812}"/>
    <cellStyle name="Comma 507 3 2" xfId="8046" xr:uid="{7F204EEE-D4C7-43B5-8659-E6F7708D7333}"/>
    <cellStyle name="Comma 507 4" xfId="4939" xr:uid="{6ECCC78A-61C1-45AC-B3A1-01061C69E39E}"/>
    <cellStyle name="Comma 507 4 2" xfId="10115" xr:uid="{B5B322CA-2783-4A30-AD7A-8D942062F821}"/>
    <cellStyle name="Comma 507 5" xfId="5987" xr:uid="{22B020D9-EBE1-4270-8A96-AC1FC5AAFCAB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3" xfId="7019" xr:uid="{2E631215-4B7D-4B3F-A2DD-132741C1618F}"/>
    <cellStyle name="Comma 508 3" xfId="2814" xr:uid="{4B81AD07-8A41-42BF-BDA8-16EFD59376B2}"/>
    <cellStyle name="Comma 508 3 2" xfId="8047" xr:uid="{29C2566F-9FB5-4E6E-83D4-B5ADE22CB89C}"/>
    <cellStyle name="Comma 508 4" xfId="4940" xr:uid="{A770585A-129F-449A-B577-D50B1AA99636}"/>
    <cellStyle name="Comma 508 4 2" xfId="10116" xr:uid="{CB1DBF95-99EA-4EAC-B9AA-1C9EE237DEEC}"/>
    <cellStyle name="Comma 508 5" xfId="5988" xr:uid="{BA80826F-6985-4015-9C49-647BE2E5607B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3" xfId="7020" xr:uid="{2BD3E0DC-A103-4381-8BB7-95EBCA81DD25}"/>
    <cellStyle name="Comma 509 3" xfId="2815" xr:uid="{145EE7E2-D98A-4B00-A3BB-8639AF552999}"/>
    <cellStyle name="Comma 509 3 2" xfId="8048" xr:uid="{993FF9B7-7D20-481C-A47E-DD20B57B7B29}"/>
    <cellStyle name="Comma 509 4" xfId="4941" xr:uid="{26C02DF0-47E4-4C4E-AA55-7548015401F0}"/>
    <cellStyle name="Comma 509 4 2" xfId="10117" xr:uid="{00E0379C-AAD8-49EA-B175-0F3F55782E3F}"/>
    <cellStyle name="Comma 509 5" xfId="5989" xr:uid="{4D388443-7C4E-4873-BADD-F4A50FB9F449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3" xfId="6562" xr:uid="{0A51F1A6-887C-47B5-9CB2-572E6973B39C}"/>
    <cellStyle name="Comma 51 3" xfId="2357" xr:uid="{D704B7EB-AC55-4C4B-AC52-CA62DEF4F16C}"/>
    <cellStyle name="Comma 51 3 2" xfId="7590" xr:uid="{EDC522F5-470E-4361-A109-515C017D3FEE}"/>
    <cellStyle name="Comma 51 4" xfId="4483" xr:uid="{8E003F91-714F-44F6-B46F-8B60EA431A90}"/>
    <cellStyle name="Comma 51 4 2" xfId="9659" xr:uid="{6B7B5BB7-7CDA-4E97-9CBA-BA23DE8F3502}"/>
    <cellStyle name="Comma 51 5" xfId="5531" xr:uid="{910EFD9E-45CC-4A4F-8D54-26F466C0CBEB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3" xfId="7021" xr:uid="{08BD8A9E-182D-4FCA-90EF-899C1D1A1123}"/>
    <cellStyle name="Comma 510 3" xfId="2816" xr:uid="{B24D404A-5050-4F6A-AB88-0746850F655E}"/>
    <cellStyle name="Comma 510 3 2" xfId="8049" xr:uid="{31688219-255F-4953-8805-9970050D6AEF}"/>
    <cellStyle name="Comma 510 4" xfId="4942" xr:uid="{7049384C-85FA-460F-921A-C2569CE2865B}"/>
    <cellStyle name="Comma 510 4 2" xfId="10118" xr:uid="{CD020C87-5414-4926-81FC-4FBD2C4B45C0}"/>
    <cellStyle name="Comma 510 5" xfId="5990" xr:uid="{FCEC684E-9188-4928-9678-5B5A4BA8D627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3" xfId="7022" xr:uid="{9D54BEF3-CA5F-4435-B1C7-DCEDF9837BEE}"/>
    <cellStyle name="Comma 511 3" xfId="2817" xr:uid="{4A025FE0-6711-42CE-B49A-AD692918BA5D}"/>
    <cellStyle name="Comma 511 3 2" xfId="8050" xr:uid="{8092AF42-527E-4FEB-A7AC-87A6AA8F6487}"/>
    <cellStyle name="Comma 511 4" xfId="4943" xr:uid="{6882E044-7F21-46FB-8C48-AF57C054A5B5}"/>
    <cellStyle name="Comma 511 4 2" xfId="10119" xr:uid="{FA992638-6C1B-483C-B824-AAA15C569F88}"/>
    <cellStyle name="Comma 511 5" xfId="5991" xr:uid="{6BB62572-D1F1-41AA-8119-9EA2660EC3CB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3" xfId="7023" xr:uid="{D1BD5968-B9A3-4012-924C-4A476B8F6525}"/>
    <cellStyle name="Comma 512 3" xfId="2818" xr:uid="{D000B86C-AF91-465B-B628-293EEB96A901}"/>
    <cellStyle name="Comma 512 3 2" xfId="8051" xr:uid="{7100BDBB-203D-4D2F-BDF6-69FB82AC377A}"/>
    <cellStyle name="Comma 512 4" xfId="4944" xr:uid="{2AC6B688-FA82-404F-BD9F-C0B987F899E5}"/>
    <cellStyle name="Comma 512 4 2" xfId="10120" xr:uid="{78AE0B7A-408C-479C-B500-CAB6555C4C73}"/>
    <cellStyle name="Comma 512 5" xfId="5992" xr:uid="{6B481680-E626-4444-B7CF-910E644A140D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3" xfId="7024" xr:uid="{C4FAA732-10A7-4B4C-AA82-599D63571BC3}"/>
    <cellStyle name="Comma 513 3" xfId="2819" xr:uid="{4BEB53FD-C473-491F-BEE6-1311DEA9D934}"/>
    <cellStyle name="Comma 513 3 2" xfId="8052" xr:uid="{DFC43769-014E-45DA-96B9-AC0C3029C956}"/>
    <cellStyle name="Comma 513 4" xfId="4945" xr:uid="{C3B9795D-F116-481A-9CA1-8CCE782CA4AD}"/>
    <cellStyle name="Comma 513 4 2" xfId="10121" xr:uid="{2ED6E758-F34B-402A-BF73-D0EDFDD98DEB}"/>
    <cellStyle name="Comma 513 5" xfId="5993" xr:uid="{0B626B97-99F5-47D0-9A6A-E51B481E0F71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3" xfId="7025" xr:uid="{8208BC3A-94BC-4E15-A72D-BE50FCF59395}"/>
    <cellStyle name="Comma 514 3" xfId="2820" xr:uid="{B1EDD8ED-D8A9-484E-9546-3383B5E5C1B6}"/>
    <cellStyle name="Comma 514 3 2" xfId="8053" xr:uid="{2D1B4FCF-9DA9-4919-BE2D-9EFB53BDEE20}"/>
    <cellStyle name="Comma 514 4" xfId="4946" xr:uid="{C47E258E-AD4E-4E87-93EE-3EC0429E465C}"/>
    <cellStyle name="Comma 514 4 2" xfId="10122" xr:uid="{F79A40C2-19FD-4950-AB3E-70A8DA52EDD7}"/>
    <cellStyle name="Comma 514 5" xfId="5994" xr:uid="{AB73A79F-50A4-4678-B9A9-01B013FB86F9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3" xfId="7026" xr:uid="{80146AE9-7381-4663-A68D-E0ED838B1626}"/>
    <cellStyle name="Comma 515 3" xfId="2821" xr:uid="{DE213A00-C9FD-42FB-AF2A-9953752BD62B}"/>
    <cellStyle name="Comma 515 3 2" xfId="8054" xr:uid="{4637F562-3984-4C93-9469-CC3A272D2960}"/>
    <cellStyle name="Comma 515 4" xfId="4947" xr:uid="{6D7D8CE5-BD76-4B2F-ADDD-0A89CC4D4412}"/>
    <cellStyle name="Comma 515 4 2" xfId="10123" xr:uid="{32BE2052-F581-497C-B05D-88CDE5E8207F}"/>
    <cellStyle name="Comma 515 5" xfId="5995" xr:uid="{D7D4298F-BE6A-47F0-A478-4D89C05691DF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3" xfId="7027" xr:uid="{F1669ECA-C338-4A54-8FCD-4ADBFB7433AB}"/>
    <cellStyle name="Comma 516 3" xfId="2822" xr:uid="{C0DA297F-8B62-44AE-88CE-4E3128FBEAC6}"/>
    <cellStyle name="Comma 516 3 2" xfId="8055" xr:uid="{4581091C-F0BB-4B7D-AE76-4BDBAD7E1825}"/>
    <cellStyle name="Comma 516 4" xfId="4948" xr:uid="{02A572E6-9474-42A6-8629-05BBCF64B711}"/>
    <cellStyle name="Comma 516 4 2" xfId="10124" xr:uid="{A5F1B112-77AD-4129-8625-5C69367D0661}"/>
    <cellStyle name="Comma 516 5" xfId="5996" xr:uid="{5A82A775-BB42-41C4-8F0E-29E6E0897D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3" xfId="7028" xr:uid="{196A2EB7-2732-4E8A-AF9B-E407A63AC28F}"/>
    <cellStyle name="Comma 517 3" xfId="2823" xr:uid="{211EAD09-7CBC-4AD2-BEF3-20BF5C2E4F2F}"/>
    <cellStyle name="Comma 517 3 2" xfId="8056" xr:uid="{DEB1AA28-5D9E-4285-B2EE-D42A80CF64BE}"/>
    <cellStyle name="Comma 517 4" xfId="4949" xr:uid="{7E422CA4-8D43-4876-AF09-2E4B1D1AEB5D}"/>
    <cellStyle name="Comma 517 4 2" xfId="10125" xr:uid="{03949709-C714-43AF-82A8-A120C8CE92A7}"/>
    <cellStyle name="Comma 517 5" xfId="5997" xr:uid="{59D00138-BFC6-47BC-A55A-8C77034F40E1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3" xfId="7029" xr:uid="{4B600DC1-4A73-4EC0-B2A9-DB6B70BEE0B9}"/>
    <cellStyle name="Comma 518 3" xfId="2824" xr:uid="{AF4BBBAC-E702-4CF3-8141-B8C18659F4B8}"/>
    <cellStyle name="Comma 518 3 2" xfId="8057" xr:uid="{D7F0374E-9339-4CFC-9FA4-9B2AA1500358}"/>
    <cellStyle name="Comma 518 4" xfId="4950" xr:uid="{56FFBFCD-D851-427D-A1A6-9FE8D1A3CF41}"/>
    <cellStyle name="Comma 518 4 2" xfId="10126" xr:uid="{4516B796-EF87-4C48-8CEF-3D3EF27FAA7F}"/>
    <cellStyle name="Comma 518 5" xfId="5998" xr:uid="{163959A5-7A83-47D5-A536-4F85734992D9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3" xfId="7030" xr:uid="{EA60D474-BBDA-49EE-8E26-C8A3642DD1F8}"/>
    <cellStyle name="Comma 519 3" xfId="2825" xr:uid="{C85445AA-DF43-435A-B02F-C6B7E0270BA6}"/>
    <cellStyle name="Comma 519 3 2" xfId="8058" xr:uid="{2E9D5D11-ED61-492D-8830-A2482B9A4756}"/>
    <cellStyle name="Comma 519 4" xfId="4951" xr:uid="{0F65E51E-C7CB-4D1C-B203-E60D86BAA4A7}"/>
    <cellStyle name="Comma 519 4 2" xfId="10127" xr:uid="{4794C0F8-0ED4-4761-8394-60CA00F1C7E7}"/>
    <cellStyle name="Comma 519 5" xfId="5999" xr:uid="{9320DFFC-74BE-4E92-A9D9-C4B5AFC9D948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3" xfId="6563" xr:uid="{10E6BD23-88A0-4EEF-BFC8-7E4DE1D2516B}"/>
    <cellStyle name="Comma 52 3" xfId="2358" xr:uid="{1B680C67-A1CA-4596-816F-DAE9DD1C9AD6}"/>
    <cellStyle name="Comma 52 3 2" xfId="7591" xr:uid="{BF0B70A6-BED8-465B-BB71-043C5369BF9C}"/>
    <cellStyle name="Comma 52 4" xfId="4484" xr:uid="{47A3FE1E-ACCD-4D1C-972A-E86CCA37D3D0}"/>
    <cellStyle name="Comma 52 4 2" xfId="9660" xr:uid="{2FEB6F00-7CB6-4011-8B69-5E26C3411D56}"/>
    <cellStyle name="Comma 52 5" xfId="5532" xr:uid="{77F73B93-9666-4690-870F-53A95CD6D3ED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3" xfId="7031" xr:uid="{74E113C4-6D39-4AF5-9071-C93C9C0C79A8}"/>
    <cellStyle name="Comma 520 3" xfId="2826" xr:uid="{573BBF51-85F7-4030-847A-616ACA0ECF1B}"/>
    <cellStyle name="Comma 520 3 2" xfId="8059" xr:uid="{F8E76081-6150-41BF-A3BC-6AC30C5FBA86}"/>
    <cellStyle name="Comma 520 4" xfId="4952" xr:uid="{B2CE5A07-F69D-4CA1-86E4-4AAC706586C5}"/>
    <cellStyle name="Comma 520 4 2" xfId="10128" xr:uid="{D21E49C0-943D-426F-A62F-A50D3CBA7D20}"/>
    <cellStyle name="Comma 520 5" xfId="6000" xr:uid="{76127D95-743E-4C2E-8498-5636F8DCB6CD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3" xfId="7032" xr:uid="{A945D59B-43E4-46FB-9AC6-0AAAD15E26C2}"/>
    <cellStyle name="Comma 521 3" xfId="2827" xr:uid="{B0894FA6-72B1-4E50-8C35-5E4EB16D0B23}"/>
    <cellStyle name="Comma 521 3 2" xfId="8060" xr:uid="{9F96190D-825E-47EC-ACDD-1C7E0EC7D42E}"/>
    <cellStyle name="Comma 521 4" xfId="4953" xr:uid="{16B9121C-87EE-47C4-B951-4591176E0E61}"/>
    <cellStyle name="Comma 521 4 2" xfId="10129" xr:uid="{ED2A1E6E-0465-4CBD-B9E4-17573DEF8042}"/>
    <cellStyle name="Comma 521 5" xfId="6001" xr:uid="{8293A14C-D331-4219-BA5B-1429A6812658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3" xfId="7033" xr:uid="{2FE9429D-7A0A-4D3F-9D9E-A90C514D302A}"/>
    <cellStyle name="Comma 522 3" xfId="2828" xr:uid="{DDC02D7F-07FB-49DA-A98A-98572820B9F4}"/>
    <cellStyle name="Comma 522 3 2" xfId="8061" xr:uid="{FD1890D4-8264-4B19-B093-102199F8AFAE}"/>
    <cellStyle name="Comma 522 4" xfId="4954" xr:uid="{652DE2E1-4D2F-4C0E-829E-29816E9FADBF}"/>
    <cellStyle name="Comma 522 4 2" xfId="10130" xr:uid="{C6D88B03-F413-440C-83B7-04452114FF4D}"/>
    <cellStyle name="Comma 522 5" xfId="6002" xr:uid="{C5035562-7A15-4F8F-96B5-43A75E269785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3" xfId="7034" xr:uid="{FD26022C-C9F2-42F8-BCB8-7D39E155A0D7}"/>
    <cellStyle name="Comma 523 3" xfId="2829" xr:uid="{8886CD32-4ACF-4956-8271-E69087005BA7}"/>
    <cellStyle name="Comma 523 3 2" xfId="8062" xr:uid="{834689DD-C2B1-4E23-86A2-4BA46799A150}"/>
    <cellStyle name="Comma 523 4" xfId="4955" xr:uid="{A0E986E0-FC28-4F61-9A78-76D04AB1968B}"/>
    <cellStyle name="Comma 523 4 2" xfId="10131" xr:uid="{2D9C876B-00E4-414E-B8BC-66FA98A7E747}"/>
    <cellStyle name="Comma 523 5" xfId="6003" xr:uid="{1197143A-B636-4C3D-8601-531278EA07F9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3" xfId="7035" xr:uid="{D89B3EC5-631B-4ED5-A141-F8D7F7ED4962}"/>
    <cellStyle name="Comma 524 3" xfId="2830" xr:uid="{CE30C4FF-8424-4E02-8957-D4ACB10A2F1B}"/>
    <cellStyle name="Comma 524 3 2" xfId="8063" xr:uid="{CD348F18-32DA-4B7A-B46E-7CC65F031384}"/>
    <cellStyle name="Comma 524 4" xfId="4956" xr:uid="{AF1C947A-DD01-40D1-BAE8-360672A964CB}"/>
    <cellStyle name="Comma 524 4 2" xfId="10132" xr:uid="{2F4EA06A-859E-49CD-85E0-7CC04B99D413}"/>
    <cellStyle name="Comma 524 5" xfId="6004" xr:uid="{BDE8E58F-DA39-4154-B549-A0EC6C19142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3" xfId="7036" xr:uid="{566122E3-D057-4667-974F-C9D487724BFA}"/>
    <cellStyle name="Comma 525 3" xfId="2831" xr:uid="{6EC6EAD4-6E33-49D6-9D4E-E1C2E41F24D7}"/>
    <cellStyle name="Comma 525 3 2" xfId="8064" xr:uid="{DDD7EC59-00A7-43CD-8FDC-645895649DE8}"/>
    <cellStyle name="Comma 525 4" xfId="4957" xr:uid="{B8EB5C44-192E-4DB7-B66B-146A2E66E914}"/>
    <cellStyle name="Comma 525 4 2" xfId="10133" xr:uid="{10C30CE8-7A29-4C0E-A65D-34BD282435FA}"/>
    <cellStyle name="Comma 525 5" xfId="6005" xr:uid="{1525C598-05F1-4CE9-BAFC-805EE5B787B6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3" xfId="7037" xr:uid="{7BE8096D-7959-4874-982F-92639A577DE9}"/>
    <cellStyle name="Comma 526 3" xfId="2832" xr:uid="{0012C121-06CB-4F2D-9BF9-148E60AD1986}"/>
    <cellStyle name="Comma 526 3 2" xfId="8065" xr:uid="{1687A725-3B79-4456-B82C-C24755B31995}"/>
    <cellStyle name="Comma 526 4" xfId="4958" xr:uid="{9E4ED74B-B5BD-4D28-8091-99574A3D38F8}"/>
    <cellStyle name="Comma 526 4 2" xfId="10134" xr:uid="{FFA4B164-9945-40E6-BC47-28E126FD085A}"/>
    <cellStyle name="Comma 526 5" xfId="6006" xr:uid="{41389125-3A2A-4C3E-B68D-BEDCF5293A70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3" xfId="7038" xr:uid="{6DED22EA-7884-4C4D-B7E2-4D7AB3A2F693}"/>
    <cellStyle name="Comma 527 3" xfId="2833" xr:uid="{2A95BA0E-5530-4BA0-8F5F-887188A87BC4}"/>
    <cellStyle name="Comma 527 3 2" xfId="8066" xr:uid="{5D1AE064-D965-4408-A37F-164E8D384774}"/>
    <cellStyle name="Comma 527 4" xfId="4959" xr:uid="{E55C1F21-42DD-44CE-A924-02A092675A89}"/>
    <cellStyle name="Comma 527 4 2" xfId="10135" xr:uid="{6AB14973-479F-4006-BED2-E2424F6C1655}"/>
    <cellStyle name="Comma 527 5" xfId="6007" xr:uid="{DF8E6C55-CA85-4D3A-90DE-6D5AD9CE1391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3" xfId="7039" xr:uid="{D6C072B6-047A-4588-BB3E-EA66BC82F1B0}"/>
    <cellStyle name="Comma 528 3" xfId="2834" xr:uid="{7FCCE808-F7AB-4F23-8AF5-0B4EAF7802E5}"/>
    <cellStyle name="Comma 528 3 2" xfId="8067" xr:uid="{735A2031-05A6-46C7-824B-2B552C27F490}"/>
    <cellStyle name="Comma 528 4" xfId="4960" xr:uid="{D2025DD2-7F22-4562-AA8A-91BEB43CD092}"/>
    <cellStyle name="Comma 528 4 2" xfId="10136" xr:uid="{717D7EDA-F8B2-493A-956B-70C5F40C9110}"/>
    <cellStyle name="Comma 528 5" xfId="6008" xr:uid="{81B6709F-0BA6-439C-9A8E-4B2BE6CA96F0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3" xfId="7040" xr:uid="{F9C14730-6B58-49EA-A2E7-E36112B65B14}"/>
    <cellStyle name="Comma 529 3" xfId="2835" xr:uid="{BE2E91E4-7CA8-42C4-A619-89F18B402457}"/>
    <cellStyle name="Comma 529 3 2" xfId="8068" xr:uid="{37704998-AAF9-422B-9500-2289585B303C}"/>
    <cellStyle name="Comma 529 4" xfId="4961" xr:uid="{3D94C246-B5B1-4157-B8BE-462EF86FBB53}"/>
    <cellStyle name="Comma 529 4 2" xfId="10137" xr:uid="{52C9D849-BAD7-4263-9CFA-4DD073D89988}"/>
    <cellStyle name="Comma 529 5" xfId="6009" xr:uid="{118F80BE-9AFD-47E1-BFB3-1F8B27CE1F30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3" xfId="6564" xr:uid="{78ED4DF2-601B-4B57-AB41-F7347D67FD6A}"/>
    <cellStyle name="Comma 53 3" xfId="2359" xr:uid="{0141D5F3-782F-4D2A-8D72-0412FFF87124}"/>
    <cellStyle name="Comma 53 3 2" xfId="7592" xr:uid="{ECE76623-F543-4987-B0A6-76475ACBE576}"/>
    <cellStyle name="Comma 53 4" xfId="4485" xr:uid="{C552E4F0-0D3D-4E1F-BB00-AAC698ED5B78}"/>
    <cellStyle name="Comma 53 4 2" xfId="9661" xr:uid="{E6BF0B53-80A3-49FE-8A9A-C4B075D39E88}"/>
    <cellStyle name="Comma 53 5" xfId="5533" xr:uid="{E9C16605-E81A-45D9-B2A5-A31073843470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3" xfId="7041" xr:uid="{F4068E24-3B3B-4B5C-BEB0-BDBDB97FE6DD}"/>
    <cellStyle name="Comma 530 3" xfId="2836" xr:uid="{DADA7C6F-AD25-496E-997E-EFB550313580}"/>
    <cellStyle name="Comma 530 3 2" xfId="8069" xr:uid="{76B965ED-B301-4800-9FCF-925584CA6FB3}"/>
    <cellStyle name="Comma 530 4" xfId="4962" xr:uid="{E7783997-2674-43B0-906B-04270CB07D7D}"/>
    <cellStyle name="Comma 530 4 2" xfId="10138" xr:uid="{624F4F37-6A46-4B63-8E14-D11685C1B5BD}"/>
    <cellStyle name="Comma 530 5" xfId="6010" xr:uid="{80BE3B2F-686C-4F3E-9C5F-20C98A7AF8A3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3" xfId="7042" xr:uid="{51EDD211-3C28-4991-986D-92566C7D326B}"/>
    <cellStyle name="Comma 531 3" xfId="2837" xr:uid="{D8087B78-36A2-4099-A697-2765634D517A}"/>
    <cellStyle name="Comma 531 3 2" xfId="8070" xr:uid="{53A7F85D-99B0-461C-B86D-F59C7BF8BFC9}"/>
    <cellStyle name="Comma 531 4" xfId="4963" xr:uid="{71035252-10D4-4305-A3F8-889E3DF02F8F}"/>
    <cellStyle name="Comma 531 4 2" xfId="10139" xr:uid="{1D22C5C0-BFFD-4299-A1E9-8D1A74098D36}"/>
    <cellStyle name="Comma 531 5" xfId="6011" xr:uid="{392305A0-67A9-4E2D-97EC-F86FC852EC7D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3" xfId="7043" xr:uid="{C7FB340A-AE82-4598-B5C5-99C62F100473}"/>
    <cellStyle name="Comma 532 3" xfId="2838" xr:uid="{D56CD063-EBB9-486F-AC07-0283AE9E898E}"/>
    <cellStyle name="Comma 532 3 2" xfId="8071" xr:uid="{B9683A9A-5B95-4191-9581-A268AB3308B3}"/>
    <cellStyle name="Comma 532 4" xfId="4964" xr:uid="{C1A2EF16-65E2-49D7-881B-CD1F4130F73E}"/>
    <cellStyle name="Comma 532 4 2" xfId="10140" xr:uid="{BE7A78A1-48C1-4340-B904-65C66BDDBC18}"/>
    <cellStyle name="Comma 532 5" xfId="6012" xr:uid="{847AEDFA-B4CB-4CD1-88C0-037443D50A12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3" xfId="7044" xr:uid="{48D8AFF1-693A-4591-AC94-97A10BFCCE49}"/>
    <cellStyle name="Comma 533 3" xfId="2839" xr:uid="{4ACB732B-6C8D-43A6-B30C-AC940D204584}"/>
    <cellStyle name="Comma 533 3 2" xfId="8072" xr:uid="{97E3A0EC-E9FB-46A1-96C1-F25286E94E16}"/>
    <cellStyle name="Comma 533 4" xfId="4965" xr:uid="{E17969E2-C30C-496C-AE8D-DA49CACE7966}"/>
    <cellStyle name="Comma 533 4 2" xfId="10141" xr:uid="{4609D17C-87D1-4087-8797-FCDE3442D485}"/>
    <cellStyle name="Comma 533 5" xfId="6013" xr:uid="{E1F457F0-9946-4E5B-AD66-051BD7DABB1E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3" xfId="7045" xr:uid="{F3E88E9B-A5BD-4441-B098-2EA208B35410}"/>
    <cellStyle name="Comma 534 3" xfId="2840" xr:uid="{470379AF-2F2F-4DD3-AA08-C19370BDBF49}"/>
    <cellStyle name="Comma 534 3 2" xfId="8073" xr:uid="{DE686B78-D58A-4168-9956-566938805FA1}"/>
    <cellStyle name="Comma 534 4" xfId="4966" xr:uid="{10D56235-396F-4688-8D42-244FE313F973}"/>
    <cellStyle name="Comma 534 4 2" xfId="10142" xr:uid="{9F374EDA-B148-423E-B4F3-9FF062D2E95C}"/>
    <cellStyle name="Comma 534 5" xfId="6014" xr:uid="{62B438B5-A326-4F2E-8727-217C8E1EE64A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3" xfId="7046" xr:uid="{5115EE23-6EAE-46BF-8950-BD2D7866CF4F}"/>
    <cellStyle name="Comma 535 3" xfId="2841" xr:uid="{686FA14F-0D3B-4A2E-ADE8-7782FA653919}"/>
    <cellStyle name="Comma 535 3 2" xfId="8074" xr:uid="{C14E7947-37CF-4A5D-B328-39DCF5DA04FB}"/>
    <cellStyle name="Comma 535 4" xfId="4967" xr:uid="{A93AACC7-59E0-4F91-8C67-F9461ED80118}"/>
    <cellStyle name="Comma 535 4 2" xfId="10143" xr:uid="{1C4D08DE-B421-4A91-85BF-034963C632EF}"/>
    <cellStyle name="Comma 535 5" xfId="6015" xr:uid="{5DD6ABBA-AC03-4CB2-9517-0475E0F631C1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3" xfId="7047" xr:uid="{5946D9E1-5140-44EF-A7BC-B15506BE8911}"/>
    <cellStyle name="Comma 536 3" xfId="2842" xr:uid="{5B73B649-B25D-4543-82E0-B24620DE4E8E}"/>
    <cellStyle name="Comma 536 3 2" xfId="8075" xr:uid="{7EB29DA5-978A-4CD4-9BE8-C4FBF7409B44}"/>
    <cellStyle name="Comma 536 4" xfId="4968" xr:uid="{E4C482A4-F7FD-4C21-8F5D-D757584A9F0D}"/>
    <cellStyle name="Comma 536 4 2" xfId="10144" xr:uid="{11D97CF5-AF19-4BA1-AD64-5174DFBE4D6F}"/>
    <cellStyle name="Comma 536 5" xfId="6016" xr:uid="{488CCE48-A5BA-44A5-8656-D2C438C13B72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3" xfId="7048" xr:uid="{022DA812-BA59-4F60-B2D1-40243DEDDF8C}"/>
    <cellStyle name="Comma 537 3" xfId="2843" xr:uid="{81C28C16-399F-4224-B692-0826602A3C7E}"/>
    <cellStyle name="Comma 537 3 2" xfId="8076" xr:uid="{FF41966C-F6FC-446B-AB85-BE34C1B9AB08}"/>
    <cellStyle name="Comma 537 4" xfId="4969" xr:uid="{37AD8B05-E63F-4E50-8414-0F4884A54560}"/>
    <cellStyle name="Comma 537 4 2" xfId="10145" xr:uid="{D64E642D-9612-4A20-8BD7-385DCDC71264}"/>
    <cellStyle name="Comma 537 5" xfId="6017" xr:uid="{10F6DB8C-870D-46D0-B1F4-26468C47AE2E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3" xfId="7049" xr:uid="{9E0DB00B-417D-4A39-AB0D-D3E0470B5E93}"/>
    <cellStyle name="Comma 538 3" xfId="2844" xr:uid="{00131EBD-628C-473F-AF0F-04D6876DA7FF}"/>
    <cellStyle name="Comma 538 3 2" xfId="8077" xr:uid="{8EBD828E-9C96-445F-BFF5-7F64AFE23180}"/>
    <cellStyle name="Comma 538 4" xfId="4970" xr:uid="{6970DF5F-31C5-4C13-B482-E15FB2B40721}"/>
    <cellStyle name="Comma 538 4 2" xfId="10146" xr:uid="{1DCDA055-A451-45D3-A308-B1D3C26F5CF7}"/>
    <cellStyle name="Comma 538 5" xfId="6018" xr:uid="{37FAA64F-A287-45E2-94CC-DC5CE4EAFF7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3" xfId="7050" xr:uid="{9B11A002-A811-412C-B294-8BFB4FC576A9}"/>
    <cellStyle name="Comma 539 3" xfId="2845" xr:uid="{6248DE25-128D-4AEA-B743-EAC398CEDBC4}"/>
    <cellStyle name="Comma 539 3 2" xfId="8078" xr:uid="{90D9C2CD-AA1D-4855-9DC6-D37DD8C4CA9C}"/>
    <cellStyle name="Comma 539 4" xfId="4971" xr:uid="{278FB552-E53C-46CA-B6BE-166BF2F1FE21}"/>
    <cellStyle name="Comma 539 4 2" xfId="10147" xr:uid="{C46E2C6C-1A40-4DD2-9674-1F379861F5D5}"/>
    <cellStyle name="Comma 539 5" xfId="6019" xr:uid="{BF62E0E4-1ADC-4BD1-B023-4C1656C8D584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3" xfId="6565" xr:uid="{B7A57FB6-E578-4C24-BA8C-721371EDF4C0}"/>
    <cellStyle name="Comma 54 3" xfId="2360" xr:uid="{FB42142A-2D65-4807-85B4-FCBD9550714F}"/>
    <cellStyle name="Comma 54 3 2" xfId="7593" xr:uid="{04BF16D7-F522-4CCB-8D0C-7BA6B453FFA9}"/>
    <cellStyle name="Comma 54 4" xfId="4486" xr:uid="{06492472-9270-4B84-B778-E1137F6DA15A}"/>
    <cellStyle name="Comma 54 4 2" xfId="9662" xr:uid="{5F9BEE6A-47C3-469F-85AB-FE71242892E8}"/>
    <cellStyle name="Comma 54 5" xfId="5534" xr:uid="{1B593564-6063-4B21-A9C8-6DC68FE03BD8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3" xfId="7051" xr:uid="{9AAFD2F3-9F76-47EE-8F17-28C9BDB2B3C9}"/>
    <cellStyle name="Comma 540 3" xfId="2846" xr:uid="{622F04A0-83C0-47F9-8F4D-720BA26179E3}"/>
    <cellStyle name="Comma 540 3 2" xfId="8079" xr:uid="{8CF416B6-980B-4D80-A2B1-60E422408B1F}"/>
    <cellStyle name="Comma 540 4" xfId="4972" xr:uid="{7C9505A3-F412-4EB5-8422-366C65FD1DE2}"/>
    <cellStyle name="Comma 540 4 2" xfId="10148" xr:uid="{C06D7BDA-D8A5-4185-ACBF-F6D0EDB7689C}"/>
    <cellStyle name="Comma 540 5" xfId="6020" xr:uid="{DF2C27F7-0A05-40DF-93E5-60935A1F308B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3" xfId="7052" xr:uid="{879B137C-3EE7-4C31-A160-68CFE12BDF9C}"/>
    <cellStyle name="Comma 541 3" xfId="2847" xr:uid="{FC57D20E-E361-4DEF-82C0-23450F2BBD7B}"/>
    <cellStyle name="Comma 541 3 2" xfId="8080" xr:uid="{71D921AF-DE4D-4F4D-AFAF-BA9A7DF4686B}"/>
    <cellStyle name="Comma 541 4" xfId="4973" xr:uid="{85B4CCC7-B34E-4FD6-901A-81D3A14E49B2}"/>
    <cellStyle name="Comma 541 4 2" xfId="10149" xr:uid="{C1BC5C13-8EC7-490E-AFA2-2D1426C36BDA}"/>
    <cellStyle name="Comma 541 5" xfId="6021" xr:uid="{D9C22DCA-B4E7-485D-A8F0-3089D26700A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3" xfId="7053" xr:uid="{E1BC3765-C07A-41AD-9EA4-37B95D62183E}"/>
    <cellStyle name="Comma 542 3" xfId="2848" xr:uid="{CE395349-FA31-47D1-A3AF-5320B93D4B85}"/>
    <cellStyle name="Comma 542 3 2" xfId="8081" xr:uid="{FAEA34C2-3610-409C-B6D7-974EE9DC9328}"/>
    <cellStyle name="Comma 542 4" xfId="4974" xr:uid="{0FBD428E-BBAB-4B07-837E-338764BAD860}"/>
    <cellStyle name="Comma 542 4 2" xfId="10150" xr:uid="{65BB8E3D-3801-408D-B418-F863624F73E3}"/>
    <cellStyle name="Comma 542 5" xfId="6022" xr:uid="{E9326D18-2BD4-4739-A648-5A08F572817E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3" xfId="7054" xr:uid="{51866667-B901-483C-98F1-EE9933285AD5}"/>
    <cellStyle name="Comma 543 3" xfId="2849" xr:uid="{8DDFFD40-2EFC-4084-B0EB-6D7238512B01}"/>
    <cellStyle name="Comma 543 3 2" xfId="8082" xr:uid="{228F7DA5-8ABA-4FB0-85DB-C9FF0EC670D4}"/>
    <cellStyle name="Comma 543 4" xfId="4975" xr:uid="{E94848DF-A0B0-42D8-B584-354137A9BBBA}"/>
    <cellStyle name="Comma 543 4 2" xfId="10151" xr:uid="{C8EE1A7C-B2F7-419F-ABC0-59056F54406D}"/>
    <cellStyle name="Comma 543 5" xfId="6023" xr:uid="{1FC329AE-6840-48CD-A632-5B25F4A2BBDB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3" xfId="7055" xr:uid="{41FFF786-0EE7-4FEB-93D0-427F2DBE6B90}"/>
    <cellStyle name="Comma 544 3" xfId="2850" xr:uid="{12E882C2-B62F-4923-BD77-5C8EA69EB2F7}"/>
    <cellStyle name="Comma 544 3 2" xfId="8083" xr:uid="{AD2CA398-A2CB-4ADD-BF14-FB86E487E4A3}"/>
    <cellStyle name="Comma 544 4" xfId="4976" xr:uid="{A09D58C1-FE6A-4A9A-9813-4240EF9EDE45}"/>
    <cellStyle name="Comma 544 4 2" xfId="10152" xr:uid="{53E752E8-AA00-4C48-B31E-FD654D624206}"/>
    <cellStyle name="Comma 544 5" xfId="6024" xr:uid="{269A3FAC-8770-4A29-96B4-1FDC4D3FF144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3" xfId="7056" xr:uid="{45F0F987-6572-44FC-8788-97854249D5B3}"/>
    <cellStyle name="Comma 545 3" xfId="2851" xr:uid="{0A1B698C-68FF-456B-A567-94850C5B2130}"/>
    <cellStyle name="Comma 545 3 2" xfId="8084" xr:uid="{FB3C5B39-A6B6-4490-B13F-DC7C51DEC4DE}"/>
    <cellStyle name="Comma 545 4" xfId="4977" xr:uid="{AF17CADB-D7FD-4CBB-A0CB-1BF24E2452C1}"/>
    <cellStyle name="Comma 545 4 2" xfId="10153" xr:uid="{30CAF800-8551-4D90-ADCC-96876811C91F}"/>
    <cellStyle name="Comma 545 5" xfId="6025" xr:uid="{A51B3207-5CB4-42D8-84B5-B5191C5C07B4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3" xfId="7057" xr:uid="{30C62935-23A3-4B9D-A51C-E9F6928F8552}"/>
    <cellStyle name="Comma 546 3" xfId="2852" xr:uid="{C22293DE-CCE9-43D1-A2B2-7DFE29CD5A7B}"/>
    <cellStyle name="Comma 546 3 2" xfId="8085" xr:uid="{16D07DCF-D2C2-4161-94D6-C82D10BDDC69}"/>
    <cellStyle name="Comma 546 4" xfId="4978" xr:uid="{11560D2D-BF31-4F1B-BBAC-7D57668BCAE8}"/>
    <cellStyle name="Comma 546 4 2" xfId="10154" xr:uid="{407B1BE1-5088-48AE-99C2-C16B45833AF2}"/>
    <cellStyle name="Comma 546 5" xfId="6026" xr:uid="{5257A1BC-30C8-4538-A49D-60F5987CCCD0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3" xfId="7058" xr:uid="{88BB9BAF-5750-4140-B4DD-68B68498414B}"/>
    <cellStyle name="Comma 547 3" xfId="2853" xr:uid="{49EBB586-9A7D-4473-ABA1-4DFE27566E41}"/>
    <cellStyle name="Comma 547 3 2" xfId="8086" xr:uid="{AB636D44-D1F4-498E-B129-7E99228595FB}"/>
    <cellStyle name="Comma 547 4" xfId="4979" xr:uid="{1628FB6B-3EBD-4D7B-8786-88A2B340A89B}"/>
    <cellStyle name="Comma 547 4 2" xfId="10155" xr:uid="{092122D6-4D99-4F7F-9362-EF12E14AB363}"/>
    <cellStyle name="Comma 547 5" xfId="6027" xr:uid="{E8AF0753-6EB5-4DED-A1B1-071018B3C32E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3" xfId="7059" xr:uid="{A5F102ED-87F0-40FA-9C96-72062931239C}"/>
    <cellStyle name="Comma 548 3" xfId="2854" xr:uid="{E5C68A5F-8303-4C09-A7AB-1B2710DA885E}"/>
    <cellStyle name="Comma 548 3 2" xfId="8087" xr:uid="{6B6D70C0-2715-4CA6-B7F2-576E49EF2909}"/>
    <cellStyle name="Comma 548 4" xfId="4980" xr:uid="{0104A22A-BD75-49C0-B871-5EA97C183AF6}"/>
    <cellStyle name="Comma 548 4 2" xfId="10156" xr:uid="{03D63EBC-6B5D-45BF-A517-99A1088BFDA7}"/>
    <cellStyle name="Comma 548 5" xfId="6028" xr:uid="{71A87F9B-9820-4242-82E2-6705DE296C8E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3" xfId="7060" xr:uid="{47A421E3-B336-4AAB-9486-DA3820E992E6}"/>
    <cellStyle name="Comma 549 3" xfId="2855" xr:uid="{810CDAAC-24A1-4F75-A5A6-005AC3285981}"/>
    <cellStyle name="Comma 549 3 2" xfId="8088" xr:uid="{48004375-B148-45E8-845B-2797853DA736}"/>
    <cellStyle name="Comma 549 4" xfId="4981" xr:uid="{50FAA7D3-35B8-4B6E-8402-B4EE0B67CD9A}"/>
    <cellStyle name="Comma 549 4 2" xfId="10157" xr:uid="{B7B63EFD-0F26-4B73-994C-A5BC8F119864}"/>
    <cellStyle name="Comma 549 5" xfId="6029" xr:uid="{A19CC48A-F254-4302-83B4-9B24B9F5EC99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3" xfId="6566" xr:uid="{81A60FD3-A188-488F-A51A-3CBE10A26B8B}"/>
    <cellStyle name="Comma 55 3" xfId="2361" xr:uid="{FCC0446F-3D01-443A-AE18-BEBF2A0BAE9F}"/>
    <cellStyle name="Comma 55 3 2" xfId="7594" xr:uid="{2BCCA7A0-C6A3-4E9F-8E1A-C7467D083D5A}"/>
    <cellStyle name="Comma 55 4" xfId="4487" xr:uid="{4B085A25-C59E-4B29-9D25-6CADEE6BFA35}"/>
    <cellStyle name="Comma 55 4 2" xfId="9663" xr:uid="{8EA5C162-4212-46ED-8728-3B99CA59FD8D}"/>
    <cellStyle name="Comma 55 5" xfId="5535" xr:uid="{FC7A5989-16DD-4394-B908-6D2D5DE39C40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3" xfId="7061" xr:uid="{D9ED5448-2C78-4CE7-B9AE-C722BBCD204A}"/>
    <cellStyle name="Comma 550 3" xfId="2856" xr:uid="{7D8851BD-6820-4281-AE38-12915196AD16}"/>
    <cellStyle name="Comma 550 3 2" xfId="8089" xr:uid="{14418793-8502-4ECB-8935-BA6559456560}"/>
    <cellStyle name="Comma 550 4" xfId="4982" xr:uid="{FB44108A-8601-4A2E-8A92-EC1EE8B5EBCE}"/>
    <cellStyle name="Comma 550 4 2" xfId="10158" xr:uid="{8C21ADE3-A558-43A6-9FC6-A843A0E2E4E9}"/>
    <cellStyle name="Comma 550 5" xfId="6030" xr:uid="{6D24E074-65FD-43E5-AB81-2B19A0F0C8DA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3" xfId="7062" xr:uid="{DE5A8A7E-4273-4991-B16D-165A93B6F6D4}"/>
    <cellStyle name="Comma 551 3" xfId="2857" xr:uid="{62B8E84F-A4E2-4F6A-ADCA-DA16EE116477}"/>
    <cellStyle name="Comma 551 3 2" xfId="8090" xr:uid="{FFD456A1-1DD0-4D98-81FB-6A1BED398498}"/>
    <cellStyle name="Comma 551 4" xfId="4983" xr:uid="{B17D4D16-4602-4FD5-9DC7-7DCEBB57C40A}"/>
    <cellStyle name="Comma 551 4 2" xfId="10159" xr:uid="{01CE38EE-6D7C-4EF8-960A-CDA76617BFD4}"/>
    <cellStyle name="Comma 551 5" xfId="6031" xr:uid="{80813CE3-BF8A-44DD-B862-8DA214F21F0E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3" xfId="7063" xr:uid="{CA90D7B3-1120-4E0E-91DA-095F450E075E}"/>
    <cellStyle name="Comma 552 3" xfId="2858" xr:uid="{F81DBA54-C0C6-4E12-8FFD-AE156170AD4F}"/>
    <cellStyle name="Comma 552 3 2" xfId="8091" xr:uid="{36E59930-4607-4B46-A1F7-3A0AB1FBEF8C}"/>
    <cellStyle name="Comma 552 4" xfId="4984" xr:uid="{4EDF580E-8D90-428E-B82E-6ECC7631181B}"/>
    <cellStyle name="Comma 552 4 2" xfId="10160" xr:uid="{BE0BBD49-9E11-416C-8D6E-6F527149FE60}"/>
    <cellStyle name="Comma 552 5" xfId="6032" xr:uid="{04639496-AEE4-47D8-926C-2092FD591003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3" xfId="7064" xr:uid="{36EFB6C1-78D5-4D73-9F81-701A342C3CB0}"/>
    <cellStyle name="Comma 553 3" xfId="2859" xr:uid="{306D20F7-4222-4A29-AFC3-C65939FF2AAB}"/>
    <cellStyle name="Comma 553 3 2" xfId="8092" xr:uid="{4668743D-C644-41FF-8240-49D233DFBC82}"/>
    <cellStyle name="Comma 553 4" xfId="4985" xr:uid="{C4C42F01-ECB0-40EC-BF7A-73CDACC5DD13}"/>
    <cellStyle name="Comma 553 4 2" xfId="10161" xr:uid="{C1D94689-BA40-4D3E-8A5F-D4BCFC1A2EB7}"/>
    <cellStyle name="Comma 553 5" xfId="6033" xr:uid="{1037BC9C-2A9D-414A-8E84-7B644656E24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3" xfId="7065" xr:uid="{53277778-7B60-4831-95C6-9F0D4D57EB83}"/>
    <cellStyle name="Comma 554 3" xfId="2860" xr:uid="{E5EBECF6-E85A-4A95-B97B-F12032CFDC05}"/>
    <cellStyle name="Comma 554 3 2" xfId="8093" xr:uid="{7401A9F3-A2C6-4F85-A0F4-6F99D41D8804}"/>
    <cellStyle name="Comma 554 4" xfId="4986" xr:uid="{AA77F3AA-E15E-4E0F-BAE3-AD7FE2FE9559}"/>
    <cellStyle name="Comma 554 4 2" xfId="10162" xr:uid="{EEC8A1A3-99F9-42A1-A1CA-8CB92FE41F3C}"/>
    <cellStyle name="Comma 554 5" xfId="6034" xr:uid="{1F47F433-48AC-4292-8FEF-752AC03DD17E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3" xfId="7066" xr:uid="{8A42FA53-69E2-40D8-AAA4-6E2FAFAA05A7}"/>
    <cellStyle name="Comma 555 3" xfId="2861" xr:uid="{C907ADB3-C0A3-4CA3-BEA1-C3E471EE352F}"/>
    <cellStyle name="Comma 555 3 2" xfId="8094" xr:uid="{86CE9DF2-9EFC-44CA-9440-8069BA7928AA}"/>
    <cellStyle name="Comma 555 4" xfId="4987" xr:uid="{C76D7D41-9AEE-4934-8418-717711D29C66}"/>
    <cellStyle name="Comma 555 4 2" xfId="10163" xr:uid="{2D464793-6694-4558-9087-4D529A4F4A17}"/>
    <cellStyle name="Comma 555 5" xfId="6035" xr:uid="{A439F3C5-3E3D-49BA-8A1E-4A7EF8AF9F60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3" xfId="7067" xr:uid="{2F548C44-447D-490F-89BF-5CB643DE1C12}"/>
    <cellStyle name="Comma 556 3" xfId="2862" xr:uid="{DC2938F8-E1C2-49F8-938F-4EEFEFDBCD2B}"/>
    <cellStyle name="Comma 556 3 2" xfId="8095" xr:uid="{337C543E-FDFB-405F-A8C5-2EE1FED39377}"/>
    <cellStyle name="Comma 556 4" xfId="4988" xr:uid="{27212F0D-1ABE-46E0-B2CA-D8313FF5435F}"/>
    <cellStyle name="Comma 556 4 2" xfId="10164" xr:uid="{535AAD54-20F2-44E1-B5FA-7813E0A1613C}"/>
    <cellStyle name="Comma 556 5" xfId="6036" xr:uid="{939AE043-B071-412B-BF64-70AEA331B23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3" xfId="7068" xr:uid="{C2E90C8C-0795-40C8-947D-BE6E0C41F110}"/>
    <cellStyle name="Comma 557 3" xfId="2863" xr:uid="{0599290B-8A8E-4077-81EC-E3D50AF505D6}"/>
    <cellStyle name="Comma 557 3 2" xfId="8096" xr:uid="{DF5F0DC0-19D1-4F68-A6CA-02287A427705}"/>
    <cellStyle name="Comma 557 4" xfId="4989" xr:uid="{77EA52F6-A6FD-497E-90B9-F1A581C183AE}"/>
    <cellStyle name="Comma 557 4 2" xfId="10165" xr:uid="{BE7B1617-1516-42AF-A460-2E02F07DB7E7}"/>
    <cellStyle name="Comma 557 5" xfId="6037" xr:uid="{0C7FFE24-11DB-40DC-9F69-EECA6001934A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3" xfId="7069" xr:uid="{571BB4A8-A6F9-4B4B-8E28-EFA133427ECD}"/>
    <cellStyle name="Comma 558 3" xfId="2864" xr:uid="{423B73A1-199E-4C80-BFC1-EE87CDE5ABEF}"/>
    <cellStyle name="Comma 558 3 2" xfId="8097" xr:uid="{F03E8DE2-80F3-4D75-AD36-DCFB538536C0}"/>
    <cellStyle name="Comma 558 4" xfId="4990" xr:uid="{5E915165-1BAB-44FB-A53D-D1584918449F}"/>
    <cellStyle name="Comma 558 4 2" xfId="10166" xr:uid="{2682F358-ECD6-4FAC-A190-DF22DF9A075E}"/>
    <cellStyle name="Comma 558 5" xfId="6038" xr:uid="{E78ADDD9-E1B8-46DA-A3C3-C4E1BF5D60F1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3" xfId="7070" xr:uid="{7FAE84AB-B7F1-453D-9BDB-2F60391BE85D}"/>
    <cellStyle name="Comma 559 3" xfId="2865" xr:uid="{200D2284-B99A-4061-AC45-C9E10A88B9A0}"/>
    <cellStyle name="Comma 559 3 2" xfId="8098" xr:uid="{877D2825-8B3A-48E9-8174-6A509D8C4447}"/>
    <cellStyle name="Comma 559 4" xfId="4991" xr:uid="{5E41651D-5B23-498D-9FA8-A5A7252FC6B7}"/>
    <cellStyle name="Comma 559 4 2" xfId="10167" xr:uid="{4EE8C3AC-B3B7-4EA1-B42E-F393CB3B109A}"/>
    <cellStyle name="Comma 559 5" xfId="6039" xr:uid="{1DECE5E9-4171-426C-9611-29D8E72BD0D8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3" xfId="6567" xr:uid="{F91D2D14-0CB1-4F93-B50A-128E71CBF8D2}"/>
    <cellStyle name="Comma 56 3" xfId="2362" xr:uid="{CC9E2702-1AD1-40B3-856B-B54D658DAA6C}"/>
    <cellStyle name="Comma 56 3 2" xfId="7595" xr:uid="{106C2EA7-7973-4FDC-A05E-C884BB0201D5}"/>
    <cellStyle name="Comma 56 4" xfId="4488" xr:uid="{2C0FDAA4-3FD0-4623-9EAF-66163FD4F000}"/>
    <cellStyle name="Comma 56 4 2" xfId="9664" xr:uid="{992C2B3B-5F5D-4DBB-9714-49ABC6FA7D79}"/>
    <cellStyle name="Comma 56 5" xfId="5536" xr:uid="{3970958D-8D7C-4E02-AC3F-F66081AC78D7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3" xfId="7071" xr:uid="{04653A14-57FD-49D3-A219-C72826BC4D8D}"/>
    <cellStyle name="Comma 560 3" xfId="2866" xr:uid="{B5AB56FE-DC3B-4BFD-B891-4865C12C1D1D}"/>
    <cellStyle name="Comma 560 3 2" xfId="8099" xr:uid="{736ABA60-7228-4645-A0AC-DE502413EFFB}"/>
    <cellStyle name="Comma 560 4" xfId="4992" xr:uid="{05B9E7AF-60FB-429E-80C8-529CCFDB5403}"/>
    <cellStyle name="Comma 560 4 2" xfId="10168" xr:uid="{0693024A-F1BB-43F3-A2D9-584BCF3DA657}"/>
    <cellStyle name="Comma 560 5" xfId="6040" xr:uid="{4AF7AD23-DC70-45E4-8813-A25C087D1DE2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3" xfId="7072" xr:uid="{D4EC4693-6C98-4493-815C-2A850E24ACB5}"/>
    <cellStyle name="Comma 561 3" xfId="2867" xr:uid="{55C88BC2-D4F3-4480-8E40-0A22871EAE65}"/>
    <cellStyle name="Comma 561 3 2" xfId="8100" xr:uid="{CFA11522-7C28-4AB3-B416-E2131CF128B1}"/>
    <cellStyle name="Comma 561 4" xfId="4993" xr:uid="{FFED2BCE-2AB0-403F-8ECC-B327BD57E391}"/>
    <cellStyle name="Comma 561 4 2" xfId="10169" xr:uid="{D84A3C04-406A-4A6C-A730-D0E87103AD14}"/>
    <cellStyle name="Comma 561 5" xfId="6041" xr:uid="{3394F855-65F7-497C-9431-93C5C78AFC8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3" xfId="7073" xr:uid="{07FD835E-CCA9-424F-ABC2-F550D0BB47E3}"/>
    <cellStyle name="Comma 562 3" xfId="2868" xr:uid="{A8AE4C7E-67C0-4F89-8A0B-ADA1DD01AEB7}"/>
    <cellStyle name="Comma 562 3 2" xfId="8101" xr:uid="{D613059D-7838-4394-B0C9-A2FD353CD98A}"/>
    <cellStyle name="Comma 562 4" xfId="4994" xr:uid="{64741B06-5FB1-4183-ABE0-7EAB82EA98B3}"/>
    <cellStyle name="Comma 562 4 2" xfId="10170" xr:uid="{A5ADF0C7-4F79-47D4-BF08-0B54FC82B39C}"/>
    <cellStyle name="Comma 562 5" xfId="6042" xr:uid="{B1A5EF8B-B2CA-4CB4-AFD1-2D8671DA604F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3" xfId="7074" xr:uid="{CB148711-0DC9-40CF-BE59-C40C520A311A}"/>
    <cellStyle name="Comma 563 3" xfId="2869" xr:uid="{C3EB1786-6545-448A-8F44-D44F76E67787}"/>
    <cellStyle name="Comma 563 3 2" xfId="8102" xr:uid="{1BF4FFCE-FEE2-4F32-86CF-41006C0D8754}"/>
    <cellStyle name="Comma 563 4" xfId="4995" xr:uid="{5191D6FD-B446-409E-A257-86906B1D42C6}"/>
    <cellStyle name="Comma 563 4 2" xfId="10171" xr:uid="{C2F9315B-05DB-4471-88CE-EECC19886B58}"/>
    <cellStyle name="Comma 563 5" xfId="6043" xr:uid="{1D910BCE-B423-4483-952D-D9C9C37FFD0F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3" xfId="7075" xr:uid="{63EE29C5-70F1-4157-9EBA-4A6E668CA141}"/>
    <cellStyle name="Comma 564 3" xfId="2870" xr:uid="{23A3C47F-8441-42B3-8DC1-FC5567DBD158}"/>
    <cellStyle name="Comma 564 3 2" xfId="8103" xr:uid="{364E95D3-43EB-43F9-8E2D-B82835EEF56E}"/>
    <cellStyle name="Comma 564 4" xfId="4996" xr:uid="{897842A7-F0A0-451A-A965-F39BD71B3DFB}"/>
    <cellStyle name="Comma 564 4 2" xfId="10172" xr:uid="{E578DDCC-6465-4350-BF35-4F42B765E23E}"/>
    <cellStyle name="Comma 564 5" xfId="6044" xr:uid="{E7682E82-BD2E-425B-83E9-42C8B5F498D5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3" xfId="7076" xr:uid="{42D3AC54-FE7B-45B4-9F48-D50983D9899F}"/>
    <cellStyle name="Comma 565 3" xfId="2871" xr:uid="{BEB9D90A-1B53-4589-BC5B-4AC7C77781B9}"/>
    <cellStyle name="Comma 565 3 2" xfId="8104" xr:uid="{D825C3E0-832E-4100-B72E-C62692D88B4A}"/>
    <cellStyle name="Comma 565 4" xfId="4997" xr:uid="{0DF128B9-0248-4D92-9C1D-CEA7A90F88B9}"/>
    <cellStyle name="Comma 565 4 2" xfId="10173" xr:uid="{78EEB4DC-48F2-4329-B0BE-9CB29111A3C0}"/>
    <cellStyle name="Comma 565 5" xfId="6045" xr:uid="{AA2B052F-ABC7-42BF-B456-E7E1049CD7E0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3" xfId="7077" xr:uid="{D7C085B0-1683-4BF2-AC4B-206A61D89CC7}"/>
    <cellStyle name="Comma 566 3" xfId="2872" xr:uid="{E3F78989-B153-4BCF-824D-0A679841096D}"/>
    <cellStyle name="Comma 566 3 2" xfId="8105" xr:uid="{109A7EE0-7493-4DDA-80CE-7ACC72373853}"/>
    <cellStyle name="Comma 566 4" xfId="4998" xr:uid="{445B5615-24A3-4584-963C-1ACF14E6884F}"/>
    <cellStyle name="Comma 566 4 2" xfId="10174" xr:uid="{BF20AAC4-9A6E-4FEE-891B-018E0045A292}"/>
    <cellStyle name="Comma 566 5" xfId="6046" xr:uid="{F202D1D8-0F33-496E-931D-B8F26D7F65AE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3" xfId="7078" xr:uid="{343C6986-3FDD-47F6-9DE6-B456BACB3782}"/>
    <cellStyle name="Comma 567 3" xfId="2873" xr:uid="{E8B55D10-9510-4BC4-98B6-B97EC36EE3F5}"/>
    <cellStyle name="Comma 567 3 2" xfId="8106" xr:uid="{D024F35F-0FE2-4B8A-97D8-897F59701B1E}"/>
    <cellStyle name="Comma 567 4" xfId="4999" xr:uid="{31F57721-C555-474D-9F58-84E4D193818F}"/>
    <cellStyle name="Comma 567 4 2" xfId="10175" xr:uid="{0FE36632-17CE-44C3-824C-6CF63D6801B7}"/>
    <cellStyle name="Comma 567 5" xfId="6047" xr:uid="{BB74CE52-E0AA-4773-8370-6865CCC7EEB8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3" xfId="7079" xr:uid="{14408110-94EF-4FDD-A85A-20B2F54CD1BB}"/>
    <cellStyle name="Comma 568 3" xfId="2874" xr:uid="{F198EED9-56F2-448E-8169-1E49EE922D4D}"/>
    <cellStyle name="Comma 568 3 2" xfId="8107" xr:uid="{D96017CE-7BF8-4ACA-9930-BB2D6D03ED7F}"/>
    <cellStyle name="Comma 568 4" xfId="5000" xr:uid="{1002B2C0-0882-4D1B-8E4F-B9D8210334D4}"/>
    <cellStyle name="Comma 568 4 2" xfId="10176" xr:uid="{B1D35B97-B88C-49F0-BA93-BA34DAA96D0D}"/>
    <cellStyle name="Comma 568 5" xfId="6048" xr:uid="{F6F8BAC4-7E83-4CE2-AEF5-B23F315FAB47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3" xfId="7080" xr:uid="{92CA0A84-16E5-436D-916B-1630DAA480CB}"/>
    <cellStyle name="Comma 569 3" xfId="2875" xr:uid="{6834936D-A911-471F-8278-3D4193BFD216}"/>
    <cellStyle name="Comma 569 3 2" xfId="8108" xr:uid="{1283EC8F-C582-400F-BBBD-601B28CD8782}"/>
    <cellStyle name="Comma 569 4" xfId="5001" xr:uid="{61202EE1-CB57-4818-BCA0-D03420FFEEF0}"/>
    <cellStyle name="Comma 569 4 2" xfId="10177" xr:uid="{5F252FF7-4AD7-4F51-B9CA-3EBFF862ECEF}"/>
    <cellStyle name="Comma 569 5" xfId="6049" xr:uid="{8D3D105E-6A90-48B2-AAE7-ACAA4A28FE1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3" xfId="6568" xr:uid="{C9FC5485-A066-4829-94EB-DAE461E239F2}"/>
    <cellStyle name="Comma 57 3" xfId="2363" xr:uid="{FB42A844-B111-4E0A-A8FC-D659025330B1}"/>
    <cellStyle name="Comma 57 3 2" xfId="7596" xr:uid="{3E5058C3-5708-400F-9DF8-1D83F708FD97}"/>
    <cellStyle name="Comma 57 4" xfId="4489" xr:uid="{7C2376D0-FE83-4EC4-AC2F-EC699603C248}"/>
    <cellStyle name="Comma 57 4 2" xfId="9665" xr:uid="{6251E97B-AC83-48D3-B948-2CEF1115B752}"/>
    <cellStyle name="Comma 57 5" xfId="5537" xr:uid="{5298EBCC-0548-4CC2-9140-E43E5F8D54C7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3" xfId="7081" xr:uid="{7389F67A-3301-4D74-82B4-4F0D02810021}"/>
    <cellStyle name="Comma 570 3" xfId="2876" xr:uid="{7BB87A3C-82DC-4DA9-95E8-97127AE0DF0B}"/>
    <cellStyle name="Comma 570 3 2" xfId="8109" xr:uid="{46E54866-A51E-4468-AAB0-1B936BC55958}"/>
    <cellStyle name="Comma 570 4" xfId="5002" xr:uid="{3292E57E-DB23-4AC3-8441-8FF57F5D6509}"/>
    <cellStyle name="Comma 570 4 2" xfId="10178" xr:uid="{6F17B9C1-56B7-4863-B47A-20482BB57C8A}"/>
    <cellStyle name="Comma 570 5" xfId="6050" xr:uid="{3FBF91AC-D240-44F0-9020-800D2E53581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3" xfId="7082" xr:uid="{C8818FE9-64CA-4F9B-A8A4-9F21EAEB143A}"/>
    <cellStyle name="Comma 571 3" xfId="2877" xr:uid="{887708DA-BAFD-43BF-9C54-0C1379BDF6A8}"/>
    <cellStyle name="Comma 571 3 2" xfId="8110" xr:uid="{7DB7B516-990A-4A80-99D3-579B8B4B1DAC}"/>
    <cellStyle name="Comma 571 4" xfId="5003" xr:uid="{DE29BE8F-0EA2-4D68-990C-73F2C95369B8}"/>
    <cellStyle name="Comma 571 4 2" xfId="10179" xr:uid="{3CC0B7E4-AB79-40EB-BE72-BFDAD061EBC6}"/>
    <cellStyle name="Comma 571 5" xfId="6051" xr:uid="{FCB4B8AC-46E5-421F-B9D9-197C0D84C5DF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3" xfId="7083" xr:uid="{4720BA5F-1616-4EA3-894C-887CDA84ABA5}"/>
    <cellStyle name="Comma 572 3" xfId="2878" xr:uid="{65642748-764F-461D-8416-A38222CB72AA}"/>
    <cellStyle name="Comma 572 3 2" xfId="8111" xr:uid="{75D750E6-7727-4D7B-AE5C-38A7D7C37E2A}"/>
    <cellStyle name="Comma 572 4" xfId="5004" xr:uid="{BA5EAF37-AC5F-4245-AAF2-B7F86ADB4939}"/>
    <cellStyle name="Comma 572 4 2" xfId="10180" xr:uid="{0E3E2AC1-D12E-4ADE-BA04-C56E184A1843}"/>
    <cellStyle name="Comma 572 5" xfId="6052" xr:uid="{92E4924A-475A-4427-A757-80E96B9EF1B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3" xfId="7084" xr:uid="{3A98C4FA-7816-43CD-B9AF-BEFC12EEBF47}"/>
    <cellStyle name="Comma 573 3" xfId="2879" xr:uid="{0289D39D-A852-46C7-BECD-D622B5DA6DA6}"/>
    <cellStyle name="Comma 573 3 2" xfId="8112" xr:uid="{37DBA238-7252-4999-B886-DE4AF5141E40}"/>
    <cellStyle name="Comma 573 4" xfId="5005" xr:uid="{19812A30-6A88-456E-9550-651C38FFFBB3}"/>
    <cellStyle name="Comma 573 4 2" xfId="10181" xr:uid="{D67743F9-357F-476C-8ADD-9851509814F2}"/>
    <cellStyle name="Comma 573 5" xfId="6053" xr:uid="{642D05F4-5058-4D3F-8406-8C403F7CD72A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3" xfId="7085" xr:uid="{BE3D936F-5A3C-4246-BD62-9D16B26E42C6}"/>
    <cellStyle name="Comma 574 3" xfId="2880" xr:uid="{A6A32F64-78EB-44F8-BF6C-52F312ABC16F}"/>
    <cellStyle name="Comma 574 3 2" xfId="8113" xr:uid="{C0300512-5B26-4657-9AE1-D5C7CFEA7388}"/>
    <cellStyle name="Comma 574 4" xfId="5006" xr:uid="{9CA86BF8-AD94-499C-8335-C1AAC1B51C65}"/>
    <cellStyle name="Comma 574 4 2" xfId="10182" xr:uid="{4475EA1F-ED5A-468F-A93C-D91D788A23BC}"/>
    <cellStyle name="Comma 574 5" xfId="6054" xr:uid="{C0642F8E-5EC7-4D49-9758-98903D29AD7F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3" xfId="7086" xr:uid="{57C817A1-869C-4AF5-80A8-9228AF6A2E85}"/>
    <cellStyle name="Comma 575 3" xfId="2881" xr:uid="{79EE2003-4173-44F3-81C9-B8C33BD5944F}"/>
    <cellStyle name="Comma 575 3 2" xfId="8114" xr:uid="{A4F3CAB1-03CD-49B7-9E15-BCB8A502EAAB}"/>
    <cellStyle name="Comma 575 4" xfId="5007" xr:uid="{EBDCAF60-B31C-423B-979A-7D0C829AFB5A}"/>
    <cellStyle name="Comma 575 4 2" xfId="10183" xr:uid="{4633B136-F734-4FD6-80AC-095EE4EF7C64}"/>
    <cellStyle name="Comma 575 5" xfId="6055" xr:uid="{C9D86F03-6C34-4CB7-80D0-0AB8AC20EE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3" xfId="7087" xr:uid="{07740FBC-5A59-463A-9CC8-114C0DAEA922}"/>
    <cellStyle name="Comma 576 3" xfId="2882" xr:uid="{A514A408-7F85-4048-A64F-028A06F86516}"/>
    <cellStyle name="Comma 576 3 2" xfId="8115" xr:uid="{7E741633-8A1B-4EE1-84A0-9A04875CB0FD}"/>
    <cellStyle name="Comma 576 4" xfId="5008" xr:uid="{605F5C9C-F9EE-43EA-AE9B-A4303EEE47DE}"/>
    <cellStyle name="Comma 576 4 2" xfId="10184" xr:uid="{F0E54D80-2202-47BC-8F87-722014D9AB56}"/>
    <cellStyle name="Comma 576 5" xfId="6056" xr:uid="{8FECD580-F06A-40F7-81AC-216B1D6547A9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3" xfId="7088" xr:uid="{D9C9D36E-E83C-4B95-B3BD-FCA02B50E6C4}"/>
    <cellStyle name="Comma 577 3" xfId="2883" xr:uid="{59CD2BD6-3D5A-4337-AE8D-49EF69639FC9}"/>
    <cellStyle name="Comma 577 3 2" xfId="8116" xr:uid="{9B0ABEC3-720B-4E65-AD01-9213EDE27CC4}"/>
    <cellStyle name="Comma 577 4" xfId="5009" xr:uid="{61F08090-B3E4-4B99-BD2D-88B987097EC6}"/>
    <cellStyle name="Comma 577 4 2" xfId="10185" xr:uid="{78C1F560-4865-4ED9-A372-8354BD6CCF03}"/>
    <cellStyle name="Comma 577 5" xfId="6057" xr:uid="{75F49127-9ECE-4566-8C91-C87D36C3DD7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3" xfId="7089" xr:uid="{05FCEC44-6D02-40D6-8693-2C5CF914CDF0}"/>
    <cellStyle name="Comma 578 3" xfId="2884" xr:uid="{C809E434-CCC9-49F1-A987-5ECC4B790EF5}"/>
    <cellStyle name="Comma 578 3 2" xfId="8117" xr:uid="{1B297D43-8067-4968-8EB8-D4E062450853}"/>
    <cellStyle name="Comma 578 4" xfId="5010" xr:uid="{FA4715F1-4612-4AB0-B3C4-2AA2CFF3E6EA}"/>
    <cellStyle name="Comma 578 4 2" xfId="10186" xr:uid="{631747B4-C950-43F4-924A-87F610D5A540}"/>
    <cellStyle name="Comma 578 5" xfId="6058" xr:uid="{3FF792E0-19D6-42BD-9B0C-EF1132ACEB87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3" xfId="7090" xr:uid="{5484A7AD-75E5-4B80-A4BF-418780693AC3}"/>
    <cellStyle name="Comma 579 3" xfId="2885" xr:uid="{89290705-FA85-4596-B427-167A4F9363D5}"/>
    <cellStyle name="Comma 579 3 2" xfId="8118" xr:uid="{D03138C0-9F22-45F2-8587-D36D9116C4BE}"/>
    <cellStyle name="Comma 579 4" xfId="5011" xr:uid="{EA59AC03-227B-4153-9A72-5AE3E1ECA21D}"/>
    <cellStyle name="Comma 579 4 2" xfId="10187" xr:uid="{1AE1039F-A113-402D-BA0D-DCD9C414935B}"/>
    <cellStyle name="Comma 579 5" xfId="6059" xr:uid="{A13A48A0-F8A5-4DB1-9F97-A67D09284C67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3" xfId="6569" xr:uid="{B7120137-635B-44D3-A136-EF77546713CB}"/>
    <cellStyle name="Comma 58 3" xfId="2364" xr:uid="{B0A932DC-4A88-44F3-89A9-8F92466F9E32}"/>
    <cellStyle name="Comma 58 3 2" xfId="7597" xr:uid="{B78B8945-32AF-42A5-8752-93ABCB1C314F}"/>
    <cellStyle name="Comma 58 4" xfId="4490" xr:uid="{EA735B4D-F019-4732-ADBB-F2FAB6164FF9}"/>
    <cellStyle name="Comma 58 4 2" xfId="9666" xr:uid="{98B228AB-BC87-40BF-903D-E6AA189E9BC5}"/>
    <cellStyle name="Comma 58 5" xfId="5538" xr:uid="{58C5F2A0-62FB-4667-851E-1338B92E9D58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3" xfId="7091" xr:uid="{05F0CCD2-CD51-4C7E-9EEE-DE2C8FC66988}"/>
    <cellStyle name="Comma 580 3" xfId="2886" xr:uid="{32AB09EB-5D6D-49B4-9F06-3F1214F7FF45}"/>
    <cellStyle name="Comma 580 3 2" xfId="8119" xr:uid="{2B5ABBEE-680C-4B43-9A29-6CFFC61615A8}"/>
    <cellStyle name="Comma 580 4" xfId="5012" xr:uid="{6E4B5E2B-CF55-4AA3-98B5-63C767832109}"/>
    <cellStyle name="Comma 580 4 2" xfId="10188" xr:uid="{077AE86F-89D2-41F6-84CF-19B8078DB92F}"/>
    <cellStyle name="Comma 580 5" xfId="6060" xr:uid="{BC82D878-4BDC-4B7E-A9CB-C7ADD509EE01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3" xfId="7092" xr:uid="{A164EDA5-D4B2-4B3D-98AF-A62C01E8BC47}"/>
    <cellStyle name="Comma 581 3" xfId="2887" xr:uid="{747C3CFE-5D5F-4C46-AA9E-A08595B53D21}"/>
    <cellStyle name="Comma 581 3 2" xfId="8120" xr:uid="{AABCEC87-E429-4D1F-B12C-8DFF03A005E5}"/>
    <cellStyle name="Comma 581 4" xfId="5013" xr:uid="{3EA49237-E788-45EC-8765-F71458F27E7A}"/>
    <cellStyle name="Comma 581 4 2" xfId="10189" xr:uid="{C97F803B-B8FE-45B6-A614-C649C6F5A694}"/>
    <cellStyle name="Comma 581 5" xfId="6061" xr:uid="{3BEEE104-DFAB-4C20-A8A1-B0149393364F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3" xfId="7093" xr:uid="{47B78C6A-5BCD-4F92-A15E-6146E72BBD40}"/>
    <cellStyle name="Comma 582 3" xfId="2888" xr:uid="{DC38C472-4D9C-412C-9B08-2B3F1AFF8FCC}"/>
    <cellStyle name="Comma 582 3 2" xfId="8121" xr:uid="{19FD9906-B283-43FF-81BB-36F5BA214766}"/>
    <cellStyle name="Comma 582 4" xfId="5014" xr:uid="{3B3F26B1-C516-4B76-8178-A79002D9F282}"/>
    <cellStyle name="Comma 582 4 2" xfId="10190" xr:uid="{C15793F2-A981-4F64-A879-ADB4E7FEF654}"/>
    <cellStyle name="Comma 582 5" xfId="6062" xr:uid="{AC04829B-00D1-42A6-A50B-3722F47DDDA8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3" xfId="7094" xr:uid="{2C048B2C-0B81-4311-9663-133C6C3DEE0E}"/>
    <cellStyle name="Comma 583 3" xfId="2889" xr:uid="{320400A7-9303-4C24-B3EE-F57E6ABE2D01}"/>
    <cellStyle name="Comma 583 3 2" xfId="8122" xr:uid="{76363E84-8B5C-4572-BC65-597D16428680}"/>
    <cellStyle name="Comma 583 4" xfId="5015" xr:uid="{2A4691D6-500D-4708-A494-56F6DB01D9FF}"/>
    <cellStyle name="Comma 583 4 2" xfId="10191" xr:uid="{81C6D864-9939-430C-9585-20C0AFD7FF1D}"/>
    <cellStyle name="Comma 583 5" xfId="6063" xr:uid="{7D48BB06-117F-4F19-B9AB-D3C16A687DAA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3" xfId="7095" xr:uid="{06206CCD-CDC2-449C-B10A-9907AAFDA66B}"/>
    <cellStyle name="Comma 584 3" xfId="2890" xr:uid="{4C020042-EC85-4B48-8612-06A2FEBFDAF6}"/>
    <cellStyle name="Comma 584 3 2" xfId="8123" xr:uid="{31FECCAC-B88D-4D5D-8244-D5FC561CD67D}"/>
    <cellStyle name="Comma 584 4" xfId="5016" xr:uid="{363AF000-3AD3-4249-BF9E-CF86EBE06F92}"/>
    <cellStyle name="Comma 584 4 2" xfId="10192" xr:uid="{EC64AE69-24E2-4CF5-9D98-7693B9DB5659}"/>
    <cellStyle name="Comma 584 5" xfId="6064" xr:uid="{7D633F2C-7852-42E0-9EA0-0E28B31FD24B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3" xfId="7096" xr:uid="{F1D0B64E-F2C8-4441-A818-66A746F3A8A4}"/>
    <cellStyle name="Comma 585 3" xfId="2891" xr:uid="{5C6FB300-629A-4AA0-83E2-A383DEC9A190}"/>
    <cellStyle name="Comma 585 3 2" xfId="8124" xr:uid="{D0A1237A-E157-46FF-90E0-F08A6485193D}"/>
    <cellStyle name="Comma 585 4" xfId="5017" xr:uid="{FA09DD7D-12FD-40AB-A2B6-7377FF8B9678}"/>
    <cellStyle name="Comma 585 4 2" xfId="10193" xr:uid="{CBA99D1F-FE68-4D8B-A3D5-7D1CDF58CE1D}"/>
    <cellStyle name="Comma 585 5" xfId="6065" xr:uid="{4280DFFA-3496-4F4F-A15E-9A48943EC81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3" xfId="7097" xr:uid="{AB7B7B20-9463-4F2D-8066-FDE712A43DE5}"/>
    <cellStyle name="Comma 586 3" xfId="2892" xr:uid="{AA64BC96-7D9B-4BBD-8F3D-D642DA5D15A9}"/>
    <cellStyle name="Comma 586 3 2" xfId="8125" xr:uid="{BAFC9DA9-1090-4AC5-9907-F493377D27C7}"/>
    <cellStyle name="Comma 586 4" xfId="5018" xr:uid="{768DF4D8-E077-4880-B2CF-6AE15DFFD74F}"/>
    <cellStyle name="Comma 586 4 2" xfId="10194" xr:uid="{C4C9572E-7BA5-4E83-AF5C-0C029887A5C0}"/>
    <cellStyle name="Comma 586 5" xfId="6066" xr:uid="{398BF2C9-36A9-4E42-A390-FE7E8EEA3790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3" xfId="7098" xr:uid="{DBDDB3D7-659B-4D64-8977-F72CDACD9010}"/>
    <cellStyle name="Comma 587 3" xfId="2893" xr:uid="{1DF279D9-8285-4476-BFA1-E96A76B6F179}"/>
    <cellStyle name="Comma 587 3 2" xfId="8126" xr:uid="{A6DC294D-F39A-4DBA-A37D-920261F33AE5}"/>
    <cellStyle name="Comma 587 4" xfId="5019" xr:uid="{260DABB0-B4CE-47E2-AD4A-8CCA081708BD}"/>
    <cellStyle name="Comma 587 4 2" xfId="10195" xr:uid="{C09AE89C-EE5C-4872-8DAA-48D8F1DC8A3F}"/>
    <cellStyle name="Comma 587 5" xfId="6067" xr:uid="{9ED3F02B-52F5-450A-B4AF-B9D8FB3E2DF0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3" xfId="7099" xr:uid="{8BA12902-3472-4A50-84EB-FA2CB962B1C1}"/>
    <cellStyle name="Comma 588 3" xfId="2894" xr:uid="{82724AFC-2792-48AE-996F-704A72377396}"/>
    <cellStyle name="Comma 588 3 2" xfId="8127" xr:uid="{4DB9C2A4-7827-4DAE-B2AB-BC2F6CBBF73B}"/>
    <cellStyle name="Comma 588 4" xfId="5020" xr:uid="{A7AB743C-ACDF-422D-B6F1-058355C97EED}"/>
    <cellStyle name="Comma 588 4 2" xfId="10196" xr:uid="{06E809D7-F1B7-4EEC-8F89-AB00B462DEB6}"/>
    <cellStyle name="Comma 588 5" xfId="6068" xr:uid="{BF58AB22-5E67-4A82-921F-3519DAFF09AA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3" xfId="7100" xr:uid="{7FFB7BC6-2860-4810-923D-408D893DEBE5}"/>
    <cellStyle name="Comma 589 3" xfId="2895" xr:uid="{11CDB2F8-24EF-4DF3-9467-B56DCADA38C8}"/>
    <cellStyle name="Comma 589 3 2" xfId="8128" xr:uid="{B1E836EA-04BD-40D7-AD36-580D20BE0086}"/>
    <cellStyle name="Comma 589 4" xfId="5021" xr:uid="{78BC5BC2-7850-40C1-8C5D-E44AD65E67B0}"/>
    <cellStyle name="Comma 589 4 2" xfId="10197" xr:uid="{0BB991FE-E92C-42DA-A972-EFDBFC71C218}"/>
    <cellStyle name="Comma 589 5" xfId="6069" xr:uid="{C45C512D-1D21-40FA-AB3A-82002A6113D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3" xfId="6570" xr:uid="{324FE79C-68AF-412A-99AB-0A0BB9EB5318}"/>
    <cellStyle name="Comma 59 3" xfId="2365" xr:uid="{AC88CC7A-B2D8-4082-B297-887A50A3C77E}"/>
    <cellStyle name="Comma 59 3 2" xfId="7598" xr:uid="{689C2CAE-0FD6-4A16-9937-2F237AC5DE55}"/>
    <cellStyle name="Comma 59 4" xfId="4491" xr:uid="{E4B9845E-AF67-4312-994C-EDA42042E895}"/>
    <cellStyle name="Comma 59 4 2" xfId="9667" xr:uid="{757DC34D-135F-47C9-84A9-D8B830C49AD1}"/>
    <cellStyle name="Comma 59 5" xfId="5539" xr:uid="{DEA1DCC1-69C6-4EFE-8558-FB3FC5772280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3" xfId="7101" xr:uid="{976CE98D-45C1-43B2-8978-8CC21C7DC514}"/>
    <cellStyle name="Comma 590 3" xfId="2896" xr:uid="{23E95379-72BD-491C-8024-78764F7EC795}"/>
    <cellStyle name="Comma 590 3 2" xfId="8129" xr:uid="{9609E9E8-7A74-4B3F-9407-E80049636B1D}"/>
    <cellStyle name="Comma 590 4" xfId="5022" xr:uid="{D7AADD72-C013-4130-8275-A720CB7050B8}"/>
    <cellStyle name="Comma 590 4 2" xfId="10198" xr:uid="{9C8A4241-DCD3-4C97-9556-5E27815B2DB4}"/>
    <cellStyle name="Comma 590 5" xfId="6070" xr:uid="{0212A237-DEE7-4E55-A0F3-CB53857C90C9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3" xfId="7102" xr:uid="{4181BB04-0915-4277-98D3-4220B55BA959}"/>
    <cellStyle name="Comma 591 3" xfId="2897" xr:uid="{494E71F9-9DB2-40F3-B940-E7355DF62B50}"/>
    <cellStyle name="Comma 591 3 2" xfId="8130" xr:uid="{014E9688-C0BF-44EB-B03D-79C2A1D00DAA}"/>
    <cellStyle name="Comma 591 4" xfId="5023" xr:uid="{DD0DB046-5255-4425-9976-4D0E3462EB53}"/>
    <cellStyle name="Comma 591 4 2" xfId="10199" xr:uid="{09F9BADC-E19C-476B-B0A7-5B20D3C8F9C1}"/>
    <cellStyle name="Comma 591 5" xfId="6071" xr:uid="{287A8F05-3A07-4C47-AF75-02ECA2AA157D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3" xfId="7103" xr:uid="{64CA6609-9B13-4827-8FB0-5231974C0A0F}"/>
    <cellStyle name="Comma 592 3" xfId="2898" xr:uid="{356C39CB-8330-4F1D-8586-0730D30A1CBE}"/>
    <cellStyle name="Comma 592 3 2" xfId="8131" xr:uid="{AE6C8B5A-7859-48C4-ABFA-F81B906D7BE1}"/>
    <cellStyle name="Comma 592 4" xfId="5024" xr:uid="{3AD041E4-C359-445A-95B3-ECE25D9D2DEF}"/>
    <cellStyle name="Comma 592 4 2" xfId="10200" xr:uid="{83E7CC67-2245-4A70-AF26-1047E48DAAF4}"/>
    <cellStyle name="Comma 592 5" xfId="6072" xr:uid="{04EF15C5-B0C6-49C6-A468-85357DDD4E51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3" xfId="7104" xr:uid="{268EAEF7-9233-4A59-9B38-74E672BAD58E}"/>
    <cellStyle name="Comma 593 3" xfId="2899" xr:uid="{BC7C575E-FEDB-4D16-9318-97099475C6E6}"/>
    <cellStyle name="Comma 593 3 2" xfId="8132" xr:uid="{0A041E43-C8BD-4806-8663-616EA515E050}"/>
    <cellStyle name="Comma 593 4" xfId="5025" xr:uid="{2AA947EB-6B42-4266-980F-13B1F2C13E3E}"/>
    <cellStyle name="Comma 593 4 2" xfId="10201" xr:uid="{795B4A48-85A3-4627-8101-5E17FAAB0B0C}"/>
    <cellStyle name="Comma 593 5" xfId="6073" xr:uid="{287219A6-5263-4172-87FC-38BF8FA0FD8B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3" xfId="7105" xr:uid="{34F6A357-E051-4462-9204-8A9F8F54A37D}"/>
    <cellStyle name="Comma 594 3" xfId="2900" xr:uid="{91B91CD6-C4CA-47E7-B927-48B11FA8BA7C}"/>
    <cellStyle name="Comma 594 3 2" xfId="8133" xr:uid="{6AC4A241-2C0A-456F-B640-E317101B7184}"/>
    <cellStyle name="Comma 594 4" xfId="5026" xr:uid="{4D9CC01A-45BA-418E-975F-F3A0E2EA3D4A}"/>
    <cellStyle name="Comma 594 4 2" xfId="10202" xr:uid="{B9450DE1-1CE2-4634-99F0-E828908FA598}"/>
    <cellStyle name="Comma 594 5" xfId="6074" xr:uid="{DF26A173-C467-4C69-9139-5A17ABDF83C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3" xfId="7106" xr:uid="{E783D1A5-66D8-4E74-8AC8-4F8038FC1FC3}"/>
    <cellStyle name="Comma 595 3" xfId="2901" xr:uid="{317026BB-4617-48D3-A32E-DB8FD30F9B62}"/>
    <cellStyle name="Comma 595 3 2" xfId="8134" xr:uid="{29A0A6F3-DB9E-4A91-BA72-A46C46BCD65E}"/>
    <cellStyle name="Comma 595 4" xfId="5027" xr:uid="{D8AE6A67-26E8-44B9-9E8C-9BA01F2B6792}"/>
    <cellStyle name="Comma 595 4 2" xfId="10203" xr:uid="{B560B558-F097-4F02-8BC4-F8C5CF5A098D}"/>
    <cellStyle name="Comma 595 5" xfId="6075" xr:uid="{6559EB40-C05A-4890-9DAB-CA819C98B769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3" xfId="7107" xr:uid="{B0170488-0D9A-49D4-A243-6E1AAA703F21}"/>
    <cellStyle name="Comma 596 3" xfId="2902" xr:uid="{00206922-4107-4F68-879B-34981FD1C6DC}"/>
    <cellStyle name="Comma 596 3 2" xfId="8135" xr:uid="{0D8E4E5F-511D-4B06-97CD-37AC60784ED8}"/>
    <cellStyle name="Comma 596 4" xfId="5028" xr:uid="{2195BE42-0ADD-4671-8C09-03EB135E19FE}"/>
    <cellStyle name="Comma 596 4 2" xfId="10204" xr:uid="{8F7E8050-C9E2-42E3-9291-42089AC71EBA}"/>
    <cellStyle name="Comma 596 5" xfId="6076" xr:uid="{D04F5CA6-FDB5-4BFA-82F0-5890AD7088C6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3" xfId="7108" xr:uid="{2F54047F-DFB1-4755-B96E-90086A322434}"/>
    <cellStyle name="Comma 597 3" xfId="2903" xr:uid="{90A688F5-35CF-46A8-9814-A7964E909046}"/>
    <cellStyle name="Comma 597 3 2" xfId="8136" xr:uid="{81C5026E-3EB5-47C1-9C31-51E9BCE0CE9F}"/>
    <cellStyle name="Comma 597 4" xfId="5029" xr:uid="{740537AD-CC14-4626-A0A2-008577BD6156}"/>
    <cellStyle name="Comma 597 4 2" xfId="10205" xr:uid="{A6068BE2-4D38-4338-9522-CEAA34C516F3}"/>
    <cellStyle name="Comma 597 5" xfId="6077" xr:uid="{A35A0A0D-261B-4B9F-96B9-63DD0A44792A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3" xfId="7109" xr:uid="{F3BB4C9F-477E-4D82-927C-4F358409BDEE}"/>
    <cellStyle name="Comma 598 3" xfId="2904" xr:uid="{2C7DB900-D4EA-406D-AC5D-B0DB089F669F}"/>
    <cellStyle name="Comma 598 3 2" xfId="8137" xr:uid="{AC464512-0B2E-467E-8F6C-140FCE11C28B}"/>
    <cellStyle name="Comma 598 4" xfId="5030" xr:uid="{3614F939-6B53-46E0-8383-EAFC01F72F1B}"/>
    <cellStyle name="Comma 598 4 2" xfId="10206" xr:uid="{12F57B2C-CE7B-43FE-A358-87DBF7829F2A}"/>
    <cellStyle name="Comma 598 5" xfId="6078" xr:uid="{351A46E4-42D8-4619-BAB0-41D2B2C32D2D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3" xfId="7110" xr:uid="{B6B24868-733C-4CB5-BCB4-E861B3088F78}"/>
    <cellStyle name="Comma 599 3" xfId="2905" xr:uid="{85A6DAFD-7854-48B4-9D24-1F3A94E755CA}"/>
    <cellStyle name="Comma 599 3 2" xfId="8138" xr:uid="{8C06C7CB-B896-40DF-BCD4-0DA6A1284331}"/>
    <cellStyle name="Comma 599 4" xfId="5031" xr:uid="{133F8A47-8689-42E1-A9EE-49603FC76077}"/>
    <cellStyle name="Comma 599 4 2" xfId="10207" xr:uid="{CBF3D243-2B32-4B2A-86AD-EF922C40A0CB}"/>
    <cellStyle name="Comma 599 5" xfId="6079" xr:uid="{ECD9E3F8-9386-4F92-B76A-821F0C35DA5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3" xfId="6517" xr:uid="{3C171AD1-7CD2-47C1-ABB1-45A6B0B19EE4}"/>
    <cellStyle name="Comma 6 3" xfId="2312" xr:uid="{BA6B1806-D17D-441A-B8DF-9E349B803CBA}"/>
    <cellStyle name="Comma 6 3 2" xfId="7545" xr:uid="{721E63FD-3873-4AFF-AEC7-9BC5D3E844E0}"/>
    <cellStyle name="Comma 6 4" xfId="4438" xr:uid="{1B82D1F8-9A76-4C43-8806-11269F3EE15F}"/>
    <cellStyle name="Comma 6 4 2" xfId="9614" xr:uid="{425FE573-25C7-40D0-9C9B-EFFFB832ECF5}"/>
    <cellStyle name="Comma 6 5" xfId="5486" xr:uid="{8F6FB1ED-965F-4B36-A2CF-D152FE86E9C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3" xfId="6571" xr:uid="{CCE35CBA-0D5E-4A8A-8D38-87782852A31B}"/>
    <cellStyle name="Comma 60 3" xfId="2366" xr:uid="{CF0A5F70-1C64-4246-A140-9A0457F7065E}"/>
    <cellStyle name="Comma 60 3 2" xfId="7599" xr:uid="{D346B0DA-9037-4B29-A81B-E8CA144488AE}"/>
    <cellStyle name="Comma 60 4" xfId="4492" xr:uid="{699B703D-BCB9-4CDB-A7E6-C8D61CD7FF80}"/>
    <cellStyle name="Comma 60 4 2" xfId="9668" xr:uid="{1A77561C-F639-41FF-ACA7-B70B34249D4C}"/>
    <cellStyle name="Comma 60 5" xfId="5540" xr:uid="{03E988BB-CE3C-4813-8AAC-79DDAF07B36D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3" xfId="7111" xr:uid="{A862B0F5-A6A0-4DC0-AF85-1EC68226B544}"/>
    <cellStyle name="Comma 600 3" xfId="2906" xr:uid="{BC2F6DD4-BA45-4243-840C-64BC5577C798}"/>
    <cellStyle name="Comma 600 3 2" xfId="8139" xr:uid="{2EE77F0E-BB4F-473B-8436-F7033E7E5A0C}"/>
    <cellStyle name="Comma 600 4" xfId="5032" xr:uid="{95DBAE8F-74BD-4F67-807A-FAD791C9C2AC}"/>
    <cellStyle name="Comma 600 4 2" xfId="10208" xr:uid="{E597E8BA-06FC-4252-A8BD-E23AB678320D}"/>
    <cellStyle name="Comma 600 5" xfId="6080" xr:uid="{8358639B-FDAF-499C-8CA4-8137AA551677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3" xfId="7112" xr:uid="{58A3F80F-1250-4BA5-ACA1-F722FF9887C6}"/>
    <cellStyle name="Comma 601 3" xfId="2907" xr:uid="{39EE2037-C38F-49BC-A3D4-14C3B8DCA47F}"/>
    <cellStyle name="Comma 601 3 2" xfId="8140" xr:uid="{4EAD8C31-D758-4EB9-8E48-962780EF12A7}"/>
    <cellStyle name="Comma 601 4" xfId="5033" xr:uid="{BDFA82FB-946D-4823-A7D7-F61D537E42E3}"/>
    <cellStyle name="Comma 601 4 2" xfId="10209" xr:uid="{B5B97736-C9FA-4FB7-836B-DF6B382F16FC}"/>
    <cellStyle name="Comma 601 5" xfId="6081" xr:uid="{25545253-3233-4B9C-897B-4F556106C962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3" xfId="7113" xr:uid="{3AC8445A-9498-4916-9F75-741DB16E1386}"/>
    <cellStyle name="Comma 602 3" xfId="2908" xr:uid="{7C530DB4-E541-41D9-B4A1-06FD96457277}"/>
    <cellStyle name="Comma 602 3 2" xfId="8141" xr:uid="{F5668741-C800-48F4-989F-8EF04A1F6D7F}"/>
    <cellStyle name="Comma 602 4" xfId="5034" xr:uid="{1AA90A02-B4F6-4C61-92AC-73CAAADAD910}"/>
    <cellStyle name="Comma 602 4 2" xfId="10210" xr:uid="{F84F5E19-6599-42E2-B57A-BABA12AF08A0}"/>
    <cellStyle name="Comma 602 5" xfId="6082" xr:uid="{4630ACA4-9443-43C8-AA86-83F8D52C7595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3" xfId="7114" xr:uid="{50CD43E8-8A2A-4C02-ADCA-1BE858150EDC}"/>
    <cellStyle name="Comma 603 3" xfId="2909" xr:uid="{C298DAC1-2F49-4379-8684-3BD23F66F10C}"/>
    <cellStyle name="Comma 603 3 2" xfId="8142" xr:uid="{81D9B33C-9BC3-4922-AFB6-184D4DFBD774}"/>
    <cellStyle name="Comma 603 4" xfId="5035" xr:uid="{ED1A1BD5-93F7-488A-A1B0-9A2C981A36B2}"/>
    <cellStyle name="Comma 603 4 2" xfId="10211" xr:uid="{11CD79E1-7F5E-4DB1-846A-203E31033EF4}"/>
    <cellStyle name="Comma 603 5" xfId="6083" xr:uid="{02C314D5-AC03-4146-A8F8-7689BB8C9296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3" xfId="7115" xr:uid="{62A762D1-4A5B-4F63-B7BF-1979938E8DB4}"/>
    <cellStyle name="Comma 604 3" xfId="2910" xr:uid="{52F84D2F-092D-4B8D-8EBF-F6FF4EDBC0AA}"/>
    <cellStyle name="Comma 604 3 2" xfId="8143" xr:uid="{F96D3BAD-2606-4F17-94D4-31ADF2778C46}"/>
    <cellStyle name="Comma 604 4" xfId="5036" xr:uid="{F01D4309-B459-47B1-A973-24085BF78B1B}"/>
    <cellStyle name="Comma 604 4 2" xfId="10212" xr:uid="{71FE4664-66B3-4389-866F-818EEF1C0F50}"/>
    <cellStyle name="Comma 604 5" xfId="6084" xr:uid="{2245195F-AE3C-4B55-B3FB-EA034FFE7693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3" xfId="7116" xr:uid="{BA9B7511-B4A0-44D4-8A09-DA4740343F92}"/>
    <cellStyle name="Comma 605 3" xfId="2911" xr:uid="{E206EECF-7848-4426-8572-F166FE71998C}"/>
    <cellStyle name="Comma 605 3 2" xfId="8144" xr:uid="{D2815DB9-37D5-4DEA-8ACF-94325D7A1AD8}"/>
    <cellStyle name="Comma 605 4" xfId="5037" xr:uid="{6E0EF64E-2EF7-4235-A8EA-757BFBAF7549}"/>
    <cellStyle name="Comma 605 4 2" xfId="10213" xr:uid="{A5349D14-FA88-42BA-8745-9D7074BEF958}"/>
    <cellStyle name="Comma 605 5" xfId="6085" xr:uid="{7089BB7F-B3F9-427B-AB2F-FEEC04F503E6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3" xfId="7117" xr:uid="{A3FDEC17-A4E6-4B5D-8237-AE2303BA0769}"/>
    <cellStyle name="Comma 606 3" xfId="2912" xr:uid="{4B8372C2-6681-4C83-B40E-013233907E93}"/>
    <cellStyle name="Comma 606 3 2" xfId="8145" xr:uid="{E4C89FC5-8136-4192-A1C6-1ABA3297F431}"/>
    <cellStyle name="Comma 606 4" xfId="5038" xr:uid="{F83CD7C3-B7ED-43C8-9FEA-093A13581647}"/>
    <cellStyle name="Comma 606 4 2" xfId="10214" xr:uid="{0386A3F6-C714-40A2-B5B3-0AAB195CACF9}"/>
    <cellStyle name="Comma 606 5" xfId="6086" xr:uid="{F006E8E1-35E0-428D-83D4-80ED410357B2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3" xfId="7118" xr:uid="{FF2C3DB6-6A05-4518-9448-0E000858D87F}"/>
    <cellStyle name="Comma 607 3" xfId="2913" xr:uid="{78B74548-C17E-40F3-92A9-CF634BBC5B96}"/>
    <cellStyle name="Comma 607 3 2" xfId="8146" xr:uid="{F227EB67-7745-4D94-B4CE-3328BFD76067}"/>
    <cellStyle name="Comma 607 4" xfId="5039" xr:uid="{03A0C25A-B754-45ED-A4DA-F8B1C5278BA4}"/>
    <cellStyle name="Comma 607 4 2" xfId="10215" xr:uid="{9B7A63E7-25CF-4254-859D-3B2EE2576DB6}"/>
    <cellStyle name="Comma 607 5" xfId="6087" xr:uid="{7931DBB7-C15B-49D7-907C-AC3C8138C928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3" xfId="7119" xr:uid="{B951D3DE-E0B3-45A7-81CE-201495F6EFFC}"/>
    <cellStyle name="Comma 608 3" xfId="2914" xr:uid="{E869EE48-77D1-4F76-A7DB-DB80C38856EA}"/>
    <cellStyle name="Comma 608 3 2" xfId="8147" xr:uid="{D07739E9-4C4E-4E8C-8C72-76FFBA67F927}"/>
    <cellStyle name="Comma 608 4" xfId="5040" xr:uid="{580ADECE-9A2B-4F91-ABD3-7279DCD9BB97}"/>
    <cellStyle name="Comma 608 4 2" xfId="10216" xr:uid="{1D5D27CB-107B-4C31-8AB7-62EE64D00369}"/>
    <cellStyle name="Comma 608 5" xfId="6088" xr:uid="{A67B29FD-B6D0-4CC2-AABF-12C5CB972DE1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3" xfId="7120" xr:uid="{351EDE14-67D9-43EB-AD45-177BB2A286FA}"/>
    <cellStyle name="Comma 609 3" xfId="2915" xr:uid="{E1409823-15D5-4B19-B748-C99DC134D047}"/>
    <cellStyle name="Comma 609 3 2" xfId="8148" xr:uid="{86C5DD63-3B21-43E6-B918-E9A35976FA63}"/>
    <cellStyle name="Comma 609 4" xfId="5041" xr:uid="{23E9AF48-A352-4873-B54F-AD9197038A3E}"/>
    <cellStyle name="Comma 609 4 2" xfId="10217" xr:uid="{5627B63C-DC34-4BAA-BE3C-178564E648F7}"/>
    <cellStyle name="Comma 609 5" xfId="6089" xr:uid="{78414802-3A72-4F00-B03E-C68FA9A2F827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3" xfId="6572" xr:uid="{93C4E327-2FFC-4198-878D-F169AAE36EF0}"/>
    <cellStyle name="Comma 61 3" xfId="2367" xr:uid="{7A082A05-9C52-4A66-8F8B-7118A39DB3F9}"/>
    <cellStyle name="Comma 61 3 2" xfId="7600" xr:uid="{21315BC7-15CB-4EE8-8F93-99872BB1CCC2}"/>
    <cellStyle name="Comma 61 4" xfId="4493" xr:uid="{DAAEC7F6-7836-4DCD-832D-55417A408D6A}"/>
    <cellStyle name="Comma 61 4 2" xfId="9669" xr:uid="{198FDAC1-2CE3-44BE-BC8D-6000421AC4A4}"/>
    <cellStyle name="Comma 61 5" xfId="5541" xr:uid="{E9B45BFC-23F2-4BD9-814B-70D629D23C9B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3" xfId="7121" xr:uid="{6EC7EE06-B7D0-4AB6-9684-419ECCEE2803}"/>
    <cellStyle name="Comma 610 3" xfId="2916" xr:uid="{A9076203-AD54-4D77-A636-922FE6D8C59F}"/>
    <cellStyle name="Comma 610 3 2" xfId="8149" xr:uid="{0A68D08E-E92A-4CA8-B5E6-0CE2031548A8}"/>
    <cellStyle name="Comma 610 4" xfId="5042" xr:uid="{EFDA6785-6827-4D32-8B5D-1835BDA97E30}"/>
    <cellStyle name="Comma 610 4 2" xfId="10218" xr:uid="{DE95ADE6-AC75-4601-841C-9E3C69FFB0D1}"/>
    <cellStyle name="Comma 610 5" xfId="6090" xr:uid="{F7ED145E-2CFF-4A1A-8C89-4B7BAE902123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3" xfId="7122" xr:uid="{1E364676-EA66-417D-94A3-F5E2CA4471A3}"/>
    <cellStyle name="Comma 611 3" xfId="2917" xr:uid="{EE9270C6-007E-4860-8FD0-FF169B13B7FA}"/>
    <cellStyle name="Comma 611 3 2" xfId="8150" xr:uid="{81A8F7EF-1440-4CC7-A272-87619F6D489F}"/>
    <cellStyle name="Comma 611 4" xfId="5043" xr:uid="{6B1DEC88-09FD-4804-A291-116717B58047}"/>
    <cellStyle name="Comma 611 4 2" xfId="10219" xr:uid="{9906B951-C3AB-4324-80B8-E433EF88B5F8}"/>
    <cellStyle name="Comma 611 5" xfId="6091" xr:uid="{38D6C425-4CDA-4023-BFD8-265568E6B4EF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3" xfId="7123" xr:uid="{8DF083FB-0CE4-421E-8A3D-4DC255810511}"/>
    <cellStyle name="Comma 612 3" xfId="2918" xr:uid="{6AF16371-55C8-4ED5-9119-DEAE2C0F6CBF}"/>
    <cellStyle name="Comma 612 3 2" xfId="8151" xr:uid="{3FC55FBA-774F-4C83-9B25-02BB59F5775C}"/>
    <cellStyle name="Comma 612 4" xfId="5044" xr:uid="{413F9BD8-8E7D-4AD5-8986-B26EF5351741}"/>
    <cellStyle name="Comma 612 4 2" xfId="10220" xr:uid="{3B8C57FB-53B7-4A4B-A223-2F0FBA12F84F}"/>
    <cellStyle name="Comma 612 5" xfId="6092" xr:uid="{09ED8F61-6CA7-43A8-A56F-A0A16AA5C893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3" xfId="7124" xr:uid="{9E3F31A9-4404-41CF-8149-97ED5C31768E}"/>
    <cellStyle name="Comma 613 3" xfId="2919" xr:uid="{E17B7E4B-9D03-4CB4-90CB-205C22A299A0}"/>
    <cellStyle name="Comma 613 3 2" xfId="8152" xr:uid="{7C9BF332-C5E9-4E68-8ADF-51912471E12B}"/>
    <cellStyle name="Comma 613 4" xfId="5045" xr:uid="{46DD8A36-B8D0-4056-A43E-879E215747E8}"/>
    <cellStyle name="Comma 613 4 2" xfId="10221" xr:uid="{AB993FCA-0D1F-4082-BB0F-439943F20827}"/>
    <cellStyle name="Comma 613 5" xfId="6093" xr:uid="{B829D04F-A4DB-49A3-AD2F-4CC8B69D2B3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3" xfId="7125" xr:uid="{6679D8FF-7F1A-48E3-B477-574582E359F4}"/>
    <cellStyle name="Comma 614 3" xfId="2920" xr:uid="{BB581476-0733-44C0-ACF2-31CCA2275B7D}"/>
    <cellStyle name="Comma 614 3 2" xfId="8153" xr:uid="{2A0EB04D-EE44-4177-AE16-79B077497915}"/>
    <cellStyle name="Comma 614 4" xfId="5046" xr:uid="{B706F550-7AAA-4ABC-9A79-B29D3233BF06}"/>
    <cellStyle name="Comma 614 4 2" xfId="10222" xr:uid="{7F29BBA5-ABE5-4679-B40A-173973A7471E}"/>
    <cellStyle name="Comma 614 5" xfId="6094" xr:uid="{9F424DBF-6C2F-4A79-BD7A-AA27352C1F0D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3" xfId="7126" xr:uid="{CD11C99F-78C6-4256-A2A1-ACB07D2F7096}"/>
    <cellStyle name="Comma 615 3" xfId="2921" xr:uid="{E4007801-4DCB-4B86-87FD-9BDD92405A04}"/>
    <cellStyle name="Comma 615 3 2" xfId="8154" xr:uid="{4655F880-DACE-404B-A8B6-6A198E34AB55}"/>
    <cellStyle name="Comma 615 4" xfId="5047" xr:uid="{B4D1A920-70F7-4B05-88AE-F48F3EF54614}"/>
    <cellStyle name="Comma 615 4 2" xfId="10223" xr:uid="{A24495E3-DC2B-4116-8AA7-59B1A928AAED}"/>
    <cellStyle name="Comma 615 5" xfId="6095" xr:uid="{7F57C5D3-D05C-4408-AA39-71FCCF8D9DD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3" xfId="7127" xr:uid="{B7214CA3-C106-4F12-89ED-413E4C930AF2}"/>
    <cellStyle name="Comma 616 3" xfId="2922" xr:uid="{C8C4CBF2-4F55-4D70-B7AE-A65C6F449D19}"/>
    <cellStyle name="Comma 616 3 2" xfId="8155" xr:uid="{18EE85ED-6483-4CB5-9E92-19B97DBF88C9}"/>
    <cellStyle name="Comma 616 4" xfId="5048" xr:uid="{0269C93E-B248-4226-A047-A63D2B7323B5}"/>
    <cellStyle name="Comma 616 4 2" xfId="10224" xr:uid="{12B9011A-A4CE-4133-814C-7DCF8EFEB76A}"/>
    <cellStyle name="Comma 616 5" xfId="6096" xr:uid="{66FC6CDF-7709-4065-81D7-AAAA08AE3366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3" xfId="7128" xr:uid="{E07FAD49-5804-4082-9C84-5CC159E32E00}"/>
    <cellStyle name="Comma 617 3" xfId="2923" xr:uid="{50C45E80-487E-46D1-BB47-16853B1FAC9E}"/>
    <cellStyle name="Comma 617 3 2" xfId="8156" xr:uid="{A94B9032-F4B8-4C4C-9B64-D6809BE62686}"/>
    <cellStyle name="Comma 617 4" xfId="5049" xr:uid="{82DE6A00-7093-46F9-A737-B87A128D37F5}"/>
    <cellStyle name="Comma 617 4 2" xfId="10225" xr:uid="{930C6B92-94DB-47D0-9367-624D351723EB}"/>
    <cellStyle name="Comma 617 5" xfId="6097" xr:uid="{9805A0B9-DB26-4B39-8AFA-3556065F73C8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3" xfId="7129" xr:uid="{BE611F6C-8A3B-4ACF-B788-DD07883038A0}"/>
    <cellStyle name="Comma 618 3" xfId="2924" xr:uid="{C24061D7-E519-4525-8CD5-7231F954DF07}"/>
    <cellStyle name="Comma 618 3 2" xfId="8157" xr:uid="{67124A8F-36DB-4F24-9BBA-A09F21024973}"/>
    <cellStyle name="Comma 618 4" xfId="5050" xr:uid="{4C41F2AC-FD05-4614-A901-88AF4B0D80EC}"/>
    <cellStyle name="Comma 618 4 2" xfId="10226" xr:uid="{DF4A135E-2BE0-4493-9317-5CD9CB11E11C}"/>
    <cellStyle name="Comma 618 5" xfId="6098" xr:uid="{1069E6C2-9474-4B94-8917-7192C3DABF2A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3" xfId="7130" xr:uid="{D54AB5E7-6318-414E-B65A-621691AE5CAD}"/>
    <cellStyle name="Comma 619 3" xfId="2925" xr:uid="{06ACD6C5-3C58-4D25-A036-0AFDAD1D00B9}"/>
    <cellStyle name="Comma 619 3 2" xfId="8158" xr:uid="{DF19ADB7-B313-4921-A3A4-1F3049B970DC}"/>
    <cellStyle name="Comma 619 4" xfId="5051" xr:uid="{E196F6C2-7BAD-47D9-A8AE-C994A3E45209}"/>
    <cellStyle name="Comma 619 4 2" xfId="10227" xr:uid="{735AE289-59B3-4BE1-B676-4992557A27F4}"/>
    <cellStyle name="Comma 619 5" xfId="6099" xr:uid="{0A0D8D69-E1CD-4994-8784-819A467A712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3" xfId="6573" xr:uid="{7F01C8BC-B73F-471F-9BF7-2540284699E3}"/>
    <cellStyle name="Comma 62 3" xfId="2368" xr:uid="{2A3C2847-929E-48A4-A544-608747B2974D}"/>
    <cellStyle name="Comma 62 3 2" xfId="7601" xr:uid="{E6EB0E0F-AC29-44B0-9C07-A998E1816196}"/>
    <cellStyle name="Comma 62 4" xfId="4494" xr:uid="{99DFA02A-FA37-4176-8E4A-A9EBD4A68DEE}"/>
    <cellStyle name="Comma 62 4 2" xfId="9670" xr:uid="{EABD13CC-18FD-4EF1-8879-6CCCA7EB8B95}"/>
    <cellStyle name="Comma 62 5" xfId="5542" xr:uid="{BB50F2C7-BFC7-4E65-9924-46942C925078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3" xfId="7131" xr:uid="{53B892FE-A8FC-42B1-BCA8-89D409FB7DA8}"/>
    <cellStyle name="Comma 620 3" xfId="2926" xr:uid="{1A727141-502F-448A-B2A9-E7B62FBDC8F4}"/>
    <cellStyle name="Comma 620 3 2" xfId="8159" xr:uid="{84F2CD97-A5F1-40A5-85EF-6C1ADF85B133}"/>
    <cellStyle name="Comma 620 4" xfId="5052" xr:uid="{A69F2BB7-020C-4A2D-8AB0-F91306A2B7B3}"/>
    <cellStyle name="Comma 620 4 2" xfId="10228" xr:uid="{A1395AD6-82C0-4517-8A65-C90CAFACC482}"/>
    <cellStyle name="Comma 620 5" xfId="6100" xr:uid="{E031DA89-9B5E-484B-A071-98590362286A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3" xfId="7132" xr:uid="{4BA2ED27-3830-40BE-9C25-74B6B008D2A0}"/>
    <cellStyle name="Comma 621 3" xfId="2927" xr:uid="{AF84FEDD-0563-435F-9754-90444100E308}"/>
    <cellStyle name="Comma 621 3 2" xfId="8160" xr:uid="{14EA797C-D393-477B-A2C5-082CDC6FBD52}"/>
    <cellStyle name="Comma 621 4" xfId="5053" xr:uid="{D37106E2-DA64-44AC-8D2B-863F35743662}"/>
    <cellStyle name="Comma 621 4 2" xfId="10229" xr:uid="{2EC0855E-1FB2-4B38-97DE-D43C79C6F604}"/>
    <cellStyle name="Comma 621 5" xfId="6101" xr:uid="{5C9A6F87-395C-4CA2-B072-DC74D006C3F7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3" xfId="7133" xr:uid="{6B2432AA-91D8-402B-BC93-854B451E5645}"/>
    <cellStyle name="Comma 622 3" xfId="2928" xr:uid="{5AB828A2-A659-4ADA-9C01-A64FA91E677B}"/>
    <cellStyle name="Comma 622 3 2" xfId="8161" xr:uid="{EEDDF8EB-56AA-46ED-9D16-123A8D57C69A}"/>
    <cellStyle name="Comma 622 4" xfId="5054" xr:uid="{5E47752A-43FE-463E-BE30-F3592FFBE628}"/>
    <cellStyle name="Comma 622 4 2" xfId="10230" xr:uid="{55438293-A5CB-4256-8427-C0E112A11768}"/>
    <cellStyle name="Comma 622 5" xfId="6102" xr:uid="{85D6B459-AA38-4B3E-815E-53BD7F85F8AC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3" xfId="7134" xr:uid="{D13EA485-B0DE-47E4-870A-7C294965BDCF}"/>
    <cellStyle name="Comma 623 3" xfId="2929" xr:uid="{266FCBC0-994F-418C-ACF0-95CA43D1AFF5}"/>
    <cellStyle name="Comma 623 3 2" xfId="8162" xr:uid="{40F03C3F-8348-4CB8-94A0-AA969A5A1BA0}"/>
    <cellStyle name="Comma 623 4" xfId="5055" xr:uid="{EB0BF4EF-5A29-42BF-BEB4-99E6F3AC37A6}"/>
    <cellStyle name="Comma 623 4 2" xfId="10231" xr:uid="{FACCDD74-8F3E-485D-ACAE-20F847014F9B}"/>
    <cellStyle name="Comma 623 5" xfId="6103" xr:uid="{1FAE7F35-CCD9-4BF7-94DF-57210F7163C4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3" xfId="7135" xr:uid="{0EF71622-6E05-4554-A1C6-26B636BE6224}"/>
    <cellStyle name="Comma 624 3" xfId="2930" xr:uid="{989B557B-272A-4ED2-86A8-A8B02C6E003C}"/>
    <cellStyle name="Comma 624 3 2" xfId="8163" xr:uid="{BEE45C46-7B24-492D-B3B5-B5BE15735A96}"/>
    <cellStyle name="Comma 624 4" xfId="5056" xr:uid="{9ABFD037-EE8D-4C87-AD87-8E76322B6782}"/>
    <cellStyle name="Comma 624 4 2" xfId="10232" xr:uid="{4828E962-E784-4A47-ACD1-86B2E3CE5033}"/>
    <cellStyle name="Comma 624 5" xfId="6104" xr:uid="{30E81D6C-556B-4BA0-B67A-2BEF4545A815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3" xfId="7136" xr:uid="{C0E7190C-6ACE-4545-A18E-6A11770565EC}"/>
    <cellStyle name="Comma 625 3" xfId="2931" xr:uid="{D19ADAB3-B6F2-4737-B003-1F85D133C693}"/>
    <cellStyle name="Comma 625 3 2" xfId="8164" xr:uid="{07734AFD-8107-4920-8041-B7B8489ABED9}"/>
    <cellStyle name="Comma 625 4" xfId="5057" xr:uid="{F8F3DF8B-CCB3-4E49-A46F-E9109508F320}"/>
    <cellStyle name="Comma 625 4 2" xfId="10233" xr:uid="{A02EC53C-1E7E-45C6-A224-8C0250A0E6C5}"/>
    <cellStyle name="Comma 625 5" xfId="6105" xr:uid="{05561FDC-3CEA-4734-84D7-3C41FFD87B3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3" xfId="7137" xr:uid="{14D1F3A1-174C-429D-8FF3-6DACBFA67EF0}"/>
    <cellStyle name="Comma 626 3" xfId="2932" xr:uid="{3624F5C5-4407-4EE4-A497-B1CCEC7C582E}"/>
    <cellStyle name="Comma 626 3 2" xfId="8165" xr:uid="{AAD411B0-FA7B-4A5B-BDF7-8866733BD3F6}"/>
    <cellStyle name="Comma 626 4" xfId="5058" xr:uid="{818CF6E9-26B6-4715-8A4C-F5B104E3D244}"/>
    <cellStyle name="Comma 626 4 2" xfId="10234" xr:uid="{0F8460ED-567A-46B8-AE20-216B08D11FF8}"/>
    <cellStyle name="Comma 626 5" xfId="6106" xr:uid="{017D8D65-72FB-4B1D-8157-B679A629776F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3" xfId="7138" xr:uid="{5838714F-EDFB-4CC5-9BAE-CB9E928DB180}"/>
    <cellStyle name="Comma 627 3" xfId="2933" xr:uid="{27C88B99-A32B-4A0B-9205-A4BF15EA3C35}"/>
    <cellStyle name="Comma 627 3 2" xfId="8166" xr:uid="{AC6B5C08-E71E-473D-B53D-8E0AEEB19608}"/>
    <cellStyle name="Comma 627 4" xfId="5059" xr:uid="{D15A22A8-CA91-49FC-88F9-B30178862F52}"/>
    <cellStyle name="Comma 627 4 2" xfId="10235" xr:uid="{FDBA1112-205C-49D2-A66B-9244F344A02A}"/>
    <cellStyle name="Comma 627 5" xfId="6107" xr:uid="{7B1E7B65-F9F0-4898-99D6-7C01812C8FA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3" xfId="7139" xr:uid="{888D2C56-C336-4755-B553-FC9EC7732760}"/>
    <cellStyle name="Comma 628 3" xfId="2934" xr:uid="{C5B52775-D6C7-4D94-BF72-9F04CABDB2CC}"/>
    <cellStyle name="Comma 628 3 2" xfId="8167" xr:uid="{5E7F550C-6EEB-4AE8-A103-B3137289BACB}"/>
    <cellStyle name="Comma 628 4" xfId="5060" xr:uid="{44FF20AD-B4A1-4489-9A18-4CA114E227DB}"/>
    <cellStyle name="Comma 628 4 2" xfId="10236" xr:uid="{E8B1016A-0397-463D-B4AD-9AB0AC8ED7B8}"/>
    <cellStyle name="Comma 628 5" xfId="6108" xr:uid="{E0A574FE-6183-4AD0-B239-785DE1B57201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3" xfId="7140" xr:uid="{41F7BA19-414C-477E-A6DB-930D8BBFD271}"/>
    <cellStyle name="Comma 629 3" xfId="2935" xr:uid="{635C7844-B1BD-47A6-9728-603BAE718BE9}"/>
    <cellStyle name="Comma 629 3 2" xfId="8168" xr:uid="{272670FF-D3DC-4EE6-B385-F2E3CDC3FB17}"/>
    <cellStyle name="Comma 629 4" xfId="5061" xr:uid="{5646DC56-8160-45A8-8338-B04D2ED9F592}"/>
    <cellStyle name="Comma 629 4 2" xfId="10237" xr:uid="{E008308C-5F23-4486-9E69-B5D7AF315BED}"/>
    <cellStyle name="Comma 629 5" xfId="6109" xr:uid="{0228E0F5-C3E2-48A3-9FD4-94EF9F1F9E24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3" xfId="6574" xr:uid="{995FBA47-B9FE-4CB9-AD88-C5EC2A617D8F}"/>
    <cellStyle name="Comma 63 3" xfId="2369" xr:uid="{CEE86877-441B-4E16-A5B0-AF517CF828EC}"/>
    <cellStyle name="Comma 63 3 2" xfId="7602" xr:uid="{27BA841F-1DF7-4949-AB93-54B3ACB88254}"/>
    <cellStyle name="Comma 63 4" xfId="4495" xr:uid="{3DC5B3D6-E4C3-4242-99B1-EA4AFF792392}"/>
    <cellStyle name="Comma 63 4 2" xfId="9671" xr:uid="{0BB2B40E-1D66-4FA1-808C-8E79751D78A8}"/>
    <cellStyle name="Comma 63 5" xfId="5543" xr:uid="{BC40DE9A-E2E6-4B4E-82BA-367BF41311C6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3" xfId="7141" xr:uid="{895D646E-EFEA-44F9-AB6A-5322F781D99E}"/>
    <cellStyle name="Comma 630 3" xfId="2936" xr:uid="{F2E61F73-6FA7-4A3F-AE87-3750E1950F38}"/>
    <cellStyle name="Comma 630 3 2" xfId="8169" xr:uid="{ED3C6071-7CBD-4A1C-B069-047870A741E1}"/>
    <cellStyle name="Comma 630 4" xfId="5062" xr:uid="{B6933A04-437F-49EE-8AF0-3484FEB80EC1}"/>
    <cellStyle name="Comma 630 4 2" xfId="10238" xr:uid="{5C970107-89A0-4F09-B786-97961ABDDB46}"/>
    <cellStyle name="Comma 630 5" xfId="6110" xr:uid="{B0755742-40E1-4622-B603-BE4903DA5FD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3" xfId="7142" xr:uid="{94813EC0-66C4-465D-9827-2E93C5300EC3}"/>
    <cellStyle name="Comma 631 3" xfId="2937" xr:uid="{0FEDBB7D-F4E2-4AF7-B1DB-2EEF0A9F792A}"/>
    <cellStyle name="Comma 631 3 2" xfId="8170" xr:uid="{6188A10C-8D7A-45EC-9654-C54442F2A315}"/>
    <cellStyle name="Comma 631 4" xfId="5063" xr:uid="{63DDB6F7-480D-420F-800B-4214A4DEE7DC}"/>
    <cellStyle name="Comma 631 4 2" xfId="10239" xr:uid="{9AC89AA5-D581-41C3-9D13-9F128D16AB81}"/>
    <cellStyle name="Comma 631 5" xfId="6111" xr:uid="{25796877-925F-4E55-8F38-D8A456DD8F20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3" xfId="7143" xr:uid="{2AFD38DF-D03D-4CC8-98A6-D85B2C5AE200}"/>
    <cellStyle name="Comma 632 3" xfId="2938" xr:uid="{B3388841-4A40-4D64-9C15-33C267070E51}"/>
    <cellStyle name="Comma 632 3 2" xfId="8171" xr:uid="{A577D262-82BC-4E22-BC55-55F58B158A70}"/>
    <cellStyle name="Comma 632 4" xfId="5064" xr:uid="{AC40DE97-636F-412F-AA30-A6BED1500AF8}"/>
    <cellStyle name="Comma 632 4 2" xfId="10240" xr:uid="{D4C74E39-D5D6-4EF9-9AEE-A0ACD9AC6537}"/>
    <cellStyle name="Comma 632 5" xfId="6112" xr:uid="{6F3BB4D1-3604-47EA-88A7-27E15E0A3DA3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3" xfId="7144" xr:uid="{0695A8A8-4741-4C3D-920A-8F3C34CEF5B4}"/>
    <cellStyle name="Comma 633 3" xfId="2939" xr:uid="{F7A3E552-6E09-4C86-9476-DE4ACCE965F5}"/>
    <cellStyle name="Comma 633 3 2" xfId="8172" xr:uid="{ACF0D259-BD10-4136-B720-7669C4B48CB1}"/>
    <cellStyle name="Comma 633 4" xfId="5065" xr:uid="{20B09A82-AF30-412A-99D2-734512E638A1}"/>
    <cellStyle name="Comma 633 4 2" xfId="10241" xr:uid="{E1EAE02B-02D6-4CAE-A0B3-FD5C95E8DFB7}"/>
    <cellStyle name="Comma 633 5" xfId="6113" xr:uid="{D19494F8-14B5-4E5C-A54D-A02D8885CAB5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3" xfId="7145" xr:uid="{BCE81070-EE6A-4AD0-AE24-4916D860FE7A}"/>
    <cellStyle name="Comma 634 3" xfId="2940" xr:uid="{87A057A8-BDCD-452F-91C0-5CF7D9F126F1}"/>
    <cellStyle name="Comma 634 3 2" xfId="8173" xr:uid="{03108E0B-0F65-41F0-8C84-19B464E507C7}"/>
    <cellStyle name="Comma 634 4" xfId="5066" xr:uid="{EEEB4C58-DD27-473A-B87A-0D24D6B069E3}"/>
    <cellStyle name="Comma 634 4 2" xfId="10242" xr:uid="{01407DFC-D2A5-4E41-91F9-00DFDFBDE54F}"/>
    <cellStyle name="Comma 634 5" xfId="6114" xr:uid="{149B9EF2-E8DB-4669-B5D8-92146056BD60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3" xfId="7146" xr:uid="{47FDCF24-B694-4191-9DA0-CF5583D410FF}"/>
    <cellStyle name="Comma 635 3" xfId="2941" xr:uid="{21A2714F-D6E0-4B07-BA47-8E44BAD27F0E}"/>
    <cellStyle name="Comma 635 3 2" xfId="8174" xr:uid="{CCAD6DE8-D1AD-481F-941B-A4E6B1A72B63}"/>
    <cellStyle name="Comma 635 4" xfId="5067" xr:uid="{77D8A934-EA31-4B12-A47B-EE02C3BF1254}"/>
    <cellStyle name="Comma 635 4 2" xfId="10243" xr:uid="{CCB254E6-EBBA-489C-ADEC-D006435EE3CF}"/>
    <cellStyle name="Comma 635 5" xfId="6115" xr:uid="{99A7EAEB-4AB2-4E69-8396-28A84203F327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3" xfId="7147" xr:uid="{450B8217-9CC2-4DE7-A3A2-AAB22DE63226}"/>
    <cellStyle name="Comma 636 3" xfId="2942" xr:uid="{554FC34B-79E7-4B73-9F62-7DEFB8408FA4}"/>
    <cellStyle name="Comma 636 3 2" xfId="8175" xr:uid="{31C81BF1-9DFB-4281-9546-D10DFF45CE76}"/>
    <cellStyle name="Comma 636 4" xfId="5068" xr:uid="{936087B9-F7B2-4966-A152-E2B5657CA19F}"/>
    <cellStyle name="Comma 636 4 2" xfId="10244" xr:uid="{D1C04DD2-11EF-49E6-9D37-39524D72124E}"/>
    <cellStyle name="Comma 636 5" xfId="6116" xr:uid="{D0A05B99-7E12-443B-A427-CF2E7EBE09AE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3" xfId="7148" xr:uid="{FAB2B898-63D0-4B17-8794-858F668A60CD}"/>
    <cellStyle name="Comma 637 3" xfId="2943" xr:uid="{0D74E07F-D84D-46F5-AA7F-6D369F198746}"/>
    <cellStyle name="Comma 637 3 2" xfId="8176" xr:uid="{E7827586-FE1B-4D2B-A494-DEB784DEBD1F}"/>
    <cellStyle name="Comma 637 4" xfId="5069" xr:uid="{05A018DC-2004-4A62-9F50-E333E6CE27C7}"/>
    <cellStyle name="Comma 637 4 2" xfId="10245" xr:uid="{D440D9CD-8253-47C6-908E-6715CD63703A}"/>
    <cellStyle name="Comma 637 5" xfId="6117" xr:uid="{095A256C-88CA-43DF-92B7-528C89CFB67B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3" xfId="7149" xr:uid="{FB9C198A-DA0E-42F7-893D-B18632F34AC4}"/>
    <cellStyle name="Comma 638 3" xfId="2944" xr:uid="{EEEFB300-4164-450C-908B-FAD6804C85BA}"/>
    <cellStyle name="Comma 638 3 2" xfId="8177" xr:uid="{6006D744-4DC7-494B-8184-700E2CAAB736}"/>
    <cellStyle name="Comma 638 4" xfId="5070" xr:uid="{6868978D-1971-408F-B8CA-9FE762680AEC}"/>
    <cellStyle name="Comma 638 4 2" xfId="10246" xr:uid="{EA58D0C7-CC74-4144-8F83-7A6AEDB2AF17}"/>
    <cellStyle name="Comma 638 5" xfId="6118" xr:uid="{81AFA6FD-5C3A-43DE-B59F-E6FA5750842A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3" xfId="7150" xr:uid="{A56E31E1-1B3E-45B8-9654-E1B89406C86D}"/>
    <cellStyle name="Comma 639 3" xfId="2945" xr:uid="{2F8321F3-27B2-4FF7-AF5A-68C978B1E48E}"/>
    <cellStyle name="Comma 639 3 2" xfId="8178" xr:uid="{B7BFD822-EE02-49A4-B1BF-465897482220}"/>
    <cellStyle name="Comma 639 4" xfId="5071" xr:uid="{E3636411-77F5-411A-9049-D439D51B6C18}"/>
    <cellStyle name="Comma 639 4 2" xfId="10247" xr:uid="{5EE9AD47-C790-4852-BC7D-95971CC0A3BE}"/>
    <cellStyle name="Comma 639 5" xfId="6119" xr:uid="{FFF70729-D4E7-497C-AF60-100653156AE0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3" xfId="6575" xr:uid="{A7B3B2AE-7DAA-4905-8056-B89AEEA765A3}"/>
    <cellStyle name="Comma 64 3" xfId="2370" xr:uid="{B11C9158-6A31-4C2C-A11D-AEC1B898E1DC}"/>
    <cellStyle name="Comma 64 3 2" xfId="7603" xr:uid="{FA0884A9-EAB9-45FF-8702-6C9197D42972}"/>
    <cellStyle name="Comma 64 4" xfId="4496" xr:uid="{6A6BD18F-C9F3-45ED-B776-D6EAE5466680}"/>
    <cellStyle name="Comma 64 4 2" xfId="9672" xr:uid="{04D8961A-44E9-44FC-9AB5-A896E8446F58}"/>
    <cellStyle name="Comma 64 5" xfId="5544" xr:uid="{93BE0863-2A4E-49D1-A593-FEFF716734F4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3" xfId="7151" xr:uid="{F5CC1A98-4DAE-437F-B225-B00E489B23EE}"/>
    <cellStyle name="Comma 640 3" xfId="2946" xr:uid="{E6D79785-10B8-47A4-A3A9-831F3A9E9229}"/>
    <cellStyle name="Comma 640 3 2" xfId="8179" xr:uid="{FADC36B2-E5EB-4A70-AED6-FC17AB01C29D}"/>
    <cellStyle name="Comma 640 4" xfId="5072" xr:uid="{02F802AC-72EA-4208-B720-69DB3AA06353}"/>
    <cellStyle name="Comma 640 4 2" xfId="10248" xr:uid="{51E17BD1-4642-4301-9597-AB92B61D0062}"/>
    <cellStyle name="Comma 640 5" xfId="6120" xr:uid="{B9790574-D2CA-4233-A659-A1FC016E0B37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3" xfId="7152" xr:uid="{A6661738-1CEA-46D3-B6BC-22B3DC1A5273}"/>
    <cellStyle name="Comma 641 3" xfId="2947" xr:uid="{268DDF80-C1F7-4703-AC7C-C4D52320EBA1}"/>
    <cellStyle name="Comma 641 3 2" xfId="8180" xr:uid="{3F1703C5-F72A-42E9-86BB-FFD77A0F76F6}"/>
    <cellStyle name="Comma 641 4" xfId="5073" xr:uid="{E6B897C0-57AC-4070-9CA9-00706229ADAE}"/>
    <cellStyle name="Comma 641 4 2" xfId="10249" xr:uid="{E7983779-3F8F-4845-A176-AE2EABE46B59}"/>
    <cellStyle name="Comma 641 5" xfId="6121" xr:uid="{E6556266-26DB-406B-8C3B-FCE41AEBC5B4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3" xfId="7153" xr:uid="{4DD2B625-04B7-4E15-B45C-8E4C7D64A5C3}"/>
    <cellStyle name="Comma 642 3" xfId="2948" xr:uid="{B7180279-25DA-4B3A-94A3-F3C904B6E23A}"/>
    <cellStyle name="Comma 642 3 2" xfId="8181" xr:uid="{75C85AE4-A85A-48AD-B576-63D4C20EE12F}"/>
    <cellStyle name="Comma 642 4" xfId="5074" xr:uid="{4A2E8B45-DEEC-4B4E-A3B2-C19A14C8A4A5}"/>
    <cellStyle name="Comma 642 4 2" xfId="10250" xr:uid="{14DC92BD-5921-43FC-8FB8-E20197016A95}"/>
    <cellStyle name="Comma 642 5" xfId="6122" xr:uid="{62B99748-5FC1-4CFA-8726-76F32584C668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3" xfId="7154" xr:uid="{F4C0990E-59AE-41A4-BEAC-3E2BB3C0800C}"/>
    <cellStyle name="Comma 643 3" xfId="2949" xr:uid="{C57B3694-8450-408C-B91B-716B85BC99BC}"/>
    <cellStyle name="Comma 643 3 2" xfId="8182" xr:uid="{C0F26E1A-8219-4627-8262-631C4D78781A}"/>
    <cellStyle name="Comma 643 4" xfId="5075" xr:uid="{A4B53DE2-745F-4C80-A1D5-72738FB26CD6}"/>
    <cellStyle name="Comma 643 4 2" xfId="10251" xr:uid="{CAC35591-AB80-44DF-AC93-54D01789CACD}"/>
    <cellStyle name="Comma 643 5" xfId="6123" xr:uid="{C2E90B06-E00F-4E5E-9D51-E5219FE804A0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3" xfId="7155" xr:uid="{13E56344-C3A3-4F19-B261-C7AFFE855E11}"/>
    <cellStyle name="Comma 644 3" xfId="2950" xr:uid="{0ED981CA-A540-4861-BED9-38D5DF1EB34F}"/>
    <cellStyle name="Comma 644 3 2" xfId="8183" xr:uid="{60527307-1DF7-49ED-B5D5-189B61D9A22B}"/>
    <cellStyle name="Comma 644 4" xfId="5076" xr:uid="{9565EB97-52E0-4647-81A6-89BD887229D9}"/>
    <cellStyle name="Comma 644 4 2" xfId="10252" xr:uid="{D0F5B22D-FDD1-4C96-947F-2ADAF466A393}"/>
    <cellStyle name="Comma 644 5" xfId="6124" xr:uid="{541C80A0-7FD5-4FF8-8194-0B332638FD60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3" xfId="7156" xr:uid="{5715A9A3-4EC3-4FCF-9AD0-C4F25E75A760}"/>
    <cellStyle name="Comma 645 3" xfId="2951" xr:uid="{2DBE379D-AEBA-4984-BE6D-DB555BEBE319}"/>
    <cellStyle name="Comma 645 3 2" xfId="8184" xr:uid="{FEBA10B4-261B-4D81-A322-9F8DE624787E}"/>
    <cellStyle name="Comma 645 4" xfId="5077" xr:uid="{C7C3B519-F210-4EC2-968A-952AE2800AA3}"/>
    <cellStyle name="Comma 645 4 2" xfId="10253" xr:uid="{D3732B78-3EC5-4108-9C89-567AA9EE30C1}"/>
    <cellStyle name="Comma 645 5" xfId="6125" xr:uid="{A9B56940-5140-4C9A-AB76-13DC24B4A317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3" xfId="7157" xr:uid="{262BC314-BD85-4F2C-BB1A-D9E4956BBE77}"/>
    <cellStyle name="Comma 646 3" xfId="2952" xr:uid="{1DC3F02D-FF53-44E5-8FE9-779D20D6F07E}"/>
    <cellStyle name="Comma 646 3 2" xfId="8185" xr:uid="{89D0B3D0-AD9A-464B-AA56-4E1E31B40261}"/>
    <cellStyle name="Comma 646 4" xfId="5078" xr:uid="{1F36FCF6-1FD0-4B33-A2A7-C92644D8EB55}"/>
    <cellStyle name="Comma 646 4 2" xfId="10254" xr:uid="{29D45DB1-F8BC-4B90-845B-85CAE39A3F67}"/>
    <cellStyle name="Comma 646 5" xfId="6126" xr:uid="{C4A80FCA-3BEC-46BA-B14B-8F7DABEA21DC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3" xfId="7158" xr:uid="{02A4A264-2248-4DD0-A79F-CA579C344029}"/>
    <cellStyle name="Comma 647 3" xfId="2953" xr:uid="{DF321CF9-99AD-4E43-B3F8-4BF3E2F93914}"/>
    <cellStyle name="Comma 647 3 2" xfId="8186" xr:uid="{DC463ED7-BB2B-42DC-B564-30378710D48B}"/>
    <cellStyle name="Comma 647 4" xfId="5079" xr:uid="{A4838BD2-9BE8-4126-98E7-AC28E13318B5}"/>
    <cellStyle name="Comma 647 4 2" xfId="10255" xr:uid="{B8762FAA-BBC7-4675-BDE4-A0F8E211B71D}"/>
    <cellStyle name="Comma 647 5" xfId="6127" xr:uid="{EB9C29BA-C684-47F7-87F9-914D7A73172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3" xfId="7159" xr:uid="{D6379578-5EA1-4708-99B6-9DF6CF2F50B0}"/>
    <cellStyle name="Comma 648 3" xfId="2954" xr:uid="{134AAB3D-B8AE-435B-AE60-DCAF5F9D3DD5}"/>
    <cellStyle name="Comma 648 3 2" xfId="8187" xr:uid="{65C2B8E7-81E2-4128-BFD5-82C909E03700}"/>
    <cellStyle name="Comma 648 4" xfId="5080" xr:uid="{7DE5EAE3-7B7D-45FE-8D87-AA681FE7E7AF}"/>
    <cellStyle name="Comma 648 4 2" xfId="10256" xr:uid="{B219524E-F7AA-4255-B16A-3DDED0B498D6}"/>
    <cellStyle name="Comma 648 5" xfId="6128" xr:uid="{79F4A0C1-DEA2-4DFC-BF5E-9CD3DA528059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3" xfId="7160" xr:uid="{81D35D1F-C234-4EA4-926B-8768CFFE59D9}"/>
    <cellStyle name="Comma 649 3" xfId="2955" xr:uid="{3DB45C99-6096-47E8-99ED-95841655C969}"/>
    <cellStyle name="Comma 649 3 2" xfId="8188" xr:uid="{1DC3E525-36FB-4566-911E-41FC7088632A}"/>
    <cellStyle name="Comma 649 4" xfId="5081" xr:uid="{B56A485C-9EEF-4D3A-93C6-1705060761E3}"/>
    <cellStyle name="Comma 649 4 2" xfId="10257" xr:uid="{7F999B9B-2328-4EEF-B790-8BD0AF9552C5}"/>
    <cellStyle name="Comma 649 5" xfId="6129" xr:uid="{EBAD6851-B781-492F-AE95-85A47CCA6F04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3" xfId="6576" xr:uid="{E25CFAF4-0607-470C-8BE7-7FDD638D0354}"/>
    <cellStyle name="Comma 65 3" xfId="2371" xr:uid="{9B511E8A-1852-40E5-9DCE-C50A6E7DE2D2}"/>
    <cellStyle name="Comma 65 3 2" xfId="7604" xr:uid="{79B06E2B-584A-4CA5-AED2-F2FA76DD66B7}"/>
    <cellStyle name="Comma 65 4" xfId="4497" xr:uid="{B723F7CE-BF9D-4F2E-A8D1-0410A55C29FF}"/>
    <cellStyle name="Comma 65 4 2" xfId="9673" xr:uid="{2C42B0FC-0A47-4E94-A471-DBC7A141B046}"/>
    <cellStyle name="Comma 65 5" xfId="5545" xr:uid="{3EFACA87-E62B-4C47-A0B3-695F7A659753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3" xfId="7161" xr:uid="{9783AF95-F190-4CB9-AAC5-0CF36851B3C2}"/>
    <cellStyle name="Comma 650 3" xfId="2956" xr:uid="{0F4167EF-DDF4-4A21-B7D5-4D9770BD78C6}"/>
    <cellStyle name="Comma 650 3 2" xfId="8189" xr:uid="{26B3B130-CC28-460C-A626-20718304C843}"/>
    <cellStyle name="Comma 650 4" xfId="5082" xr:uid="{3A397BB7-DF44-425E-B712-9F6F1BBCE554}"/>
    <cellStyle name="Comma 650 4 2" xfId="10258" xr:uid="{C8AE8729-5026-4F90-8F4F-E62A390B90EC}"/>
    <cellStyle name="Comma 650 5" xfId="6130" xr:uid="{C179F85A-8AD8-44DC-A54D-FBD4823689AC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3" xfId="7162" xr:uid="{B5A190F5-1F18-460B-9922-914C5666C936}"/>
    <cellStyle name="Comma 651 3" xfId="2957" xr:uid="{FE51DB44-87CC-49C4-A057-E76387A1478A}"/>
    <cellStyle name="Comma 651 3 2" xfId="8190" xr:uid="{CE7C5018-7ED8-46D5-B42D-500FBD3B6A12}"/>
    <cellStyle name="Comma 651 4" xfId="5083" xr:uid="{47981B9E-C26A-44CE-84F7-839A65ED4EC8}"/>
    <cellStyle name="Comma 651 4 2" xfId="10259" xr:uid="{350F6E62-367D-4DBD-89CA-A055B1DABD32}"/>
    <cellStyle name="Comma 651 5" xfId="6131" xr:uid="{88C5A368-E28C-4FD7-B78E-025ED9D295DF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3" xfId="7163" xr:uid="{9916F484-2B5F-421C-A1A3-58E8C6E48A19}"/>
    <cellStyle name="Comma 652 3" xfId="2958" xr:uid="{2B72BB7A-5D50-4EDC-8C3A-DB5C5438FF2C}"/>
    <cellStyle name="Comma 652 3 2" xfId="8191" xr:uid="{BCB88600-6D84-48DA-A9C1-1987AA1CCD3C}"/>
    <cellStyle name="Comma 652 4" xfId="5084" xr:uid="{91502305-2DAC-4672-9E16-5681BE88564B}"/>
    <cellStyle name="Comma 652 4 2" xfId="10260" xr:uid="{7B6ED1C5-5C29-4E18-AFC1-EA6D546BDF42}"/>
    <cellStyle name="Comma 652 5" xfId="6132" xr:uid="{15617F36-C477-4A40-894E-FE8151FF60B5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3" xfId="7164" xr:uid="{ED9EB0D3-62F9-4C85-A253-D24BB03E5007}"/>
    <cellStyle name="Comma 653 3" xfId="2959" xr:uid="{2A7C6E8D-DBD6-4C3C-B9F7-615E8EC86CB1}"/>
    <cellStyle name="Comma 653 3 2" xfId="8192" xr:uid="{C2FB9328-285B-4B52-A288-75DDC3692B9D}"/>
    <cellStyle name="Comma 653 4" xfId="5085" xr:uid="{BFBEC417-95BD-4D7E-AD9D-C51A9252042F}"/>
    <cellStyle name="Comma 653 4 2" xfId="10261" xr:uid="{4C2CE379-DC53-4749-A27A-189D03723BA5}"/>
    <cellStyle name="Comma 653 5" xfId="6133" xr:uid="{AC90B2F6-3EFB-4CE8-A91A-4BD80BF255F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3" xfId="7165" xr:uid="{4951CBA9-60C2-41E3-AD87-D9DD6275BF87}"/>
    <cellStyle name="Comma 654 3" xfId="2960" xr:uid="{CFD5C0CE-3DC9-49EC-8CA8-0B6F4CB6B236}"/>
    <cellStyle name="Comma 654 3 2" xfId="8193" xr:uid="{05FEF22A-A2EC-49F3-A754-613B43E8C542}"/>
    <cellStyle name="Comma 654 4" xfId="5086" xr:uid="{01C1F827-377C-4FD5-B60D-DABEA58D95F8}"/>
    <cellStyle name="Comma 654 4 2" xfId="10262" xr:uid="{41FBC38A-F64C-4661-B116-07CA62517412}"/>
    <cellStyle name="Comma 654 5" xfId="6134" xr:uid="{96A48F09-FA84-4047-A00A-336939CDFE10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3" xfId="7166" xr:uid="{393B6FC0-2071-4F0F-8032-FB9E4C995CDA}"/>
    <cellStyle name="Comma 655 3" xfId="2961" xr:uid="{495979F6-7EC8-4546-B12D-E633581BB78C}"/>
    <cellStyle name="Comma 655 3 2" xfId="8194" xr:uid="{BE10991E-7C07-4A34-999D-6CF3333C0F80}"/>
    <cellStyle name="Comma 655 4" xfId="5087" xr:uid="{96EB8E78-1B09-413F-9ADC-74E3D69AC2C2}"/>
    <cellStyle name="Comma 655 4 2" xfId="10263" xr:uid="{B270C0C3-6121-4241-9697-5425E4E40DBD}"/>
    <cellStyle name="Comma 655 5" xfId="6135" xr:uid="{172EF16E-696A-4013-944C-8B2EB700901E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3" xfId="7167" xr:uid="{4DAFCCD6-6205-4512-876B-99FEC139D9F6}"/>
    <cellStyle name="Comma 656 3" xfId="2962" xr:uid="{2A5D9DB4-E245-4912-B2ED-5570CD326A6E}"/>
    <cellStyle name="Comma 656 3 2" xfId="8195" xr:uid="{1D8777C0-FAD3-48B2-9D97-C2341E5E2840}"/>
    <cellStyle name="Comma 656 4" xfId="5088" xr:uid="{60EC327E-81B4-4D42-917F-D9720AB0BEB6}"/>
    <cellStyle name="Comma 656 4 2" xfId="10264" xr:uid="{C91D0556-4171-40D9-A038-1F8050C7D0B3}"/>
    <cellStyle name="Comma 656 5" xfId="6136" xr:uid="{3CFE5DCD-70E6-4DBE-869F-8E5C12567AF5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3" xfId="7168" xr:uid="{36E7E52B-EF43-4204-9B4C-1C7C07F12A82}"/>
    <cellStyle name="Comma 657 3" xfId="2963" xr:uid="{6D6ABCF5-6D84-4570-8173-E2301214B471}"/>
    <cellStyle name="Comma 657 3 2" xfId="8196" xr:uid="{E4BAFC58-2355-444C-AE47-6A1EC5A9381F}"/>
    <cellStyle name="Comma 657 4" xfId="5089" xr:uid="{431A75EA-AE5C-458B-B791-C500128C211B}"/>
    <cellStyle name="Comma 657 4 2" xfId="10265" xr:uid="{F4A6F170-08BC-4FEC-B7CC-B05DE951BBD6}"/>
    <cellStyle name="Comma 657 5" xfId="6137" xr:uid="{7432B17B-90E8-4E06-918F-7CC747C4839E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3" xfId="7169" xr:uid="{2AD2F33A-38D5-4680-A9E1-AB90E8DF67FF}"/>
    <cellStyle name="Comma 658 3" xfId="2964" xr:uid="{201E1F0A-F67F-482C-9BB2-186047E66CF9}"/>
    <cellStyle name="Comma 658 3 2" xfId="8197" xr:uid="{99E21326-2895-4702-8E18-D18E8F13F169}"/>
    <cellStyle name="Comma 658 4" xfId="5090" xr:uid="{8599D5E4-4165-4C07-9F0B-6A85A33EB74A}"/>
    <cellStyle name="Comma 658 4 2" xfId="10266" xr:uid="{FEB4D9F9-76E2-44D2-9CE2-4FE9217824FC}"/>
    <cellStyle name="Comma 658 5" xfId="6138" xr:uid="{DBB3168A-B980-4712-AD24-A2EA39628723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3" xfId="7170" xr:uid="{D97D78B0-C514-45DE-BD08-58F7A04BFB88}"/>
    <cellStyle name="Comma 659 3" xfId="2965" xr:uid="{682A1529-3CD3-4898-81E8-BAF9EF2BF3A9}"/>
    <cellStyle name="Comma 659 3 2" xfId="8198" xr:uid="{40F0C748-F122-4F0C-8746-35405F6E27FF}"/>
    <cellStyle name="Comma 659 4" xfId="5091" xr:uid="{6A565B07-9BC2-41EF-A936-7E3FB8238430}"/>
    <cellStyle name="Comma 659 4 2" xfId="10267" xr:uid="{A02B762F-4B30-4A14-B18A-1D6528420399}"/>
    <cellStyle name="Comma 659 5" xfId="6139" xr:uid="{0ED82966-F215-435C-9DAA-37B29AED7869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3" xfId="6577" xr:uid="{C0F04E6A-26CB-47C6-B332-577A968E1948}"/>
    <cellStyle name="Comma 66 3" xfId="2372" xr:uid="{8F950BDC-AB03-47AC-80E4-FD078517D9E9}"/>
    <cellStyle name="Comma 66 3 2" xfId="7605" xr:uid="{97824E53-AE1D-4EE8-9FA3-26674BA7F0F6}"/>
    <cellStyle name="Comma 66 4" xfId="4498" xr:uid="{0363B10C-2758-42E3-A293-90C83D7CB6BA}"/>
    <cellStyle name="Comma 66 4 2" xfId="9674" xr:uid="{115AD6CD-6051-44B7-B9F6-4A6ADD2F6D98}"/>
    <cellStyle name="Comma 66 5" xfId="5546" xr:uid="{E105D243-CB38-484A-AE1C-B68F8DC4BCDD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3" xfId="7171" xr:uid="{28378D1D-9066-4E03-A805-D087945324DB}"/>
    <cellStyle name="Comma 660 3" xfId="2966" xr:uid="{A1A79693-B401-4AE1-BE3B-8D6B310EE564}"/>
    <cellStyle name="Comma 660 3 2" xfId="8199" xr:uid="{64DF7AD4-5E2C-484F-BC9E-7EDD942FD548}"/>
    <cellStyle name="Comma 660 4" xfId="5092" xr:uid="{CFA8814E-D47D-4D3E-91FE-23FCF5B9BFC6}"/>
    <cellStyle name="Comma 660 4 2" xfId="10268" xr:uid="{D856B803-D02E-4927-AD04-3352C131DEE2}"/>
    <cellStyle name="Comma 660 5" xfId="6140" xr:uid="{A7128FAE-EC9E-4B98-8CB6-D60E7DD67617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3" xfId="7172" xr:uid="{B153FEF0-2DC1-441E-A363-1FDB8C24D2B7}"/>
    <cellStyle name="Comma 661 3" xfId="2967" xr:uid="{94DE2978-00CB-46E2-B770-AAB61331AC80}"/>
    <cellStyle name="Comma 661 3 2" xfId="8200" xr:uid="{6C7120A0-7494-42B3-97D6-264E051964C8}"/>
    <cellStyle name="Comma 661 4" xfId="5093" xr:uid="{375429C2-34DC-4E08-AEF9-9C9FFD7F1837}"/>
    <cellStyle name="Comma 661 4 2" xfId="10269" xr:uid="{183962BD-CEA0-4EA1-9163-07474B0B3093}"/>
    <cellStyle name="Comma 661 5" xfId="6141" xr:uid="{3810DD54-00FE-4438-982E-493FB2BCE848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3" xfId="7173" xr:uid="{0411AC3B-AB6E-43C4-B48D-C0502EF6747C}"/>
    <cellStyle name="Comma 662 3" xfId="2968" xr:uid="{6350F4C4-0E36-460D-A215-CDC9DE9B7B61}"/>
    <cellStyle name="Comma 662 3 2" xfId="8201" xr:uid="{5FB2573E-5B66-47B3-8B24-4EDF60EC3495}"/>
    <cellStyle name="Comma 662 4" xfId="5094" xr:uid="{C904518D-2CF9-4547-A7D7-735F46B646A7}"/>
    <cellStyle name="Comma 662 4 2" xfId="10270" xr:uid="{AE5EAA31-19B8-4C65-B218-C01F16AFAE8C}"/>
    <cellStyle name="Comma 662 5" xfId="6142" xr:uid="{74612386-E844-4B69-A84A-B16FFA897ADE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3" xfId="7174" xr:uid="{50945708-8602-4491-9EBD-2A6A3100EA53}"/>
    <cellStyle name="Comma 663 3" xfId="2969" xr:uid="{5D251B94-CB46-4CF4-B846-21374CAB57E0}"/>
    <cellStyle name="Comma 663 3 2" xfId="8202" xr:uid="{DC632232-FA79-4C5F-8438-7D5D9FB51250}"/>
    <cellStyle name="Comma 663 4" xfId="5095" xr:uid="{25C7B294-1629-48E6-9028-0DA8730AA529}"/>
    <cellStyle name="Comma 663 4 2" xfId="10271" xr:uid="{15121A3F-3E95-49DE-9FA8-8914F763DC43}"/>
    <cellStyle name="Comma 663 5" xfId="6143" xr:uid="{EBC1F1A6-16FB-40BB-842A-ACEF025A680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3" xfId="7175" xr:uid="{1E30AB4F-6CB6-4C17-A0DA-052FA3D7F177}"/>
    <cellStyle name="Comma 664 3" xfId="2970" xr:uid="{30A0B856-9C18-43A8-B0CF-7F6D9DB2E033}"/>
    <cellStyle name="Comma 664 3 2" xfId="8203" xr:uid="{DD3FE633-0750-4452-A605-B4CEC356046A}"/>
    <cellStyle name="Comma 664 4" xfId="5096" xr:uid="{AEFDBD2A-9D95-4040-9430-734CED39F371}"/>
    <cellStyle name="Comma 664 4 2" xfId="10272" xr:uid="{8EF1EA57-0EB3-49EC-96B9-0EBDCEBBC628}"/>
    <cellStyle name="Comma 664 5" xfId="6144" xr:uid="{9E9069D3-F7E4-4A76-B149-E617FD21D1EB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3" xfId="7176" xr:uid="{03E5B7B8-E29F-4C13-8AF8-FE47D5A3EED8}"/>
    <cellStyle name="Comma 665 3" xfId="2971" xr:uid="{71D0A325-1312-4537-BA9C-241404151501}"/>
    <cellStyle name="Comma 665 3 2" xfId="8204" xr:uid="{4D8C9E4C-210F-440D-A280-CADBB95F5D66}"/>
    <cellStyle name="Comma 665 4" xfId="5097" xr:uid="{86FD81BF-C1AF-40E1-9B01-D18D12BA08AB}"/>
    <cellStyle name="Comma 665 4 2" xfId="10273" xr:uid="{40F15F7A-E17D-4E71-831E-E68D4965F4A8}"/>
    <cellStyle name="Comma 665 5" xfId="6145" xr:uid="{91DC83EF-6984-46F4-9791-AD007560CDC5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3" xfId="7177" xr:uid="{C34722C0-C152-4B4B-89A4-5C8E8CFF0420}"/>
    <cellStyle name="Comma 666 3" xfId="2972" xr:uid="{5FA165A4-1ED7-428C-A27B-2DC4A534B37E}"/>
    <cellStyle name="Comma 666 3 2" xfId="8205" xr:uid="{54202F87-FFFB-4041-95A9-E4E34C6F5FED}"/>
    <cellStyle name="Comma 666 4" xfId="5098" xr:uid="{DE3D9301-7987-4284-8703-E6C37E86C2B8}"/>
    <cellStyle name="Comma 666 4 2" xfId="10274" xr:uid="{F311CB97-F351-4AE4-A4C7-FB94A2A3F280}"/>
    <cellStyle name="Comma 666 5" xfId="6146" xr:uid="{432F47C2-5594-45DA-8C65-9010044225A9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3" xfId="7178" xr:uid="{CA6B2A33-5890-4166-95F2-FF1D4747735E}"/>
    <cellStyle name="Comma 667 3" xfId="2973" xr:uid="{3423439D-868D-4523-9729-15AF900D0E4B}"/>
    <cellStyle name="Comma 667 3 2" xfId="8206" xr:uid="{7316EE83-91E7-4054-97DF-DBA1ACDEE73C}"/>
    <cellStyle name="Comma 667 4" xfId="5099" xr:uid="{B0F621F4-FC69-4120-A941-249C5AA617E1}"/>
    <cellStyle name="Comma 667 4 2" xfId="10275" xr:uid="{361CA435-0909-4E85-9719-7CDA51381286}"/>
    <cellStyle name="Comma 667 5" xfId="6147" xr:uid="{4FE04207-37C1-4B10-8BC3-81978961AA8B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3" xfId="7179" xr:uid="{F0716118-3244-45FE-AEEC-523AF6B0F493}"/>
    <cellStyle name="Comma 668 3" xfId="2974" xr:uid="{A3EC553D-D325-4AC7-966D-AD82584E339B}"/>
    <cellStyle name="Comma 668 3 2" xfId="8207" xr:uid="{D4C66FA6-7937-4A3F-BA0A-6A1646FEDD10}"/>
    <cellStyle name="Comma 668 4" xfId="5100" xr:uid="{8C06B619-BE35-444F-A148-0E8D4FD766BD}"/>
    <cellStyle name="Comma 668 4 2" xfId="10276" xr:uid="{5A0AAF32-58BD-404B-A3FE-0B0D30ED318F}"/>
    <cellStyle name="Comma 668 5" xfId="6148" xr:uid="{9EDB1C2F-4581-4DC2-8DB4-B9ABF32BE911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3" xfId="7180" xr:uid="{FE496D40-3C82-4405-AF91-3C6CB1AFF144}"/>
    <cellStyle name="Comma 669 3" xfId="2975" xr:uid="{C81C89ED-4D10-4E4B-B83C-8B3D681FB674}"/>
    <cellStyle name="Comma 669 3 2" xfId="8208" xr:uid="{934977CF-DCEB-4FF9-A95D-1D5E193972B6}"/>
    <cellStyle name="Comma 669 4" xfId="5101" xr:uid="{DC5E6E20-6302-4F50-8D87-B8D3A90D4646}"/>
    <cellStyle name="Comma 669 4 2" xfId="10277" xr:uid="{B79790C0-4D1B-4305-BBD5-A407BE06987A}"/>
    <cellStyle name="Comma 669 5" xfId="6149" xr:uid="{07D68FE4-68E4-4A48-8C41-12D24E88175F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3" xfId="6578" xr:uid="{C7618046-4289-4F6B-A0EB-3E9FE8011D2C}"/>
    <cellStyle name="Comma 67 3" xfId="2373" xr:uid="{C8E9DE94-078C-4C12-B883-1F54D0AEA7FA}"/>
    <cellStyle name="Comma 67 3 2" xfId="7606" xr:uid="{54FCE97E-66FD-4FA2-9ABC-32C131EFBC9E}"/>
    <cellStyle name="Comma 67 4" xfId="4499" xr:uid="{CD99369E-6444-4B44-96AF-B31A8DB5B06C}"/>
    <cellStyle name="Comma 67 4 2" xfId="9675" xr:uid="{EFB8F31D-B441-487A-8157-515A75599743}"/>
    <cellStyle name="Comma 67 5" xfId="5547" xr:uid="{B174EAF9-566C-44A0-8F09-36F47503AB61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3" xfId="7181" xr:uid="{20348319-2A4D-40E5-B3BE-1BE5374FEA4E}"/>
    <cellStyle name="Comma 670 3" xfId="2976" xr:uid="{C59C4247-D016-402C-9176-CF102510586B}"/>
    <cellStyle name="Comma 670 3 2" xfId="8209" xr:uid="{B88054AD-A003-41C9-99D8-AA1D8D70CAEB}"/>
    <cellStyle name="Comma 670 4" xfId="5102" xr:uid="{4D50F6A4-DC9C-470C-B233-114D3BDA1727}"/>
    <cellStyle name="Comma 670 4 2" xfId="10278" xr:uid="{F2BAE77E-3EEB-470A-B0E1-E7A3070A9EAA}"/>
    <cellStyle name="Comma 670 5" xfId="6150" xr:uid="{61A6B5A9-3E52-492A-BCEC-965F4CC07CDD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3" xfId="7182" xr:uid="{BB88F064-0A8D-418A-A9DC-53456F868B7E}"/>
    <cellStyle name="Comma 671 3" xfId="2977" xr:uid="{E27EDF71-E475-4F26-BEB8-049529989EAF}"/>
    <cellStyle name="Comma 671 3 2" xfId="8210" xr:uid="{F5F3BB25-A0EA-45B1-8BBF-F3F76D31AB5F}"/>
    <cellStyle name="Comma 671 4" xfId="5103" xr:uid="{5A0C1F13-F930-4038-86A0-63B1310AABF2}"/>
    <cellStyle name="Comma 671 4 2" xfId="10279" xr:uid="{7339F28B-1231-4DD6-B0F0-051C4E35ADE3}"/>
    <cellStyle name="Comma 671 5" xfId="6151" xr:uid="{E7C5EA26-5CF4-43C0-8A58-8472A432928B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3" xfId="7183" xr:uid="{35AD2639-1B7B-4182-87F0-6AED155C8211}"/>
    <cellStyle name="Comma 672 3" xfId="2978" xr:uid="{23E7C6F6-AE53-4B7B-907E-479F2B1CD279}"/>
    <cellStyle name="Comma 672 3 2" xfId="8211" xr:uid="{CB0E71FF-D2F7-450E-9704-6FB5BF4F01AD}"/>
    <cellStyle name="Comma 672 4" xfId="5104" xr:uid="{50F90113-4B8E-4E9B-B7E0-389582D3A0FE}"/>
    <cellStyle name="Comma 672 4 2" xfId="10280" xr:uid="{0486C998-B110-43F1-9FD4-5A5706A4931F}"/>
    <cellStyle name="Comma 672 5" xfId="6152" xr:uid="{38C2F7B8-D32A-4095-969C-D1687A4E4EE6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3" xfId="7184" xr:uid="{554A3240-E127-4C17-B00E-7815FA1052C3}"/>
    <cellStyle name="Comma 673 3" xfId="2979" xr:uid="{27152497-DB0D-4727-98E9-85ED4D07A619}"/>
    <cellStyle name="Comma 673 3 2" xfId="8212" xr:uid="{A254025E-B2C1-46E5-BE2C-4390240E81CC}"/>
    <cellStyle name="Comma 673 4" xfId="5105" xr:uid="{512048E8-4C4F-46CC-BCD0-86BC47988762}"/>
    <cellStyle name="Comma 673 4 2" xfId="10281" xr:uid="{22C5C002-463F-4369-BCAC-49D858D45AEE}"/>
    <cellStyle name="Comma 673 5" xfId="6153" xr:uid="{C51E9971-36CD-435E-9E3C-4607E1CDCAC0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3" xfId="7185" xr:uid="{65BA0D8A-8863-4404-AFF9-FFE9FE251CF5}"/>
    <cellStyle name="Comma 674 3" xfId="2980" xr:uid="{38BDA87D-0834-4EE8-8BED-240C4EE9D9A1}"/>
    <cellStyle name="Comma 674 3 2" xfId="8213" xr:uid="{15EDE98E-64BD-4B67-81FE-469D61B9136D}"/>
    <cellStyle name="Comma 674 4" xfId="5106" xr:uid="{F9937DF8-3E58-4299-A43B-C00B4C15228E}"/>
    <cellStyle name="Comma 674 4 2" xfId="10282" xr:uid="{BDBBFF2C-9BEF-4F74-B10B-EA311D8DBB87}"/>
    <cellStyle name="Comma 674 5" xfId="6154" xr:uid="{4B6538DD-6486-4854-93BE-7324154FFA14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3" xfId="7186" xr:uid="{CB059092-4030-44EA-8D43-943A2E94A4D7}"/>
    <cellStyle name="Comma 675 3" xfId="2981" xr:uid="{CCCEEACA-32BB-4F98-883B-A1A0042B419D}"/>
    <cellStyle name="Comma 675 3 2" xfId="8214" xr:uid="{1612E9EB-92AB-490C-8185-180FDDCD823B}"/>
    <cellStyle name="Comma 675 4" xfId="5107" xr:uid="{5018EBC1-D589-4FEF-9A13-E52B1D6DE5C1}"/>
    <cellStyle name="Comma 675 4 2" xfId="10283" xr:uid="{27649FF2-13FE-4B77-9F76-A606EA1E79EB}"/>
    <cellStyle name="Comma 675 5" xfId="6155" xr:uid="{D88E0D19-696B-434F-B310-AB6458473B22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3" xfId="7187" xr:uid="{C14B45DE-55DC-4B6B-A910-81FAA67B20A9}"/>
    <cellStyle name="Comma 676 3" xfId="2982" xr:uid="{3E6F9B8E-08AA-4415-A71F-1053C45AD169}"/>
    <cellStyle name="Comma 676 3 2" xfId="8215" xr:uid="{7EB147C9-B3FF-42D0-863A-C974757DB77E}"/>
    <cellStyle name="Comma 676 4" xfId="5108" xr:uid="{834CCE19-B305-47A0-804D-E7E0BE9FFA93}"/>
    <cellStyle name="Comma 676 4 2" xfId="10284" xr:uid="{C3A19D8D-AC3B-4967-8D71-D9115101DE22}"/>
    <cellStyle name="Comma 676 5" xfId="6156" xr:uid="{C4B6A7A7-5F30-4842-BDB4-6A3830103C85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3" xfId="7188" xr:uid="{D78A9B79-CFD4-4EFC-B0AA-DB90B8A1A463}"/>
    <cellStyle name="Comma 677 3" xfId="2983" xr:uid="{AC35EDD1-51D8-4B70-B938-DC888B5486CC}"/>
    <cellStyle name="Comma 677 3 2" xfId="8216" xr:uid="{A67438BA-9F80-438D-8EC7-8EC5AD803047}"/>
    <cellStyle name="Comma 677 4" xfId="5109" xr:uid="{CA8CD2B4-7E96-407B-AE82-24DBB8372719}"/>
    <cellStyle name="Comma 677 4 2" xfId="10285" xr:uid="{5951B954-4E68-41F6-BC1D-BBD53A79F313}"/>
    <cellStyle name="Comma 677 5" xfId="6157" xr:uid="{65732E32-0F5F-4FF3-B718-F842D23558CE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3" xfId="7189" xr:uid="{1A3507B0-F44C-435A-A033-C36FAE260A0A}"/>
    <cellStyle name="Comma 678 3" xfId="2984" xr:uid="{F10CDB0C-1DC9-4ED0-87C4-965C8FA8E6C0}"/>
    <cellStyle name="Comma 678 3 2" xfId="8217" xr:uid="{A46991AA-45EB-49F1-9EE6-271E007EBC1F}"/>
    <cellStyle name="Comma 678 4" xfId="5110" xr:uid="{30FAB751-07BB-47B7-96B3-22148A0C6B5B}"/>
    <cellStyle name="Comma 678 4 2" xfId="10286" xr:uid="{B8708E2A-B2A2-49C5-B691-668858E30328}"/>
    <cellStyle name="Comma 678 5" xfId="6158" xr:uid="{4EC02FF1-D232-41C0-A66B-586B3515732E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3" xfId="7190" xr:uid="{BAAB26F3-F016-4AED-B969-E60762D3E7A7}"/>
    <cellStyle name="Comma 679 3" xfId="2985" xr:uid="{5625E9C2-AFE0-43D3-9F3B-5B080CBE8252}"/>
    <cellStyle name="Comma 679 3 2" xfId="8218" xr:uid="{E77F9C82-494A-47FD-B15A-727AFF23038E}"/>
    <cellStyle name="Comma 679 4" xfId="5111" xr:uid="{77AFF78E-F249-46D1-910B-388F14FE134E}"/>
    <cellStyle name="Comma 679 4 2" xfId="10287" xr:uid="{8B8A7428-5721-4C4F-A07F-DC645889E295}"/>
    <cellStyle name="Comma 679 5" xfId="6159" xr:uid="{8549FCC8-C921-4FDA-AD42-610C624FEBBF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3" xfId="6579" xr:uid="{563FE19E-C569-4061-89FC-5433E2610714}"/>
    <cellStyle name="Comma 68 3" xfId="2374" xr:uid="{971C01F5-B90B-4E65-8F48-42EE8816BC90}"/>
    <cellStyle name="Comma 68 3 2" xfId="7607" xr:uid="{1AE79ED5-A428-4D2A-960F-35296B2A2116}"/>
    <cellStyle name="Comma 68 4" xfId="4500" xr:uid="{171C9278-53AE-4B96-B270-32D38C3BC417}"/>
    <cellStyle name="Comma 68 4 2" xfId="9676" xr:uid="{13E36DAD-2016-4438-A01B-99EAACD24BBD}"/>
    <cellStyle name="Comma 68 5" xfId="5548" xr:uid="{8F0820C9-6276-4123-B800-AFC92F1D08E0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3" xfId="7191" xr:uid="{B834B3A4-583F-40CE-9F10-722BC3443303}"/>
    <cellStyle name="Comma 680 3" xfId="2986" xr:uid="{27E31142-5CC5-477D-9D2B-1C3BDA3E9519}"/>
    <cellStyle name="Comma 680 3 2" xfId="8219" xr:uid="{F1C8132E-0C60-479F-BB82-942F4335B4D5}"/>
    <cellStyle name="Comma 680 4" xfId="5112" xr:uid="{5D44CBDA-616F-4941-92C3-31A98544EB30}"/>
    <cellStyle name="Comma 680 4 2" xfId="10288" xr:uid="{E184AC56-AADB-49BB-98C0-C5AB27245A53}"/>
    <cellStyle name="Comma 680 5" xfId="6160" xr:uid="{73B9A29E-3D1C-4193-A5F0-298A2D273FB5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3" xfId="7192" xr:uid="{6177DA1F-4E39-4CCB-977F-A32039D8E4FA}"/>
    <cellStyle name="Comma 681 3" xfId="2987" xr:uid="{EF4F76BB-30E7-497D-9BFB-10A93B791B61}"/>
    <cellStyle name="Comma 681 3 2" xfId="8220" xr:uid="{97BEF276-4813-49D5-8DA0-4918611C8891}"/>
    <cellStyle name="Comma 681 4" xfId="5113" xr:uid="{8D950263-E959-411B-9A2C-C56EA82A8261}"/>
    <cellStyle name="Comma 681 4 2" xfId="10289" xr:uid="{4BA38BC3-5AAA-459A-B63F-E29674145EBF}"/>
    <cellStyle name="Comma 681 5" xfId="6161" xr:uid="{B20ADCFB-0B48-4FE4-B7B3-3439284A44ED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3" xfId="7193" xr:uid="{6C1C3896-C6D2-49DE-945B-0B99354BB4A0}"/>
    <cellStyle name="Comma 682 3" xfId="2988" xr:uid="{C7A1DFAA-7841-4A16-9664-BCF5E69BEDEF}"/>
    <cellStyle name="Comma 682 3 2" xfId="8221" xr:uid="{3C94163E-0364-43B4-9E3E-36482002D9DE}"/>
    <cellStyle name="Comma 682 4" xfId="5114" xr:uid="{40A5193D-C72F-472C-B0E9-61218FC962B1}"/>
    <cellStyle name="Comma 682 4 2" xfId="10290" xr:uid="{A68F6B5A-0361-4C85-85BE-B16329AF3863}"/>
    <cellStyle name="Comma 682 5" xfId="6162" xr:uid="{11A67AF3-C0CA-4365-999A-218B2A96FDAF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3" xfId="7194" xr:uid="{410ECD3E-9A76-4859-BE6E-A476EC6099BE}"/>
    <cellStyle name="Comma 683 3" xfId="2989" xr:uid="{DBE4FC8C-847D-4765-BB01-0E2EEE49E1CE}"/>
    <cellStyle name="Comma 683 3 2" xfId="8222" xr:uid="{3DD4123E-31FC-4CB3-871E-E81688F8298D}"/>
    <cellStyle name="Comma 683 4" xfId="5115" xr:uid="{8F4FE3D3-3B7C-4E17-966E-634CB3C39349}"/>
    <cellStyle name="Comma 683 4 2" xfId="10291" xr:uid="{F0BD1BEA-C73D-4393-9027-FEE0092CBF2D}"/>
    <cellStyle name="Comma 683 5" xfId="6163" xr:uid="{0D1A0430-8EA8-4B56-91DF-E1147A3F3CC3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3" xfId="7195" xr:uid="{8477F93A-FD3C-44D2-A222-F62DA63FD0A5}"/>
    <cellStyle name="Comma 684 3" xfId="2990" xr:uid="{1466DA1D-736E-4A7F-AB06-C02C321E62ED}"/>
    <cellStyle name="Comma 684 3 2" xfId="8223" xr:uid="{FA3BD611-8C46-416E-9CC0-120A4E6A6132}"/>
    <cellStyle name="Comma 684 4" xfId="5116" xr:uid="{EDB1656F-8BFE-41A4-A337-9F936D7DA83D}"/>
    <cellStyle name="Comma 684 4 2" xfId="10292" xr:uid="{AF80F064-3F01-451B-BF9F-97A1A5349E3D}"/>
    <cellStyle name="Comma 684 5" xfId="6164" xr:uid="{9A99C003-2928-469E-A8A7-08BD988B61AF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3" xfId="7196" xr:uid="{131B824A-5821-4C7E-9813-C824116A6808}"/>
    <cellStyle name="Comma 685 3" xfId="2991" xr:uid="{9B05590D-6060-4F5A-B93D-0AF765BFB7B0}"/>
    <cellStyle name="Comma 685 3 2" xfId="8224" xr:uid="{A84942BC-A945-407F-B04F-175F95083BBF}"/>
    <cellStyle name="Comma 685 4" xfId="5117" xr:uid="{74EF7492-FD76-4C13-98A4-137164358154}"/>
    <cellStyle name="Comma 685 4 2" xfId="10293" xr:uid="{AB2C1D59-231B-43D8-B203-D174CBE8E45E}"/>
    <cellStyle name="Comma 685 5" xfId="6165" xr:uid="{82BBFE6F-3114-4948-B8B5-12BB351C3767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3" xfId="7197" xr:uid="{C59F39B8-4F14-4C73-ABC4-F9D2D2AA95DA}"/>
    <cellStyle name="Comma 686 3" xfId="2992" xr:uid="{941BDB13-8985-41AD-9D6A-C36AF7CEF217}"/>
    <cellStyle name="Comma 686 3 2" xfId="8225" xr:uid="{BB03AFB0-88B9-4777-8C92-5545EE2988D3}"/>
    <cellStyle name="Comma 686 4" xfId="5118" xr:uid="{D346DB34-27F3-4816-865B-2FE941322751}"/>
    <cellStyle name="Comma 686 4 2" xfId="10294" xr:uid="{DAF766CE-1C92-4918-8FEA-33D655780389}"/>
    <cellStyle name="Comma 686 5" xfId="6166" xr:uid="{714B6103-F6C6-4486-B997-EA61F8DCE37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3" xfId="7198" xr:uid="{09AAFD37-257D-487E-AE6B-5EF8C9A6A6BA}"/>
    <cellStyle name="Comma 687 3" xfId="2993" xr:uid="{36A7C16B-45B4-4ECF-86D0-363DE9F0E3FD}"/>
    <cellStyle name="Comma 687 3 2" xfId="8226" xr:uid="{65E206D0-E350-4FD2-A885-6A5A3A27D4ED}"/>
    <cellStyle name="Comma 687 4" xfId="5119" xr:uid="{3BB82DDF-4927-4029-9CF2-44363DB22462}"/>
    <cellStyle name="Comma 687 4 2" xfId="10295" xr:uid="{398CCC71-55D1-4B0E-B531-4C3A79F4C2AC}"/>
    <cellStyle name="Comma 687 5" xfId="6167" xr:uid="{803ADC87-2B23-4283-8F67-5992BE9FCDF8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3" xfId="7199" xr:uid="{0376B738-DE0D-490B-861E-92E788971682}"/>
    <cellStyle name="Comma 688 3" xfId="2994" xr:uid="{9C96BD81-AF12-465D-A57C-439BE3103288}"/>
    <cellStyle name="Comma 688 3 2" xfId="8227" xr:uid="{BFDB2295-EF50-49F4-9B3C-0A1A4F05FDB7}"/>
    <cellStyle name="Comma 688 4" xfId="5120" xr:uid="{8F1D12D4-BD50-4388-B4D8-4DB34000BDA4}"/>
    <cellStyle name="Comma 688 4 2" xfId="10296" xr:uid="{7205D6BB-2D9E-49B8-ABF5-FCAFFDC550A2}"/>
    <cellStyle name="Comma 688 5" xfId="6168" xr:uid="{BCE41D46-D7BF-4501-A0EB-0F8E2E57C47D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3" xfId="7200" xr:uid="{2EA164B4-3CCD-4886-A6E6-0A3376936D92}"/>
    <cellStyle name="Comma 689 3" xfId="2995" xr:uid="{7F6980AA-F9B9-49E4-A792-45FDC9E54561}"/>
    <cellStyle name="Comma 689 3 2" xfId="8228" xr:uid="{828FC2BB-120A-48F2-9CF9-9E55CC4E8962}"/>
    <cellStyle name="Comma 689 4" xfId="5121" xr:uid="{30C57320-DA9C-43F4-A15A-D76B7D7DF81A}"/>
    <cellStyle name="Comma 689 4 2" xfId="10297" xr:uid="{BEFCB15E-463E-4930-BC9C-5AD39E2D15A5}"/>
    <cellStyle name="Comma 689 5" xfId="6169" xr:uid="{541A4B45-2765-425D-8392-6286F863E3E1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3" xfId="6580" xr:uid="{BF5C9ED7-36D8-43E9-8053-2C59E13BA119}"/>
    <cellStyle name="Comma 69 3" xfId="2375" xr:uid="{38633AF1-CFB7-478A-AC3C-C1ACB0A5CD28}"/>
    <cellStyle name="Comma 69 3 2" xfId="7608" xr:uid="{5FC4FC51-A2AA-4434-9699-475EFF70D363}"/>
    <cellStyle name="Comma 69 4" xfId="4501" xr:uid="{B9A0C4A0-5585-46A2-8CB4-25324C2A9925}"/>
    <cellStyle name="Comma 69 4 2" xfId="9677" xr:uid="{0645B258-63A4-459C-92DC-344B99BD9E6C}"/>
    <cellStyle name="Comma 69 5" xfId="5549" xr:uid="{BF7D634E-F194-4D31-926E-EEFC7221A229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3" xfId="7201" xr:uid="{DDA1C47B-43AC-4C25-826B-E58D3D09CD97}"/>
    <cellStyle name="Comma 690 3" xfId="2996" xr:uid="{CF2ECF31-3A89-45C6-A8D3-36F88013E204}"/>
    <cellStyle name="Comma 690 3 2" xfId="8229" xr:uid="{53EC8340-4FCC-4F05-95A9-1D45EFC25CA7}"/>
    <cellStyle name="Comma 690 4" xfId="5122" xr:uid="{E780BFE6-8766-41AD-A481-7331EB105281}"/>
    <cellStyle name="Comma 690 4 2" xfId="10298" xr:uid="{A2C4BCFC-6A34-4227-BBA0-D8EB772F94AB}"/>
    <cellStyle name="Comma 690 5" xfId="6170" xr:uid="{C59CC009-35BE-4EE6-A226-84F54748F212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3" xfId="7202" xr:uid="{2BC438F6-297C-4566-92DF-90F16180FB0A}"/>
    <cellStyle name="Comma 691 3" xfId="2997" xr:uid="{D4DB4CE3-03FE-4A44-8256-2F252D530EC0}"/>
    <cellStyle name="Comma 691 3 2" xfId="8230" xr:uid="{7C1B1B55-7D87-42EA-87EC-2688D7E4A36E}"/>
    <cellStyle name="Comma 691 4" xfId="5123" xr:uid="{F79C7D59-2502-4E60-8DAA-70D52AC5CD1B}"/>
    <cellStyle name="Comma 691 4 2" xfId="10299" xr:uid="{027EF63B-513A-4ADD-BF61-83BACCB144E4}"/>
    <cellStyle name="Comma 691 5" xfId="6171" xr:uid="{DD77BE6D-B0A3-4FE2-9824-93DC9D78AE32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3" xfId="7203" xr:uid="{D880F987-8964-42AB-B292-275AB1B626D8}"/>
    <cellStyle name="Comma 692 3" xfId="2998" xr:uid="{50A57F21-4EA2-467C-9754-E5D5FC7780D4}"/>
    <cellStyle name="Comma 692 3 2" xfId="8231" xr:uid="{5B83EF94-6C51-42AF-A16B-A5B6D82BCDAA}"/>
    <cellStyle name="Comma 692 4" xfId="5124" xr:uid="{985B0CD0-6076-4DC6-9220-C130F3F62A99}"/>
    <cellStyle name="Comma 692 4 2" xfId="10300" xr:uid="{478A9666-9263-41AB-9044-5371F037F402}"/>
    <cellStyle name="Comma 692 5" xfId="6172" xr:uid="{CE028F26-2B8F-4D21-B479-7785B0A2AFF4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3" xfId="7204" xr:uid="{3FE74C8B-0020-4407-86DC-3C8622366773}"/>
    <cellStyle name="Comma 693 3" xfId="2999" xr:uid="{D7CED08B-751A-47F9-B373-31DC63CDE07A}"/>
    <cellStyle name="Comma 693 3 2" xfId="8232" xr:uid="{5179D191-8782-4293-8583-888D4760BD57}"/>
    <cellStyle name="Comma 693 4" xfId="5125" xr:uid="{917E4129-A060-4871-A891-C5055D4443E3}"/>
    <cellStyle name="Comma 693 4 2" xfId="10301" xr:uid="{AA6059EA-73BD-4A63-AD5E-055F5D3AEC9D}"/>
    <cellStyle name="Comma 693 5" xfId="6173" xr:uid="{2947B3CB-9E79-4A16-A5BA-7DAB8B9E9FAE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3" xfId="7205" xr:uid="{F54C2226-AD3A-4843-B8FF-1389BE1F0A67}"/>
    <cellStyle name="Comma 694 3" xfId="3000" xr:uid="{B95C948C-6E40-4D78-858F-FA684C630AB4}"/>
    <cellStyle name="Comma 694 3 2" xfId="8233" xr:uid="{13F22BA8-41BE-496E-8145-77C30C0D671A}"/>
    <cellStyle name="Comma 694 4" xfId="5126" xr:uid="{CCAE0941-217A-44E3-A7E9-9685ADA32414}"/>
    <cellStyle name="Comma 694 4 2" xfId="10302" xr:uid="{751E82C7-26DC-455B-9074-63E8FBF403D1}"/>
    <cellStyle name="Comma 694 5" xfId="6174" xr:uid="{A74BC24B-CB0A-417B-9F23-9B666E4BDA1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3" xfId="7206" xr:uid="{2BEFB85A-9378-4627-8FA2-612A24F51965}"/>
    <cellStyle name="Comma 695 3" xfId="3001" xr:uid="{18A6E9A1-3055-4E02-8255-6F81EA59C9BC}"/>
    <cellStyle name="Comma 695 3 2" xfId="8234" xr:uid="{3AF64A82-9C53-4ED9-A8E0-801F81720F7C}"/>
    <cellStyle name="Comma 695 4" xfId="5127" xr:uid="{BCAEEF94-FA15-4855-A814-1D2D806F6AC3}"/>
    <cellStyle name="Comma 695 4 2" xfId="10303" xr:uid="{C3D79DB4-66D1-4068-B228-3932E6B53DED}"/>
    <cellStyle name="Comma 695 5" xfId="6175" xr:uid="{2CD3D985-D6A1-4B32-A044-BC6C9E49D766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3" xfId="7207" xr:uid="{35FA6453-1495-4603-8B2C-3A534BA28DD4}"/>
    <cellStyle name="Comma 696 3" xfId="3002" xr:uid="{CA56E1CA-A5E1-4576-9F91-7D161050C5C2}"/>
    <cellStyle name="Comma 696 3 2" xfId="8235" xr:uid="{85B82E63-0206-422D-9A4A-2751D0B7F2BF}"/>
    <cellStyle name="Comma 696 4" xfId="5128" xr:uid="{EC9E730A-C888-4B47-BC40-22C07CD3EFE4}"/>
    <cellStyle name="Comma 696 4 2" xfId="10304" xr:uid="{91CAD18E-734F-4453-8109-68BF7450E105}"/>
    <cellStyle name="Comma 696 5" xfId="6176" xr:uid="{504B48DA-6377-4929-92FD-1E9C2A2E5F86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3" xfId="7208" xr:uid="{10A22E49-B5CF-4FE0-AFF1-4EFB889610E3}"/>
    <cellStyle name="Comma 697 3" xfId="3003" xr:uid="{C353349F-7A4C-4401-8F0C-F582CC4836ED}"/>
    <cellStyle name="Comma 697 3 2" xfId="8236" xr:uid="{7C826E5B-4A9C-4C77-853D-860E91D9F486}"/>
    <cellStyle name="Comma 697 4" xfId="5129" xr:uid="{F8E0E45D-BFB4-47DB-B682-9D124CB2EC6E}"/>
    <cellStyle name="Comma 697 4 2" xfId="10305" xr:uid="{7C98FE5D-D92C-4DED-BF12-4E6D143909DD}"/>
    <cellStyle name="Comma 697 5" xfId="6177" xr:uid="{9DB3ABF7-3E20-4E2B-A40E-1EE932E62248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3" xfId="7209" xr:uid="{0841EE38-64D5-478B-A2EA-1E693D3DBEF6}"/>
    <cellStyle name="Comma 698 3" xfId="3004" xr:uid="{DC714DF7-5CAB-49F5-AFBE-B9663596DA97}"/>
    <cellStyle name="Comma 698 3 2" xfId="8237" xr:uid="{DE19C22D-3955-46F7-9629-FF90FA9F3BA5}"/>
    <cellStyle name="Comma 698 4" xfId="5130" xr:uid="{B84BE620-EAB3-4A96-878C-F09EFCFD6CC3}"/>
    <cellStyle name="Comma 698 4 2" xfId="10306" xr:uid="{C499EB26-719C-4941-ABD1-E95D8FDB20B8}"/>
    <cellStyle name="Comma 698 5" xfId="6178" xr:uid="{2B6FB3CD-6E1A-45BC-8B57-4B12A053275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3" xfId="7210" xr:uid="{792F11AE-EFB7-4235-ABEF-DFD808FA6E46}"/>
    <cellStyle name="Comma 699 3" xfId="3005" xr:uid="{7DFC9F1E-3E85-4B77-91F4-5154EE654F9B}"/>
    <cellStyle name="Comma 699 3 2" xfId="8238" xr:uid="{A7554176-B114-4ACC-9E09-F9C0A7A59631}"/>
    <cellStyle name="Comma 699 4" xfId="5131" xr:uid="{4600B89B-6EBB-4FCC-8851-73538F199277}"/>
    <cellStyle name="Comma 699 4 2" xfId="10307" xr:uid="{5CF86AF5-0760-4D4A-A28F-DDC815AB34FB}"/>
    <cellStyle name="Comma 699 5" xfId="6179" xr:uid="{91D2BDE8-9B38-49DE-80F9-B7E4E7FA219A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3" xfId="6518" xr:uid="{DB21C06B-0F49-45C6-B370-63692E2479FD}"/>
    <cellStyle name="Comma 7 3" xfId="2313" xr:uid="{214E1004-D708-4878-BD19-6B567C627B58}"/>
    <cellStyle name="Comma 7 3 2" xfId="7546" xr:uid="{B8A3B735-BC34-4720-AD98-CAA01667B2F9}"/>
    <cellStyle name="Comma 7 4" xfId="4439" xr:uid="{B05C57A9-F849-4297-A887-E4ADCE670733}"/>
    <cellStyle name="Comma 7 4 2" xfId="9615" xr:uid="{007C0905-DDFD-4D2A-B66A-7B428FA06A7A}"/>
    <cellStyle name="Comma 7 5" xfId="5487" xr:uid="{1B509E5A-7BC0-4AE4-A35A-0CC47E6BB2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3" xfId="6581" xr:uid="{F4419C06-5B39-4868-B7FB-AC26D59219E2}"/>
    <cellStyle name="Comma 70 3" xfId="2376" xr:uid="{3BD28FAF-BDDB-4585-9004-A2108BB41D12}"/>
    <cellStyle name="Comma 70 3 2" xfId="7609" xr:uid="{4E01661A-A698-4EAF-AAD2-AE060DC37665}"/>
    <cellStyle name="Comma 70 4" xfId="4502" xr:uid="{F995A58C-C3B4-4F26-8F32-CD75AFE1A5B0}"/>
    <cellStyle name="Comma 70 4 2" xfId="9678" xr:uid="{049573C9-7D35-478B-AA11-4D12C7AF755B}"/>
    <cellStyle name="Comma 70 5" xfId="5550" xr:uid="{4F857E98-831B-43C8-BADA-4C6AE9BE96C2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3" xfId="7211" xr:uid="{F749628B-9EDC-43EC-AF70-5DB3ACA7580C}"/>
    <cellStyle name="Comma 700 3" xfId="3006" xr:uid="{F43B876C-C6C6-490B-AA2B-D8471862E58C}"/>
    <cellStyle name="Comma 700 3 2" xfId="8239" xr:uid="{C09A49A5-99C2-4BED-9297-33D3579D490F}"/>
    <cellStyle name="Comma 700 4" xfId="5132" xr:uid="{78339758-0990-4CFE-872C-9F6F1F1F9D19}"/>
    <cellStyle name="Comma 700 4 2" xfId="10308" xr:uid="{63C36873-A61D-4D53-ADB5-4CFD8F14DE80}"/>
    <cellStyle name="Comma 700 5" xfId="6180" xr:uid="{755216E0-2890-43CB-8B20-3571512286D8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3" xfId="7212" xr:uid="{F0DF21B2-B661-4D11-9F0C-D767FE555A14}"/>
    <cellStyle name="Comma 701 3" xfId="3007" xr:uid="{F45E35C2-7FBE-4021-8BA3-8FE9F1839754}"/>
    <cellStyle name="Comma 701 3 2" xfId="8240" xr:uid="{721FC785-4C7A-4680-8281-5AE33D285F23}"/>
    <cellStyle name="Comma 701 4" xfId="5133" xr:uid="{E05B777A-1301-4608-91B4-076CEA8C4D38}"/>
    <cellStyle name="Comma 701 4 2" xfId="10309" xr:uid="{087539FF-7BAE-469F-A43A-B5F8DB126144}"/>
    <cellStyle name="Comma 701 5" xfId="6181" xr:uid="{AD17C131-A75A-47BC-A4D3-E94A9E9F516A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3" xfId="7213" xr:uid="{80E81EC1-85DD-4EAB-BB5E-EA19EF810758}"/>
    <cellStyle name="Comma 702 3" xfId="3008" xr:uid="{E92FE557-087D-4B2B-88B2-DC59B810D37C}"/>
    <cellStyle name="Comma 702 3 2" xfId="8241" xr:uid="{2FCD13D9-04B5-4F13-B64D-EB5FAA60E451}"/>
    <cellStyle name="Comma 702 4" xfId="5134" xr:uid="{43E0A7A4-5E3D-42C3-93C2-3DF1E152B968}"/>
    <cellStyle name="Comma 702 4 2" xfId="10310" xr:uid="{108D9232-01BA-4D6B-8176-5493CACC046A}"/>
    <cellStyle name="Comma 702 5" xfId="6182" xr:uid="{96BA265A-1081-4CBB-BC83-3780167CE582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3" xfId="7214" xr:uid="{C2CC9E01-EC6B-4B47-A339-F8CD9A4FFAB9}"/>
    <cellStyle name="Comma 703 3" xfId="3009" xr:uid="{54DC67C0-BE02-4C7C-8734-F91D5298DF32}"/>
    <cellStyle name="Comma 703 3 2" xfId="8242" xr:uid="{AB2447F5-ED3C-4A35-BE86-3B348884DFC8}"/>
    <cellStyle name="Comma 703 4" xfId="5135" xr:uid="{48CD34E9-2C6E-4674-B01E-773FD56EC71D}"/>
    <cellStyle name="Comma 703 4 2" xfId="10311" xr:uid="{AA25B469-3CC6-452E-B55F-904E10180034}"/>
    <cellStyle name="Comma 703 5" xfId="6183" xr:uid="{8C56C322-A3B3-4A4F-9B2F-B946675C2BC7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3" xfId="7215" xr:uid="{0C32624D-99F1-44D5-AB29-8714FEAA962C}"/>
    <cellStyle name="Comma 704 3" xfId="3010" xr:uid="{57A97C52-EC53-4DA9-8AD1-60A2A1253F8E}"/>
    <cellStyle name="Comma 704 3 2" xfId="8243" xr:uid="{8EAA0123-F941-4309-B8C4-FF60BDEC0E85}"/>
    <cellStyle name="Comma 704 4" xfId="5136" xr:uid="{6EF160C8-7D20-4CE0-869D-397092709F6B}"/>
    <cellStyle name="Comma 704 4 2" xfId="10312" xr:uid="{5BBA24B0-50D0-4FF5-A49F-7A777342F21D}"/>
    <cellStyle name="Comma 704 5" xfId="6184" xr:uid="{B7015F65-B369-4D92-89DF-27DD41C562A7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3" xfId="7216" xr:uid="{FF99B24F-A01B-4709-8B96-B04F14B44DB9}"/>
    <cellStyle name="Comma 705 3" xfId="3011" xr:uid="{9F682AF3-0029-4ED8-8EF6-8F1C652DDAB3}"/>
    <cellStyle name="Comma 705 3 2" xfId="8244" xr:uid="{AC34A525-E1F9-42E1-BEBA-7BB78B5339B0}"/>
    <cellStyle name="Comma 705 4" xfId="5137" xr:uid="{36269533-E21D-4914-9021-902CBEAB8225}"/>
    <cellStyle name="Comma 705 4 2" xfId="10313" xr:uid="{3E64E8E8-F4F2-4C1A-B817-A6B5EFBF925E}"/>
    <cellStyle name="Comma 705 5" xfId="6185" xr:uid="{CB275161-8D83-44C7-885F-41A62EE26E90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3" xfId="7217" xr:uid="{B0F6F7B7-671A-428E-84A1-324A1DB4BEA6}"/>
    <cellStyle name="Comma 706 3" xfId="3012" xr:uid="{4F89C8A9-C26A-45A3-A132-8FF6C8CC0477}"/>
    <cellStyle name="Comma 706 3 2" xfId="8245" xr:uid="{10FD6E59-1C24-4BC6-A52A-99303077DE4E}"/>
    <cellStyle name="Comma 706 4" xfId="5138" xr:uid="{5C31C812-7DA9-4AA4-8ED8-C85EFF16FAD4}"/>
    <cellStyle name="Comma 706 4 2" xfId="10314" xr:uid="{7E540A98-6FE3-43E3-8DD8-2C97A22A9EE8}"/>
    <cellStyle name="Comma 706 5" xfId="6186" xr:uid="{58B1F7E1-BFF2-46E6-949A-153E64CC5C40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3" xfId="7218" xr:uid="{7BB5498C-B40D-4FCC-8898-885C52532893}"/>
    <cellStyle name="Comma 707 3" xfId="3013" xr:uid="{B09BF79C-D682-4DF7-8D5A-F9D51A752240}"/>
    <cellStyle name="Comma 707 3 2" xfId="8246" xr:uid="{8F710CF4-7455-42A9-9ECE-8C5ED3B37224}"/>
    <cellStyle name="Comma 707 4" xfId="5139" xr:uid="{9C3C4FD0-068E-4A9C-B407-963B2CB76799}"/>
    <cellStyle name="Comma 707 4 2" xfId="10315" xr:uid="{B761C663-946B-4BB7-A4F6-A44BC71DBE0B}"/>
    <cellStyle name="Comma 707 5" xfId="6187" xr:uid="{4BCA4304-C83A-4CB4-8E1E-F56B9DD99608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3" xfId="7219" xr:uid="{B5914814-857C-4FB8-8DBF-B3FCC63F0187}"/>
    <cellStyle name="Comma 708 3" xfId="3014" xr:uid="{3C7F2A93-C7A6-406D-B6DF-3E3C6E75AFB3}"/>
    <cellStyle name="Comma 708 3 2" xfId="8247" xr:uid="{41B4EE88-E473-410F-BF5E-F72C61B4F35D}"/>
    <cellStyle name="Comma 708 4" xfId="5140" xr:uid="{CCFB0C1A-7D9D-45CB-9A9F-7353FA537918}"/>
    <cellStyle name="Comma 708 4 2" xfId="10316" xr:uid="{3A98F5A1-A4CD-40ED-BBA7-9A10C36074A8}"/>
    <cellStyle name="Comma 708 5" xfId="6188" xr:uid="{E88976B7-1387-4AD9-91AB-8DDAD9D81F37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3" xfId="7220" xr:uid="{20338FC6-08D3-45AE-9105-AE5E76E1C2D9}"/>
    <cellStyle name="Comma 709 3" xfId="3015" xr:uid="{5D0DB713-C562-452F-BCA9-28A9853961D1}"/>
    <cellStyle name="Comma 709 3 2" xfId="8248" xr:uid="{598EBC66-19B1-4D7F-90DA-3AF82B20F18F}"/>
    <cellStyle name="Comma 709 4" xfId="5141" xr:uid="{EE7F7AEC-3A6E-4E62-B2BA-099918A5A896}"/>
    <cellStyle name="Comma 709 4 2" xfId="10317" xr:uid="{BE13D78B-48D5-4E47-B4ED-BAEBD91857BE}"/>
    <cellStyle name="Comma 709 5" xfId="6189" xr:uid="{690C4978-5424-40CD-98BA-8BE67C87B281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3" xfId="6582" xr:uid="{76EACF12-5C9D-46AE-9FF4-15BBEBA928AC}"/>
    <cellStyle name="Comma 71 3" xfId="2377" xr:uid="{1F42F6AF-5FA9-41C6-A03D-81622B4C2FE5}"/>
    <cellStyle name="Comma 71 3 2" xfId="7610" xr:uid="{3F48D2F0-37DB-4D02-A328-04F346C9460B}"/>
    <cellStyle name="Comma 71 4" xfId="4503" xr:uid="{1A3840D7-6B1E-4675-807A-722286281001}"/>
    <cellStyle name="Comma 71 4 2" xfId="9679" xr:uid="{F4517060-F279-420F-83F4-304A7162935C}"/>
    <cellStyle name="Comma 71 5" xfId="5551" xr:uid="{5C191930-979C-477D-BE8A-C9CEE467E1E2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3" xfId="7221" xr:uid="{C5E3B9F7-09CE-4E0B-BD58-C5BE062CC45C}"/>
    <cellStyle name="Comma 710 3" xfId="3016" xr:uid="{7EA371C3-0A7F-4849-AFFA-5061DF78D9E0}"/>
    <cellStyle name="Comma 710 3 2" xfId="8249" xr:uid="{94191580-2516-4A3D-919D-7E43ABA79B50}"/>
    <cellStyle name="Comma 710 4" xfId="5142" xr:uid="{725C95B2-9E2E-4C45-874F-2CC63FE5C0BD}"/>
    <cellStyle name="Comma 710 4 2" xfId="10318" xr:uid="{D6F762BA-0195-4585-B614-87C3EDA23E3A}"/>
    <cellStyle name="Comma 710 5" xfId="6190" xr:uid="{14F7752C-825D-43D0-83D3-ADBFF0C403D8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3" xfId="7222" xr:uid="{68C28824-1DEF-4093-AE28-A07701673C4C}"/>
    <cellStyle name="Comma 711 3" xfId="3017" xr:uid="{933DA493-331B-4BE2-8022-46D1A11AE5A9}"/>
    <cellStyle name="Comma 711 3 2" xfId="8250" xr:uid="{F7DB5DE7-F28C-41A9-8D0C-80F182E9687E}"/>
    <cellStyle name="Comma 711 4" xfId="5143" xr:uid="{0774E5BB-4876-44B8-9173-C27CC35AC82B}"/>
    <cellStyle name="Comma 711 4 2" xfId="10319" xr:uid="{A1A74413-7040-47F7-B6FC-06A0C5CEBD46}"/>
    <cellStyle name="Comma 711 5" xfId="6191" xr:uid="{7F64AC02-D786-4CF3-8CAA-11A5B101305D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3" xfId="7223" xr:uid="{F97D9FD7-BC40-4394-96FB-561A7F6CE328}"/>
    <cellStyle name="Comma 712 3" xfId="3018" xr:uid="{3235AC4F-F70E-47E3-A182-A1F7A76A5AFE}"/>
    <cellStyle name="Comma 712 3 2" xfId="8251" xr:uid="{B6525F34-3EB2-44DE-8095-F4AD9B89EA99}"/>
    <cellStyle name="Comma 712 4" xfId="5144" xr:uid="{842F9F2B-DFD9-439D-B78E-C6C82D0906A4}"/>
    <cellStyle name="Comma 712 4 2" xfId="10320" xr:uid="{4AFBFB12-861C-41D6-8FB8-DACC5DEE3DE9}"/>
    <cellStyle name="Comma 712 5" xfId="6192" xr:uid="{0432BD17-C6CE-4E8F-8AFC-6724E1BC702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3" xfId="7224" xr:uid="{EEBFE5B9-8452-436E-B2FA-A78B8E28BDA6}"/>
    <cellStyle name="Comma 713 3" xfId="3019" xr:uid="{205418D8-B1FB-49C0-849B-874971911BD7}"/>
    <cellStyle name="Comma 713 3 2" xfId="8252" xr:uid="{D0F7A55E-EF8C-4D6C-A8A0-D518D645D39F}"/>
    <cellStyle name="Comma 713 4" xfId="5145" xr:uid="{CCB230E0-014F-426E-91DB-67E7B6E6C95F}"/>
    <cellStyle name="Comma 713 4 2" xfId="10321" xr:uid="{0FDD5933-FA73-44F8-BE95-235BC5CAA516}"/>
    <cellStyle name="Comma 713 5" xfId="6193" xr:uid="{F0C26BA7-802C-4C21-8142-2696896FBDA8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3" xfId="7225" xr:uid="{34CCCF8B-1199-488E-89C4-EF89B1FFF70F}"/>
    <cellStyle name="Comma 714 3" xfId="3020" xr:uid="{97EE3278-CD1F-496F-8340-9C21C6FDEAE8}"/>
    <cellStyle name="Comma 714 3 2" xfId="8253" xr:uid="{290ABB33-C7C2-4AE8-8668-B3DE32210DE0}"/>
    <cellStyle name="Comma 714 4" xfId="5146" xr:uid="{BAE1B7AD-E8DC-427F-839C-4CF813F1E5F6}"/>
    <cellStyle name="Comma 714 4 2" xfId="10322" xr:uid="{6B0217C3-F48C-42BC-B3A4-92E158B71CDA}"/>
    <cellStyle name="Comma 714 5" xfId="6194" xr:uid="{DA4CEE70-802A-49B7-B823-9E1DE503CDF8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3" xfId="7226" xr:uid="{A79AFF8C-20DE-4E0D-8006-41006A78773B}"/>
    <cellStyle name="Comma 715 3" xfId="3021" xr:uid="{35F6FE80-869E-4668-B2BE-C9E42F139783}"/>
    <cellStyle name="Comma 715 3 2" xfId="8254" xr:uid="{8A50509C-30E5-47FE-855A-EDB8C7AD2222}"/>
    <cellStyle name="Comma 715 4" xfId="5147" xr:uid="{EB2EFB11-D8D8-419D-A00C-1C5D7AC0F221}"/>
    <cellStyle name="Comma 715 4 2" xfId="10323" xr:uid="{7FEFA330-7627-403C-8BAE-5533A19698C6}"/>
    <cellStyle name="Comma 715 5" xfId="6195" xr:uid="{986CAABC-8470-4D69-9D9A-0F3D2B610367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3" xfId="7227" xr:uid="{B70F8EAC-9901-40D6-AC95-52BF4B7B6FDA}"/>
    <cellStyle name="Comma 716 3" xfId="3022" xr:uid="{FC21408A-BC56-49C7-80CD-1D22CDACA475}"/>
    <cellStyle name="Comma 716 3 2" xfId="8255" xr:uid="{6283F722-AEF9-4A49-A524-B7B791FC2C14}"/>
    <cellStyle name="Comma 716 4" xfId="5148" xr:uid="{F4FA7DBC-0EB0-4FDD-B4F6-B17D74F3ACC4}"/>
    <cellStyle name="Comma 716 4 2" xfId="10324" xr:uid="{96E9D3EA-C606-416D-A8E0-D20C7BCEF17C}"/>
    <cellStyle name="Comma 716 5" xfId="6196" xr:uid="{151066E8-F477-4BB1-A95F-5E60FF0B7F4B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3" xfId="7228" xr:uid="{21DFE728-3B22-4E42-8E92-6BE9DED82602}"/>
    <cellStyle name="Comma 717 3" xfId="3023" xr:uid="{2BF55785-D0E1-4ECB-92B4-0DE9F4E59119}"/>
    <cellStyle name="Comma 717 3 2" xfId="8256" xr:uid="{F6FD60A4-2F18-406B-84AD-D716DFF9F605}"/>
    <cellStyle name="Comma 717 4" xfId="5149" xr:uid="{388ACF9E-A509-437D-9359-D633B0BB1255}"/>
    <cellStyle name="Comma 717 4 2" xfId="10325" xr:uid="{811B7E33-F24C-4EB7-8A94-2004705ECE64}"/>
    <cellStyle name="Comma 717 5" xfId="6197" xr:uid="{7841A703-A283-4E5A-84AE-EE9FD6078EC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3" xfId="7229" xr:uid="{E42DDEB4-D2E0-4240-87EF-04481974DC5A}"/>
    <cellStyle name="Comma 718 3" xfId="3024" xr:uid="{5939EE62-7B92-4EAD-8B0D-43FD046D506E}"/>
    <cellStyle name="Comma 718 3 2" xfId="8257" xr:uid="{A9CC00F3-D68C-47EB-B486-22F901B9236F}"/>
    <cellStyle name="Comma 718 4" xfId="5150" xr:uid="{D465289A-B011-49BD-BB86-90BA631AEE5B}"/>
    <cellStyle name="Comma 718 4 2" xfId="10326" xr:uid="{BD26BBF5-93C3-4DC9-A2C7-A66E25DDEC97}"/>
    <cellStyle name="Comma 718 5" xfId="6198" xr:uid="{D17478D9-98BD-48C2-8504-30541FA64B68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3" xfId="7230" xr:uid="{4BD7A345-8B45-415C-B9A9-7D6F63C8CD83}"/>
    <cellStyle name="Comma 719 3" xfId="3025" xr:uid="{0D5FB967-CB29-4550-9B34-44891A422B16}"/>
    <cellStyle name="Comma 719 3 2" xfId="8258" xr:uid="{A25B27C1-9561-42EB-BFDD-AB746D0A9A6B}"/>
    <cellStyle name="Comma 719 4" xfId="5151" xr:uid="{EB5A1959-F704-4941-AAD2-81C67F6E781A}"/>
    <cellStyle name="Comma 719 4 2" xfId="10327" xr:uid="{51A7EB40-9309-4DCF-A530-6512D33E3E1C}"/>
    <cellStyle name="Comma 719 5" xfId="6199" xr:uid="{8A6843FA-D1A5-4C31-8FE9-C0B7FB9B890B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3" xfId="6583" xr:uid="{BE22A101-CF1A-4E87-AE86-9A8A1070D640}"/>
    <cellStyle name="Comma 72 3" xfId="2378" xr:uid="{C3AEFADD-9186-4B36-A34D-67A1DF677C49}"/>
    <cellStyle name="Comma 72 3 2" xfId="7611" xr:uid="{AED1757A-4152-4BBC-92B0-ED3DDE83CA5E}"/>
    <cellStyle name="Comma 72 4" xfId="4504" xr:uid="{30C1BAA3-FFBC-4359-BEA6-6D1DDF3A4AF7}"/>
    <cellStyle name="Comma 72 4 2" xfId="9680" xr:uid="{89A2E93E-10CD-4BF9-966A-C71CBD400E76}"/>
    <cellStyle name="Comma 72 5" xfId="5552" xr:uid="{3D3E2A28-5AEB-44BD-BC8D-245C34A1C081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3" xfId="7231" xr:uid="{07875303-780F-49E8-87C3-5BFCFDCB6973}"/>
    <cellStyle name="Comma 720 3" xfId="3026" xr:uid="{B812833D-0B2C-4337-97A1-18D872FCC88D}"/>
    <cellStyle name="Comma 720 3 2" xfId="8259" xr:uid="{2E1C7DBB-700E-4122-9A84-035683307E90}"/>
    <cellStyle name="Comma 720 4" xfId="5152" xr:uid="{A5634179-D257-4D7E-B3AE-1421273B00C7}"/>
    <cellStyle name="Comma 720 4 2" xfId="10328" xr:uid="{3F800729-0625-4542-91F1-8CBCAE0E3C51}"/>
    <cellStyle name="Comma 720 5" xfId="6200" xr:uid="{3D1ECC1F-7C2E-4579-B300-01ACFDAC5419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3" xfId="7232" xr:uid="{11ED3071-AFD8-49EE-AB3B-011889664619}"/>
    <cellStyle name="Comma 721 3" xfId="3027" xr:uid="{2D08885C-6E62-4184-9F79-56CF0DE3E527}"/>
    <cellStyle name="Comma 721 3 2" xfId="8260" xr:uid="{4CF9810B-F420-41A5-B279-A8C741EB047C}"/>
    <cellStyle name="Comma 721 4" xfId="5153" xr:uid="{73318EB9-76F0-4998-B9DF-FF369121C65F}"/>
    <cellStyle name="Comma 721 4 2" xfId="10329" xr:uid="{ACF38E44-C535-4517-9A4F-7BF566123342}"/>
    <cellStyle name="Comma 721 5" xfId="6201" xr:uid="{5C6F3466-51F2-4398-81DE-8E8312D5B489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3" xfId="7233" xr:uid="{0CCF1C43-0CE8-4DF1-A812-49EB27E21CF1}"/>
    <cellStyle name="Comma 722 3" xfId="3028" xr:uid="{6B1F1348-457F-4F73-90B5-40861652095C}"/>
    <cellStyle name="Comma 722 3 2" xfId="8261" xr:uid="{292F04C1-C7A7-4845-8778-CABC1027879C}"/>
    <cellStyle name="Comma 722 4" xfId="5154" xr:uid="{99E5FF81-8551-4FF6-B123-4E4435ADA87B}"/>
    <cellStyle name="Comma 722 4 2" xfId="10330" xr:uid="{7176800B-0DD5-4E02-BCBC-98CB64024F28}"/>
    <cellStyle name="Comma 722 5" xfId="6202" xr:uid="{F6F69B4C-E8D7-47DB-9709-6D502BA02D8F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3" xfId="7234" xr:uid="{B8232197-0A1A-47E0-B18C-F6412B4F5F6A}"/>
    <cellStyle name="Comma 723 3" xfId="3029" xr:uid="{EA42E66D-6577-47A8-90CE-D9BB4F394224}"/>
    <cellStyle name="Comma 723 3 2" xfId="8262" xr:uid="{6E8E2CB9-3FBA-4FC0-8E49-4D2627C26C53}"/>
    <cellStyle name="Comma 723 4" xfId="5155" xr:uid="{60ED752A-BCDB-488F-A66E-FD4FC9E626E2}"/>
    <cellStyle name="Comma 723 4 2" xfId="10331" xr:uid="{1E83E95A-069C-4C20-ACFC-7077DDE2735F}"/>
    <cellStyle name="Comma 723 5" xfId="6203" xr:uid="{CFAB1859-F700-4729-8C71-527BA7947C7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3" xfId="7235" xr:uid="{7011AFE7-04BC-4574-B121-9C2D1E280C36}"/>
    <cellStyle name="Comma 724 3" xfId="3030" xr:uid="{B1DEEB61-AF6E-4C0C-BB41-41BD414DC414}"/>
    <cellStyle name="Comma 724 3 2" xfId="8263" xr:uid="{3BDB96E0-D82D-4C09-9FF1-2FE31A078A87}"/>
    <cellStyle name="Comma 724 4" xfId="5156" xr:uid="{1BFA549B-C58E-46FF-B9AD-8E13D0866287}"/>
    <cellStyle name="Comma 724 4 2" xfId="10332" xr:uid="{DAF09D38-410A-4D94-B262-3E75E2E80E4E}"/>
    <cellStyle name="Comma 724 5" xfId="6204" xr:uid="{3A8D976C-E7CD-413E-8D79-EFFE1F04AC31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3" xfId="7236" xr:uid="{764EF9B7-BE15-457E-BBE8-89B2B7E061F6}"/>
    <cellStyle name="Comma 725 3" xfId="3031" xr:uid="{D119134E-EB76-40CB-ACBD-C4592B4242E4}"/>
    <cellStyle name="Comma 725 3 2" xfId="8264" xr:uid="{03778BAD-B009-4812-8EA4-E015378B4C0C}"/>
    <cellStyle name="Comma 725 4" xfId="5157" xr:uid="{768026A4-A55C-4E01-A6F9-0CFF9347C4AE}"/>
    <cellStyle name="Comma 725 4 2" xfId="10333" xr:uid="{98609B24-C01E-4BB9-8F03-D76C8A4FFD07}"/>
    <cellStyle name="Comma 725 5" xfId="6205" xr:uid="{628BA7BE-94DF-4ABB-8673-DC1DB186C1E0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3" xfId="7237" xr:uid="{36589422-765E-4D37-90DC-7CC482DF83CD}"/>
    <cellStyle name="Comma 726 3" xfId="3032" xr:uid="{968C9E7B-F31C-4683-843F-D59EFF04F40F}"/>
    <cellStyle name="Comma 726 3 2" xfId="8265" xr:uid="{370E4F7D-3F95-40D1-A5B8-13D554EAAF61}"/>
    <cellStyle name="Comma 726 4" xfId="5158" xr:uid="{3C7DD440-A3C8-4058-9DBE-6FFA15D6B8AB}"/>
    <cellStyle name="Comma 726 4 2" xfId="10334" xr:uid="{7B1E8FFF-60DA-40A0-B57C-CBEE78CC58A3}"/>
    <cellStyle name="Comma 726 5" xfId="6206" xr:uid="{B9666C51-1439-41D2-A171-238F46254EF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3" xfId="7238" xr:uid="{52EF5B84-4BE5-4B17-B30E-8C0DE6F2D7C2}"/>
    <cellStyle name="Comma 727 3" xfId="3033" xr:uid="{9C618607-A254-4F72-A9BB-96C6912B20A0}"/>
    <cellStyle name="Comma 727 3 2" xfId="8266" xr:uid="{F3B00B18-5650-4413-BDD6-4D71DEE31B55}"/>
    <cellStyle name="Comma 727 4" xfId="5159" xr:uid="{7327EED8-0706-4AA1-95EB-5D6A74AC9F17}"/>
    <cellStyle name="Comma 727 4 2" xfId="10335" xr:uid="{82474D2B-20B5-4E29-9E9C-835862EDF765}"/>
    <cellStyle name="Comma 727 5" xfId="6207" xr:uid="{DE087AE4-78B6-4459-A083-6F4C8EF7FFB2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3" xfId="7239" xr:uid="{21CB42CB-C57D-4C1E-8C9A-7BC33B887A01}"/>
    <cellStyle name="Comma 728 3" xfId="3034" xr:uid="{53EEDCC5-8D0D-4032-B9FB-FAF8B44B7659}"/>
    <cellStyle name="Comma 728 3 2" xfId="8267" xr:uid="{F9483537-3A40-4314-95E7-C2BA538582CA}"/>
    <cellStyle name="Comma 728 4" xfId="5160" xr:uid="{AFAD0073-D87F-48E5-BB41-D990946B0F11}"/>
    <cellStyle name="Comma 728 4 2" xfId="10336" xr:uid="{F7A31AFB-839E-469F-8AE3-034788EA65D2}"/>
    <cellStyle name="Comma 728 5" xfId="6208" xr:uid="{817A776E-5297-41ED-A2EE-746E32E8C962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3" xfId="7240" xr:uid="{DE2FA12F-ED20-40C8-BEA2-D0331B2CBA3F}"/>
    <cellStyle name="Comma 729 3" xfId="3035" xr:uid="{9CBA50A5-D9C4-4572-B423-03325205853E}"/>
    <cellStyle name="Comma 729 3 2" xfId="8268" xr:uid="{DBB3258D-BD16-4D16-930F-FFC3CF55CF4C}"/>
    <cellStyle name="Comma 729 4" xfId="5161" xr:uid="{15B4381C-B5B8-4BE4-9B6B-573BAA1B73D0}"/>
    <cellStyle name="Comma 729 4 2" xfId="10337" xr:uid="{CFFD0CA0-3F22-4BD0-B1B3-4561711A34B8}"/>
    <cellStyle name="Comma 729 5" xfId="6209" xr:uid="{2CB4A5A2-037F-4364-9147-FF05A23FD7A2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3" xfId="6584" xr:uid="{B02A2B93-84C8-4193-BE26-5EDFAACF6D25}"/>
    <cellStyle name="Comma 73 3" xfId="2379" xr:uid="{796EA116-E4BE-4CC4-9A3B-15D4F3E280B4}"/>
    <cellStyle name="Comma 73 3 2" xfId="7612" xr:uid="{FB918851-CE38-4D19-BAED-9108705EBFD4}"/>
    <cellStyle name="Comma 73 4" xfId="4505" xr:uid="{0D8668B2-B9F7-4B3F-876E-61CCE4C049CC}"/>
    <cellStyle name="Comma 73 4 2" xfId="9681" xr:uid="{9EDBE6EF-ACA4-401F-9976-DEB5E016A92E}"/>
    <cellStyle name="Comma 73 5" xfId="5553" xr:uid="{9983725C-3DCA-4343-95D4-EDF0C3EC101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3" xfId="7241" xr:uid="{900622A2-500C-4230-8192-5AB6386BF266}"/>
    <cellStyle name="Comma 730 3" xfId="3036" xr:uid="{64F867D4-2511-4DCF-AA67-BBFA09740254}"/>
    <cellStyle name="Comma 730 3 2" xfId="8269" xr:uid="{CE69FCF3-6F9E-46F6-BC61-6716A79BBC09}"/>
    <cellStyle name="Comma 730 4" xfId="5162" xr:uid="{D4A56941-6003-4AE5-9EDA-2F4A74C4C921}"/>
    <cellStyle name="Comma 730 4 2" xfId="10338" xr:uid="{9C841BB4-D653-4033-A6E5-2E14E29FDFC6}"/>
    <cellStyle name="Comma 730 5" xfId="6210" xr:uid="{78111F35-455E-47D9-B43F-87B487B3BBC2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3" xfId="7242" xr:uid="{F391B772-2B51-47AC-B632-2CE44E03C2D5}"/>
    <cellStyle name="Comma 731 3" xfId="3037" xr:uid="{7E2A22D2-7720-42BB-A1C5-91C0D6D27425}"/>
    <cellStyle name="Comma 731 3 2" xfId="8270" xr:uid="{F91D796A-6DB6-4D84-8C72-8FF288AD28C2}"/>
    <cellStyle name="Comma 731 4" xfId="5163" xr:uid="{596F30E1-72EA-4A00-A4D0-236B5F96E58E}"/>
    <cellStyle name="Comma 731 4 2" xfId="10339" xr:uid="{ED495CE0-3EAD-45E3-9C4E-769C802FCAE5}"/>
    <cellStyle name="Comma 731 5" xfId="6211" xr:uid="{4DD414BF-F109-46AB-84ED-C10E8713A371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3" xfId="7243" xr:uid="{B7AE827C-B22E-4141-9C60-85BAAB029E7F}"/>
    <cellStyle name="Comma 732 3" xfId="3038" xr:uid="{B65503FA-14B3-4AC6-8F89-5C562063C33F}"/>
    <cellStyle name="Comma 732 3 2" xfId="8271" xr:uid="{915345E9-37E9-4301-91A2-FD0D1DF8FA5E}"/>
    <cellStyle name="Comma 732 4" xfId="5164" xr:uid="{8F9C2FD4-C8BE-4C02-AC48-9439FE833027}"/>
    <cellStyle name="Comma 732 4 2" xfId="10340" xr:uid="{81E7EF97-3448-447D-ABDF-5C0532119FB3}"/>
    <cellStyle name="Comma 732 5" xfId="6212" xr:uid="{6FA17628-CEE5-4DC9-8420-191847517511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3" xfId="7244" xr:uid="{8652C4C9-D8E0-4033-B893-87F474D68E9C}"/>
    <cellStyle name="Comma 733 3" xfId="3039" xr:uid="{D4E31D42-F766-4B93-961E-38A362CE600A}"/>
    <cellStyle name="Comma 733 3 2" xfId="8272" xr:uid="{B4F61466-E956-48D9-852C-D1DF8AFB74FC}"/>
    <cellStyle name="Comma 733 4" xfId="5165" xr:uid="{23529AC6-C2B0-4FE3-AFBC-80C45996F659}"/>
    <cellStyle name="Comma 733 4 2" xfId="10341" xr:uid="{3273BE4F-8F5A-427F-B2EB-305AF221E861}"/>
    <cellStyle name="Comma 733 5" xfId="6213" xr:uid="{C069CE65-8B3C-4DE4-976D-8C2C65629631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3" xfId="7245" xr:uid="{68CDD465-F4EB-4B4E-B64A-2F78EA196041}"/>
    <cellStyle name="Comma 734 3" xfId="3040" xr:uid="{342B00AB-845E-4644-8AE7-9F0A06651260}"/>
    <cellStyle name="Comma 734 3 2" xfId="8273" xr:uid="{7F408D16-5413-465A-B567-8140387C6E49}"/>
    <cellStyle name="Comma 734 4" xfId="5166" xr:uid="{1AA08908-E7D0-43B9-9EAE-EE15ABFEE4AD}"/>
    <cellStyle name="Comma 734 4 2" xfId="10342" xr:uid="{96A70C0C-24C3-4075-95A3-2CDB7E285115}"/>
    <cellStyle name="Comma 734 5" xfId="6214" xr:uid="{08CFF9FE-75A2-4A15-878B-12B77BE6C0AC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3" xfId="7246" xr:uid="{559A4063-FB34-4671-BA69-E790C3632158}"/>
    <cellStyle name="Comma 735 3" xfId="3041" xr:uid="{7AFA1D63-917F-4214-A01E-6D00C8349F4B}"/>
    <cellStyle name="Comma 735 3 2" xfId="8274" xr:uid="{3AC84362-3141-4F68-94B5-AAD647056B7A}"/>
    <cellStyle name="Comma 735 4" xfId="5167" xr:uid="{215D15D0-671A-445A-AC76-DBAEFAECADA5}"/>
    <cellStyle name="Comma 735 4 2" xfId="10343" xr:uid="{68708B02-3A0C-4B11-AD16-74B9D7BE13FC}"/>
    <cellStyle name="Comma 735 5" xfId="6215" xr:uid="{BBDC494E-8A82-4B3E-8E83-E3A8D8E348BD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3" xfId="7247" xr:uid="{62DFF702-9E23-4E95-93A8-7A388CBB25A3}"/>
    <cellStyle name="Comma 736 3" xfId="3042" xr:uid="{5AF25BA0-85B8-48C6-A30E-502DC969B392}"/>
    <cellStyle name="Comma 736 3 2" xfId="8275" xr:uid="{18A673D5-EF94-4492-979E-A25714E360BA}"/>
    <cellStyle name="Comma 736 4" xfId="5168" xr:uid="{72E29ED4-8AAA-445E-9E82-1C33F60C8692}"/>
    <cellStyle name="Comma 736 4 2" xfId="10344" xr:uid="{27DB65DD-92DE-4892-AB72-B78D965FD100}"/>
    <cellStyle name="Comma 736 5" xfId="6216" xr:uid="{445E1574-5A65-4AA4-B26E-831577A7E39A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3" xfId="7248" xr:uid="{3CE8EE9C-7FA9-486C-ACD7-2E7BBCDCC452}"/>
    <cellStyle name="Comma 737 3" xfId="3043" xr:uid="{07D184F6-E6B9-46AF-B8D1-913D29012EDE}"/>
    <cellStyle name="Comma 737 3 2" xfId="8276" xr:uid="{B640EAA9-0D5F-45A8-A73C-CFC9E957C6AC}"/>
    <cellStyle name="Comma 737 4" xfId="5169" xr:uid="{DA0F3A2C-9AA3-402E-A3D4-A80DD3C95D9F}"/>
    <cellStyle name="Comma 737 4 2" xfId="10345" xr:uid="{71A7033D-2803-42AA-B248-A5E302139DB4}"/>
    <cellStyle name="Comma 737 5" xfId="6217" xr:uid="{48767405-5E92-4370-95FB-F5E1BA63C78D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3" xfId="7249" xr:uid="{1D333F35-3B38-426D-B1ED-26E330E622BE}"/>
    <cellStyle name="Comma 738 3" xfId="3044" xr:uid="{ADEE654C-4242-4864-AB64-F4E533589A19}"/>
    <cellStyle name="Comma 738 3 2" xfId="8277" xr:uid="{1724CEE6-0A42-4F74-A2C0-105DCA39B161}"/>
    <cellStyle name="Comma 738 4" xfId="5170" xr:uid="{B606ABF3-4EDE-46D9-9DD1-514C7971DF53}"/>
    <cellStyle name="Comma 738 4 2" xfId="10346" xr:uid="{1A7A6DF5-DB5E-46CD-B117-45B7BB2F4449}"/>
    <cellStyle name="Comma 738 5" xfId="6218" xr:uid="{4E3BEB60-7828-46F7-8ECF-410E64984AD5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3" xfId="7250" xr:uid="{DAADC8F2-3F73-45D9-9858-81D983F7BD79}"/>
    <cellStyle name="Comma 739 3" xfId="3045" xr:uid="{68291E10-2155-4A39-B14E-F53C3F7D76A4}"/>
    <cellStyle name="Comma 739 3 2" xfId="8278" xr:uid="{9D9D42AB-02CF-4175-9037-EEC292889C6B}"/>
    <cellStyle name="Comma 739 4" xfId="5171" xr:uid="{FFAD1435-74B0-4333-BE1E-9B529A444C6F}"/>
    <cellStyle name="Comma 739 4 2" xfId="10347" xr:uid="{86E29422-9B84-4674-989E-38BA476C7FDE}"/>
    <cellStyle name="Comma 739 5" xfId="6219" xr:uid="{B7B45198-167F-455D-A0E0-261D46519E2B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3" xfId="6585" xr:uid="{1EFADEA7-355C-424B-94CB-978D58A2C2CD}"/>
    <cellStyle name="Comma 74 3" xfId="2380" xr:uid="{2DD77E5C-5700-4C38-BD94-100253B06E0F}"/>
    <cellStyle name="Comma 74 3 2" xfId="7613" xr:uid="{2471F7B9-ADF5-48D1-9512-FA11AD115FCE}"/>
    <cellStyle name="Comma 74 4" xfId="4506" xr:uid="{7B41CDC5-B81A-485D-9A9F-91FE787360A5}"/>
    <cellStyle name="Comma 74 4 2" xfId="9682" xr:uid="{83D63B37-1ED3-40DD-84C1-54DF28810F0A}"/>
    <cellStyle name="Comma 74 5" xfId="5554" xr:uid="{06D586EC-530A-439C-85D0-635B603BB6B1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3" xfId="7251" xr:uid="{01E461DE-C483-4FFF-BA95-3319F6E4E978}"/>
    <cellStyle name="Comma 740 3" xfId="3046" xr:uid="{59F434F8-0FBF-4B9C-ABDF-DBEC8FC03E1E}"/>
    <cellStyle name="Comma 740 3 2" xfId="8279" xr:uid="{9C480D46-626F-4B33-91C6-626CE1EB3F5C}"/>
    <cellStyle name="Comma 740 4" xfId="5172" xr:uid="{05CCD0FD-5859-4DA5-A0B6-5EF075A4476C}"/>
    <cellStyle name="Comma 740 4 2" xfId="10348" xr:uid="{2EFD9716-A852-4D86-A607-7D4AED6C5A8C}"/>
    <cellStyle name="Comma 740 5" xfId="6220" xr:uid="{D90B8F90-6DA3-4C55-8BCD-6175F657C1F8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3" xfId="7252" xr:uid="{7441C89E-942F-4017-903B-82EF145DFBDC}"/>
    <cellStyle name="Comma 741 3" xfId="3047" xr:uid="{65D0485E-3626-4576-843B-C0A02950795F}"/>
    <cellStyle name="Comma 741 3 2" xfId="8280" xr:uid="{36369B0A-CD19-4314-93F0-08E9289AFFC9}"/>
    <cellStyle name="Comma 741 4" xfId="5173" xr:uid="{BB0A730E-E3E5-45B9-BDEB-46773E904063}"/>
    <cellStyle name="Comma 741 4 2" xfId="10349" xr:uid="{88960F25-0216-42E3-82E0-A7A5986A5431}"/>
    <cellStyle name="Comma 741 5" xfId="6221" xr:uid="{00E19BFD-E695-4F88-BC8E-8AA7C4F13A0C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3" xfId="7253" xr:uid="{8F8DB3FA-4BFC-49F0-A4F5-EA9F91EECDC8}"/>
    <cellStyle name="Comma 742 3" xfId="3048" xr:uid="{F797EDF4-31A9-4436-BA30-04F686BB922F}"/>
    <cellStyle name="Comma 742 3 2" xfId="8281" xr:uid="{4779C6A2-81E9-4BFA-93B9-82C56EA0AFD3}"/>
    <cellStyle name="Comma 742 4" xfId="5174" xr:uid="{B03DA3B4-974D-4C50-A5A8-EC6E020ED986}"/>
    <cellStyle name="Comma 742 4 2" xfId="10350" xr:uid="{4AC5D099-065F-4887-AF15-9D850015B84D}"/>
    <cellStyle name="Comma 742 5" xfId="6222" xr:uid="{819A1F1F-AB0D-4279-9886-DF09723B70F8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3" xfId="7254" xr:uid="{247DF918-D85C-4C53-9B6B-DCD48C6AEB29}"/>
    <cellStyle name="Comma 743 3" xfId="3049" xr:uid="{46D6D5B2-40A9-4068-8DE3-6C911B89E483}"/>
    <cellStyle name="Comma 743 3 2" xfId="8282" xr:uid="{6672554E-2FCE-41B6-BFBD-8D0E0F3F5EC1}"/>
    <cellStyle name="Comma 743 4" xfId="5175" xr:uid="{0038FF65-34B4-4CB9-926A-9E2CC99A670F}"/>
    <cellStyle name="Comma 743 4 2" xfId="10351" xr:uid="{D5DD8AE4-BEA0-477C-B5CF-FE6E9F799F02}"/>
    <cellStyle name="Comma 743 5" xfId="6223" xr:uid="{58BC27A9-0D91-4D54-A6FF-429EF648D391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3" xfId="7255" xr:uid="{2BCFC7BC-CFC5-494A-A04F-6C2C54D555C4}"/>
    <cellStyle name="Comma 744 3" xfId="3050" xr:uid="{8FF084EC-1781-4AF5-92D9-43B9CD2BBB7C}"/>
    <cellStyle name="Comma 744 3 2" xfId="8283" xr:uid="{0C8B39C5-46D0-4FA4-AB32-BF75CCD5FFAD}"/>
    <cellStyle name="Comma 744 4" xfId="5176" xr:uid="{1C9ADC34-7736-4CC7-B794-1733B21BAD72}"/>
    <cellStyle name="Comma 744 4 2" xfId="10352" xr:uid="{FF6FAAB3-DB3C-46FB-8169-3BE378DC12C2}"/>
    <cellStyle name="Comma 744 5" xfId="6224" xr:uid="{53CA4CAA-941C-4E8A-AF9A-437581031614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3" xfId="7256" xr:uid="{DF27A45E-60C8-45C7-8493-B92682451A6C}"/>
    <cellStyle name="Comma 745 3" xfId="3051" xr:uid="{7964722A-ED48-4284-B0A4-39AA35DB5ED8}"/>
    <cellStyle name="Comma 745 3 2" xfId="8284" xr:uid="{1FD74307-F6C7-4588-B824-E90A404700C3}"/>
    <cellStyle name="Comma 745 4" xfId="5177" xr:uid="{084507D2-4FAF-4EEE-AF2C-27A8EBBEA0B7}"/>
    <cellStyle name="Comma 745 4 2" xfId="10353" xr:uid="{500AD9E7-2E95-4803-963B-AE2F31698C54}"/>
    <cellStyle name="Comma 745 5" xfId="6225" xr:uid="{94D9A8B2-B8C6-4BDD-A33F-8F3E0386B9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3" xfId="7257" xr:uid="{E9892813-3DC4-4322-803C-004216715944}"/>
    <cellStyle name="Comma 746 3" xfId="3052" xr:uid="{C64D7566-888B-43A5-9E68-0D6A13876B8D}"/>
    <cellStyle name="Comma 746 3 2" xfId="8285" xr:uid="{5EDA2139-8A74-41B7-B7FF-50796648F5CA}"/>
    <cellStyle name="Comma 746 4" xfId="5178" xr:uid="{F3A65856-18BB-476E-8A66-4D50EB3F6619}"/>
    <cellStyle name="Comma 746 4 2" xfId="10354" xr:uid="{E948B1A0-20DC-418A-864A-8E6462D6553E}"/>
    <cellStyle name="Comma 746 5" xfId="6226" xr:uid="{51903350-755C-481F-9BB7-3BDE0CA7B825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3" xfId="7258" xr:uid="{D71C4203-DB9E-49A4-B2BA-E881E67611F8}"/>
    <cellStyle name="Comma 747 3" xfId="3053" xr:uid="{42399D7F-E250-4BC6-AE1B-3E405E967F0C}"/>
    <cellStyle name="Comma 747 3 2" xfId="8286" xr:uid="{64854D1E-1EB4-460B-BB4A-EEAB19B63D15}"/>
    <cellStyle name="Comma 747 4" xfId="5179" xr:uid="{FB34FE62-4AD9-4D85-B60D-BAC3C5ED1F4A}"/>
    <cellStyle name="Comma 747 4 2" xfId="10355" xr:uid="{12BFC9C4-C877-4263-894D-3499034AB245}"/>
    <cellStyle name="Comma 747 5" xfId="6227" xr:uid="{C3D9040D-C13E-4D8F-9FDD-2B94C5722931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3" xfId="7259" xr:uid="{01ADFC19-00E7-4146-8AC1-9F01596C791B}"/>
    <cellStyle name="Comma 748 3" xfId="3054" xr:uid="{5E8DF34B-1184-4E53-BA04-362385B67ACA}"/>
    <cellStyle name="Comma 748 3 2" xfId="8287" xr:uid="{BA5D2941-EE82-4293-8BAE-A3C2DB6C7EA9}"/>
    <cellStyle name="Comma 748 4" xfId="5180" xr:uid="{D0AC4690-41F7-4244-811C-0B06C855DB08}"/>
    <cellStyle name="Comma 748 4 2" xfId="10356" xr:uid="{5ED5918A-6CEA-436C-92F8-A7AB812AAFEA}"/>
    <cellStyle name="Comma 748 5" xfId="6228" xr:uid="{9204FEE8-7AEC-4DA1-BE84-022D42209A3E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3" xfId="7260" xr:uid="{EBE74973-B8FA-4C4F-A54D-DD960E2BA8EF}"/>
    <cellStyle name="Comma 749 3" xfId="3055" xr:uid="{4EF94D64-BEFD-445D-8CFA-326139D828A4}"/>
    <cellStyle name="Comma 749 3 2" xfId="8288" xr:uid="{12216A86-847B-458D-909B-ACB424E6F2AA}"/>
    <cellStyle name="Comma 749 4" xfId="5181" xr:uid="{A6205009-B615-4097-8D54-993D8C847E44}"/>
    <cellStyle name="Comma 749 4 2" xfId="10357" xr:uid="{984BEF69-4BC0-4624-9F1C-34F298BACB62}"/>
    <cellStyle name="Comma 749 5" xfId="6229" xr:uid="{27884485-9B0F-49EE-BA8B-BCEA67C8E806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3" xfId="6586" xr:uid="{2D97206E-079C-4261-B32B-4E3AA3121AEF}"/>
    <cellStyle name="Comma 75 3" xfId="2381" xr:uid="{1A1A81F9-3674-4BE0-974B-72611C8CED69}"/>
    <cellStyle name="Comma 75 3 2" xfId="7614" xr:uid="{F9DCC6FF-C1CE-4064-BB89-11E333A83E1F}"/>
    <cellStyle name="Comma 75 4" xfId="4507" xr:uid="{E8605CE7-9FB7-49C4-BDB3-A46D057BBF7C}"/>
    <cellStyle name="Comma 75 4 2" xfId="9683" xr:uid="{7C874113-15BC-4D18-9C3C-0F9CCB67DE42}"/>
    <cellStyle name="Comma 75 5" xfId="5555" xr:uid="{9AFE69C9-F737-44AF-A776-D2D790BA44B7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3" xfId="7261" xr:uid="{9601086A-07BD-4BB4-A012-A841E5F1E8FF}"/>
    <cellStyle name="Comma 750 3" xfId="3056" xr:uid="{41013789-A5FF-4ADE-9066-60E0E3CDA5FC}"/>
    <cellStyle name="Comma 750 3 2" xfId="8289" xr:uid="{BD30300B-FC24-46A9-B759-78A43B69E5DB}"/>
    <cellStyle name="Comma 750 4" xfId="5182" xr:uid="{5C0FDCA6-5D3F-48A9-8862-C8A59B506CB7}"/>
    <cellStyle name="Comma 750 4 2" xfId="10358" xr:uid="{3D450CF3-237C-4929-BD29-6CF3F118E607}"/>
    <cellStyle name="Comma 750 5" xfId="6230" xr:uid="{FC28B0BA-A6F6-4825-B8DF-CC6C5D2A7E4F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3" xfId="7262" xr:uid="{625D1223-0335-4439-B729-1E0254F2BF4C}"/>
    <cellStyle name="Comma 751 3" xfId="3057" xr:uid="{B8911A7D-FC51-40B8-B0FD-B45F3F781B55}"/>
    <cellStyle name="Comma 751 3 2" xfId="8290" xr:uid="{B93E8187-A76F-4821-A985-3C6297A7531F}"/>
    <cellStyle name="Comma 751 4" xfId="5183" xr:uid="{DE6882E5-ED54-49E6-923E-74FA3E20BC81}"/>
    <cellStyle name="Comma 751 4 2" xfId="10359" xr:uid="{80D7CB15-231A-49A0-826E-1E9AAD8B14C1}"/>
    <cellStyle name="Comma 751 5" xfId="6231" xr:uid="{281F4F2F-C5CD-4CCC-ADB6-42B1F9E7CCCE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3" xfId="7263" xr:uid="{2DF7E583-B852-47BA-8B0E-D5AECFB1884B}"/>
    <cellStyle name="Comma 752 3" xfId="3058" xr:uid="{D5D7EFC0-49AF-4563-A69B-71A67DB05696}"/>
    <cellStyle name="Comma 752 3 2" xfId="8291" xr:uid="{5A45F9F8-1A4A-49F3-AE45-A1278872E0F3}"/>
    <cellStyle name="Comma 752 4" xfId="5184" xr:uid="{AF6A14C6-C8C9-40EF-BE4D-CDF536CA99F3}"/>
    <cellStyle name="Comma 752 4 2" xfId="10360" xr:uid="{A030A157-2630-43ED-8C12-01FC04E13E53}"/>
    <cellStyle name="Comma 752 5" xfId="6232" xr:uid="{FE597641-D017-48FA-A484-1BDA55DEF83D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3" xfId="7264" xr:uid="{7522CA72-67E6-4361-9917-C317AEB074FF}"/>
    <cellStyle name="Comma 753 3" xfId="3059" xr:uid="{A7351CBC-8F0C-4060-AE28-D4D3AF1FF2BE}"/>
    <cellStyle name="Comma 753 3 2" xfId="8292" xr:uid="{620E2D8A-C6BF-45E3-A7E0-EF37279300A1}"/>
    <cellStyle name="Comma 753 4" xfId="5185" xr:uid="{904F9A23-1B07-48BA-B457-0E27DCB305F3}"/>
    <cellStyle name="Comma 753 4 2" xfId="10361" xr:uid="{0FF652F3-83AD-4579-AF99-6032575AEABE}"/>
    <cellStyle name="Comma 753 5" xfId="6233" xr:uid="{4F4F9C6F-DF68-46ED-B6EC-BA0034492BE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3" xfId="7265" xr:uid="{DF65762D-B1C4-4CF4-99F7-3079A31BB5BF}"/>
    <cellStyle name="Comma 754 3" xfId="3060" xr:uid="{46432A26-0C81-4BCE-9AEB-F36A7F6F09A6}"/>
    <cellStyle name="Comma 754 3 2" xfId="8293" xr:uid="{F5EA4A17-B660-4EBB-B784-709182DA123B}"/>
    <cellStyle name="Comma 754 4" xfId="5186" xr:uid="{BD1DB889-1583-4F45-A4B4-76D7FF5F07D3}"/>
    <cellStyle name="Comma 754 4 2" xfId="10362" xr:uid="{A22F52AC-1092-4212-88F5-C6DAE8EF8C14}"/>
    <cellStyle name="Comma 754 5" xfId="6234" xr:uid="{6BB02D41-A2D7-4D88-A686-842AC3519F38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3" xfId="7266" xr:uid="{3F60C9B9-AF38-4082-8A7C-4F9A6D9B413F}"/>
    <cellStyle name="Comma 755 3" xfId="3061" xr:uid="{6833C0FB-48DE-4D65-877D-9062BA22FC78}"/>
    <cellStyle name="Comma 755 3 2" xfId="8294" xr:uid="{4D069F9A-43CD-46F3-8EC5-987B37EE6F66}"/>
    <cellStyle name="Comma 755 4" xfId="5187" xr:uid="{BA09E638-E9C0-4B91-B677-52C0B32D6578}"/>
    <cellStyle name="Comma 755 4 2" xfId="10363" xr:uid="{E0D79EBA-9726-430B-B262-DF14DC093304}"/>
    <cellStyle name="Comma 755 5" xfId="6235" xr:uid="{D9DC7467-C43F-43D3-89CA-564D7BC41192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3" xfId="7267" xr:uid="{34457D8A-E771-448F-AA44-F83C2DFAB5F2}"/>
    <cellStyle name="Comma 756 3" xfId="3062" xr:uid="{7B74CE19-9D7C-4451-A9D7-51AC63E6236B}"/>
    <cellStyle name="Comma 756 3 2" xfId="8295" xr:uid="{B7D212E9-73DA-4ABD-A4A8-C7BD2674C75D}"/>
    <cellStyle name="Comma 756 4" xfId="5188" xr:uid="{D2795248-CEE8-4F26-A365-5F7B2AD9BB0B}"/>
    <cellStyle name="Comma 756 4 2" xfId="10364" xr:uid="{0E652A65-A426-42E3-A1E1-7FE519CC8529}"/>
    <cellStyle name="Comma 756 5" xfId="6236" xr:uid="{6774CC9A-A5F3-46BF-9DED-0CEA40922C83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3" xfId="7268" xr:uid="{5718F12E-4AD9-4559-B5C7-E03246F42DC4}"/>
    <cellStyle name="Comma 757 3" xfId="3063" xr:uid="{F796E91A-6417-41B0-B4C0-01AA5332D777}"/>
    <cellStyle name="Comma 757 3 2" xfId="8296" xr:uid="{2F60076A-FF98-45F4-9E51-CE30C41F9B59}"/>
    <cellStyle name="Comma 757 4" xfId="5189" xr:uid="{D1CB296A-003E-4DA5-B98A-2AE2FD8AAB68}"/>
    <cellStyle name="Comma 757 4 2" xfId="10365" xr:uid="{2AEC5B7E-8DE2-440A-9326-B46A7DCE4B64}"/>
    <cellStyle name="Comma 757 5" xfId="6237" xr:uid="{EF354863-6BA5-4AF7-B29B-3131F9643BDF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3" xfId="7269" xr:uid="{6A8FC3FE-55E5-4474-BE9E-C424757887DF}"/>
    <cellStyle name="Comma 758 3" xfId="3064" xr:uid="{1153CD1D-83BA-4B27-820B-3F84717FD46F}"/>
    <cellStyle name="Comma 758 3 2" xfId="8297" xr:uid="{122B8DFD-984E-4E1A-A25B-0A9F941EEC64}"/>
    <cellStyle name="Comma 758 4" xfId="5190" xr:uid="{900984A8-51E7-41BA-B757-216D5BEC9B1D}"/>
    <cellStyle name="Comma 758 4 2" xfId="10366" xr:uid="{2360E3C1-9F4F-4ACE-B78D-BAC083B93FE4}"/>
    <cellStyle name="Comma 758 5" xfId="6238" xr:uid="{6D737BA7-3D4B-488B-931A-E85554117AD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3" xfId="7270" xr:uid="{211176B5-57CC-4648-B4CC-3EA29218668E}"/>
    <cellStyle name="Comma 759 3" xfId="3065" xr:uid="{A96CC902-EC4A-4FF5-BB06-BE5F46F2B9B8}"/>
    <cellStyle name="Comma 759 3 2" xfId="8298" xr:uid="{B1F8179F-E781-42DB-B2B0-358456FB20A5}"/>
    <cellStyle name="Comma 759 4" xfId="5191" xr:uid="{F84D424E-485B-4BFF-97BD-2388E1A8DDB6}"/>
    <cellStyle name="Comma 759 4 2" xfId="10367" xr:uid="{676FBC15-9A77-4A13-AAE0-354914EAADCD}"/>
    <cellStyle name="Comma 759 5" xfId="6239" xr:uid="{4FFAB3F5-C61F-4630-ACFF-318E2FAB61AD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3" xfId="6587" xr:uid="{EF1E55C2-7077-4D0F-A82C-91634A1C9E9B}"/>
    <cellStyle name="Comma 76 3" xfId="2382" xr:uid="{4E2E0F32-B8DE-415D-A8AC-C3777B3A046C}"/>
    <cellStyle name="Comma 76 3 2" xfId="7615" xr:uid="{741545D7-197B-4220-BA4B-0489EDB8E018}"/>
    <cellStyle name="Comma 76 4" xfId="4508" xr:uid="{32900EAF-8BDC-42FC-AB7E-9DFDB9266434}"/>
    <cellStyle name="Comma 76 4 2" xfId="9684" xr:uid="{B232B371-5EFB-4938-82BD-4374C248A996}"/>
    <cellStyle name="Comma 76 5" xfId="5556" xr:uid="{39EFC217-E6B2-45E2-B3DB-218EA96E693D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3" xfId="7271" xr:uid="{6BAB3106-1DA6-41D5-AC93-2A9655A9F349}"/>
    <cellStyle name="Comma 760 3" xfId="3066" xr:uid="{5B3CD299-5C4A-4E61-A160-F8166F0509A4}"/>
    <cellStyle name="Comma 760 3 2" xfId="8299" xr:uid="{3488297C-3519-4E50-97D4-E52A33961C05}"/>
    <cellStyle name="Comma 760 4" xfId="5192" xr:uid="{C88E970A-D710-4551-A828-829EB3E8C520}"/>
    <cellStyle name="Comma 760 4 2" xfId="10368" xr:uid="{B2544386-30E2-4E13-B15A-D5B9EDABA441}"/>
    <cellStyle name="Comma 760 5" xfId="6240" xr:uid="{620B5E6A-72BE-4D93-8FF5-77B4BE4511A3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3" xfId="7272" xr:uid="{A15CF788-8E0A-4E0A-9428-201C9F8F8D22}"/>
    <cellStyle name="Comma 761 3" xfId="3067" xr:uid="{6E347450-B660-42F7-A42E-6E10C02E67BA}"/>
    <cellStyle name="Comma 761 3 2" xfId="8300" xr:uid="{ADE9B552-167A-499C-9004-18C621C7D74D}"/>
    <cellStyle name="Comma 761 4" xfId="5193" xr:uid="{D309DBE0-9BA5-4259-AF2D-E8BDC95F6789}"/>
    <cellStyle name="Comma 761 4 2" xfId="10369" xr:uid="{6B74DBEF-64CD-4FA0-B109-78A364AAEDF8}"/>
    <cellStyle name="Comma 761 5" xfId="6241" xr:uid="{2DAAC17F-9262-40EE-9DFA-53452CB7716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3" xfId="7273" xr:uid="{F03BB1B2-AA1E-4BCF-BA0E-73FF91B4AFB3}"/>
    <cellStyle name="Comma 762 3" xfId="3068" xr:uid="{E23BD4C8-F529-41F3-A5F5-5BFACA908935}"/>
    <cellStyle name="Comma 762 3 2" xfId="8301" xr:uid="{097AE928-9C91-4F6B-8AE2-D576689A7EB1}"/>
    <cellStyle name="Comma 762 4" xfId="5194" xr:uid="{1164DC48-9C05-4030-9827-E85FB1F5AB27}"/>
    <cellStyle name="Comma 762 4 2" xfId="10370" xr:uid="{91182A8E-A91C-4A4E-A8BD-7C830FBC5D48}"/>
    <cellStyle name="Comma 762 5" xfId="6242" xr:uid="{FFE57382-8BB2-4ECF-94C4-DE38D3E29D39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3" xfId="7274" xr:uid="{20AB403A-DFEF-43C2-87CE-5399B8AB6987}"/>
    <cellStyle name="Comma 763 3" xfId="3069" xr:uid="{817A4858-A10D-4A7C-8A72-F48DE1F0A98D}"/>
    <cellStyle name="Comma 763 3 2" xfId="8302" xr:uid="{5EDA38A7-05FD-4B83-AB65-B25ADE1D4DD3}"/>
    <cellStyle name="Comma 763 4" xfId="5195" xr:uid="{DD77B5F1-6734-4BF1-8BB2-0166839A326C}"/>
    <cellStyle name="Comma 763 4 2" xfId="10371" xr:uid="{BE8344E7-625B-4292-8BBF-97F031D779E2}"/>
    <cellStyle name="Comma 763 5" xfId="6243" xr:uid="{9E2B4EAB-9424-4ABD-9974-2940C1A2ECF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3" xfId="7275" xr:uid="{80C0A4EB-4CE6-4E28-88E5-E43F93698074}"/>
    <cellStyle name="Comma 764 3" xfId="3070" xr:uid="{255375D3-BFC7-43D7-8A03-0FF15602E10A}"/>
    <cellStyle name="Comma 764 3 2" xfId="8303" xr:uid="{0D7BCB72-EB03-4A02-9DCC-84DD388D2AA2}"/>
    <cellStyle name="Comma 764 4" xfId="5196" xr:uid="{38FF5CC6-9AF3-49C2-9E0C-875C5F46D4D9}"/>
    <cellStyle name="Comma 764 4 2" xfId="10372" xr:uid="{2C835B81-F53B-4441-8D8B-32EA9CAE3F6A}"/>
    <cellStyle name="Comma 764 5" xfId="6244" xr:uid="{4942DEB6-B81E-4858-AF6D-797F007EB23F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3" xfId="7276" xr:uid="{2C6379D6-4993-4172-9606-458400C1D545}"/>
    <cellStyle name="Comma 765 3" xfId="3071" xr:uid="{51D3D6E8-C7B6-4A96-B195-F1BBD0258108}"/>
    <cellStyle name="Comma 765 3 2" xfId="8304" xr:uid="{A722957C-284A-4E02-AB35-04A47658DC9C}"/>
    <cellStyle name="Comma 765 4" xfId="5197" xr:uid="{D54B9D77-4AA1-45E2-AAD5-7D117D143AAD}"/>
    <cellStyle name="Comma 765 4 2" xfId="10373" xr:uid="{F5D5B92E-888C-40BE-AEE9-AE8D3633670F}"/>
    <cellStyle name="Comma 765 5" xfId="6245" xr:uid="{070236F0-AFDD-43B5-9D82-35FD4AC1ADF7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3" xfId="7277" xr:uid="{CEDB5D7F-F618-47D7-AB6D-B2F5BDFFA9D8}"/>
    <cellStyle name="Comma 766 3" xfId="3072" xr:uid="{FF0FE157-FF82-46D6-91BE-7E6B69CB9D74}"/>
    <cellStyle name="Comma 766 3 2" xfId="8305" xr:uid="{D8375956-3325-421A-B4D9-812BFAA6DC03}"/>
    <cellStyle name="Comma 766 4" xfId="5198" xr:uid="{4E18B723-3D6F-4A81-BEB2-BBE04C691EFE}"/>
    <cellStyle name="Comma 766 4 2" xfId="10374" xr:uid="{BCDE3A09-6A46-4E7F-AD5D-79E0C959E461}"/>
    <cellStyle name="Comma 766 5" xfId="6246" xr:uid="{4CDD83A7-D659-4ECD-AFD5-12B49057D08C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3" xfId="7278" xr:uid="{BDBC7DC4-207E-414D-8D32-44CD46569F88}"/>
    <cellStyle name="Comma 767 3" xfId="3073" xr:uid="{180346F9-D783-43DF-B10C-7C424B345EDB}"/>
    <cellStyle name="Comma 767 3 2" xfId="8306" xr:uid="{E7CBA544-1498-416D-9ABD-F4E465CC3E43}"/>
    <cellStyle name="Comma 767 4" xfId="5199" xr:uid="{803F97B4-096A-45A0-91F0-C20C1A81D676}"/>
    <cellStyle name="Comma 767 4 2" xfId="10375" xr:uid="{83DA03A6-B717-4275-8A7F-F51439BF460D}"/>
    <cellStyle name="Comma 767 5" xfId="6247" xr:uid="{63DCE7B4-C9FF-424A-ABD9-C10B995A9D8E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3" xfId="7279" xr:uid="{9A2BF00D-51DE-4996-8C42-412AD43EC3AD}"/>
    <cellStyle name="Comma 768 3" xfId="3074" xr:uid="{015B4414-170F-4DD2-B3B6-7E4A6937E233}"/>
    <cellStyle name="Comma 768 3 2" xfId="8307" xr:uid="{C0358461-6F13-402A-AF4E-69242553469B}"/>
    <cellStyle name="Comma 768 4" xfId="5200" xr:uid="{E0BF3BCA-CDF0-415C-92DE-BBD36B355BB1}"/>
    <cellStyle name="Comma 768 4 2" xfId="10376" xr:uid="{CE086157-C782-4242-87C4-900BA6C43882}"/>
    <cellStyle name="Comma 768 5" xfId="6248" xr:uid="{E6C415BC-5F80-415B-A1DA-F82C4A37245B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3" xfId="7280" xr:uid="{BC908AD8-5E73-41A0-A031-F48D869F7147}"/>
    <cellStyle name="Comma 769 3" xfId="3075" xr:uid="{B233FBD3-FBCD-4806-B1A9-CCCAB5E4748C}"/>
    <cellStyle name="Comma 769 3 2" xfId="8308" xr:uid="{C064EC6C-0A07-4E91-9C1D-65D005E1C252}"/>
    <cellStyle name="Comma 769 4" xfId="5201" xr:uid="{14C4BC31-601F-41F6-86DB-E69A75DB7067}"/>
    <cellStyle name="Comma 769 4 2" xfId="10377" xr:uid="{D36944C2-1DA7-4EB8-AE7A-2DB464E83885}"/>
    <cellStyle name="Comma 769 5" xfId="6249" xr:uid="{37C0E63A-9846-4E77-A7B0-3EFAEED20788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3" xfId="6588" xr:uid="{E3462C4E-7DA2-4924-8923-7162F64AAB28}"/>
    <cellStyle name="Comma 77 3" xfId="2383" xr:uid="{1936373F-2F7A-4A1F-913A-FAEB58516959}"/>
    <cellStyle name="Comma 77 3 2" xfId="7616" xr:uid="{FFEB0349-513A-4D44-A973-72FAE45A8FF4}"/>
    <cellStyle name="Comma 77 4" xfId="4509" xr:uid="{E3810EE7-3C04-47D3-B70E-E2DADE9DA434}"/>
    <cellStyle name="Comma 77 4 2" xfId="9685" xr:uid="{4EE7FBF6-B027-4585-929E-53C6433E9002}"/>
    <cellStyle name="Comma 77 5" xfId="5557" xr:uid="{09E81DD9-6280-4EFE-8916-96D23966E44A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3" xfId="7281" xr:uid="{BF2E4B32-75A3-415D-B247-DB766DE80448}"/>
    <cellStyle name="Comma 770 3" xfId="3076" xr:uid="{DA231126-1566-4FA8-88D0-BDF03A58AD40}"/>
    <cellStyle name="Comma 770 3 2" xfId="8309" xr:uid="{6FD67BD1-A6FE-4E7B-B445-3D2EEA532C7F}"/>
    <cellStyle name="Comma 770 4" xfId="5202" xr:uid="{E18A1737-886F-4B03-9380-459564771581}"/>
    <cellStyle name="Comma 770 4 2" xfId="10378" xr:uid="{BE79F1A4-951C-4AF7-83B3-9366685EA2D3}"/>
    <cellStyle name="Comma 770 5" xfId="6250" xr:uid="{BD9478B5-1509-4E5F-A515-63B429148948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3" xfId="7282" xr:uid="{8B1A5D30-5DD0-48DB-99C9-4EC32D16BFB5}"/>
    <cellStyle name="Comma 771 3" xfId="3077" xr:uid="{1E721F5C-080C-4937-8AC9-B9EA392CB226}"/>
    <cellStyle name="Comma 771 3 2" xfId="8310" xr:uid="{35DCD0CE-BF17-46A9-AA03-CB128F3D66B9}"/>
    <cellStyle name="Comma 771 4" xfId="5203" xr:uid="{906307B0-B8CF-447F-B787-AE31E828040E}"/>
    <cellStyle name="Comma 771 4 2" xfId="10379" xr:uid="{08BCA31C-6E5A-47DA-B7D0-FE0F4A76A9F4}"/>
    <cellStyle name="Comma 771 5" xfId="6251" xr:uid="{2EAC59FC-F424-49F0-A2FE-ACB2C3D564EB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3" xfId="7283" xr:uid="{0210338F-84A0-418C-BBD4-36E6E51AD20F}"/>
    <cellStyle name="Comma 772 3" xfId="3078" xr:uid="{9DE6061A-9B01-432C-81FB-A52EA3DDC9E5}"/>
    <cellStyle name="Comma 772 3 2" xfId="8311" xr:uid="{4A3AD385-E95F-4E05-9C51-F069EB11C906}"/>
    <cellStyle name="Comma 772 4" xfId="5204" xr:uid="{4C1B46F3-1456-49C8-9FA4-62612D080262}"/>
    <cellStyle name="Comma 772 4 2" xfId="10380" xr:uid="{3F86D541-5F5B-479C-9B0A-E32775A70313}"/>
    <cellStyle name="Comma 772 5" xfId="6252" xr:uid="{5FBA26E6-8B56-462B-A928-6268C2997474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3" xfId="7284" xr:uid="{53AFDA66-4AB7-4437-A97C-386878FBEB8A}"/>
    <cellStyle name="Comma 773 3" xfId="3079" xr:uid="{A8BF9A69-E9BF-44C4-8F3B-AB0BB34B8633}"/>
    <cellStyle name="Comma 773 3 2" xfId="8312" xr:uid="{B0865CD0-7F2F-499B-BE0B-80AB5A6D8F76}"/>
    <cellStyle name="Comma 773 4" xfId="5205" xr:uid="{9A236CF2-25CF-4FB9-9653-EBB4D34D9BB5}"/>
    <cellStyle name="Comma 773 4 2" xfId="10381" xr:uid="{FA2212D6-E344-445E-8CA2-54F27998B5E7}"/>
    <cellStyle name="Comma 773 5" xfId="6253" xr:uid="{8D8C70C1-A59B-4E06-A495-05C6E06BABA1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3" xfId="7285" xr:uid="{C1043FB6-1F59-423E-B1C8-6EC75A087FFC}"/>
    <cellStyle name="Comma 774 3" xfId="3080" xr:uid="{702E6F46-1E33-4662-A6DC-242924756B85}"/>
    <cellStyle name="Comma 774 3 2" xfId="8313" xr:uid="{AA3D3DFD-E0A6-4C83-9DDD-6B138F3E3E53}"/>
    <cellStyle name="Comma 774 4" xfId="5206" xr:uid="{397B2AF0-D5A6-423B-9C9F-E07313269857}"/>
    <cellStyle name="Comma 774 4 2" xfId="10382" xr:uid="{30076993-F444-498B-9868-3785B1AB1AA1}"/>
    <cellStyle name="Comma 774 5" xfId="6254" xr:uid="{B8FADEB6-5EFF-4D2C-B693-C1F67009F0CC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3" xfId="7286" xr:uid="{ABF18481-DC8D-4C14-8FDB-4722308ABF9C}"/>
    <cellStyle name="Comma 775 3" xfId="3081" xr:uid="{D3FF2696-8FC6-47FB-8732-0FF1423360FA}"/>
    <cellStyle name="Comma 775 3 2" xfId="8314" xr:uid="{69602066-2E36-4E41-87CE-8CC0F8235C84}"/>
    <cellStyle name="Comma 775 4" xfId="5207" xr:uid="{58D52178-4DBC-4785-9D61-B295D0F54247}"/>
    <cellStyle name="Comma 775 4 2" xfId="10383" xr:uid="{E4D4AC6D-3BD5-4414-9CD4-A275C9401B9A}"/>
    <cellStyle name="Comma 775 5" xfId="6255" xr:uid="{A43CC620-8E08-4056-873C-AA24A8EB0871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3" xfId="7287" xr:uid="{CBDB1185-0316-47F9-A35A-688438C63679}"/>
    <cellStyle name="Comma 776 3" xfId="3082" xr:uid="{69A447BE-71ED-4D3E-9410-17B47E911F63}"/>
    <cellStyle name="Comma 776 3 2" xfId="8315" xr:uid="{2CC31A81-5413-471B-9833-AEC1CBF77593}"/>
    <cellStyle name="Comma 776 4" xfId="5208" xr:uid="{5A1106A3-54ED-4C5A-8D86-0E24CB1C8B6F}"/>
    <cellStyle name="Comma 776 4 2" xfId="10384" xr:uid="{BA7BFC49-B3B9-46D3-9410-CD49EC1B1494}"/>
    <cellStyle name="Comma 776 5" xfId="6256" xr:uid="{2EA07A91-4937-463F-956A-3DD64669E9D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3" xfId="7288" xr:uid="{09441FF8-97B0-4799-99D1-E34EDC908EC6}"/>
    <cellStyle name="Comma 777 3" xfId="3083" xr:uid="{4DF41D66-CAF7-4771-9E27-C94310724AD5}"/>
    <cellStyle name="Comma 777 3 2" xfId="8316" xr:uid="{755C64F4-FAEC-4226-B206-904A19D2C4C3}"/>
    <cellStyle name="Comma 777 4" xfId="5209" xr:uid="{25758337-B1DD-496B-97D1-2EF30587A888}"/>
    <cellStyle name="Comma 777 4 2" xfId="10385" xr:uid="{11FD164C-75E6-4F00-992C-8C2621798CFE}"/>
    <cellStyle name="Comma 777 5" xfId="6257" xr:uid="{583B595B-CDE3-45EA-AE13-61A5D2E150E9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3" xfId="7289" xr:uid="{9D51D5DE-AD35-48C0-ACF0-4A563434611D}"/>
    <cellStyle name="Comma 778 3" xfId="3084" xr:uid="{35F2F8F9-4F85-467B-ABA8-9A2E50AF9845}"/>
    <cellStyle name="Comma 778 3 2" xfId="8317" xr:uid="{15B75237-E88F-40FF-8A71-7EB23C076787}"/>
    <cellStyle name="Comma 778 4" xfId="5210" xr:uid="{9E2E5F1C-FFC6-4DD0-8410-299D8BE03939}"/>
    <cellStyle name="Comma 778 4 2" xfId="10386" xr:uid="{3F5B14A5-C2AE-49B5-905D-917AA725492C}"/>
    <cellStyle name="Comma 778 5" xfId="6258" xr:uid="{E5F56054-0A68-4690-A977-CBB2D391FDD7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3" xfId="7290" xr:uid="{D688ECCB-DDED-4F21-9341-F6F3D85CA51C}"/>
    <cellStyle name="Comma 779 3" xfId="3085" xr:uid="{53FF1D1E-9FB6-4E95-A9B3-B0722B02D9E9}"/>
    <cellStyle name="Comma 779 3 2" xfId="8318" xr:uid="{E3BACC54-59F3-427E-8E89-DF6472200D28}"/>
    <cellStyle name="Comma 779 4" xfId="5211" xr:uid="{9518A0BF-F801-4152-9BDF-9F5CDF01D14C}"/>
    <cellStyle name="Comma 779 4 2" xfId="10387" xr:uid="{1E36A430-3E2B-4FCA-BCEE-5542510AFCCC}"/>
    <cellStyle name="Comma 779 5" xfId="6259" xr:uid="{75E058F8-76FB-46D5-9A98-33B9D821C8D2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3" xfId="6589" xr:uid="{792EFABE-B1F5-424B-BF61-F98019898CCB}"/>
    <cellStyle name="Comma 78 3" xfId="2384" xr:uid="{CDD8CEF8-E660-4AD8-81DF-3D242F1312AF}"/>
    <cellStyle name="Comma 78 3 2" xfId="7617" xr:uid="{063E9F60-9B80-40C8-9018-B7F63CB8E1B9}"/>
    <cellStyle name="Comma 78 4" xfId="4510" xr:uid="{05798106-1EAB-4C0C-BBA4-D59713E439EB}"/>
    <cellStyle name="Comma 78 4 2" xfId="9686" xr:uid="{05AE7229-FB9B-425A-A609-187FB235450C}"/>
    <cellStyle name="Comma 78 5" xfId="5558" xr:uid="{4348F3B6-1F0E-44D8-BC52-987C9CF269EE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3" xfId="7291" xr:uid="{D0C1FB40-86C6-40E4-B886-117D3C956063}"/>
    <cellStyle name="Comma 780 3" xfId="3086" xr:uid="{E6A69ACE-87A7-48BC-B50C-EC3C4850AB22}"/>
    <cellStyle name="Comma 780 3 2" xfId="8319" xr:uid="{B128E271-4AAF-47A6-ABEC-26B01D648DA4}"/>
    <cellStyle name="Comma 780 4" xfId="5212" xr:uid="{E8FC2366-E48F-47AD-A541-5DEC3020A748}"/>
    <cellStyle name="Comma 780 4 2" xfId="10388" xr:uid="{A0C27448-25DD-4E61-94F1-6745E93AD1E3}"/>
    <cellStyle name="Comma 780 5" xfId="6260" xr:uid="{F6EE68E8-ECB6-41E1-8B4A-4CCAA49AD8C7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3" xfId="7292" xr:uid="{05315608-E4F9-40C8-A612-C02C64D1ED35}"/>
    <cellStyle name="Comma 781 3" xfId="3087" xr:uid="{EEA37E1C-ED25-49BE-ACDC-52BB6926B4C7}"/>
    <cellStyle name="Comma 781 3 2" xfId="8320" xr:uid="{E9FC20E9-6125-4B2D-8CA1-8EA0A6E9E2D4}"/>
    <cellStyle name="Comma 781 4" xfId="5213" xr:uid="{8C04E074-0128-4F9D-8394-610690E08B56}"/>
    <cellStyle name="Comma 781 4 2" xfId="10389" xr:uid="{1BF00B9C-0EEF-4EBF-8308-4021F001B9E4}"/>
    <cellStyle name="Comma 781 5" xfId="6261" xr:uid="{80FB9C6F-1800-4507-B130-097D5A63BBF2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3" xfId="7293" xr:uid="{7492D0FC-83AC-4D8F-A3CD-E9E89A9558DE}"/>
    <cellStyle name="Comma 782 3" xfId="3088" xr:uid="{709F0052-3150-4381-BACD-6A6096D9078A}"/>
    <cellStyle name="Comma 782 3 2" xfId="8321" xr:uid="{AE6F19D0-7EFF-482D-9159-0803BC5988C3}"/>
    <cellStyle name="Comma 782 4" xfId="5214" xr:uid="{8EF53806-58BD-43EE-BD21-77C916FF9130}"/>
    <cellStyle name="Comma 782 4 2" xfId="10390" xr:uid="{02318489-833B-4D65-B33D-009ED68CDAB3}"/>
    <cellStyle name="Comma 782 5" xfId="6262" xr:uid="{090ACC55-6EBE-4CB0-BD9E-979B54379EE4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3" xfId="7294" xr:uid="{0855B40F-F8B1-491F-8873-DB77986B12FB}"/>
    <cellStyle name="Comma 783 3" xfId="3089" xr:uid="{9DAE7F3A-717C-44E7-8311-B7FFAF1B6F29}"/>
    <cellStyle name="Comma 783 3 2" xfId="8322" xr:uid="{0E9F8A9A-0A50-4D2F-A7D7-9AEAC1C7822A}"/>
    <cellStyle name="Comma 783 4" xfId="5215" xr:uid="{44B2D97A-0716-4D43-9A83-117E28BF14DA}"/>
    <cellStyle name="Comma 783 4 2" xfId="10391" xr:uid="{BDAB1A50-53E0-4BF4-BA4D-F9C3C7345B0E}"/>
    <cellStyle name="Comma 783 5" xfId="6263" xr:uid="{A2ECF172-0E56-438E-AD1E-F5B94FB6AEB2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3" xfId="7295" xr:uid="{6F91DCA8-54BC-4B04-AE64-251A2B569EFD}"/>
    <cellStyle name="Comma 784 3" xfId="3090" xr:uid="{46A560E5-9E61-4B6C-BAFD-BF429B4B5D21}"/>
    <cellStyle name="Comma 784 3 2" xfId="8323" xr:uid="{4DB9A716-0FBE-4FC9-8F3A-5F9548E6CE4D}"/>
    <cellStyle name="Comma 784 4" xfId="5216" xr:uid="{2FC404D5-C84F-41A2-A421-5F1A41A449F0}"/>
    <cellStyle name="Comma 784 4 2" xfId="10392" xr:uid="{1335F41B-C42E-4EEB-A387-22B05EF70D20}"/>
    <cellStyle name="Comma 784 5" xfId="6264" xr:uid="{B4657B8C-9640-4A6D-8C11-3211E5B95EC9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3" xfId="7296" xr:uid="{EA9D20B0-B880-4C5D-A414-6301A38CBC7F}"/>
    <cellStyle name="Comma 785 3" xfId="3091" xr:uid="{88E1A51D-0998-4CF9-83AB-1C677AAA1DCB}"/>
    <cellStyle name="Comma 785 3 2" xfId="8324" xr:uid="{004EED02-281F-4ACD-9225-DC84DECF873D}"/>
    <cellStyle name="Comma 785 4" xfId="5217" xr:uid="{56EDB522-3555-4946-8EC3-9F4CD622B183}"/>
    <cellStyle name="Comma 785 4 2" xfId="10393" xr:uid="{FCE22F92-FB4D-4902-A2D8-FCDB6E67E0C4}"/>
    <cellStyle name="Comma 785 5" xfId="6265" xr:uid="{DDF5FE00-9682-4B24-862B-405B4EAD234C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3" xfId="7297" xr:uid="{B73A3CA0-DA39-4059-9BBD-054BE30C5AAE}"/>
    <cellStyle name="Comma 786 3" xfId="3092" xr:uid="{C70BDFEB-1BD8-4B4D-94AE-4B8F6A7CE499}"/>
    <cellStyle name="Comma 786 3 2" xfId="8325" xr:uid="{341AFC14-93A3-4672-8492-45A025649B2D}"/>
    <cellStyle name="Comma 786 4" xfId="5218" xr:uid="{FA54157A-2D09-4457-8F25-D2BABFE5FBD7}"/>
    <cellStyle name="Comma 786 4 2" xfId="10394" xr:uid="{732C4A64-A6DA-4913-BECB-3E59F20475FD}"/>
    <cellStyle name="Comma 786 5" xfId="6266" xr:uid="{6C4B5475-D877-419B-8056-0DE9EE5268C6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3" xfId="7298" xr:uid="{FCFB9A45-963F-499C-A014-D4B1C35842E4}"/>
    <cellStyle name="Comma 787 3" xfId="3093" xr:uid="{EFDFEB6C-EB31-41A5-A4C9-0A4F87F9CEE0}"/>
    <cellStyle name="Comma 787 3 2" xfId="8326" xr:uid="{A74C2D43-5DE2-4D09-8C72-879CE4E437BA}"/>
    <cellStyle name="Comma 787 4" xfId="5219" xr:uid="{47211637-F509-4B60-BBB3-DD68941C69ED}"/>
    <cellStyle name="Comma 787 4 2" xfId="10395" xr:uid="{3B91FC69-CA52-4128-81A1-85C6474E2682}"/>
    <cellStyle name="Comma 787 5" xfId="6267" xr:uid="{004C1CA6-3055-413F-8E4F-391FCC9A0AB9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3" xfId="7299" xr:uid="{E70FF845-FDC9-499E-9202-F50CAB21BFC8}"/>
    <cellStyle name="Comma 788 3" xfId="3094" xr:uid="{6ECEA4D1-C97A-422C-BD75-0C98483E4FE3}"/>
    <cellStyle name="Comma 788 3 2" xfId="8327" xr:uid="{E4DFE432-6AEE-47D1-B860-061B79BEED49}"/>
    <cellStyle name="Comma 788 4" xfId="5220" xr:uid="{6B12EE37-8836-4818-9ADD-70761655B7F1}"/>
    <cellStyle name="Comma 788 4 2" xfId="10396" xr:uid="{71064591-3DFB-4C33-AFAB-1FA2BFC4391F}"/>
    <cellStyle name="Comma 788 5" xfId="6268" xr:uid="{C9673699-4BB0-4F6C-AA83-AFB300898A42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3" xfId="7300" xr:uid="{2A9ED3A8-04DB-45F4-A4FE-315D2346677E}"/>
    <cellStyle name="Comma 789 3" xfId="3095" xr:uid="{99D3353B-444A-40C8-86F9-782394FD741C}"/>
    <cellStyle name="Comma 789 3 2" xfId="8328" xr:uid="{FFFEC750-CA81-4CDE-BD91-7E1F7BFA7F34}"/>
    <cellStyle name="Comma 789 4" xfId="5221" xr:uid="{2A260AD9-8917-48CB-BA11-A6D1390D3552}"/>
    <cellStyle name="Comma 789 4 2" xfId="10397" xr:uid="{0C25BFDD-469F-4113-A79B-0E13E1448962}"/>
    <cellStyle name="Comma 789 5" xfId="6269" xr:uid="{74E93F0D-6FCB-4E75-9E77-B24A20B18D9B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3" xfId="6590" xr:uid="{AA907167-3902-4A02-8CBD-0991185E3899}"/>
    <cellStyle name="Comma 79 3" xfId="2385" xr:uid="{C3CCAE6E-748A-4517-89F6-D8324B0AC912}"/>
    <cellStyle name="Comma 79 3 2" xfId="7618" xr:uid="{BC106150-8EB9-41F6-AE2E-FAF5EDFF24F8}"/>
    <cellStyle name="Comma 79 4" xfId="4511" xr:uid="{FC4A5A75-ACCA-47C0-A111-79C6FBF05193}"/>
    <cellStyle name="Comma 79 4 2" xfId="9687" xr:uid="{C8783388-74BC-4452-B92F-5E4A3CCFBBF5}"/>
    <cellStyle name="Comma 79 5" xfId="5559" xr:uid="{158A3CC9-BC9E-4E59-B21C-F23D8261A492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3" xfId="7301" xr:uid="{B24CA6D6-FFB4-42E4-BEA0-4FDB1E37AE0A}"/>
    <cellStyle name="Comma 790 3" xfId="3096" xr:uid="{BD64CDF2-B9EA-4C38-BC98-F63E5C1A51E8}"/>
    <cellStyle name="Comma 790 3 2" xfId="8329" xr:uid="{85E53B58-037A-4292-80D5-3563D882C963}"/>
    <cellStyle name="Comma 790 4" xfId="5222" xr:uid="{614BAA1D-A7B4-49CA-AB68-DD5BA3444628}"/>
    <cellStyle name="Comma 790 4 2" xfId="10398" xr:uid="{FB2E887F-6BCC-4142-98BD-05A986DB8885}"/>
    <cellStyle name="Comma 790 5" xfId="6270" xr:uid="{625FD948-5D58-4898-9FEF-4AA07841E673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3" xfId="7302" xr:uid="{D81BF04F-5AD1-4611-839D-53A1455275E8}"/>
    <cellStyle name="Comma 791 3" xfId="3097" xr:uid="{F35ACAF2-6B7C-44FB-AFB7-53A8D3084708}"/>
    <cellStyle name="Comma 791 3 2" xfId="8330" xr:uid="{9CD9BFDA-D869-482E-83EE-31E2D7F6A709}"/>
    <cellStyle name="Comma 791 4" xfId="5223" xr:uid="{2A06EF35-585D-4EED-BA0F-98A57CF282AC}"/>
    <cellStyle name="Comma 791 4 2" xfId="10399" xr:uid="{FCE3F0FC-285A-4617-B4B1-CAD55AD3D652}"/>
    <cellStyle name="Comma 791 5" xfId="6271" xr:uid="{CAD77F41-DCC4-4313-80B2-1094702E4C3A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3" xfId="7303" xr:uid="{57EE8166-6ED1-4CCA-9656-E68E601F861C}"/>
    <cellStyle name="Comma 792 3" xfId="3098" xr:uid="{31EEC573-55B8-4705-BD05-E389B3C8D721}"/>
    <cellStyle name="Comma 792 3 2" xfId="8331" xr:uid="{946429B5-32E5-42FB-997A-A59A3CACADE2}"/>
    <cellStyle name="Comma 792 4" xfId="5224" xr:uid="{60F6B647-2371-4D93-9C59-C3FDCD1B0B53}"/>
    <cellStyle name="Comma 792 4 2" xfId="10400" xr:uid="{5375B3D9-546C-4458-85A9-10653B57A4E1}"/>
    <cellStyle name="Comma 792 5" xfId="6272" xr:uid="{2FBBE6C1-F532-42A3-85A0-783E851B04DA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3" xfId="7304" xr:uid="{706A389E-1401-4C9A-9343-DC0696C816B3}"/>
    <cellStyle name="Comma 793 3" xfId="3099" xr:uid="{6C5061AA-B117-4166-8E32-60BE0566A1FF}"/>
    <cellStyle name="Comma 793 3 2" xfId="8332" xr:uid="{40F158D5-0C06-4138-B8DF-4365AC007464}"/>
    <cellStyle name="Comma 793 4" xfId="5225" xr:uid="{1C3E5DBB-5BFD-4C31-81A2-38DB81F309A6}"/>
    <cellStyle name="Comma 793 4 2" xfId="10401" xr:uid="{51F49A6F-409C-4E81-BB27-37F23440EF17}"/>
    <cellStyle name="Comma 793 5" xfId="6273" xr:uid="{EFC4B9A5-BA3A-4A3E-8A26-D6C308C34DCC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3" xfId="7305" xr:uid="{10A5409E-BD64-4CE8-8310-4322A4634BBA}"/>
    <cellStyle name="Comma 794 3" xfId="3100" xr:uid="{34E3469A-5394-45E2-8E87-F5CC26BB1FE1}"/>
    <cellStyle name="Comma 794 3 2" xfId="8333" xr:uid="{B88D2EDD-D0B3-4DF2-82FE-7060848F2B28}"/>
    <cellStyle name="Comma 794 4" xfId="5226" xr:uid="{A0132CB3-323E-4264-8512-7B42A3AFE6F2}"/>
    <cellStyle name="Comma 794 4 2" xfId="10402" xr:uid="{F3C4A9CB-DC0D-46A1-A9B2-757F409A5CBB}"/>
    <cellStyle name="Comma 794 5" xfId="6274" xr:uid="{090A597B-A303-474F-8DED-2B2C00708735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3" xfId="7306" xr:uid="{1F87599B-1CFA-4220-B21E-02EB92378BAB}"/>
    <cellStyle name="Comma 795 3" xfId="3101" xr:uid="{3F2491C3-B9A8-4A15-81DA-71F1B86FE198}"/>
    <cellStyle name="Comma 795 3 2" xfId="8334" xr:uid="{69EA9779-47B2-4107-8E84-494364744497}"/>
    <cellStyle name="Comma 795 4" xfId="5227" xr:uid="{793A2DE1-64C6-4527-ACA0-5BECAE601B26}"/>
    <cellStyle name="Comma 795 4 2" xfId="10403" xr:uid="{D1C555DD-D883-46DB-BA9C-E231CCF57A50}"/>
    <cellStyle name="Comma 795 5" xfId="6275" xr:uid="{EB95EB03-D54E-44E9-BA7C-A742686DFEDA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3" xfId="7307" xr:uid="{DAE5A0CC-299D-4256-86AA-6517A52F6411}"/>
    <cellStyle name="Comma 796 3" xfId="3102" xr:uid="{648E744E-456B-4889-A940-6BD5A7FC7C96}"/>
    <cellStyle name="Comma 796 3 2" xfId="8335" xr:uid="{1C3FE247-8BC8-42F5-8BE3-CBAF9A5EB840}"/>
    <cellStyle name="Comma 796 4" xfId="5228" xr:uid="{58076A51-CF09-4FC5-B63C-DFC132E93165}"/>
    <cellStyle name="Comma 796 4 2" xfId="10404" xr:uid="{DEC83062-9D06-40EA-9AA7-CFB2A6AF02D5}"/>
    <cellStyle name="Comma 796 5" xfId="6276" xr:uid="{428BB27A-F52B-462E-968B-7D8B0FA152FA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3" xfId="7308" xr:uid="{C657E1E7-1AEA-411A-95A5-319F7877E422}"/>
    <cellStyle name="Comma 797 3" xfId="3103" xr:uid="{9A4D1F4E-4F31-4090-9ECF-3F24B8A777E6}"/>
    <cellStyle name="Comma 797 3 2" xfId="8336" xr:uid="{9AA85E14-F42C-4409-B7D8-F13A37E3E436}"/>
    <cellStyle name="Comma 797 4" xfId="5229" xr:uid="{B0A05BEA-48BD-476C-9E2C-B1EFC4E4685B}"/>
    <cellStyle name="Comma 797 4 2" xfId="10405" xr:uid="{EB6B20E1-2BF4-427B-A05E-95F42EAC2936}"/>
    <cellStyle name="Comma 797 5" xfId="6277" xr:uid="{BC6D1563-3409-433F-81A7-2A3C9CEA1008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3" xfId="7309" xr:uid="{3286EAFE-D53B-4309-A715-CC72C418412D}"/>
    <cellStyle name="Comma 798 3" xfId="3104" xr:uid="{55C07345-C662-486D-9B8E-1213F0E9A916}"/>
    <cellStyle name="Comma 798 3 2" xfId="8337" xr:uid="{3C5B40C5-39FA-4EFE-B75E-56CD4D2F3C0E}"/>
    <cellStyle name="Comma 798 4" xfId="5230" xr:uid="{753F6C2F-7E73-4039-8F49-6DD914CA24C1}"/>
    <cellStyle name="Comma 798 4 2" xfId="10406" xr:uid="{9049B435-5B4D-47C7-B054-FCECB2DC9982}"/>
    <cellStyle name="Comma 798 5" xfId="6278" xr:uid="{5D83E2BF-C3FF-46E2-BDF3-E70D6D73F09B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3" xfId="7310" xr:uid="{9FF763C1-6B32-480D-9A14-AA9D93AC0599}"/>
    <cellStyle name="Comma 799 3" xfId="3105" xr:uid="{9C9BC101-85B4-47BB-8E8E-4D28B8EC2B02}"/>
    <cellStyle name="Comma 799 3 2" xfId="8338" xr:uid="{6C9B5D7F-C9ED-464B-ABBA-BFBFD6BA8B92}"/>
    <cellStyle name="Comma 799 4" xfId="5231" xr:uid="{3154E421-3C45-4243-B6EF-5641EF627089}"/>
    <cellStyle name="Comma 799 4 2" xfId="10407" xr:uid="{AE38E8AF-25D3-4588-B2AA-17797FEF8032}"/>
    <cellStyle name="Comma 799 5" xfId="6279" xr:uid="{61B1D8BC-FB44-4592-ADA2-9FA00187E56E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3" xfId="6519" xr:uid="{3877BEFA-91B2-4272-B835-94551D888083}"/>
    <cellStyle name="Comma 8 3" xfId="2314" xr:uid="{8F9ACDE6-E127-4029-B7BA-36806ABBD151}"/>
    <cellStyle name="Comma 8 3 2" xfId="7547" xr:uid="{2FC365E0-8B52-4F7C-8921-0D370857AEC3}"/>
    <cellStyle name="Comma 8 4" xfId="4440" xr:uid="{11726030-3E7E-4C34-9E96-FC2655B74EEB}"/>
    <cellStyle name="Comma 8 4 2" xfId="9616" xr:uid="{2E029FB6-EE41-475D-A12D-B33E92F24EE9}"/>
    <cellStyle name="Comma 8 5" xfId="5488" xr:uid="{CE85791D-2A22-42CB-BFDD-EB017C3B9901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3" xfId="6591" xr:uid="{B5AC6704-DF6A-44D8-9873-ACED7E533D2D}"/>
    <cellStyle name="Comma 80 3" xfId="2386" xr:uid="{B8934338-CB3C-4FDC-9BC6-E93F84D22843}"/>
    <cellStyle name="Comma 80 3 2" xfId="7619" xr:uid="{42A5FED3-E944-4AAE-8453-FCF73792C242}"/>
    <cellStyle name="Comma 80 4" xfId="4512" xr:uid="{9BB8CA93-E0EB-44ED-89BA-CB4BF0351129}"/>
    <cellStyle name="Comma 80 4 2" xfId="9688" xr:uid="{ACB056F3-F6C4-45C8-8105-1F6EF780877D}"/>
    <cellStyle name="Comma 80 5" xfId="5560" xr:uid="{DD1BCDE7-46F2-440E-A70B-45A27F3A3485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3" xfId="7311" xr:uid="{62776B23-CF97-4C34-A85C-D937EE2504AD}"/>
    <cellStyle name="Comma 800 3" xfId="3106" xr:uid="{B7300EED-4880-456A-819A-58B1A1D85FF5}"/>
    <cellStyle name="Comma 800 3 2" xfId="8339" xr:uid="{C05410FB-F169-4836-8495-3AB39C1A56D1}"/>
    <cellStyle name="Comma 800 4" xfId="5232" xr:uid="{1232C050-6BCF-446D-B47E-8B4A904ED8BE}"/>
    <cellStyle name="Comma 800 4 2" xfId="10408" xr:uid="{A8153B15-25F5-4768-B6DB-AE2A7F474D15}"/>
    <cellStyle name="Comma 800 5" xfId="6280" xr:uid="{31BBC5FE-35A7-4E5E-9186-E02509C83F3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3" xfId="7312" xr:uid="{01FFC097-00EA-4560-AF9B-C55E96C2EA7E}"/>
    <cellStyle name="Comma 801 3" xfId="3107" xr:uid="{2E4E500E-76D3-4BDC-BF87-E03306B5E25E}"/>
    <cellStyle name="Comma 801 3 2" xfId="8340" xr:uid="{9D7B5979-7252-4C2F-9F23-3378F7907679}"/>
    <cellStyle name="Comma 801 4" xfId="5233" xr:uid="{0AA86853-EBF4-4484-8747-0A1759A4DA60}"/>
    <cellStyle name="Comma 801 4 2" xfId="10409" xr:uid="{2CF219CC-DECD-4BB8-8073-989C72F36701}"/>
    <cellStyle name="Comma 801 5" xfId="6281" xr:uid="{6FF6BC44-72F3-4EB2-BC05-4F23474E4B56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3" xfId="7313" xr:uid="{A2A49559-86C1-444A-A1DB-3260C189036B}"/>
    <cellStyle name="Comma 802 3" xfId="3108" xr:uid="{96658DF1-4D5F-4735-8FB1-8900C42B6CA8}"/>
    <cellStyle name="Comma 802 3 2" xfId="8341" xr:uid="{59BC91CB-2EDC-4883-952B-B3C61175E856}"/>
    <cellStyle name="Comma 802 4" xfId="5234" xr:uid="{A23ECCEF-FB3A-49E7-BB56-1479D59A663A}"/>
    <cellStyle name="Comma 802 4 2" xfId="10410" xr:uid="{C13613D5-7E76-42F5-85FE-BB162E80BC70}"/>
    <cellStyle name="Comma 802 5" xfId="6282" xr:uid="{45C40FE2-FD02-48A0-B843-63A0EEC8BEC5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3" xfId="7314" xr:uid="{BAF0C838-A4ED-4D50-85C1-064EA37EF051}"/>
    <cellStyle name="Comma 803 3" xfId="3109" xr:uid="{ECCA72BB-A7DE-4768-87A5-49E1F4E6EA8E}"/>
    <cellStyle name="Comma 803 3 2" xfId="8342" xr:uid="{677D6162-485B-43EA-A92E-7C6E1EB4D061}"/>
    <cellStyle name="Comma 803 4" xfId="5235" xr:uid="{0301EBD3-E0E1-4CA6-A28B-6A607C759D05}"/>
    <cellStyle name="Comma 803 4 2" xfId="10411" xr:uid="{94B781B6-55DB-498E-9E90-E6E562AB6B58}"/>
    <cellStyle name="Comma 803 5" xfId="6283" xr:uid="{BBD9E7E2-E35C-4C0F-89EC-43A16C976800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3" xfId="7315" xr:uid="{0E7F91F5-B9B8-4B15-ADCB-4F8444F7D176}"/>
    <cellStyle name="Comma 804 3" xfId="3110" xr:uid="{3A13E5EC-4357-4B73-A611-4C909218C8AF}"/>
    <cellStyle name="Comma 804 3 2" xfId="8343" xr:uid="{8F4B21BA-0B88-4F9D-B294-8C0327227C5E}"/>
    <cellStyle name="Comma 804 4" xfId="5236" xr:uid="{40A3A1DC-7B3A-4E73-8FC7-12F1983BE56A}"/>
    <cellStyle name="Comma 804 4 2" xfId="10412" xr:uid="{5F75D5D8-E31C-4EA5-8D7E-219A4E3E88A6}"/>
    <cellStyle name="Comma 804 5" xfId="6284" xr:uid="{10131F81-9CE1-4961-B33F-2898667A1D7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3" xfId="7316" xr:uid="{13FB5937-FAE4-42E4-A453-8A85EA4A4F84}"/>
    <cellStyle name="Comma 805 3" xfId="3111" xr:uid="{FF5AF45B-2FD6-4E5B-8116-2F1A91AF12EB}"/>
    <cellStyle name="Comma 805 3 2" xfId="8344" xr:uid="{E669703B-8728-4159-ACFD-10BCCD53AD0B}"/>
    <cellStyle name="Comma 805 4" xfId="5237" xr:uid="{456D9FA1-B397-4884-8DF6-3140FFC33C42}"/>
    <cellStyle name="Comma 805 4 2" xfId="10413" xr:uid="{1545C666-08FE-407C-A9E6-7D2BF2458156}"/>
    <cellStyle name="Comma 805 5" xfId="6285" xr:uid="{0ECB8A28-2772-4512-BB59-9B08BFCA2CFF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3" xfId="7317" xr:uid="{F9B0A544-BBE6-445A-9302-BF4BC9EBA352}"/>
    <cellStyle name="Comma 806 3" xfId="3112" xr:uid="{7D377F3F-1DEF-44B7-8092-5B5863EF3970}"/>
    <cellStyle name="Comma 806 3 2" xfId="8345" xr:uid="{499438DD-8734-4081-B2F4-02D9ED04ABD6}"/>
    <cellStyle name="Comma 806 4" xfId="5238" xr:uid="{7C900558-4081-483A-A073-440A5B57ED8C}"/>
    <cellStyle name="Comma 806 4 2" xfId="10414" xr:uid="{03A5C2F7-E767-4030-8E20-6CD9348168E3}"/>
    <cellStyle name="Comma 806 5" xfId="6286" xr:uid="{D5E93241-B9D1-437B-8E65-CDD68BEC4969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3" xfId="7318" xr:uid="{E368EE91-AC00-4266-BFAE-B67FE9EBCA18}"/>
    <cellStyle name="Comma 807 3" xfId="3113" xr:uid="{062D0F9B-14C8-4350-B67D-FBA9BC2F5591}"/>
    <cellStyle name="Comma 807 3 2" xfId="8346" xr:uid="{FEA5C92A-1028-4EE3-84E8-383B373022E5}"/>
    <cellStyle name="Comma 807 4" xfId="5239" xr:uid="{ABBD8552-11FA-4F92-97FC-73F7C05F1F57}"/>
    <cellStyle name="Comma 807 4 2" xfId="10415" xr:uid="{3F145A2D-EC34-47E1-BF88-600AF44466D5}"/>
    <cellStyle name="Comma 807 5" xfId="6287" xr:uid="{19211DD4-6190-451E-9F29-F1D6EBC3D179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3" xfId="7319" xr:uid="{9B8635A9-11D5-426B-9296-7E37A9C57A5F}"/>
    <cellStyle name="Comma 808 3" xfId="3114" xr:uid="{DC7F4BC6-B58E-4685-A03E-5FC1C4182A50}"/>
    <cellStyle name="Comma 808 3 2" xfId="8347" xr:uid="{74E2D577-B525-44BA-8C76-60F8FB423CA8}"/>
    <cellStyle name="Comma 808 4" xfId="5240" xr:uid="{A4BFE882-4752-4065-AC17-4043E70FF81C}"/>
    <cellStyle name="Comma 808 4 2" xfId="10416" xr:uid="{99AA38B1-5F11-40F0-A08D-CE0053968DC0}"/>
    <cellStyle name="Comma 808 5" xfId="6288" xr:uid="{0DB18797-E600-4B08-8215-BE223316A871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3" xfId="7320" xr:uid="{E0A4EC23-70F5-46D6-B746-E3EBF813794C}"/>
    <cellStyle name="Comma 809 3" xfId="3115" xr:uid="{9CCC5014-AD40-4492-8543-3B77B24B9962}"/>
    <cellStyle name="Comma 809 3 2" xfId="8348" xr:uid="{007CD025-47E9-4921-B813-D031064BC9A2}"/>
    <cellStyle name="Comma 809 4" xfId="5241" xr:uid="{C8E7A63B-503F-4EB3-851D-9F37AACAB968}"/>
    <cellStyle name="Comma 809 4 2" xfId="10417" xr:uid="{56181666-470E-4CCE-8830-07065CA92828}"/>
    <cellStyle name="Comma 809 5" xfId="6289" xr:uid="{9105F7F4-A230-4B49-AE47-3D610D71E4D7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3" xfId="6592" xr:uid="{B0AF2827-89B2-4743-A6C2-445F6D542BB5}"/>
    <cellStyle name="Comma 81 3" xfId="2387" xr:uid="{1F277AAB-F2A8-4C12-B15E-543E50276193}"/>
    <cellStyle name="Comma 81 3 2" xfId="7620" xr:uid="{F308F6F4-48A7-42E2-96B8-0F8A1CFBDC5D}"/>
    <cellStyle name="Comma 81 4" xfId="4513" xr:uid="{4EA37830-F62E-4BBD-9C29-DABF2A45BA49}"/>
    <cellStyle name="Comma 81 4 2" xfId="9689" xr:uid="{A1FF19F5-DE19-4333-9EF0-DB9F0C007B6B}"/>
    <cellStyle name="Comma 81 5" xfId="5561" xr:uid="{5D462A90-B566-4565-A407-22141C3FE278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3" xfId="7321" xr:uid="{7B540DF3-AC29-49C2-BBA0-684ED28DD173}"/>
    <cellStyle name="Comma 810 3" xfId="3116" xr:uid="{0664581E-56FE-40A0-BF3C-A62424D3505E}"/>
    <cellStyle name="Comma 810 3 2" xfId="8349" xr:uid="{4CD93B84-6803-4DBF-BF51-EF7A6E0F67CD}"/>
    <cellStyle name="Comma 810 4" xfId="5242" xr:uid="{5151B7FA-8013-46DB-A8D9-4D196F2BB326}"/>
    <cellStyle name="Comma 810 4 2" xfId="10418" xr:uid="{4D625606-9164-4BD0-96EC-BCA06563EE78}"/>
    <cellStyle name="Comma 810 5" xfId="6290" xr:uid="{4CE4F060-618B-4499-9711-3C6242BE693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3" xfId="7322" xr:uid="{719D6D4B-993B-445F-8350-9AD095D51C26}"/>
    <cellStyle name="Comma 811 3" xfId="3117" xr:uid="{856B8182-8107-4B39-942E-CE4C66329A35}"/>
    <cellStyle name="Comma 811 3 2" xfId="8350" xr:uid="{F3F0827C-9352-4DAA-88A6-5F534F122FDC}"/>
    <cellStyle name="Comma 811 4" xfId="5243" xr:uid="{2B717F1E-956E-411E-A1D0-4544B98A3FB5}"/>
    <cellStyle name="Comma 811 4 2" xfId="10419" xr:uid="{95D6072E-A1A7-4123-86C6-80F93F117EB7}"/>
    <cellStyle name="Comma 811 5" xfId="6291" xr:uid="{59C62193-DB99-49D9-B71B-2CF0A48FFE8F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3" xfId="7323" xr:uid="{E5F41B48-BB40-48FD-9199-B5B61E882554}"/>
    <cellStyle name="Comma 812 3" xfId="3118" xr:uid="{504E1EB2-01F9-4511-8203-D3525C32AF23}"/>
    <cellStyle name="Comma 812 3 2" xfId="8351" xr:uid="{A2034ED2-DABC-4F91-9F11-D66F8BF4D872}"/>
    <cellStyle name="Comma 812 4" xfId="5244" xr:uid="{74DE26C3-CDF6-4781-881F-E8AD80BF021F}"/>
    <cellStyle name="Comma 812 4 2" xfId="10420" xr:uid="{581AF05D-524A-4FFB-874A-E5119D4A6679}"/>
    <cellStyle name="Comma 812 5" xfId="6292" xr:uid="{E27BB79A-011A-489B-9326-F182A881888C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3" xfId="7324" xr:uid="{51FDBE63-E167-4463-A1AE-4F1380496F57}"/>
    <cellStyle name="Comma 813 3" xfId="3119" xr:uid="{FE3D7C42-099E-4EDA-8FDA-E553A26C9DED}"/>
    <cellStyle name="Comma 813 3 2" xfId="8352" xr:uid="{27233705-6DB1-48D7-8A6A-0AE15D167992}"/>
    <cellStyle name="Comma 813 4" xfId="5245" xr:uid="{4C269993-B7C0-4AC8-91B8-E3323EE984A5}"/>
    <cellStyle name="Comma 813 4 2" xfId="10421" xr:uid="{A6ADCAC7-501F-4305-9F65-F6DC38549CEF}"/>
    <cellStyle name="Comma 813 5" xfId="6293" xr:uid="{8A6C4309-2A46-473A-9B7F-88A6C538AF0B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3" xfId="7325" xr:uid="{0ECE949B-3B29-40F9-8B0A-74A310D539AC}"/>
    <cellStyle name="Comma 814 3" xfId="3120" xr:uid="{61607C36-D807-484B-A51A-5CF745A73420}"/>
    <cellStyle name="Comma 814 3 2" xfId="8353" xr:uid="{E906C128-F300-4709-9228-63A1CE1AFE5C}"/>
    <cellStyle name="Comma 814 4" xfId="5246" xr:uid="{28C082BD-F7FD-45B0-9E81-79A574E13233}"/>
    <cellStyle name="Comma 814 4 2" xfId="10422" xr:uid="{E7E1A639-155C-4182-9E5B-D310C4C9BDAB}"/>
    <cellStyle name="Comma 814 5" xfId="6294" xr:uid="{FB6A1CFB-2FD8-45EA-802C-E9CC4B8D151A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3" xfId="7326" xr:uid="{E634CC4F-113E-4487-A61A-2E3688BC3679}"/>
    <cellStyle name="Comma 815 3" xfId="3121" xr:uid="{D2188B3C-16B0-4559-9739-743394CD8D15}"/>
    <cellStyle name="Comma 815 3 2" xfId="8354" xr:uid="{3DCFB5BE-B363-4E23-87B6-2FE8BAEF8F40}"/>
    <cellStyle name="Comma 815 4" xfId="5247" xr:uid="{D36F8D71-17CC-4036-8472-B4123EB3B6CA}"/>
    <cellStyle name="Comma 815 4 2" xfId="10423" xr:uid="{F8CF914D-AE1A-497A-8577-4A1F8E16CAC6}"/>
    <cellStyle name="Comma 815 5" xfId="6295" xr:uid="{0914C0AE-1895-4BD8-B6F4-2401DCFC054F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3" xfId="7327" xr:uid="{F2682B57-FDED-4140-9831-7A0E64AAD317}"/>
    <cellStyle name="Comma 816 3" xfId="3122" xr:uid="{7EA6D62C-B744-4B92-B238-0EAB66E8E277}"/>
    <cellStyle name="Comma 816 3 2" xfId="8355" xr:uid="{3EA7A350-B3AD-413B-8D65-0A061CDCAA6B}"/>
    <cellStyle name="Comma 816 4" xfId="5248" xr:uid="{77CCDE26-9622-4AC4-BDB7-294362532C9C}"/>
    <cellStyle name="Comma 816 4 2" xfId="10424" xr:uid="{F3D4C998-8001-4D82-9CD0-3B5CC43BE8B0}"/>
    <cellStyle name="Comma 816 5" xfId="6296" xr:uid="{B07472C4-A881-47BD-9D47-76C6CE6E6501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3" xfId="7328" xr:uid="{FF495E9B-A354-471A-ABB0-DCB5F15A71A0}"/>
    <cellStyle name="Comma 817 3" xfId="3123" xr:uid="{A08D0222-B0AA-4E24-B7B6-F5CE76633B30}"/>
    <cellStyle name="Comma 817 3 2" xfId="8356" xr:uid="{EF0F737E-D0C5-4297-A8EB-E21DA46DBB97}"/>
    <cellStyle name="Comma 817 4" xfId="5249" xr:uid="{70767BCC-BC78-4EB6-8F75-3915D7851D46}"/>
    <cellStyle name="Comma 817 4 2" xfId="10425" xr:uid="{A4DAD181-0836-4088-8202-34471C5E7E53}"/>
    <cellStyle name="Comma 817 5" xfId="6297" xr:uid="{29F17AC1-3738-4C8B-9210-3EC82542780E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3" xfId="7329" xr:uid="{4911975A-77AE-4670-A6B4-4634AA85A13C}"/>
    <cellStyle name="Comma 818 3" xfId="3124" xr:uid="{90114DDE-285A-4491-9BA8-DF7CF2CE4B57}"/>
    <cellStyle name="Comma 818 3 2" xfId="8357" xr:uid="{E90221C5-9A99-4AA4-9FF4-BA792AD90701}"/>
    <cellStyle name="Comma 818 4" xfId="5250" xr:uid="{5DBB2057-EF10-4556-A306-78DC95F5964C}"/>
    <cellStyle name="Comma 818 4 2" xfId="10426" xr:uid="{CC796C99-DDE8-414D-A9FD-A66EEA2BD9AA}"/>
    <cellStyle name="Comma 818 5" xfId="6298" xr:uid="{C3A2D1E7-0A05-46E4-92EE-F6631292A8CE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3" xfId="7330" xr:uid="{1E559E4F-8B69-445D-BF5E-9FCDB048346E}"/>
    <cellStyle name="Comma 819 3" xfId="3125" xr:uid="{2F749518-769B-428A-BF00-8E753C567834}"/>
    <cellStyle name="Comma 819 3 2" xfId="8358" xr:uid="{5E3040F9-F7BB-4D72-9BF2-E8F902937F4F}"/>
    <cellStyle name="Comma 819 4" xfId="5251" xr:uid="{EFF71DDD-A6A9-4488-8DB3-92D6A7871778}"/>
    <cellStyle name="Comma 819 4 2" xfId="10427" xr:uid="{CE10D4FB-13AF-484A-9012-7303733F8D0F}"/>
    <cellStyle name="Comma 819 5" xfId="6299" xr:uid="{5613B607-B428-43E1-A211-4EE10AC407F5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3" xfId="6593" xr:uid="{08F15282-E81B-4430-B72C-8221E5668AE6}"/>
    <cellStyle name="Comma 82 3" xfId="2388" xr:uid="{9AB8E0A6-A4AC-45F0-90C4-06CC9A4677BF}"/>
    <cellStyle name="Comma 82 3 2" xfId="7621" xr:uid="{552AF319-B893-412B-8E43-B57ACDBDAA52}"/>
    <cellStyle name="Comma 82 4" xfId="4514" xr:uid="{E3C43FCD-2B6F-49B7-B232-F153D2BED6ED}"/>
    <cellStyle name="Comma 82 4 2" xfId="9690" xr:uid="{7F5363F1-6295-46EE-9E17-9ED9204863A5}"/>
    <cellStyle name="Comma 82 5" xfId="5562" xr:uid="{BA2BF417-C918-4226-BC03-B060B53577F1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3" xfId="7331" xr:uid="{8328E30D-13C4-4837-9131-E6F22B045275}"/>
    <cellStyle name="Comma 820 3" xfId="3126" xr:uid="{97C1E444-C06E-4A8F-8AFC-6EF8A13A4B2D}"/>
    <cellStyle name="Comma 820 3 2" xfId="8359" xr:uid="{C3137F35-037B-4047-8A3A-C90F7382069D}"/>
    <cellStyle name="Comma 820 4" xfId="5252" xr:uid="{3EE3FE59-D0CA-4707-85BB-2E2A9CBAB584}"/>
    <cellStyle name="Comma 820 4 2" xfId="10428" xr:uid="{CE99356E-6C87-47F6-8178-83E55D6D8637}"/>
    <cellStyle name="Comma 820 5" xfId="6300" xr:uid="{1BABD3F5-02BB-4D40-87E4-7413EE5E4041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3" xfId="7332" xr:uid="{C7F73092-E770-4726-8B52-3BC83BD0D1BF}"/>
    <cellStyle name="Comma 821 3" xfId="3127" xr:uid="{5B4B537F-C755-4CF8-9F3C-3FA8C48C4A36}"/>
    <cellStyle name="Comma 821 3 2" xfId="8360" xr:uid="{093F605F-C736-4C30-AFA1-AC43F4B7D164}"/>
    <cellStyle name="Comma 821 4" xfId="5253" xr:uid="{BF76A280-B223-48AC-91A3-9F6051C370D2}"/>
    <cellStyle name="Comma 821 4 2" xfId="10429" xr:uid="{E03DC9E6-B4B2-4679-9480-2694BA7B96CE}"/>
    <cellStyle name="Comma 821 5" xfId="6301" xr:uid="{E206C058-3417-434B-9D17-8B2A9D9F3623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3" xfId="7333" xr:uid="{1E43EE7C-607A-4195-ACFD-40E912409CAE}"/>
    <cellStyle name="Comma 822 3" xfId="3128" xr:uid="{0FA30A06-DF94-4315-B954-536DF344AD57}"/>
    <cellStyle name="Comma 822 3 2" xfId="8361" xr:uid="{0096FF7F-47E3-4FBE-86EC-8BF3555DD99D}"/>
    <cellStyle name="Comma 822 4" xfId="5254" xr:uid="{EC047169-24A2-4B21-B2E0-7A1E76E10962}"/>
    <cellStyle name="Comma 822 4 2" xfId="10430" xr:uid="{677B6EA8-6B99-4058-B554-DA7A10665419}"/>
    <cellStyle name="Comma 822 5" xfId="6302" xr:uid="{DE01B738-3B89-4504-B47F-4009F386490E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3" xfId="7334" xr:uid="{C68D5B54-373D-49BE-A01E-6F375CF95EE9}"/>
    <cellStyle name="Comma 823 3" xfId="3129" xr:uid="{C4CA63E5-FB7D-42F8-AB66-0052BB3E4AA6}"/>
    <cellStyle name="Comma 823 3 2" xfId="8362" xr:uid="{6237B6A8-F0DF-4C56-9267-2566100CF3BE}"/>
    <cellStyle name="Comma 823 4" xfId="5255" xr:uid="{A69342F1-77E8-4B00-8C33-14F31B6046A7}"/>
    <cellStyle name="Comma 823 4 2" xfId="10431" xr:uid="{0567EB61-23A8-4DC2-B844-D4FE3A45A90A}"/>
    <cellStyle name="Comma 823 5" xfId="6303" xr:uid="{33B2514A-CC04-43D0-98C0-0532E48BBBBB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3" xfId="7335" xr:uid="{0FB92AF1-CAEF-4E73-95BD-7684676C7042}"/>
    <cellStyle name="Comma 824 3" xfId="3130" xr:uid="{1364E6E6-3AD7-4140-9A61-216327FF6C0D}"/>
    <cellStyle name="Comma 824 3 2" xfId="8363" xr:uid="{67AB89D1-C129-4CB9-8166-0515A69A5F3F}"/>
    <cellStyle name="Comma 824 4" xfId="5256" xr:uid="{188D7D49-0F50-4D9E-ABCC-72E5541991A1}"/>
    <cellStyle name="Comma 824 4 2" xfId="10432" xr:uid="{7B6FA293-F73F-43B2-B93B-4851BCA7510E}"/>
    <cellStyle name="Comma 824 5" xfId="6304" xr:uid="{2C83F4F4-29AF-4C85-8126-BAA3F35E719F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3" xfId="7336" xr:uid="{8794C206-34CB-43F7-B454-6321CFD6B015}"/>
    <cellStyle name="Comma 825 3" xfId="3131" xr:uid="{13314471-B350-48E5-9947-05CCE4CBE6B8}"/>
    <cellStyle name="Comma 825 3 2" xfId="8364" xr:uid="{832622E2-B315-4037-A4A1-043B419C0D0E}"/>
    <cellStyle name="Comma 825 4" xfId="5257" xr:uid="{E08E9FF6-2600-45C8-9135-2EF6B2A33D66}"/>
    <cellStyle name="Comma 825 4 2" xfId="10433" xr:uid="{C847129A-A618-49B8-AB67-D03821ED335B}"/>
    <cellStyle name="Comma 825 5" xfId="6305" xr:uid="{D6BE4BC1-3522-4C60-BB11-2E78F0F8F099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3" xfId="7337" xr:uid="{69D90A75-3A45-4C0E-99F1-4CA9BF7D99CB}"/>
    <cellStyle name="Comma 826 3" xfId="3132" xr:uid="{BD8DC815-BAC3-44BE-9454-4E686E60D918}"/>
    <cellStyle name="Comma 826 3 2" xfId="8365" xr:uid="{1342AE24-9A58-48A7-90D4-042062BAB6FB}"/>
    <cellStyle name="Comma 826 4" xfId="5258" xr:uid="{BF04AA42-C9A5-4B1B-A62F-742B00CA2F66}"/>
    <cellStyle name="Comma 826 4 2" xfId="10434" xr:uid="{CB57A4CB-C6E8-46A8-B9C6-73D49717B464}"/>
    <cellStyle name="Comma 826 5" xfId="6306" xr:uid="{D6D050EC-7825-4DFA-BD8A-E1A92D29AC6D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3" xfId="7338" xr:uid="{9E9D66FE-CFE5-4A1E-AD3A-BFCADB2A9467}"/>
    <cellStyle name="Comma 827 3" xfId="3133" xr:uid="{BCF8A643-8D6A-40F6-BD6D-50B040F79A1A}"/>
    <cellStyle name="Comma 827 3 2" xfId="8366" xr:uid="{9692842C-6F05-4610-808F-64296E5485C2}"/>
    <cellStyle name="Comma 827 4" xfId="5259" xr:uid="{9134FABF-8ED5-4DDF-86E8-8C7B3669553C}"/>
    <cellStyle name="Comma 827 4 2" xfId="10435" xr:uid="{3BFB9324-4F2C-4EBE-BF2D-3C3CB69F11B6}"/>
    <cellStyle name="Comma 827 5" xfId="6307" xr:uid="{A6DAB688-6197-4041-B1BE-F8298D1F5582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3" xfId="7339" xr:uid="{C6829D24-3C4F-4752-AAC2-D3E7DB1FCA81}"/>
    <cellStyle name="Comma 828 3" xfId="3134" xr:uid="{3CB4191D-C6A4-495F-9DB0-2F8943AB9404}"/>
    <cellStyle name="Comma 828 3 2" xfId="8367" xr:uid="{C3000034-40FD-492E-9D91-054654393C35}"/>
    <cellStyle name="Comma 828 4" xfId="5260" xr:uid="{53697C4D-E42A-45A5-8F67-906AE1CFAC30}"/>
    <cellStyle name="Comma 828 4 2" xfId="10436" xr:uid="{77B9505A-5F70-42A1-BEF5-F69AC5A0536E}"/>
    <cellStyle name="Comma 828 5" xfId="6308" xr:uid="{9394D7B2-2245-4E1D-A39F-E1AD904D8363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3" xfId="7340" xr:uid="{46AF4F83-3618-47FD-9EB2-D6F67E499B9B}"/>
    <cellStyle name="Comma 829 3" xfId="3135" xr:uid="{0248195A-57F9-4F11-AA88-BE61B2DC15D0}"/>
    <cellStyle name="Comma 829 3 2" xfId="8368" xr:uid="{1B043804-2CB6-477A-B477-EFA776DC72E2}"/>
    <cellStyle name="Comma 829 4" xfId="5261" xr:uid="{3F248A83-E10F-475B-BDD0-C70A27B95E03}"/>
    <cellStyle name="Comma 829 4 2" xfId="10437" xr:uid="{547B06A4-1FE0-4A37-8243-3D9D0CFBA3E7}"/>
    <cellStyle name="Comma 829 5" xfId="6309" xr:uid="{F098930B-8748-4C81-8A96-22043CD1FA98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3" xfId="6594" xr:uid="{BEC2588E-3428-4799-830C-C2909FFED070}"/>
    <cellStyle name="Comma 83 3" xfId="2389" xr:uid="{620AC12B-1475-48D8-B5EC-F910C08A90CE}"/>
    <cellStyle name="Comma 83 3 2" xfId="7622" xr:uid="{B4775019-B2A6-4657-9967-F8A385CE4F3D}"/>
    <cellStyle name="Comma 83 4" xfId="4515" xr:uid="{4949529C-06CB-43BB-8461-CC68F69023B9}"/>
    <cellStyle name="Comma 83 4 2" xfId="9691" xr:uid="{EB580DD6-0885-40A6-AED2-E1A88C04941A}"/>
    <cellStyle name="Comma 83 5" xfId="5563" xr:uid="{F3F12AFB-1881-46B6-B86F-8654D187CDEE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3" xfId="7341" xr:uid="{0CB7D8E5-F036-4F61-B23D-22FFDBF08043}"/>
    <cellStyle name="Comma 830 3" xfId="3136" xr:uid="{10704ECD-DA5D-4897-BBB4-E5DDE7249EB7}"/>
    <cellStyle name="Comma 830 3 2" xfId="8369" xr:uid="{5DF05252-568D-40DF-A8DD-156F2C8E2399}"/>
    <cellStyle name="Comma 830 4" xfId="5262" xr:uid="{D585E2CA-3475-4AED-841D-4817618A0FE2}"/>
    <cellStyle name="Comma 830 4 2" xfId="10438" xr:uid="{D49E5B12-923C-4B6F-9A9C-BCBE0C2A6CA2}"/>
    <cellStyle name="Comma 830 5" xfId="6310" xr:uid="{6B313101-12B4-4E66-9471-535AFE628A6A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3" xfId="7342" xr:uid="{6CA7AE39-C007-4F2F-9D96-7172BF93AB23}"/>
    <cellStyle name="Comma 831 3" xfId="3137" xr:uid="{A39579FF-B4BD-4E0E-BDB0-14D59FDBE73F}"/>
    <cellStyle name="Comma 831 3 2" xfId="8370" xr:uid="{763535F8-DB39-42DA-B016-65C42F52029D}"/>
    <cellStyle name="Comma 831 4" xfId="5263" xr:uid="{EB228899-8C81-4149-AF87-3E833F5EE4D4}"/>
    <cellStyle name="Comma 831 4 2" xfId="10439" xr:uid="{6F290539-56F5-4FB2-96EC-98BE5616F0A9}"/>
    <cellStyle name="Comma 831 5" xfId="6311" xr:uid="{6732AE85-ED94-4DFC-B8B2-6AE54C18C87C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3" xfId="7343" xr:uid="{F4BA4BAE-177B-4C73-B7E1-6BB3B27F1D7B}"/>
    <cellStyle name="Comma 832 3" xfId="3138" xr:uid="{942CF8F8-D6C9-4A22-B8AD-5621CDBC5916}"/>
    <cellStyle name="Comma 832 3 2" xfId="8371" xr:uid="{037C2AC4-F91B-4326-9B05-167599A088AD}"/>
    <cellStyle name="Comma 832 4" xfId="5264" xr:uid="{5E934839-95F0-4996-A39E-763A7274D02F}"/>
    <cellStyle name="Comma 832 4 2" xfId="10440" xr:uid="{C129F5C6-154A-456E-A4E0-CE2AC44C6754}"/>
    <cellStyle name="Comma 832 5" xfId="6312" xr:uid="{0686D8D7-B1D4-48A1-806B-ED5EDC789534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3" xfId="7344" xr:uid="{5B1B9DE9-EDD1-4A70-8DE4-AD1543AC53DD}"/>
    <cellStyle name="Comma 833 3" xfId="3139" xr:uid="{D78E5127-9378-47BE-8F51-2CCEDE274D46}"/>
    <cellStyle name="Comma 833 3 2" xfId="8372" xr:uid="{6B8751A2-4B79-4D25-ADE5-01D1138A86B6}"/>
    <cellStyle name="Comma 833 4" xfId="5265" xr:uid="{B8600CE1-1931-4AE9-B6BC-3C2EA6CEABE0}"/>
    <cellStyle name="Comma 833 4 2" xfId="10441" xr:uid="{1EE13F1F-06BB-45AD-9CFD-4C56064E2CA0}"/>
    <cellStyle name="Comma 833 5" xfId="6313" xr:uid="{1299EF77-4AED-40F7-A8F7-89BA1481FE23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3" xfId="7345" xr:uid="{183BC6C3-ADF3-4BED-BD81-B37B28B2F1E6}"/>
    <cellStyle name="Comma 834 3" xfId="3140" xr:uid="{E6F3672C-CB8E-4AE3-BF7A-B0187862017D}"/>
    <cellStyle name="Comma 834 3 2" xfId="8373" xr:uid="{BD43385B-75C3-4DDC-BF8D-437B98DB1ECE}"/>
    <cellStyle name="Comma 834 4" xfId="5266" xr:uid="{B66BD2C8-2968-464D-A25A-841B2535000C}"/>
    <cellStyle name="Comma 834 4 2" xfId="10442" xr:uid="{251C864E-7D22-46B4-9F69-7C6464379662}"/>
    <cellStyle name="Comma 834 5" xfId="6314" xr:uid="{2D950870-9D27-4B82-A5DF-14A68B7E678E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3" xfId="7346" xr:uid="{D13F5CE4-3A2A-40A7-83A7-7BA392D52791}"/>
    <cellStyle name="Comma 835 3" xfId="3141" xr:uid="{736E9B22-A46D-489E-9814-5233C715A267}"/>
    <cellStyle name="Comma 835 3 2" xfId="8374" xr:uid="{CE6CA913-6C65-43B0-B9AA-DB1C6C608406}"/>
    <cellStyle name="Comma 835 4" xfId="5267" xr:uid="{F24F5AED-D9A4-4C6F-90BA-A2712FEAD9BE}"/>
    <cellStyle name="Comma 835 4 2" xfId="10443" xr:uid="{B75D1E41-6F9D-444B-8822-E9983E53A0EE}"/>
    <cellStyle name="Comma 835 5" xfId="6315" xr:uid="{3077ABFF-8BAD-4958-A917-C856A2674DEB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3" xfId="7347" xr:uid="{7F9C8390-E9BC-41BE-B4A0-5B666324338B}"/>
    <cellStyle name="Comma 836 3" xfId="3142" xr:uid="{69621652-EC2E-4DDD-8453-526F8254DDD8}"/>
    <cellStyle name="Comma 836 3 2" xfId="8375" xr:uid="{F06B412C-C5BD-4E48-9370-7B982DC292C5}"/>
    <cellStyle name="Comma 836 4" xfId="5268" xr:uid="{9B6DF371-8D71-4119-8A8D-C1B841E922DA}"/>
    <cellStyle name="Comma 836 4 2" xfId="10444" xr:uid="{AC2DEE4B-FD16-4805-B291-F3C4758BD0FC}"/>
    <cellStyle name="Comma 836 5" xfId="6316" xr:uid="{7C9D0DD2-6765-4A3A-AF7D-B8C07FE6A1D6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3" xfId="7348" xr:uid="{48E67F01-4220-4D35-B8BE-9A837C54BDAD}"/>
    <cellStyle name="Comma 837 3" xfId="3143" xr:uid="{C63E2F2F-F8F2-4097-BA21-349F65D292BA}"/>
    <cellStyle name="Comma 837 3 2" xfId="8376" xr:uid="{C51CA9DB-DEDC-46DD-BC4E-D5637A1B5E84}"/>
    <cellStyle name="Comma 837 4" xfId="5269" xr:uid="{BA849861-E907-4832-B7BA-DB291FE7A256}"/>
    <cellStyle name="Comma 837 4 2" xfId="10445" xr:uid="{D0A19640-F6A0-407A-8583-7140DB38164D}"/>
    <cellStyle name="Comma 837 5" xfId="6317" xr:uid="{94C301F9-D1A3-450B-A295-D598A98D6EA5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3" xfId="7349" xr:uid="{521D7F40-9D46-4874-B781-1AB917B4FBA8}"/>
    <cellStyle name="Comma 838 3" xfId="3144" xr:uid="{36F7E94C-1047-4BB2-99C3-2A1AA27A41FA}"/>
    <cellStyle name="Comma 838 3 2" xfId="8377" xr:uid="{5B3DC40C-1FB2-474D-91AF-DBD0D4BBF7FE}"/>
    <cellStyle name="Comma 838 4" xfId="5270" xr:uid="{44AB980A-2D5C-4E1E-A86C-47A8CCB542FE}"/>
    <cellStyle name="Comma 838 4 2" xfId="10446" xr:uid="{4C48C9B0-BC10-4DDB-B853-9236E52208D6}"/>
    <cellStyle name="Comma 838 5" xfId="6318" xr:uid="{637C1747-9A91-468E-835F-33AC4A676D55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3" xfId="7350" xr:uid="{1DD8B489-00DB-451E-A4ED-DF85FA887A2F}"/>
    <cellStyle name="Comma 839 3" xfId="3145" xr:uid="{532F8A74-BD97-4825-8F12-6C1E764B3861}"/>
    <cellStyle name="Comma 839 3 2" xfId="8378" xr:uid="{E68DBE04-BE49-4454-AEF8-018CBC153C0F}"/>
    <cellStyle name="Comma 839 4" xfId="5271" xr:uid="{3106FF66-9DFC-4980-9850-FFD175EC875C}"/>
    <cellStyle name="Comma 839 4 2" xfId="10447" xr:uid="{20DF2891-E464-4CD8-89E0-C1059BBEDB54}"/>
    <cellStyle name="Comma 839 5" xfId="6319" xr:uid="{55481090-8122-481D-BF21-7B0091CA591D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3" xfId="6595" xr:uid="{E3AEA6A1-4950-404B-BACE-31BE91AC5FA4}"/>
    <cellStyle name="Comma 84 3" xfId="2390" xr:uid="{8F711E0C-6255-4030-90DF-8BEA677F6253}"/>
    <cellStyle name="Comma 84 3 2" xfId="7623" xr:uid="{099FE8E9-C30D-41F9-BEEA-5DC9F5B3A180}"/>
    <cellStyle name="Comma 84 4" xfId="4516" xr:uid="{946B99E2-089E-479C-B69A-4459181621A7}"/>
    <cellStyle name="Comma 84 4 2" xfId="9692" xr:uid="{3CB77196-4996-4F9A-A988-5B4A2AD2B966}"/>
    <cellStyle name="Comma 84 5" xfId="5564" xr:uid="{AD930796-1ABA-4195-8E93-9F5AC416D892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3" xfId="7351" xr:uid="{944D3044-CD07-4732-AC3D-890AA05B31A9}"/>
    <cellStyle name="Comma 840 3" xfId="3146" xr:uid="{D4911CAA-F074-4E52-9909-B6FD15F9ACB2}"/>
    <cellStyle name="Comma 840 3 2" xfId="8379" xr:uid="{0DFDF6B8-F49A-4AA6-ABEB-9E78FF35AFF6}"/>
    <cellStyle name="Comma 840 4" xfId="5272" xr:uid="{EC26A740-1FFA-4C78-83A5-F954B7349A89}"/>
    <cellStyle name="Comma 840 4 2" xfId="10448" xr:uid="{D9B7A91E-784D-4891-B07F-D8C11478430F}"/>
    <cellStyle name="Comma 840 5" xfId="6320" xr:uid="{815D34E7-589F-4AFA-B09A-18DF1C037915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3" xfId="7352" xr:uid="{F705F365-57AD-4A37-B30F-2F9DA471DEB9}"/>
    <cellStyle name="Comma 841 3" xfId="3147" xr:uid="{2C1BD0FB-D637-43F7-9176-8428286A4F3C}"/>
    <cellStyle name="Comma 841 3 2" xfId="8380" xr:uid="{B53C7A2E-0B69-4A39-9100-FDF17CAE3D38}"/>
    <cellStyle name="Comma 841 4" xfId="5273" xr:uid="{75F7ECA3-D824-43B5-B185-AB0AB34F2B39}"/>
    <cellStyle name="Comma 841 4 2" xfId="10449" xr:uid="{57A2058A-FBF9-420E-880F-1250AC30E493}"/>
    <cellStyle name="Comma 841 5" xfId="6321" xr:uid="{E2635A98-D37F-468C-95E8-074C3387CC67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3" xfId="7353" xr:uid="{B76D8C35-8FDA-4444-BC56-F74C81473EDE}"/>
    <cellStyle name="Comma 842 3" xfId="3148" xr:uid="{C8A64825-0624-424D-95A6-4BD86C91E73B}"/>
    <cellStyle name="Comma 842 3 2" xfId="8381" xr:uid="{BB655B1C-700D-4B00-8DC2-97649AEB937B}"/>
    <cellStyle name="Comma 842 4" xfId="5274" xr:uid="{AA57FBEF-358D-4EA3-B7B7-210F32474970}"/>
    <cellStyle name="Comma 842 4 2" xfId="10450" xr:uid="{1D216EBA-3F0C-4D63-9C0E-1638E47BE33A}"/>
    <cellStyle name="Comma 842 5" xfId="6322" xr:uid="{B899E1BD-B310-4BFB-A4B1-83E5F3B8886D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3" xfId="7354" xr:uid="{B033F043-B11A-4F04-AE6F-A06B3E5A5296}"/>
    <cellStyle name="Comma 843 3" xfId="3149" xr:uid="{2D330D70-823C-480F-B2E2-57B819880621}"/>
    <cellStyle name="Comma 843 3 2" xfId="8382" xr:uid="{6CACA57B-788C-47CD-B0E5-BC1290F44FBB}"/>
    <cellStyle name="Comma 843 4" xfId="5275" xr:uid="{CF629D65-21E8-4C2D-AD1B-9F2F4B895AFA}"/>
    <cellStyle name="Comma 843 4 2" xfId="10451" xr:uid="{FD983DEC-432F-4A83-B3EB-1C2322D71143}"/>
    <cellStyle name="Comma 843 5" xfId="6323" xr:uid="{3B124DBE-7FBA-4DAE-B2F5-1F689537A0C3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3" xfId="7355" xr:uid="{5860D99D-4CF9-410F-8CDE-C797374C435A}"/>
    <cellStyle name="Comma 844 3" xfId="3150" xr:uid="{CEB7D2FF-5195-4BD7-AF53-4528D940E713}"/>
    <cellStyle name="Comma 844 3 2" xfId="8383" xr:uid="{9DE775D5-8053-4031-BA49-AF890F959001}"/>
    <cellStyle name="Comma 844 4" xfId="5276" xr:uid="{D13F2C06-5856-401E-AA20-C1B26079A30E}"/>
    <cellStyle name="Comma 844 4 2" xfId="10452" xr:uid="{7EB5CD2D-5EE3-421E-AC8F-83D8457928F7}"/>
    <cellStyle name="Comma 844 5" xfId="6324" xr:uid="{70E378D1-CBE8-4CC6-B379-D10A51A8296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3" xfId="7356" xr:uid="{DA9E5456-4E17-44A2-98D0-FB12F0D65433}"/>
    <cellStyle name="Comma 845 3" xfId="3151" xr:uid="{ABD811F9-E6A0-490F-9630-014ED266AE5D}"/>
    <cellStyle name="Comma 845 3 2" xfId="8384" xr:uid="{E1EE955B-33CB-49B5-9D67-91F34C94154B}"/>
    <cellStyle name="Comma 845 4" xfId="5277" xr:uid="{D63946A9-9C31-4C11-8D78-C34C50F95A7B}"/>
    <cellStyle name="Comma 845 4 2" xfId="10453" xr:uid="{8FD4B280-1CC5-4F32-8D28-067E1BB12F1C}"/>
    <cellStyle name="Comma 845 5" xfId="6325" xr:uid="{385CF86E-3B35-475F-974A-86632867011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3" xfId="7357" xr:uid="{74473500-6571-43F4-9977-FFACCAE206ED}"/>
    <cellStyle name="Comma 846 3" xfId="3152" xr:uid="{0C438592-C035-472B-8F9C-8952F05A0002}"/>
    <cellStyle name="Comma 846 3 2" xfId="8385" xr:uid="{0246CA28-2069-4FD0-A50E-C7E4B351C656}"/>
    <cellStyle name="Comma 846 4" xfId="5278" xr:uid="{953F88AD-182B-42A6-8DAD-DBED513D11E6}"/>
    <cellStyle name="Comma 846 4 2" xfId="10454" xr:uid="{8621FD1C-A822-4293-A5E6-F139A7F48D38}"/>
    <cellStyle name="Comma 846 5" xfId="6326" xr:uid="{F853E727-6844-40E3-93DC-D216D94E29B0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3" xfId="7358" xr:uid="{674E041F-AE5A-4436-9A1A-6E8CC95A8A30}"/>
    <cellStyle name="Comma 847 3" xfId="3153" xr:uid="{127F9E13-7889-4BAC-880C-40F81EC92F4A}"/>
    <cellStyle name="Comma 847 3 2" xfId="8386" xr:uid="{0F1E2E4D-5E0D-4B7B-BEB9-E6C106E143F2}"/>
    <cellStyle name="Comma 847 4" xfId="5279" xr:uid="{3694948F-18C9-4206-ACBE-3BE1188AE58B}"/>
    <cellStyle name="Comma 847 4 2" xfId="10455" xr:uid="{95C5DC3D-B8F2-46E1-9275-540E00EB63FD}"/>
    <cellStyle name="Comma 847 5" xfId="6327" xr:uid="{BA37235D-6D8F-4713-949A-AE977309AC88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3" xfId="7359" xr:uid="{A377CE79-C13F-4B6E-A7DA-4175C158DA9C}"/>
    <cellStyle name="Comma 848 3" xfId="3154" xr:uid="{F7545639-7A0F-4225-8F2C-E6CA0F632AA9}"/>
    <cellStyle name="Comma 848 3 2" xfId="8387" xr:uid="{7BE8B3A1-DAB5-44BE-B90C-63C69073D5A4}"/>
    <cellStyle name="Comma 848 4" xfId="5280" xr:uid="{C219F640-0BBF-4089-B4E4-AAEE6FBCE1D1}"/>
    <cellStyle name="Comma 848 4 2" xfId="10456" xr:uid="{E7B02B9C-0C33-4830-AD0E-3444185C0AEF}"/>
    <cellStyle name="Comma 848 5" xfId="6328" xr:uid="{7ABED5B9-E15D-4FD6-8B81-430C658C85AE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3" xfId="7360" xr:uid="{443D99CE-91F6-415C-A32C-A13F63D2F968}"/>
    <cellStyle name="Comma 849 3" xfId="3155" xr:uid="{8F415C54-BB4D-4CA7-AB37-F7BDC1D42B28}"/>
    <cellStyle name="Comma 849 3 2" xfId="8388" xr:uid="{DDF6D6C8-F127-4C22-94B7-F7100F4530FA}"/>
    <cellStyle name="Comma 849 4" xfId="5281" xr:uid="{49214240-3117-470E-B441-2AED7AABB176}"/>
    <cellStyle name="Comma 849 4 2" xfId="10457" xr:uid="{9579A553-E904-4767-8665-BCB989913CF7}"/>
    <cellStyle name="Comma 849 5" xfId="6329" xr:uid="{D2BCE117-005A-40D3-AFD7-3EAC4971B32B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3" xfId="6596" xr:uid="{55EEB1FE-9A0D-40C0-B6DF-915DCA2DB900}"/>
    <cellStyle name="Comma 85 3" xfId="2391" xr:uid="{3B3C6B22-A43B-46DC-9BFC-AC4AC13E84D1}"/>
    <cellStyle name="Comma 85 3 2" xfId="7624" xr:uid="{7BC3E8EC-C4EE-4D35-99A5-6C1284DD61E3}"/>
    <cellStyle name="Comma 85 4" xfId="4517" xr:uid="{76F8CDF7-1894-49C2-9E6A-ADC7951F46FB}"/>
    <cellStyle name="Comma 85 4 2" xfId="9693" xr:uid="{BFC6C87C-6051-4181-B754-FD41BD6941FD}"/>
    <cellStyle name="Comma 85 5" xfId="5565" xr:uid="{385DCA88-F0DE-4E38-ACC7-D6469CBFF9C1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3" xfId="7361" xr:uid="{067947FE-542D-4923-AFC1-3738A13EF43D}"/>
    <cellStyle name="Comma 850 3" xfId="3156" xr:uid="{8C042D8D-2DEC-42A1-A68C-182EBDAB27A3}"/>
    <cellStyle name="Comma 850 3 2" xfId="8389" xr:uid="{C333A91C-6E53-4468-AC21-73440E3377DD}"/>
    <cellStyle name="Comma 850 4" xfId="5282" xr:uid="{77AA86AF-39EF-4737-AB52-6A9E46A41E6F}"/>
    <cellStyle name="Comma 850 4 2" xfId="10458" xr:uid="{E335783E-B726-4E00-9274-548408BAFA79}"/>
    <cellStyle name="Comma 850 5" xfId="6330" xr:uid="{985E6F80-5776-4FAA-98DA-9971135C10B5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3" xfId="7362" xr:uid="{03C9590F-8FD0-4F17-962C-DC06038410F3}"/>
    <cellStyle name="Comma 851 3" xfId="3157" xr:uid="{7EC0CB58-E407-4C71-8999-FC8C67DCCFF4}"/>
    <cellStyle name="Comma 851 3 2" xfId="8390" xr:uid="{1E5FA2E8-0867-4600-8258-D73FD7211F7F}"/>
    <cellStyle name="Comma 851 4" xfId="5283" xr:uid="{8DE0EC55-201B-4097-ADE1-32FDEEBFFB1B}"/>
    <cellStyle name="Comma 851 4 2" xfId="10459" xr:uid="{FBAEA610-06BD-4D84-AE94-48A39F793513}"/>
    <cellStyle name="Comma 851 5" xfId="6331" xr:uid="{5EADA462-DF12-4A17-8989-ED617B5440C1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3" xfId="7363" xr:uid="{B3213A6E-B2DA-4DEB-997F-87C9726ABDD1}"/>
    <cellStyle name="Comma 852 3" xfId="3158" xr:uid="{A8DEB88F-E2F5-4BC3-B314-394D120BD1EE}"/>
    <cellStyle name="Comma 852 3 2" xfId="8391" xr:uid="{3757E820-3C16-4771-B43A-F7AFE0E3B868}"/>
    <cellStyle name="Comma 852 4" xfId="5284" xr:uid="{27262EA8-2984-42D6-B3E4-F4C02590DB3C}"/>
    <cellStyle name="Comma 852 4 2" xfId="10460" xr:uid="{015848B6-0C6A-4E93-AE5B-324FEC75DC3D}"/>
    <cellStyle name="Comma 852 5" xfId="6332" xr:uid="{93EEB797-FA91-4564-A995-3010393B0E91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3" xfId="7364" xr:uid="{2C6C9642-E399-46CC-88EC-ACE918360DBD}"/>
    <cellStyle name="Comma 853 3" xfId="3159" xr:uid="{1B9C5D50-4945-46EC-A8C6-24A4E8A58634}"/>
    <cellStyle name="Comma 853 3 2" xfId="8392" xr:uid="{7750B22A-C8F9-4262-8F94-07B7B11F350D}"/>
    <cellStyle name="Comma 853 4" xfId="5285" xr:uid="{3F2A3EFC-0F1E-439B-A0D9-FF43A93648A7}"/>
    <cellStyle name="Comma 853 4 2" xfId="10461" xr:uid="{9DA22B7E-1A55-45F7-95D0-1CA450CE834E}"/>
    <cellStyle name="Comma 853 5" xfId="6333" xr:uid="{1A770A6C-85F9-4069-8862-1F539F47806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3" xfId="7365" xr:uid="{B1107178-772E-4B81-9073-9D6FC0A30184}"/>
    <cellStyle name="Comma 854 3" xfId="3160" xr:uid="{559EC488-6316-4803-ABCE-1980402719F2}"/>
    <cellStyle name="Comma 854 3 2" xfId="8393" xr:uid="{B692E447-2A29-4400-B0F2-A62523447111}"/>
    <cellStyle name="Comma 854 4" xfId="5286" xr:uid="{A459C663-2ED3-4C27-8212-EA4785459E7D}"/>
    <cellStyle name="Comma 854 4 2" xfId="10462" xr:uid="{DC453A9D-48F5-48C5-8C9A-AA642BB38C11}"/>
    <cellStyle name="Comma 854 5" xfId="6334" xr:uid="{78456035-5BFA-4E01-9EA3-07632461B3D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3" xfId="7366" xr:uid="{2F98B2D6-5B4E-43EB-97DF-106B0BFE419C}"/>
    <cellStyle name="Comma 855 3" xfId="3161" xr:uid="{A8E0092A-D87A-4FED-A3AB-979FA8CBC128}"/>
    <cellStyle name="Comma 855 3 2" xfId="8394" xr:uid="{012092B9-0D8E-497E-9CA1-485D9DF0D69D}"/>
    <cellStyle name="Comma 855 4" xfId="5287" xr:uid="{9D3262D3-73E3-45AA-B1C0-DB19357F7586}"/>
    <cellStyle name="Comma 855 4 2" xfId="10463" xr:uid="{EBBBACD0-7F18-4519-86AA-15D887D409C7}"/>
    <cellStyle name="Comma 855 5" xfId="6335" xr:uid="{5466FFAA-C0F8-4F48-A98F-669D73C17E9D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3" xfId="7367" xr:uid="{FB12EB14-A720-4C37-A398-81CDF628BC64}"/>
    <cellStyle name="Comma 856 3" xfId="3162" xr:uid="{A4462A83-AB09-4EC7-8385-969F3DB3E679}"/>
    <cellStyle name="Comma 856 3 2" xfId="8395" xr:uid="{0A3F6DF2-B989-40B2-BA59-D174CFC7F7A9}"/>
    <cellStyle name="Comma 856 4" xfId="5288" xr:uid="{57F172A3-8F0B-4719-8510-3D9396D588C6}"/>
    <cellStyle name="Comma 856 4 2" xfId="10464" xr:uid="{BF6AB6D7-8F34-4F67-8145-B9CC57716AE5}"/>
    <cellStyle name="Comma 856 5" xfId="6336" xr:uid="{C5C79B46-9ECF-4462-8498-9B92ACF1870E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3" xfId="7368" xr:uid="{F094418B-C21E-4CF3-B2B2-F2A931E3678A}"/>
    <cellStyle name="Comma 857 3" xfId="3163" xr:uid="{5068B8F5-34C3-4FFA-A071-8738F52F7D94}"/>
    <cellStyle name="Comma 857 3 2" xfId="8396" xr:uid="{0E6356EC-DB2A-45C0-AE08-FA70130326B4}"/>
    <cellStyle name="Comma 857 4" xfId="5289" xr:uid="{87379C62-7A87-43BB-A3A0-EC2DFB6E7DCF}"/>
    <cellStyle name="Comma 857 4 2" xfId="10465" xr:uid="{B2B8593E-4D41-4B7A-B140-5CCACCECD23B}"/>
    <cellStyle name="Comma 857 5" xfId="6337" xr:uid="{95B0C14F-04F2-4B3D-89F0-C6E2E155C65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3" xfId="7369" xr:uid="{F1D52D35-0B82-42AC-B8B6-1F29E01D2A94}"/>
    <cellStyle name="Comma 858 3" xfId="3164" xr:uid="{6F635DDA-7B59-4E6F-8CCD-C889C7792ED3}"/>
    <cellStyle name="Comma 858 3 2" xfId="8397" xr:uid="{8A66CE11-108E-4F0C-B28C-B75EFFCF9281}"/>
    <cellStyle name="Comma 858 4" xfId="5290" xr:uid="{3DC6C8F4-791B-4682-A3C1-8FA1AE641658}"/>
    <cellStyle name="Comma 858 4 2" xfId="10466" xr:uid="{5DCF9BBD-E1B2-4B52-94E1-2C49E5C465B0}"/>
    <cellStyle name="Comma 858 5" xfId="6338" xr:uid="{C751FFAC-E283-4534-B43E-F9CDF385AD62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3" xfId="7370" xr:uid="{476171AB-2E55-4465-8F40-86ADDD6B03FB}"/>
    <cellStyle name="Comma 859 3" xfId="3165" xr:uid="{D1ED7B50-42DE-448A-894C-262CFB996A33}"/>
    <cellStyle name="Comma 859 3 2" xfId="8398" xr:uid="{89DD762A-0238-47D1-849F-10B4F3095469}"/>
    <cellStyle name="Comma 859 4" xfId="5291" xr:uid="{35817B4B-55FA-411B-91E0-9CDB4B162720}"/>
    <cellStyle name="Comma 859 4 2" xfId="10467" xr:uid="{DA50A368-9340-4ED9-88A4-B86E57F76EAC}"/>
    <cellStyle name="Comma 859 5" xfId="6339" xr:uid="{8167DA95-7A52-4E8F-B8A1-EBC1BF09A776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3" xfId="6597" xr:uid="{17C1ED00-4426-458A-9698-F36039890E44}"/>
    <cellStyle name="Comma 86 3" xfId="2392" xr:uid="{7F8C6114-F9B7-4D06-8753-5C56350C7191}"/>
    <cellStyle name="Comma 86 3 2" xfId="7625" xr:uid="{1193DABA-7756-4A74-A9D7-5A82081178AE}"/>
    <cellStyle name="Comma 86 4" xfId="4518" xr:uid="{EC096854-1E36-475A-8603-6E7BDF45529F}"/>
    <cellStyle name="Comma 86 4 2" xfId="9694" xr:uid="{022C491D-7B15-4FDF-8726-9A832C939B68}"/>
    <cellStyle name="Comma 86 5" xfId="5566" xr:uid="{9F0D52B3-0CC5-4DA8-90AC-C06E38989C89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3" xfId="7371" xr:uid="{AE1CDC9A-1278-4799-83B2-91D2FCDBC959}"/>
    <cellStyle name="Comma 860 3" xfId="3166" xr:uid="{24268C38-934E-4C44-B051-07A245DCCFCE}"/>
    <cellStyle name="Comma 860 3 2" xfId="8399" xr:uid="{F7634A1F-540B-46EC-BA23-2548C205F09B}"/>
    <cellStyle name="Comma 860 4" xfId="5292" xr:uid="{8A461407-A598-4131-A70F-2C331853E67A}"/>
    <cellStyle name="Comma 860 4 2" xfId="10468" xr:uid="{B110FB56-D54C-4C90-8016-003E492F95B6}"/>
    <cellStyle name="Comma 860 5" xfId="6340" xr:uid="{E1A987A9-CCB8-4C5C-B60D-0718362356C9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3" xfId="7372" xr:uid="{A19CF835-AD13-4C5E-8186-DD9F73995EA9}"/>
    <cellStyle name="Comma 861 3" xfId="3167" xr:uid="{13FA404C-6457-4BA5-B0A9-0D76236CBA42}"/>
    <cellStyle name="Comma 861 3 2" xfId="8400" xr:uid="{896DFBFB-FB68-4822-8896-F4E2BC80BA57}"/>
    <cellStyle name="Comma 861 4" xfId="5293" xr:uid="{D45D42B5-7169-4166-BC05-9D3CDB5F727A}"/>
    <cellStyle name="Comma 861 4 2" xfId="10469" xr:uid="{8C40B3D6-43DA-4FF1-86FF-FFA9756F05A2}"/>
    <cellStyle name="Comma 861 5" xfId="6341" xr:uid="{714E6572-2EC2-4F62-A710-B0B942F833C2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3" xfId="7373" xr:uid="{BDC3EDE7-4D1E-48D0-8C96-307C57C8BB2F}"/>
    <cellStyle name="Comma 862 3" xfId="3168" xr:uid="{7F23BD09-6333-4F81-81CB-3C05F7785890}"/>
    <cellStyle name="Comma 862 3 2" xfId="8401" xr:uid="{7293688A-4656-4423-9942-8E1FD898AF77}"/>
    <cellStyle name="Comma 862 4" xfId="5294" xr:uid="{2A34814E-EA19-4BB0-B7B2-E99836D0B1FD}"/>
    <cellStyle name="Comma 862 4 2" xfId="10470" xr:uid="{62C8BBDC-1BD6-449C-9190-10EF9EA08D1E}"/>
    <cellStyle name="Comma 862 5" xfId="6342" xr:uid="{F194E55A-00E6-424C-BCFE-F274106037E9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3" xfId="7374" xr:uid="{556B190E-2A93-4E3D-8CE0-A9AB6539E435}"/>
    <cellStyle name="Comma 863 3" xfId="3169" xr:uid="{86CC266A-8C06-4C48-9F18-E572390A7FFE}"/>
    <cellStyle name="Comma 863 3 2" xfId="8402" xr:uid="{63FB3769-9839-423D-8BF4-7633C3D83277}"/>
    <cellStyle name="Comma 863 4" xfId="5295" xr:uid="{E65AF708-7730-462B-936A-E59AA5F87175}"/>
    <cellStyle name="Comma 863 4 2" xfId="10471" xr:uid="{5EF3A719-57E4-46E0-AE6F-9BC4F785CCCA}"/>
    <cellStyle name="Comma 863 5" xfId="6343" xr:uid="{E5339EDF-7605-4C0D-B99B-B38BFB889E38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3" xfId="7375" xr:uid="{2AA622B6-E58F-4C54-8DAC-A10F3DC3B526}"/>
    <cellStyle name="Comma 864 3" xfId="3170" xr:uid="{C595162C-0098-4E63-AB6C-8FA8631E2ECD}"/>
    <cellStyle name="Comma 864 3 2" xfId="8403" xr:uid="{4A71A794-B498-4A78-856D-18B4076F88B7}"/>
    <cellStyle name="Comma 864 4" xfId="5296" xr:uid="{0615FC24-255A-42ED-BEB8-13E2C7AA55A8}"/>
    <cellStyle name="Comma 864 4 2" xfId="10472" xr:uid="{A5DEE56B-E936-4608-B82D-2C041D0620F4}"/>
    <cellStyle name="Comma 864 5" xfId="6344" xr:uid="{608C93C0-AD68-49EC-BC79-A77FC3A42FE0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3" xfId="7376" xr:uid="{FB8EAFE7-7029-47E3-91A6-8DBDF00574F6}"/>
    <cellStyle name="Comma 865 3" xfId="3171" xr:uid="{3FE4F6E2-E7C7-4404-A086-4365C96B7EBC}"/>
    <cellStyle name="Comma 865 3 2" xfId="8404" xr:uid="{FC2E3313-9257-4A76-BD33-E15001F15341}"/>
    <cellStyle name="Comma 865 4" xfId="5297" xr:uid="{189ACF4A-2C3B-46C6-9955-5A6981B0FAA3}"/>
    <cellStyle name="Comma 865 4 2" xfId="10473" xr:uid="{0F15DA0E-209C-4EA2-83E6-C515FA0C62BB}"/>
    <cellStyle name="Comma 865 5" xfId="6345" xr:uid="{3F938C4C-F4A7-4F7B-B762-E305F1513167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3" xfId="7377" xr:uid="{97B3E7BC-3F4B-4DEB-B092-CC16097263A7}"/>
    <cellStyle name="Comma 866 3" xfId="3172" xr:uid="{C4C3ABCD-0AAB-429F-8BF5-73F7AC03FA2D}"/>
    <cellStyle name="Comma 866 3 2" xfId="8405" xr:uid="{9CB0F130-D63A-4FB4-B32D-228238191F2E}"/>
    <cellStyle name="Comma 866 4" xfId="5298" xr:uid="{D1DDC834-2E48-4D96-A2C2-B2C471DBA6E1}"/>
    <cellStyle name="Comma 866 4 2" xfId="10474" xr:uid="{650242F6-132F-477C-B32B-29E5B01C36B0}"/>
    <cellStyle name="Comma 866 5" xfId="6346" xr:uid="{0C415518-F7CC-46CB-BB84-0134EF4F6B93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3" xfId="7378" xr:uid="{B7340A4D-9306-419F-A86A-2CB47A184D7E}"/>
    <cellStyle name="Comma 867 3" xfId="3173" xr:uid="{1034EB06-0A86-4E86-9AC6-D077CD512E8D}"/>
    <cellStyle name="Comma 867 3 2" xfId="8406" xr:uid="{10997765-626A-448D-85A9-B399DD844774}"/>
    <cellStyle name="Comma 867 4" xfId="5299" xr:uid="{635A6AB9-CBAE-4C7C-B855-75D614C16D30}"/>
    <cellStyle name="Comma 867 4 2" xfId="10475" xr:uid="{D66E9AE0-1090-46A2-86E3-0E09ABCFD877}"/>
    <cellStyle name="Comma 867 5" xfId="6347" xr:uid="{6EC18517-0277-44B8-BE69-5035ED5CB7C1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3" xfId="7379" xr:uid="{3A9BF06E-1011-410F-83D5-F549698D5B51}"/>
    <cellStyle name="Comma 868 3" xfId="3174" xr:uid="{6A342E94-C2F2-49CA-861B-E03DA0CD0C92}"/>
    <cellStyle name="Comma 868 3 2" xfId="8407" xr:uid="{4E499D33-1370-463C-A685-B43EF9161E0B}"/>
    <cellStyle name="Comma 868 4" xfId="5300" xr:uid="{21440DC1-1829-4ACA-BB3E-B0F73A2965F6}"/>
    <cellStyle name="Comma 868 4 2" xfId="10476" xr:uid="{C7D53B24-9FC2-428B-BF37-683C3CF7312F}"/>
    <cellStyle name="Comma 868 5" xfId="6348" xr:uid="{6A8EEA45-250E-43E2-986B-CCCF87B04731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3" xfId="7380" xr:uid="{4AFF7FF4-F66B-42A5-867F-BC3F8DD4FBF4}"/>
    <cellStyle name="Comma 869 3" xfId="3175" xr:uid="{DCFCC0EB-5610-4CBD-B7DA-833526C6D262}"/>
    <cellStyle name="Comma 869 3 2" xfId="8408" xr:uid="{21182292-8825-44D1-BED2-3A3DFEE90291}"/>
    <cellStyle name="Comma 869 4" xfId="5301" xr:uid="{49AB8B4A-BD0C-4641-A67D-3EDBE09475CB}"/>
    <cellStyle name="Comma 869 4 2" xfId="10477" xr:uid="{F0A0D9AA-08C2-4499-B9BF-3E345698ABEF}"/>
    <cellStyle name="Comma 869 5" xfId="6349" xr:uid="{4D88C894-B777-4393-88A1-00DC48F763F9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3" xfId="6598" xr:uid="{8127EC01-03D5-459A-BE59-1FF96B033019}"/>
    <cellStyle name="Comma 87 3" xfId="2393" xr:uid="{4E933B7A-C7FD-4841-8EB6-A48BEFF28883}"/>
    <cellStyle name="Comma 87 3 2" xfId="7626" xr:uid="{C064E877-8718-4EA1-93DC-8EDF62E77306}"/>
    <cellStyle name="Comma 87 4" xfId="4519" xr:uid="{0F74C827-E6E9-4258-AB5C-43E8F21CE61C}"/>
    <cellStyle name="Comma 87 4 2" xfId="9695" xr:uid="{EEE6CB97-4343-4B9D-820B-CB68123EE974}"/>
    <cellStyle name="Comma 87 5" xfId="5567" xr:uid="{39ADB2F7-39F4-4D1B-BB68-5063FCE2551E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3" xfId="7381" xr:uid="{DC9F6F99-867B-4BFE-B676-77C797830F8B}"/>
    <cellStyle name="Comma 870 3" xfId="3176" xr:uid="{9298F767-09E1-4E12-ADC9-324094918D4B}"/>
    <cellStyle name="Comma 870 3 2" xfId="8409" xr:uid="{AC342B37-AF85-429E-8C27-93F9D43C8B3F}"/>
    <cellStyle name="Comma 870 4" xfId="5302" xr:uid="{411CBEF0-583F-44DB-8237-1504BCEB0FBD}"/>
    <cellStyle name="Comma 870 4 2" xfId="10478" xr:uid="{6CD88190-7044-46CD-9DEE-AD8A8F6CA4D3}"/>
    <cellStyle name="Comma 870 5" xfId="6350" xr:uid="{CF22D533-5EF7-4BE6-B899-F114F2AE6756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3" xfId="7382" xr:uid="{A37E5722-EA55-4C94-BF1F-0410493A2615}"/>
    <cellStyle name="Comma 871 3" xfId="3177" xr:uid="{A6F5AF9F-1D92-42A3-8F64-BC74891F021A}"/>
    <cellStyle name="Comma 871 3 2" xfId="8410" xr:uid="{9EA69C06-CDCF-4C6E-9B7A-4F779A5F4B01}"/>
    <cellStyle name="Comma 871 4" xfId="5303" xr:uid="{DBCA8CDE-FB75-478B-B061-9838D8A9A1B3}"/>
    <cellStyle name="Comma 871 4 2" xfId="10479" xr:uid="{C677C5E5-A67C-4F03-B16F-903AE3E47DFC}"/>
    <cellStyle name="Comma 871 5" xfId="6351" xr:uid="{6AAF6EF1-25BC-4CA6-9122-D42AC1A2F83C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3" xfId="7383" xr:uid="{58ED95F0-5F1E-4AB8-9F42-689E1CAF5C56}"/>
    <cellStyle name="Comma 872 3" xfId="3178" xr:uid="{79B90C0E-6967-49BE-A43F-1BB9D65874A6}"/>
    <cellStyle name="Comma 872 3 2" xfId="8411" xr:uid="{0DD46C0F-58E5-4F22-8E49-178493F51079}"/>
    <cellStyle name="Comma 872 4" xfId="5304" xr:uid="{BC669582-D6EA-45C4-BB5A-8F73B9BF8C1E}"/>
    <cellStyle name="Comma 872 4 2" xfId="10480" xr:uid="{6591930E-15A9-496A-8220-1C533263A628}"/>
    <cellStyle name="Comma 872 5" xfId="6352" xr:uid="{AB296D16-D0CF-435E-93E7-3882A098D49C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3" xfId="7384" xr:uid="{840273B5-3C0F-4DDC-A21C-6B7B3017829A}"/>
    <cellStyle name="Comma 873 3" xfId="3179" xr:uid="{BA4C4006-D9AD-4BB9-A22C-6C7F45C2D12F}"/>
    <cellStyle name="Comma 873 3 2" xfId="8412" xr:uid="{619925B6-79E1-4CD5-8C15-1EC4A0EBF260}"/>
    <cellStyle name="Comma 873 4" xfId="5305" xr:uid="{28199282-AA40-4193-AF6B-20488FB104A7}"/>
    <cellStyle name="Comma 873 4 2" xfId="10481" xr:uid="{B9611F14-9441-432D-A77E-F6D5B9F3AF29}"/>
    <cellStyle name="Comma 873 5" xfId="6353" xr:uid="{49F43F6B-8029-44CA-B047-E1D096063C7F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3" xfId="7385" xr:uid="{330B3E0C-C46E-454B-84D0-E2634A72355D}"/>
    <cellStyle name="Comma 874 3" xfId="3180" xr:uid="{89A8C498-DC64-4719-99E6-8439EE1DFF93}"/>
    <cellStyle name="Comma 874 3 2" xfId="8413" xr:uid="{2219485A-B39F-40C2-96EA-FF81DB26911F}"/>
    <cellStyle name="Comma 874 4" xfId="5306" xr:uid="{D81BF6C9-6B39-4211-AD29-864298F113FF}"/>
    <cellStyle name="Comma 874 4 2" xfId="10482" xr:uid="{367803BC-35E8-4499-AF88-600EBAAE76E8}"/>
    <cellStyle name="Comma 874 5" xfId="6354" xr:uid="{B950A940-55B7-4C35-9B25-3586087755EA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3" xfId="7386" xr:uid="{651DA956-CB93-4232-842E-1A2986BCA76A}"/>
    <cellStyle name="Comma 875 3" xfId="3181" xr:uid="{C23F680B-C5DA-41CB-90F1-12EC3E6F4618}"/>
    <cellStyle name="Comma 875 3 2" xfId="8414" xr:uid="{8B25A70B-D595-4EAD-BB01-C8CE46A78A60}"/>
    <cellStyle name="Comma 875 4" xfId="5307" xr:uid="{70D0A34A-0864-47F9-B2CF-606508911279}"/>
    <cellStyle name="Comma 875 4 2" xfId="10483" xr:uid="{A61DB9BC-6ED7-4476-A4F5-3CE9DD750F01}"/>
    <cellStyle name="Comma 875 5" xfId="6355" xr:uid="{7A5ECE25-7932-49B0-B66B-994303936490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3" xfId="7387" xr:uid="{365B39D9-BC23-489B-9675-55E035E1480B}"/>
    <cellStyle name="Comma 876 3" xfId="3182" xr:uid="{5E082D87-86A8-421A-91FA-B3DD559C26D1}"/>
    <cellStyle name="Comma 876 3 2" xfId="8415" xr:uid="{3D15C382-B2A2-412E-9BDA-B5BCE0AD0E09}"/>
    <cellStyle name="Comma 876 4" xfId="5308" xr:uid="{485353F8-9C27-4617-9B25-CB3FFF3508C3}"/>
    <cellStyle name="Comma 876 4 2" xfId="10484" xr:uid="{615A6A73-9FFA-422F-ADF0-F372CDDC9517}"/>
    <cellStyle name="Comma 876 5" xfId="6356" xr:uid="{A1835236-C4F5-4782-82AF-AD08D71BF0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3" xfId="7388" xr:uid="{E529D0E4-8088-49AE-BD11-18A1E21D8C8B}"/>
    <cellStyle name="Comma 877 3" xfId="3183" xr:uid="{99AAAED6-AFD0-4396-9408-0FD2B06137AE}"/>
    <cellStyle name="Comma 877 3 2" xfId="8416" xr:uid="{D29FBD63-D607-4510-AE2B-CB4A89F25651}"/>
    <cellStyle name="Comma 877 4" xfId="5309" xr:uid="{3EDBE5B4-A971-4550-8E51-565DAD78C93C}"/>
    <cellStyle name="Comma 877 4 2" xfId="10485" xr:uid="{8AD8B4AA-C921-4913-A182-1103BA62D871}"/>
    <cellStyle name="Comma 877 5" xfId="6357" xr:uid="{AB02CAEC-62EC-4FCB-BE40-91C0DB36F64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3" xfId="7389" xr:uid="{3EC569ED-D45C-457A-A638-707EA052E767}"/>
    <cellStyle name="Comma 878 3" xfId="3184" xr:uid="{E743D29D-50BE-4E3C-8467-044D957F9DC0}"/>
    <cellStyle name="Comma 878 3 2" xfId="8417" xr:uid="{F5E8993F-ECF2-4EFF-B981-EC653660F4B0}"/>
    <cellStyle name="Comma 878 4" xfId="5310" xr:uid="{9BDBEFFD-B8E1-4CDC-8441-983636749ADF}"/>
    <cellStyle name="Comma 878 4 2" xfId="10486" xr:uid="{9794A359-1A17-408A-B76C-2936DD3C283A}"/>
    <cellStyle name="Comma 878 5" xfId="6358" xr:uid="{23A0A171-589F-4599-B49A-2A1803F3481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3" xfId="7390" xr:uid="{EFE93681-ABF1-49EE-8239-CB67C745B0D4}"/>
    <cellStyle name="Comma 879 3" xfId="3185" xr:uid="{39B1E68A-07CC-4EDF-AF21-3A98B00F254B}"/>
    <cellStyle name="Comma 879 3 2" xfId="8418" xr:uid="{293E28CC-456C-4D92-8B8C-000C98320AF7}"/>
    <cellStyle name="Comma 879 4" xfId="5311" xr:uid="{8FC4F0AE-9801-4FA2-BCD2-ECD1E7C29CA3}"/>
    <cellStyle name="Comma 879 4 2" xfId="10487" xr:uid="{C9BB4787-63BB-4BD2-A9DB-70F5F7146F0B}"/>
    <cellStyle name="Comma 879 5" xfId="6359" xr:uid="{23C6C766-782F-4029-9792-A45872C0F954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3" xfId="6599" xr:uid="{825F1F4F-76C9-469D-8F95-C13FB7437312}"/>
    <cellStyle name="Comma 88 3" xfId="2394" xr:uid="{9DB3F7EE-5213-438A-A35E-AC6C0B1D148F}"/>
    <cellStyle name="Comma 88 3 2" xfId="7627" xr:uid="{3DCB67D6-5FE7-4197-B05D-E83106FCEDF6}"/>
    <cellStyle name="Comma 88 4" xfId="4520" xr:uid="{5E089EBB-5572-41BF-B906-618A9A77C1A8}"/>
    <cellStyle name="Comma 88 4 2" xfId="9696" xr:uid="{7595EA09-7ED1-440B-BA2D-99B78725956D}"/>
    <cellStyle name="Comma 88 5" xfId="5568" xr:uid="{436529B6-DB4B-4A97-9764-4BF5A46FD610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3" xfId="7391" xr:uid="{774E660B-7638-4F45-BA73-9A74282AF9C9}"/>
    <cellStyle name="Comma 880 3" xfId="3186" xr:uid="{1547BDB0-DCB4-4D6B-BA05-B460D527ED2A}"/>
    <cellStyle name="Comma 880 3 2" xfId="8419" xr:uid="{43BC07AE-4595-4B91-96A0-DDBEB7D3D537}"/>
    <cellStyle name="Comma 880 4" xfId="5312" xr:uid="{9451EA44-F113-4F48-8280-48EB3C50271A}"/>
    <cellStyle name="Comma 880 4 2" xfId="10488" xr:uid="{3F9899F0-124A-4049-99D3-7A9A14DAC1A3}"/>
    <cellStyle name="Comma 880 5" xfId="6360" xr:uid="{FFCF94BA-3DCC-4DB2-8832-B6CFFE60259C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3" xfId="7392" xr:uid="{36AE26C9-FF08-47CD-812B-E2B9EECC44DA}"/>
    <cellStyle name="Comma 881 3" xfId="3187" xr:uid="{11FE7570-4664-469E-A0B6-0D91B50CD660}"/>
    <cellStyle name="Comma 881 3 2" xfId="8420" xr:uid="{A8FFC6DF-B21A-4F6B-A6BA-4EAFADC7D5BC}"/>
    <cellStyle name="Comma 881 4" xfId="5313" xr:uid="{E63F7ED1-8DAB-4A33-9E08-B4625BE4664C}"/>
    <cellStyle name="Comma 881 4 2" xfId="10489" xr:uid="{5E09A98D-178B-42C8-9944-D0ABA25AED43}"/>
    <cellStyle name="Comma 881 5" xfId="6361" xr:uid="{B92CB65D-2E12-4AEF-9BA0-BD9B42D981AD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3" xfId="7393" xr:uid="{0D7CA6A9-9B2B-4361-9D29-6937FB64E9C0}"/>
    <cellStyle name="Comma 882 3" xfId="3188" xr:uid="{A722035A-1E41-41F0-B44C-FFA942857A86}"/>
    <cellStyle name="Comma 882 3 2" xfId="8421" xr:uid="{44A06B8E-F420-4212-A70D-02FE343A73FC}"/>
    <cellStyle name="Comma 882 4" xfId="5314" xr:uid="{E159DB49-A983-4021-93AF-808F7D2C4AE8}"/>
    <cellStyle name="Comma 882 4 2" xfId="10490" xr:uid="{D757EE80-C0F3-48E5-8884-02447F2D5117}"/>
    <cellStyle name="Comma 882 5" xfId="6362" xr:uid="{045E8AD9-ED2C-4DF5-AB9B-2C29605C2F35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3" xfId="7394" xr:uid="{C904357E-135A-40FD-8FDD-1C586C7B7202}"/>
    <cellStyle name="Comma 883 3" xfId="3189" xr:uid="{EB69E032-45A4-44AA-A383-15EBA5ACBE52}"/>
    <cellStyle name="Comma 883 3 2" xfId="8422" xr:uid="{9643A1DA-3EA4-4FD3-B0AD-9E44C173B16C}"/>
    <cellStyle name="Comma 883 4" xfId="5315" xr:uid="{4D6265A1-CB57-4661-9654-B97E3BBAF526}"/>
    <cellStyle name="Comma 883 4 2" xfId="10491" xr:uid="{F95D8CAA-A8D9-4D27-BC2E-BB6C49DE763D}"/>
    <cellStyle name="Comma 883 5" xfId="6363" xr:uid="{574427A3-12E4-41AF-B190-6F68C1DCFA1F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3" xfId="7395" xr:uid="{FD7BB2A7-9462-441A-A07E-779656A17D99}"/>
    <cellStyle name="Comma 884 3" xfId="3190" xr:uid="{8978284A-7BE2-4265-AA1C-8C45A9CB98F9}"/>
    <cellStyle name="Comma 884 3 2" xfId="8423" xr:uid="{B4855147-F38D-4FF7-A319-B853E2BEACCE}"/>
    <cellStyle name="Comma 884 4" xfId="5316" xr:uid="{EB664FDB-496A-47F7-9520-CCF7121BFE29}"/>
    <cellStyle name="Comma 884 4 2" xfId="10492" xr:uid="{23BC2411-7ED1-4FE6-A5D4-19BE9594C945}"/>
    <cellStyle name="Comma 884 5" xfId="6364" xr:uid="{B6CD4978-6948-4837-A25D-B043FF551C63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3" xfId="7396" xr:uid="{6C4CA271-7FA3-4DBA-9411-0C803572CFEF}"/>
    <cellStyle name="Comma 885 3" xfId="3191" xr:uid="{3D825E58-FA73-4D01-9B3E-C3BC28D072BB}"/>
    <cellStyle name="Comma 885 3 2" xfId="8424" xr:uid="{A74A7F03-ABB8-40DD-B816-F8760DA1AE52}"/>
    <cellStyle name="Comma 885 4" xfId="5317" xr:uid="{1E2CACA7-EBB0-4B75-B9C5-D79E0F18C992}"/>
    <cellStyle name="Comma 885 4 2" xfId="10493" xr:uid="{437AF6A4-920B-4B29-99D7-AFAC8FA6AA7E}"/>
    <cellStyle name="Comma 885 5" xfId="6365" xr:uid="{33A6B1B5-ABE4-4ADA-BD4A-6A372AD89D5F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3" xfId="7397" xr:uid="{03DA703F-CCEF-499F-A1D2-3D964E3F896A}"/>
    <cellStyle name="Comma 886 3" xfId="3192" xr:uid="{AF3ADDD9-9AF9-4F8E-BC36-589B95F688B7}"/>
    <cellStyle name="Comma 886 3 2" xfId="8425" xr:uid="{6231EABD-0033-4314-8C1A-4F40EF23798F}"/>
    <cellStyle name="Comma 886 4" xfId="5318" xr:uid="{1D01824E-A41D-4867-99F5-BFA875C30B23}"/>
    <cellStyle name="Comma 886 4 2" xfId="10494" xr:uid="{1FFF9597-3E40-4923-B7B7-3882C7A03733}"/>
    <cellStyle name="Comma 886 5" xfId="6366" xr:uid="{3CD302B5-B47F-46FF-B535-8BE6B918959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3" xfId="7398" xr:uid="{A9B07044-2CCB-4063-96FE-DB04568951E7}"/>
    <cellStyle name="Comma 887 3" xfId="3193" xr:uid="{E673EFAF-3EC1-4371-A970-15BAB7236652}"/>
    <cellStyle name="Comma 887 3 2" xfId="8426" xr:uid="{8CA1AD7E-6963-48FD-970B-10BBC801C8F4}"/>
    <cellStyle name="Comma 887 4" xfId="5319" xr:uid="{527F560F-3090-4880-BBAB-982A1C9A0B15}"/>
    <cellStyle name="Comma 887 4 2" xfId="10495" xr:uid="{8FBE135A-E05F-4DFB-A5E8-C16D77054751}"/>
    <cellStyle name="Comma 887 5" xfId="6367" xr:uid="{458B054C-6430-4C5A-A744-07526786F6B0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3" xfId="7399" xr:uid="{4F765CCC-EE4D-415C-BE65-C31C6D41AFC1}"/>
    <cellStyle name="Comma 888 3" xfId="3194" xr:uid="{CDD114FF-9752-4227-8DBE-AA616507617B}"/>
    <cellStyle name="Comma 888 3 2" xfId="8427" xr:uid="{7CECC4F5-7841-4BD7-B9A1-E0186B66DC8C}"/>
    <cellStyle name="Comma 888 4" xfId="5320" xr:uid="{E002C11E-38F6-4B67-AD39-16B68F8F5A25}"/>
    <cellStyle name="Comma 888 4 2" xfId="10496" xr:uid="{D27972F7-4B08-4CC4-A496-E05EDD3A2DA9}"/>
    <cellStyle name="Comma 888 5" xfId="6368" xr:uid="{309EB1C3-36E4-43F3-A003-E61323D939BF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3" xfId="7400" xr:uid="{11EA3E13-DFEC-471C-87C2-CDF23EFF6B0B}"/>
    <cellStyle name="Comma 889 3" xfId="3195" xr:uid="{DCB17B09-5A80-4A51-94BB-0EA9D28AF06A}"/>
    <cellStyle name="Comma 889 3 2" xfId="8428" xr:uid="{919B1BC6-047D-4AA1-8D37-803D422B63CE}"/>
    <cellStyle name="Comma 889 4" xfId="5321" xr:uid="{846A5EA7-FC48-48DF-86B5-3A90468360B4}"/>
    <cellStyle name="Comma 889 4 2" xfId="10497" xr:uid="{583DD076-21F1-4648-89A0-7548DBB324DE}"/>
    <cellStyle name="Comma 889 5" xfId="6369" xr:uid="{352101C4-50DF-40C7-8DF1-C5EE8ADDC805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3" xfId="6600" xr:uid="{CC5EF84D-F58A-429C-95DF-5C721A445606}"/>
    <cellStyle name="Comma 89 3" xfId="2395" xr:uid="{91B4D079-7608-4C3A-AE35-5969F46ABC7E}"/>
    <cellStyle name="Comma 89 3 2" xfId="7628" xr:uid="{94D0C525-552B-4680-A5AD-CDE0141EB00C}"/>
    <cellStyle name="Comma 89 4" xfId="4521" xr:uid="{C02C3135-0E54-481A-8272-5B0D5FEFE334}"/>
    <cellStyle name="Comma 89 4 2" xfId="9697" xr:uid="{B115C1CB-D805-4438-A96B-12A3E485531F}"/>
    <cellStyle name="Comma 89 5" xfId="5569" xr:uid="{1B6061C5-F8C8-4991-845D-29ADF27F30BA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3" xfId="7401" xr:uid="{5B4B9F76-605E-49D6-9DBA-8F941335A001}"/>
    <cellStyle name="Comma 890 3" xfId="3196" xr:uid="{07DA50CE-C26B-4FFE-95FD-94A7DDC5C587}"/>
    <cellStyle name="Comma 890 3 2" xfId="8429" xr:uid="{119A1D06-9C40-42EF-B7A7-9E6B5CAD6E5D}"/>
    <cellStyle name="Comma 890 4" xfId="5322" xr:uid="{324A4E91-25CF-4CE4-B1DF-B08C58F83BD2}"/>
    <cellStyle name="Comma 890 4 2" xfId="10498" xr:uid="{9874BE36-5198-47B1-BC08-62E3C6FF05B5}"/>
    <cellStyle name="Comma 890 5" xfId="6370" xr:uid="{E617AF37-F98C-4A27-9C97-C4FED4BF65A8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3" xfId="7402" xr:uid="{23A919DC-224A-49BB-ADF4-914ADEF18E3F}"/>
    <cellStyle name="Comma 891 3" xfId="3197" xr:uid="{EA91E385-4E12-412E-A7D4-C422F95D1A53}"/>
    <cellStyle name="Comma 891 3 2" xfId="8430" xr:uid="{82986DDF-74DD-4530-A60E-4381AF06E813}"/>
    <cellStyle name="Comma 891 4" xfId="5323" xr:uid="{7B4A453E-8A3F-483D-B29F-5E8EAD74B5DF}"/>
    <cellStyle name="Comma 891 4 2" xfId="10499" xr:uid="{2C9CCB52-9B63-4AB0-A0F4-E0A0C578030E}"/>
    <cellStyle name="Comma 891 5" xfId="6371" xr:uid="{97A0AA14-90A1-4068-83FA-3D0452F7FA9C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3" xfId="7403" xr:uid="{27C237FF-955F-4D39-85B9-2142FE6B8508}"/>
    <cellStyle name="Comma 892 3" xfId="3198" xr:uid="{784A9328-E9A0-4154-A255-BF719C26E227}"/>
    <cellStyle name="Comma 892 3 2" xfId="8431" xr:uid="{A1AC8CB4-B13D-48F9-8DAA-331C47043C3F}"/>
    <cellStyle name="Comma 892 4" xfId="5324" xr:uid="{B425DA5A-B406-4CB3-92AC-5C8E3CCD1798}"/>
    <cellStyle name="Comma 892 4 2" xfId="10500" xr:uid="{E9385202-2A06-4D01-B8B7-5771C86F7546}"/>
    <cellStyle name="Comma 892 5" xfId="6372" xr:uid="{68DC3209-E56A-4DE3-858E-767A2A0E8FFA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3" xfId="7404" xr:uid="{BAB31A3B-3FAF-478C-8024-C6112772AB11}"/>
    <cellStyle name="Comma 893 3" xfId="3199" xr:uid="{C0F032EF-A28C-408D-94EE-0CF6E43A976F}"/>
    <cellStyle name="Comma 893 3 2" xfId="8432" xr:uid="{1FA69549-D2A8-48E4-BF3C-1C3AF15A37B3}"/>
    <cellStyle name="Comma 893 4" xfId="5325" xr:uid="{29A420F4-0C67-4E6D-B1E3-8132F6B2B925}"/>
    <cellStyle name="Comma 893 4 2" xfId="10501" xr:uid="{867425A9-85BC-4A1C-8E9F-F9832E55822A}"/>
    <cellStyle name="Comma 893 5" xfId="6373" xr:uid="{A65A87E8-2530-4448-AE8A-004E5B99FDFC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3" xfId="7405" xr:uid="{A907AE39-7C3D-458A-A241-F9E46CCAE0B2}"/>
    <cellStyle name="Comma 894 3" xfId="3200" xr:uid="{499BB89E-0BDF-4EDD-8428-6B183115BB96}"/>
    <cellStyle name="Comma 894 3 2" xfId="8433" xr:uid="{D1490752-19D8-4BB7-AD13-05F35E81C31E}"/>
    <cellStyle name="Comma 894 4" xfId="5326" xr:uid="{635A5F63-F88F-450A-B998-28A1FF0CC633}"/>
    <cellStyle name="Comma 894 4 2" xfId="10502" xr:uid="{5113AA96-77C7-4749-858A-CBC2854331E8}"/>
    <cellStyle name="Comma 894 5" xfId="6374" xr:uid="{FC363E01-5D4C-4993-9A1D-0D46A19F50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3" xfId="7406" xr:uid="{9007FD09-C3A4-4768-B3EE-4E35E97C0259}"/>
    <cellStyle name="Comma 895 3" xfId="3201" xr:uid="{28BC97E0-F7DD-4CBE-B9E9-C0377482618B}"/>
    <cellStyle name="Comma 895 3 2" xfId="8434" xr:uid="{FB83E3FD-E38D-4752-A5E0-FD869D86DA9D}"/>
    <cellStyle name="Comma 895 4" xfId="5327" xr:uid="{0FB145E1-C754-4299-ADB4-99DA2CC1BE4C}"/>
    <cellStyle name="Comma 895 4 2" xfId="10503" xr:uid="{28A4AAEC-65FC-431B-A844-E8D6D0916D0E}"/>
    <cellStyle name="Comma 895 5" xfId="6375" xr:uid="{5ABBDC27-1F13-44C8-A7EB-ABBDF9E95E7B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3" xfId="7407" xr:uid="{21FA0112-0699-47CE-A34F-ABAD6B1BB658}"/>
    <cellStyle name="Comma 896 3" xfId="3202" xr:uid="{D4BF07C4-99F7-494B-A30D-1801419CC542}"/>
    <cellStyle name="Comma 896 3 2" xfId="8435" xr:uid="{9AC8E7F4-2089-483C-A4E7-7467AF86BDFB}"/>
    <cellStyle name="Comma 896 4" xfId="5328" xr:uid="{5D515008-B18A-43EA-960A-2ED6C1E81388}"/>
    <cellStyle name="Comma 896 4 2" xfId="10504" xr:uid="{3CACB520-C69E-4F2A-8736-08664B135ECA}"/>
    <cellStyle name="Comma 896 5" xfId="6376" xr:uid="{AF34D713-7341-4801-90EC-F6D74B17C20A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3" xfId="7408" xr:uid="{5CE0DA0E-76F2-4424-BB6B-7145CC477E2B}"/>
    <cellStyle name="Comma 897 3" xfId="3203" xr:uid="{1A03F1EB-2BB1-42B4-96FE-EB70BB6B8A4C}"/>
    <cellStyle name="Comma 897 3 2" xfId="8436" xr:uid="{E48E9280-67FB-49D7-BB9D-B953BF2DDDFE}"/>
    <cellStyle name="Comma 897 4" xfId="5329" xr:uid="{4154B1F8-1AB2-4407-833B-444F28BEE865}"/>
    <cellStyle name="Comma 897 4 2" xfId="10505" xr:uid="{A151FD1C-65F3-439A-BD76-C5116AF86B81}"/>
    <cellStyle name="Comma 897 5" xfId="6377" xr:uid="{21025E29-599F-4D74-8022-928A2B3B5124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3" xfId="7409" xr:uid="{0D06845D-227E-481F-A243-317DD112B24C}"/>
    <cellStyle name="Comma 898 3" xfId="3204" xr:uid="{C3C804EB-2AFB-4542-B6CF-9CB880DAA71E}"/>
    <cellStyle name="Comma 898 3 2" xfId="8437" xr:uid="{A66850DE-2F8D-4509-BA44-44CE0F57B013}"/>
    <cellStyle name="Comma 898 4" xfId="5330" xr:uid="{1EC69873-4AAE-4DA9-8400-2D6A7E445192}"/>
    <cellStyle name="Comma 898 4 2" xfId="10506" xr:uid="{84642B34-F330-46F3-80A1-6649154C6A14}"/>
    <cellStyle name="Comma 898 5" xfId="6378" xr:uid="{B389863D-3FBE-4A17-BC6A-CD673695F0FC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3" xfId="7410" xr:uid="{0C25BCE7-4066-4C58-A077-1FE076B1B23A}"/>
    <cellStyle name="Comma 899 3" xfId="3205" xr:uid="{D01118BB-893F-4046-9DC9-1D500B31003A}"/>
    <cellStyle name="Comma 899 3 2" xfId="8438" xr:uid="{548BBC96-49A3-4F19-8596-A1F974010654}"/>
    <cellStyle name="Comma 899 4" xfId="5331" xr:uid="{5EC8976A-C195-417D-90BF-5A2A59FEB607}"/>
    <cellStyle name="Comma 899 4 2" xfId="10507" xr:uid="{2933EF7B-A577-4E19-9383-C4A4EA566F5E}"/>
    <cellStyle name="Comma 899 5" xfId="6379" xr:uid="{9D89F09E-7138-43E0-87C5-760F8CB7D513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3" xfId="6520" xr:uid="{2161E49A-F945-4751-82C6-3F14CA6C8493}"/>
    <cellStyle name="Comma 9 3" xfId="2315" xr:uid="{4DED934C-58B7-430B-8036-E9EC9ED70A51}"/>
    <cellStyle name="Comma 9 3 2" xfId="7548" xr:uid="{4ADADC4E-1C46-4EE1-BB9A-BD2516E56242}"/>
    <cellStyle name="Comma 9 4" xfId="4441" xr:uid="{198EF511-C200-458A-9D68-5C8271AECDFA}"/>
    <cellStyle name="Comma 9 4 2" xfId="9617" xr:uid="{7DD0DAB8-3690-47B9-BB44-364BC8AB1FE6}"/>
    <cellStyle name="Comma 9 5" xfId="5489" xr:uid="{E789512B-7C0B-4C9B-B8A7-EE1D75B5837D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3" xfId="6601" xr:uid="{4616A48F-9919-4638-A84E-16103CFE0AC9}"/>
    <cellStyle name="Comma 90 3" xfId="2396" xr:uid="{7CA8C4C9-A77F-40FE-B184-E6F5772D4F61}"/>
    <cellStyle name="Comma 90 3 2" xfId="7629" xr:uid="{C5681205-E925-4F18-A819-6555308C9B49}"/>
    <cellStyle name="Comma 90 4" xfId="4522" xr:uid="{DF1E2311-7D83-48D3-8518-FB3C93FA230F}"/>
    <cellStyle name="Comma 90 4 2" xfId="9698" xr:uid="{E4567038-D070-4B19-B32C-8B97EFEB551B}"/>
    <cellStyle name="Comma 90 5" xfId="5570" xr:uid="{C68FB773-4793-4F08-9D99-EF52C3844C7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3" xfId="7411" xr:uid="{FDAFE1E4-F503-446A-9F88-32D3BDD32424}"/>
    <cellStyle name="Comma 900 3" xfId="3206" xr:uid="{51B527E2-A701-413D-946E-A3F58F8B0F60}"/>
    <cellStyle name="Comma 900 3 2" xfId="8439" xr:uid="{3A36C772-61BE-44F5-99EC-FB7121730474}"/>
    <cellStyle name="Comma 900 4" xfId="5332" xr:uid="{ABB751EE-60E2-42BD-BD78-64ABF792C97D}"/>
    <cellStyle name="Comma 900 4 2" xfId="10508" xr:uid="{DEB9DF9B-3A7D-47E3-B447-DBB94DF9E310}"/>
    <cellStyle name="Comma 900 5" xfId="6380" xr:uid="{D26ED71D-1461-411E-90D7-62669CD6FBC8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3" xfId="7412" xr:uid="{5A6787EF-6887-47B5-8F8F-F9DEBF6D84BF}"/>
    <cellStyle name="Comma 901 3" xfId="3207" xr:uid="{F8E38CA6-C144-42C0-9412-A1578F96ED0C}"/>
    <cellStyle name="Comma 901 3 2" xfId="8440" xr:uid="{8E5E5734-132D-40E0-A12D-74A04D0EB70B}"/>
    <cellStyle name="Comma 901 4" xfId="5333" xr:uid="{395ADC8C-AEB8-42CE-9DED-891ED4854953}"/>
    <cellStyle name="Comma 901 4 2" xfId="10509" xr:uid="{A6CE3818-2032-4C48-BD1B-8FBEF8179D6D}"/>
    <cellStyle name="Comma 901 5" xfId="6381" xr:uid="{C724CEB0-CC9F-4552-AFEA-2282686264E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3" xfId="7413" xr:uid="{AFDB9B79-442F-475D-99DD-20F0004BD426}"/>
    <cellStyle name="Comma 902 3" xfId="3208" xr:uid="{FA1F33E7-A3E6-4033-B2FD-25DCD2972759}"/>
    <cellStyle name="Comma 902 3 2" xfId="8441" xr:uid="{09CD1656-B3CB-47CB-B328-2BBE02B878C2}"/>
    <cellStyle name="Comma 902 4" xfId="5334" xr:uid="{7004E5FB-EBEB-4EC5-8E71-B057D986FDC7}"/>
    <cellStyle name="Comma 902 4 2" xfId="10510" xr:uid="{A73C6AF5-0CE3-41BD-8B3A-3D21EB82237A}"/>
    <cellStyle name="Comma 902 5" xfId="6382" xr:uid="{BD0B3800-B8B8-4110-AFEC-C6A7A8B33A5A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3" xfId="7414" xr:uid="{FEC99CFB-F129-43AC-AE70-B2D39348B965}"/>
    <cellStyle name="Comma 903 3" xfId="3209" xr:uid="{2C122D34-B2BD-4A87-BAC4-0155AB2DC8C2}"/>
    <cellStyle name="Comma 903 3 2" xfId="8442" xr:uid="{19DD6711-4E4C-4FE9-970A-256F23A7AF97}"/>
    <cellStyle name="Comma 903 4" xfId="5335" xr:uid="{2059FEA9-C984-4BBF-95C2-13FA9D95854F}"/>
    <cellStyle name="Comma 903 4 2" xfId="10511" xr:uid="{DF3429FE-EE1A-4776-A58A-371868219FA7}"/>
    <cellStyle name="Comma 903 5" xfId="6383" xr:uid="{9B2E230F-D575-4841-985F-F87276F58483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3" xfId="7415" xr:uid="{706B7533-3248-482A-ADD0-C252A43083EF}"/>
    <cellStyle name="Comma 904 3" xfId="3210" xr:uid="{EC6AECE0-F71C-4EA4-B002-09718AC76C5F}"/>
    <cellStyle name="Comma 904 3 2" xfId="8443" xr:uid="{F3D4C4B7-D150-44B4-B383-EAA45E8A690A}"/>
    <cellStyle name="Comma 904 4" xfId="5336" xr:uid="{E89D64AE-1F23-4615-8A52-87CF5C9496CF}"/>
    <cellStyle name="Comma 904 4 2" xfId="10512" xr:uid="{3011D386-AA3D-4AD8-B234-7C60D29189EB}"/>
    <cellStyle name="Comma 904 5" xfId="6384" xr:uid="{D8906478-BE5A-4A3D-A6CE-695191EAF7E4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3" xfId="7416" xr:uid="{07240115-0960-4F6F-A3DA-B5D2592ED705}"/>
    <cellStyle name="Comma 905 3" xfId="3211" xr:uid="{37CB60EB-0C76-48F9-A5CA-866C0E4F9E65}"/>
    <cellStyle name="Comma 905 3 2" xfId="8444" xr:uid="{9660725C-B6F0-432E-B7E8-122989DA0111}"/>
    <cellStyle name="Comma 905 4" xfId="5337" xr:uid="{63541C31-5187-4C05-B710-557CC27E3A18}"/>
    <cellStyle name="Comma 905 4 2" xfId="10513" xr:uid="{CD01493C-0BC4-47BD-AEA5-FAB200674808}"/>
    <cellStyle name="Comma 905 5" xfId="6385" xr:uid="{8F9590F7-E27A-402E-B517-88844820ABE0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3" xfId="7417" xr:uid="{78B0547D-51F4-44BB-9767-3B42173B00F0}"/>
    <cellStyle name="Comma 906 3" xfId="3212" xr:uid="{2800D4B1-F92C-499B-86EE-2B3BA7CED49A}"/>
    <cellStyle name="Comma 906 3 2" xfId="8445" xr:uid="{5A03A796-A676-4B4C-A400-B6139B9A922D}"/>
    <cellStyle name="Comma 906 4" xfId="5338" xr:uid="{056C8D5B-E729-4863-878A-990E8898440A}"/>
    <cellStyle name="Comma 906 4 2" xfId="10514" xr:uid="{FCD5FE81-D7D9-4F20-BAA8-AA384DB6E8E8}"/>
    <cellStyle name="Comma 906 5" xfId="6386" xr:uid="{9936CB44-EEDF-46FB-BC6F-0C4DAADE751F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3" xfId="7418" xr:uid="{CA5652BB-06F2-4190-AE10-04FCC72DE84D}"/>
    <cellStyle name="Comma 907 3" xfId="3213" xr:uid="{3CEE9718-5E53-43B0-B34E-7F378A100A26}"/>
    <cellStyle name="Comma 907 3 2" xfId="8446" xr:uid="{14A9B129-F5C3-4E33-B215-81B377B31C37}"/>
    <cellStyle name="Comma 907 4" xfId="5339" xr:uid="{EFC7CF37-57B8-4F1E-9575-4BA68E5520D3}"/>
    <cellStyle name="Comma 907 4 2" xfId="10515" xr:uid="{2897E569-1A19-4B23-A1CE-19133231A581}"/>
    <cellStyle name="Comma 907 5" xfId="6387" xr:uid="{9364D311-D9DA-4A40-9FC5-019A5219E7F2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3" xfId="7419" xr:uid="{9CC1E107-27DC-41C7-A576-92616675858B}"/>
    <cellStyle name="Comma 908 3" xfId="3214" xr:uid="{DD80FF9F-78DD-480A-B31D-0DE18CD22B4C}"/>
    <cellStyle name="Comma 908 3 2" xfId="8447" xr:uid="{E71F9FBD-4C0E-46B0-9013-CD7C37AE9E4A}"/>
    <cellStyle name="Comma 908 4" xfId="5340" xr:uid="{BEB21D47-D7D7-4AB7-A486-DB0475EF2F0A}"/>
    <cellStyle name="Comma 908 4 2" xfId="10516" xr:uid="{1D9B7B03-A5AF-4A56-90BF-41085E625D45}"/>
    <cellStyle name="Comma 908 5" xfId="6388" xr:uid="{0616EEEB-A3B5-4053-8810-3626F77010A4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3" xfId="7420" xr:uid="{C546742F-A6C5-4C5C-9747-4FC897B5CAD0}"/>
    <cellStyle name="Comma 909 3" xfId="3215" xr:uid="{4E08A254-3AA2-4F62-9B50-630AB2EE7541}"/>
    <cellStyle name="Comma 909 3 2" xfId="8448" xr:uid="{F295D041-D6F0-48FC-A5DD-AEF958BA2C7D}"/>
    <cellStyle name="Comma 909 4" xfId="5341" xr:uid="{E012A34A-04D5-491C-9279-E74635D5728A}"/>
    <cellStyle name="Comma 909 4 2" xfId="10517" xr:uid="{8EE52D50-A056-4D79-9415-5ACA9D6A7AFB}"/>
    <cellStyle name="Comma 909 5" xfId="6389" xr:uid="{50200CA2-8CFC-44F2-A181-C0D7CD63AE78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3" xfId="6602" xr:uid="{D8494076-A45D-4360-81F2-3961D810D8D0}"/>
    <cellStyle name="Comma 91 3" xfId="2397" xr:uid="{F2556B3C-A1F6-470E-ACA7-090426121CD1}"/>
    <cellStyle name="Comma 91 3 2" xfId="7630" xr:uid="{BE092152-3245-4059-A8BF-906E4C490363}"/>
    <cellStyle name="Comma 91 4" xfId="4523" xr:uid="{66EC97D7-4E30-4E93-8540-C4797B810503}"/>
    <cellStyle name="Comma 91 4 2" xfId="9699" xr:uid="{6D33F02B-CB80-4405-B2EA-4E98145ECDEB}"/>
    <cellStyle name="Comma 91 5" xfId="5571" xr:uid="{7A6FD808-3AAC-4F24-9523-79CA455C5B7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3" xfId="7421" xr:uid="{27FA45B2-729D-4B76-ACD5-FCF928D11701}"/>
    <cellStyle name="Comma 910 3" xfId="3216" xr:uid="{123BB10B-E5A2-4ED7-AA9D-C12ADAFA8981}"/>
    <cellStyle name="Comma 910 3 2" xfId="8449" xr:uid="{B677CFE7-9D3B-49D0-B8B5-D5A33A84F347}"/>
    <cellStyle name="Comma 910 4" xfId="5342" xr:uid="{F119279D-73E3-464D-95B0-0208ED09C763}"/>
    <cellStyle name="Comma 910 4 2" xfId="10518" xr:uid="{B5C2A1FE-2CEB-4AFB-9390-CC6D7B7941C5}"/>
    <cellStyle name="Comma 910 5" xfId="6390" xr:uid="{3F335754-DE2E-4E01-A441-12ECCA786366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3" xfId="7422" xr:uid="{3B192DBF-12FD-4B72-8F64-4EC92B928E4C}"/>
    <cellStyle name="Comma 911 3" xfId="3217" xr:uid="{4DDB102C-7C03-41DB-BBF0-E46ECAFF6E8A}"/>
    <cellStyle name="Comma 911 3 2" xfId="8450" xr:uid="{182F0B17-1603-49AD-AFE0-3AE7F4327BDA}"/>
    <cellStyle name="Comma 911 4" xfId="5343" xr:uid="{03C114FF-E77D-4A05-B475-454EF4B3C4F9}"/>
    <cellStyle name="Comma 911 4 2" xfId="10519" xr:uid="{11DA187E-7E9E-434B-A6E9-A96CF554BF07}"/>
    <cellStyle name="Comma 911 5" xfId="6391" xr:uid="{3DD0EECE-5CEB-43B1-9BE5-78B8D59C40E4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3" xfId="7423" xr:uid="{6A4AA1C9-DA35-45C7-9BD6-67BBD2AD9735}"/>
    <cellStyle name="Comma 912 3" xfId="3218" xr:uid="{8D770360-F856-4569-B483-CBE128DE2A7E}"/>
    <cellStyle name="Comma 912 3 2" xfId="8451" xr:uid="{B4105B83-F2A7-418E-88FD-C6722289C0DD}"/>
    <cellStyle name="Comma 912 4" xfId="5344" xr:uid="{13773074-E08D-45A7-ABF5-D9B9E8CFE215}"/>
    <cellStyle name="Comma 912 4 2" xfId="10520" xr:uid="{533F4FE5-BD6A-41BB-BBB2-B5E7FB5B068C}"/>
    <cellStyle name="Comma 912 5" xfId="6392" xr:uid="{739C6BD0-9674-4521-AD55-AB2DA47086C6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3" xfId="7424" xr:uid="{4E041E49-34CF-4C04-ABA1-D0ABC5433786}"/>
    <cellStyle name="Comma 913 3" xfId="3219" xr:uid="{0AB51771-ACB3-441A-B5EB-F5192270D791}"/>
    <cellStyle name="Comma 913 3 2" xfId="8452" xr:uid="{B0656949-98AA-4BEE-A49C-84D02B0C8620}"/>
    <cellStyle name="Comma 913 4" xfId="5345" xr:uid="{AAFFF8A3-6F2B-4A76-BEB1-203600B65BC6}"/>
    <cellStyle name="Comma 913 4 2" xfId="10521" xr:uid="{3D865F12-CE3E-4562-A004-74AE2FFD3E6F}"/>
    <cellStyle name="Comma 913 5" xfId="6393" xr:uid="{3F33E2CB-E7EF-4181-8A1C-F7618DC0FA5E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3" xfId="7425" xr:uid="{74690D7E-314E-4E9A-89DE-E456C5F14C84}"/>
    <cellStyle name="Comma 914 3" xfId="3220" xr:uid="{B4B94AC2-5064-43B3-B0EC-B31635DACD1B}"/>
    <cellStyle name="Comma 914 3 2" xfId="8453" xr:uid="{C4953ECE-E5FB-4AEC-A748-DFAC4AF58A3A}"/>
    <cellStyle name="Comma 914 4" xfId="5346" xr:uid="{250E0484-BB02-4C2F-B8B5-5381CB10258D}"/>
    <cellStyle name="Comma 914 4 2" xfId="10522" xr:uid="{70B47A9A-65C2-48B1-A6A7-65552C5FD6C7}"/>
    <cellStyle name="Comma 914 5" xfId="6394" xr:uid="{A735770B-E859-4C0B-A21E-4CF060392FEA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3" xfId="7426" xr:uid="{971A391A-BCA8-4B51-8C69-5FBE550BFEB3}"/>
    <cellStyle name="Comma 915 3" xfId="3221" xr:uid="{53397B12-F34F-4542-83A8-82600979DA41}"/>
    <cellStyle name="Comma 915 3 2" xfId="8454" xr:uid="{0DEEEC83-5423-48ED-BD35-5E1F83424E7B}"/>
    <cellStyle name="Comma 915 4" xfId="5347" xr:uid="{EB28F203-27DA-4EC9-AA51-71D25D952400}"/>
    <cellStyle name="Comma 915 4 2" xfId="10523" xr:uid="{6BD5E218-D92C-4287-9A6E-A9B8CF7FD1C3}"/>
    <cellStyle name="Comma 915 5" xfId="6395" xr:uid="{EB34C2D5-7679-410A-B167-5DE6AAEE8094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3" xfId="7427" xr:uid="{6BA8D08A-69A4-44D3-ABF2-F69E51F6EEE4}"/>
    <cellStyle name="Comma 916 3" xfId="3222" xr:uid="{241CD645-1A94-4FE8-8745-D2260BF04296}"/>
    <cellStyle name="Comma 916 3 2" xfId="8455" xr:uid="{7500DB97-7505-4AC8-BF6E-7694A0AACBB5}"/>
    <cellStyle name="Comma 916 4" xfId="5348" xr:uid="{1CFF3574-36F2-4691-B6D5-5B533FEC8700}"/>
    <cellStyle name="Comma 916 4 2" xfId="10524" xr:uid="{FF5500FE-5297-4678-B340-ABFF59897CA1}"/>
    <cellStyle name="Comma 916 5" xfId="6396" xr:uid="{9A9626E9-DFA8-40DC-B2CD-3FCD9272AF62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3" xfId="7428" xr:uid="{7443D308-A6BF-447A-A8D1-49CACDC82F0B}"/>
    <cellStyle name="Comma 917 3" xfId="3223" xr:uid="{8FA93574-3A9B-4066-96EF-E34C842C7DEF}"/>
    <cellStyle name="Comma 917 3 2" xfId="8456" xr:uid="{7B9BEC32-1D3C-4AE1-9D9A-1EBACC7C57E5}"/>
    <cellStyle name="Comma 917 4" xfId="5349" xr:uid="{8B50FCA3-EA5C-47BD-81A9-D7C571280FF1}"/>
    <cellStyle name="Comma 917 4 2" xfId="10525" xr:uid="{B38F9573-F363-4BC3-B1D0-1A552379C47E}"/>
    <cellStyle name="Comma 917 5" xfId="6397" xr:uid="{9A3556F7-EDF9-4281-A5E4-673ACE2CA8DA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3" xfId="7429" xr:uid="{3FB33745-4047-48EB-9307-0D2C9A2035D4}"/>
    <cellStyle name="Comma 918 3" xfId="3224" xr:uid="{942C8C2A-AF64-499F-B7DD-D41C78BFD9D5}"/>
    <cellStyle name="Comma 918 3 2" xfId="8457" xr:uid="{A97F593F-43DD-4BA0-9721-F01BD1B10887}"/>
    <cellStyle name="Comma 918 4" xfId="5350" xr:uid="{2FE8FB0D-BF8C-4729-AC0E-DB004E84973B}"/>
    <cellStyle name="Comma 918 4 2" xfId="10526" xr:uid="{F830AEA1-A80E-4E86-9CF8-789991FFB671}"/>
    <cellStyle name="Comma 918 5" xfId="6398" xr:uid="{4E8793F2-D05D-4DA0-8768-15B6F4B486D6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3" xfId="7430" xr:uid="{77A6C2E2-1A2E-4BF7-8A38-30EA4490CF1F}"/>
    <cellStyle name="Comma 919 3" xfId="3225" xr:uid="{B6A7F85B-89FB-4EB1-BD6B-58B1DFA4D4D0}"/>
    <cellStyle name="Comma 919 3 2" xfId="8458" xr:uid="{09032C0F-8A3E-44F9-83C5-7D89E420372D}"/>
    <cellStyle name="Comma 919 4" xfId="5351" xr:uid="{372782A8-6905-4954-8340-38456EEC1D67}"/>
    <cellStyle name="Comma 919 4 2" xfId="10527" xr:uid="{2566CB36-3E9A-401E-B82C-7C438EA37154}"/>
    <cellStyle name="Comma 919 5" xfId="6399" xr:uid="{4D48FC7B-6ED3-4AB0-9C3B-2D001634F8B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3" xfId="6603" xr:uid="{0252ECE0-1D76-4020-9EA9-0C5683945475}"/>
    <cellStyle name="Comma 92 3" xfId="2398" xr:uid="{40DBF799-1D24-4D34-AA37-3DD2EB807C99}"/>
    <cellStyle name="Comma 92 3 2" xfId="7631" xr:uid="{A1721900-5E33-4251-84A6-0C603C7BA783}"/>
    <cellStyle name="Comma 92 4" xfId="4524" xr:uid="{2CD2C8D7-95E9-42F0-ADA8-2826A3751E4C}"/>
    <cellStyle name="Comma 92 4 2" xfId="9700" xr:uid="{63BB8CFB-C252-4DD4-A805-05E9952E3BFA}"/>
    <cellStyle name="Comma 92 5" xfId="5572" xr:uid="{038B6619-F577-4102-BA10-DCCB259A1942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3" xfId="7431" xr:uid="{A9834980-DFA1-4D92-AEA3-E0D33B7BCF6E}"/>
    <cellStyle name="Comma 920 3" xfId="3226" xr:uid="{72BC79BC-55DE-46C0-9308-55498632D288}"/>
    <cellStyle name="Comma 920 3 2" xfId="8459" xr:uid="{4676A10C-3C04-48F2-B679-FEF5A7E3BB77}"/>
    <cellStyle name="Comma 920 4" xfId="5352" xr:uid="{2FE809D4-2FEB-4A1F-A6CD-6BBB743A6432}"/>
    <cellStyle name="Comma 920 4 2" xfId="10528" xr:uid="{5D2E86D4-1B7B-4CAA-B8FB-EA3CF29098AC}"/>
    <cellStyle name="Comma 920 5" xfId="6400" xr:uid="{A5153BEB-655D-421E-8B5B-150DF7F7E3E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3" xfId="7432" xr:uid="{CC256122-0261-4F61-B70F-1DF21050E36A}"/>
    <cellStyle name="Comma 921 3" xfId="3227" xr:uid="{AD6ED6EC-BDA9-4477-B9B7-886BBE5F8669}"/>
    <cellStyle name="Comma 921 3 2" xfId="8460" xr:uid="{4BEA6E35-ECAE-4E4A-A92C-A080994CAB0F}"/>
    <cellStyle name="Comma 921 4" xfId="5353" xr:uid="{75DFA970-C2E3-4857-8758-1B0FBF8EDA2D}"/>
    <cellStyle name="Comma 921 4 2" xfId="10529" xr:uid="{8ADEA034-C23F-465C-8B99-70C3AEB5132E}"/>
    <cellStyle name="Comma 921 5" xfId="6401" xr:uid="{AB8EB474-FB38-4675-97D6-039F4833A908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3" xfId="7433" xr:uid="{8B7C250A-C963-46E4-B86C-D960C9D3A820}"/>
    <cellStyle name="Comma 922 3" xfId="3228" xr:uid="{6C9AF215-70C5-4395-9CB0-0857140DCCBD}"/>
    <cellStyle name="Comma 922 3 2" xfId="8461" xr:uid="{058C49AE-94EB-43A1-B742-CCAD99132A5D}"/>
    <cellStyle name="Comma 922 4" xfId="5354" xr:uid="{018D05C4-7CDA-4BB1-AA1D-D6F5CEF8176B}"/>
    <cellStyle name="Comma 922 4 2" xfId="10530" xr:uid="{14D87D2D-D4B5-4C61-B0BD-0EBF585613F6}"/>
    <cellStyle name="Comma 922 5" xfId="6402" xr:uid="{95FC477C-3CB3-4D28-BCC1-C4134D81BFF7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3" xfId="7434" xr:uid="{B8A8AA58-D7DA-4216-92A4-B325CE643F0F}"/>
    <cellStyle name="Comma 923 3" xfId="3229" xr:uid="{042FD223-3DF3-436B-8CB1-B0F97419097E}"/>
    <cellStyle name="Comma 923 3 2" xfId="8462" xr:uid="{D1272CD7-C5DD-42B6-913E-AB12ECDA619C}"/>
    <cellStyle name="Comma 923 4" xfId="5355" xr:uid="{18C5543C-43EF-4DEA-8DA7-30283064273C}"/>
    <cellStyle name="Comma 923 4 2" xfId="10531" xr:uid="{44DD2FB7-C6F8-4149-9174-DA777BFEDE71}"/>
    <cellStyle name="Comma 923 5" xfId="6403" xr:uid="{FB371852-7B45-4532-93B8-EB26BFCA528D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3" xfId="7435" xr:uid="{DF938BAE-8ED0-4FA1-80B1-8734F183A7CC}"/>
    <cellStyle name="Comma 924 3" xfId="3230" xr:uid="{93E2B80F-1ADC-484A-B88F-AC6F556C19D7}"/>
    <cellStyle name="Comma 924 3 2" xfId="8463" xr:uid="{6AA70D3F-4DE3-49E8-940C-75912C7527F2}"/>
    <cellStyle name="Comma 924 4" xfId="5356" xr:uid="{C636B9C2-5F99-48AE-ACBE-9C7B75F11FE4}"/>
    <cellStyle name="Comma 924 4 2" xfId="10532" xr:uid="{329CD258-0BEC-43E3-8E2F-73A439C2E217}"/>
    <cellStyle name="Comma 924 5" xfId="6404" xr:uid="{A36E8822-0863-434F-9802-99D0C0F935BD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3" xfId="7436" xr:uid="{844B0222-6A26-4564-B40A-6F207C4C34BB}"/>
    <cellStyle name="Comma 925 3" xfId="3231" xr:uid="{F7FC1F21-F05C-4A30-B468-E2FFF2672D7F}"/>
    <cellStyle name="Comma 925 3 2" xfId="8464" xr:uid="{61D176BF-1C8B-4F3A-A9C1-A1A78B219278}"/>
    <cellStyle name="Comma 925 4" xfId="5357" xr:uid="{AA3693C1-A8B7-49F4-87C8-DFDBEDF4918C}"/>
    <cellStyle name="Comma 925 4 2" xfId="10533" xr:uid="{01232655-8792-4814-8FBF-BFC677064CF6}"/>
    <cellStyle name="Comma 925 5" xfId="6405" xr:uid="{1A800AE6-9F09-4CF5-BDAC-02986130B44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3" xfId="7437" xr:uid="{D6CD9452-DA7B-4BA2-B147-760A0B1CD9A0}"/>
    <cellStyle name="Comma 926 3" xfId="3232" xr:uid="{B52070F3-5293-4D24-9FF2-9C70441CCE65}"/>
    <cellStyle name="Comma 926 3 2" xfId="8465" xr:uid="{F29B959A-5833-4B4E-B57E-7F0DB5FE564F}"/>
    <cellStyle name="Comma 926 4" xfId="5358" xr:uid="{2FC28FD7-DF37-4436-B3FE-CDEEBAE2E90C}"/>
    <cellStyle name="Comma 926 4 2" xfId="10534" xr:uid="{68116CD7-5AD1-4331-A045-BB42B59218B9}"/>
    <cellStyle name="Comma 926 5" xfId="6406" xr:uid="{607F5D97-35B4-4F22-99FF-6A4D0BDFD52B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3" xfId="7438" xr:uid="{D2813B54-BC95-4AF1-9A62-A813F40F8F21}"/>
    <cellStyle name="Comma 927 3" xfId="3233" xr:uid="{16A16A2F-A516-447E-8539-778B74283E72}"/>
    <cellStyle name="Comma 927 3 2" xfId="8466" xr:uid="{10A80C2C-F438-45C8-93A5-507D621953E7}"/>
    <cellStyle name="Comma 927 4" xfId="5359" xr:uid="{8542F3B8-BEDE-4091-BACC-A2A228ADD223}"/>
    <cellStyle name="Comma 927 4 2" xfId="10535" xr:uid="{93EE776A-2077-4A2E-BA22-F47C3F97E69E}"/>
    <cellStyle name="Comma 927 5" xfId="6407" xr:uid="{BD387246-C0DC-48EE-9E7B-E117F64C9EC5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3" xfId="7439" xr:uid="{49542E97-37A5-4482-9493-73690B89ADBC}"/>
    <cellStyle name="Comma 928 3" xfId="3234" xr:uid="{4813DBF7-E1B0-479C-9B9D-02C49186E4A8}"/>
    <cellStyle name="Comma 928 3 2" xfId="8467" xr:uid="{673E79FA-FCBD-4F19-8D8F-293BA358FC43}"/>
    <cellStyle name="Comma 928 4" xfId="5360" xr:uid="{3430A04B-9F52-4DCE-8700-8BAB0772347C}"/>
    <cellStyle name="Comma 928 4 2" xfId="10536" xr:uid="{8950187A-CE09-4354-B0A6-FF32058F2430}"/>
    <cellStyle name="Comma 928 5" xfId="6408" xr:uid="{F63342B7-3D7E-4840-B48C-1902CF035E99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3" xfId="7440" xr:uid="{F69C9434-71AE-4302-8472-68EFEB7D3229}"/>
    <cellStyle name="Comma 929 3" xfId="3235" xr:uid="{E9A3A5A0-4540-44EE-9DF5-56BC64AE3DA1}"/>
    <cellStyle name="Comma 929 3 2" xfId="8468" xr:uid="{17CE82C0-7E47-472C-A4B6-445F4E9FC89F}"/>
    <cellStyle name="Comma 929 4" xfId="5361" xr:uid="{A7B6BBA6-17A1-42E1-82CC-8E9860DFFAD2}"/>
    <cellStyle name="Comma 929 4 2" xfId="10537" xr:uid="{1545FBCB-FF3C-45B8-BB28-E2C35CA38A02}"/>
    <cellStyle name="Comma 929 5" xfId="6409" xr:uid="{1E69D477-445D-4028-B005-39102B7947E5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3" xfId="6604" xr:uid="{44364EDB-EE7D-4E12-9083-B2F339C24337}"/>
    <cellStyle name="Comma 93 3" xfId="2399" xr:uid="{8E874835-9B2A-4C45-95BD-65AD4AACF284}"/>
    <cellStyle name="Comma 93 3 2" xfId="7632" xr:uid="{827E8315-8798-4EAF-86CC-6B92DFD912CD}"/>
    <cellStyle name="Comma 93 4" xfId="4525" xr:uid="{A7987454-B87F-47ED-8615-01441974FC50}"/>
    <cellStyle name="Comma 93 4 2" xfId="9701" xr:uid="{AAB5805B-EB0E-447B-B927-E3E8AFCAA5F5}"/>
    <cellStyle name="Comma 93 5" xfId="5573" xr:uid="{1C362DB0-1B6B-4FA0-9050-70396B16BB47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3" xfId="7441" xr:uid="{2258D7CA-76F3-44A2-92AD-56077030FA27}"/>
    <cellStyle name="Comma 930 3" xfId="3236" xr:uid="{CB105695-4BE7-4C32-AF90-33118821B204}"/>
    <cellStyle name="Comma 930 3 2" xfId="8469" xr:uid="{F223CC6A-659C-4236-8AC8-555AF72083D5}"/>
    <cellStyle name="Comma 930 4" xfId="5362" xr:uid="{BCC2EB0F-802A-48E0-BDA4-DB184EC60DD9}"/>
    <cellStyle name="Comma 930 4 2" xfId="10538" xr:uid="{194F4CFB-44E0-4351-B855-0F2ED37F3925}"/>
    <cellStyle name="Comma 930 5" xfId="6410" xr:uid="{8557A9BE-BCE1-4EF4-AC1E-DA61AD4044CF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3" xfId="7442" xr:uid="{F49E88EB-627F-457A-BF45-22DFFD17CB79}"/>
    <cellStyle name="Comma 931 3" xfId="3237" xr:uid="{7A2A202A-5C49-4A4E-AE15-AC75AAB711DE}"/>
    <cellStyle name="Comma 931 3 2" xfId="8470" xr:uid="{70FF5E05-C66B-44E6-8FFA-77F984B7C771}"/>
    <cellStyle name="Comma 931 4" xfId="5363" xr:uid="{4E422E87-076F-4DC6-B614-3720F1CD77B3}"/>
    <cellStyle name="Comma 931 4 2" xfId="10539" xr:uid="{415375AA-A74F-4FE1-8996-D9206B84B0A9}"/>
    <cellStyle name="Comma 931 5" xfId="6411" xr:uid="{072281C5-A623-4007-9ECF-7E84D3BD74E7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3" xfId="7443" xr:uid="{6861C96A-6A8C-46A8-ADFB-3D44D4A8E650}"/>
    <cellStyle name="Comma 932 3" xfId="3238" xr:uid="{FD4D6931-26AE-44FA-8F5F-5E709C4D8784}"/>
    <cellStyle name="Comma 932 3 2" xfId="8471" xr:uid="{9FFA6165-E50B-481E-8E62-E493C0A30188}"/>
    <cellStyle name="Comma 932 4" xfId="5364" xr:uid="{AC86E431-BCEF-4E9B-A522-9946C4971767}"/>
    <cellStyle name="Comma 932 4 2" xfId="10540" xr:uid="{84187424-2B01-4D93-B91C-8DB817353B4D}"/>
    <cellStyle name="Comma 932 5" xfId="6412" xr:uid="{1BC30686-4EEC-467B-860A-CF64B565A102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3" xfId="7444" xr:uid="{F2EE32CD-1513-4750-9958-782B1CBA0542}"/>
    <cellStyle name="Comma 933 3" xfId="3239" xr:uid="{26CB19AD-79C1-4FFF-AA0D-2F78F31B045C}"/>
    <cellStyle name="Comma 933 3 2" xfId="8472" xr:uid="{06351C3D-9B20-40FE-B6EB-771CD1914675}"/>
    <cellStyle name="Comma 933 4" xfId="5365" xr:uid="{F9C6E9AF-0C08-435F-872D-CD8A295118C5}"/>
    <cellStyle name="Comma 933 4 2" xfId="10541" xr:uid="{12C251AB-454B-48F6-8633-5F0EA83B84B6}"/>
    <cellStyle name="Comma 933 5" xfId="6413" xr:uid="{4C8BD541-9F9A-45A5-B93D-0DEEEB86C79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3" xfId="7445" xr:uid="{93B98E95-C129-4340-A932-A68FC07040DF}"/>
    <cellStyle name="Comma 934 3" xfId="3240" xr:uid="{032D5F7F-5A1A-427C-A3A0-A642BDFCF6CB}"/>
    <cellStyle name="Comma 934 3 2" xfId="8473" xr:uid="{FC7E5663-4B34-4BA4-93B8-772BBB73D86A}"/>
    <cellStyle name="Comma 934 4" xfId="5366" xr:uid="{B43E9FDA-1535-4E44-9023-6EE1A40F8EB8}"/>
    <cellStyle name="Comma 934 4 2" xfId="10542" xr:uid="{4F4E7453-8AAB-4ABA-AF59-6F1FA39228EF}"/>
    <cellStyle name="Comma 934 5" xfId="6414" xr:uid="{CE4A42C9-F2CB-4A97-9612-D1D971D49FEE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3" xfId="7446" xr:uid="{C2F5C686-3796-47F5-A071-CCAA8E9962BA}"/>
    <cellStyle name="Comma 935 3" xfId="3241" xr:uid="{17A61D54-36CE-4C96-9601-0C1BD826C736}"/>
    <cellStyle name="Comma 935 3 2" xfId="8474" xr:uid="{3A3B928B-5C6B-4637-ABBC-A2557DD89CBB}"/>
    <cellStyle name="Comma 935 4" xfId="5367" xr:uid="{603A0990-79B1-43EC-BA46-F6BD4F265AC2}"/>
    <cellStyle name="Comma 935 4 2" xfId="10543" xr:uid="{40EC369A-F3B5-4703-973C-4343DE0E0219}"/>
    <cellStyle name="Comma 935 5" xfId="6415" xr:uid="{5D27A953-AAF2-4C1E-B209-1786532AB7E8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3" xfId="7447" xr:uid="{819E1045-2CE3-4672-B819-E0F549C54722}"/>
    <cellStyle name="Comma 936 3" xfId="3242" xr:uid="{5F576AF1-A463-4997-A4B8-523E7EF4637B}"/>
    <cellStyle name="Comma 936 3 2" xfId="8475" xr:uid="{A25A8E16-1C21-41A3-8292-870E7BC36659}"/>
    <cellStyle name="Comma 936 4" xfId="5368" xr:uid="{875AB71B-4000-4A81-9BA4-8912F5EB1AAA}"/>
    <cellStyle name="Comma 936 4 2" xfId="10544" xr:uid="{E299FB59-31B8-42CC-A81E-976C847782E0}"/>
    <cellStyle name="Comma 936 5" xfId="6416" xr:uid="{7E6B7BCD-88E4-4D28-B990-B0B576EEF4A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3" xfId="7448" xr:uid="{987638D9-AD55-414C-B661-7A084B1CE94E}"/>
    <cellStyle name="Comma 937 3" xfId="3243" xr:uid="{CF7C54F1-6FCB-4DC9-9E82-CC14EA34DFC3}"/>
    <cellStyle name="Comma 937 3 2" xfId="8476" xr:uid="{5B6C1144-7128-4C1D-A61A-598F38BA975D}"/>
    <cellStyle name="Comma 937 4" xfId="5369" xr:uid="{43D17890-7443-4CCD-89D4-C4972936AE19}"/>
    <cellStyle name="Comma 937 4 2" xfId="10545" xr:uid="{2822D2D3-4910-48AC-ACED-791F7DCB13FE}"/>
    <cellStyle name="Comma 937 5" xfId="6417" xr:uid="{51415F75-5893-415F-B3C0-870EBC5C8BE0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3" xfId="7449" xr:uid="{57C286BB-FF15-40A4-A78A-8FD0C973400B}"/>
    <cellStyle name="Comma 938 3" xfId="3244" xr:uid="{E714FAA0-A241-431F-90B1-7F4924A05DA6}"/>
    <cellStyle name="Comma 938 3 2" xfId="8477" xr:uid="{B03148C4-87A3-4FA3-BD9F-662BE5BEB4AA}"/>
    <cellStyle name="Comma 938 4" xfId="5370" xr:uid="{FBDBD8A2-1067-49EA-AC25-BB3FD738D15C}"/>
    <cellStyle name="Comma 938 4 2" xfId="10546" xr:uid="{504F585B-DE4C-495D-942D-84D04E212979}"/>
    <cellStyle name="Comma 938 5" xfId="6418" xr:uid="{34EF94EA-DB21-4A50-A245-654BBD5BD402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3" xfId="7450" xr:uid="{60E4ED3A-0270-46F9-8FC8-274462CA0426}"/>
    <cellStyle name="Comma 939 3" xfId="3245" xr:uid="{438D2FAB-8E31-42DA-B632-E8238EBAF6A6}"/>
    <cellStyle name="Comma 939 3 2" xfId="8478" xr:uid="{18765A92-59FD-4B7D-BEF7-7C7788CA05F5}"/>
    <cellStyle name="Comma 939 4" xfId="5371" xr:uid="{F7EFBE08-6F76-4AF7-8B8E-F7EBE6D4E5AE}"/>
    <cellStyle name="Comma 939 4 2" xfId="10547" xr:uid="{9912D30E-41C3-46DE-9E22-18396457E263}"/>
    <cellStyle name="Comma 939 5" xfId="6419" xr:uid="{56CC72A1-6890-4EF2-9E1F-1C6B873FA6B3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3" xfId="6605" xr:uid="{6E76B54C-A1C7-4C4A-9922-E89B360247C3}"/>
    <cellStyle name="Comma 94 3" xfId="2400" xr:uid="{51C99B75-CB0A-433B-BC9D-9D14A2391982}"/>
    <cellStyle name="Comma 94 3 2" xfId="7633" xr:uid="{5F11612D-28A1-49D5-B220-C1C4ED855B41}"/>
    <cellStyle name="Comma 94 4" xfId="4526" xr:uid="{2BBFFC01-4250-490E-A67C-8A618EE0DB51}"/>
    <cellStyle name="Comma 94 4 2" xfId="9702" xr:uid="{2F875CD9-B1E6-4F5D-85C5-A31E9EBC3D63}"/>
    <cellStyle name="Comma 94 5" xfId="5574" xr:uid="{1CFD0307-D99F-4BDE-9C79-E7353BA9ADFB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3" xfId="7451" xr:uid="{B9505985-0F3C-402B-913A-11CD9B763DEA}"/>
    <cellStyle name="Comma 940 3" xfId="3246" xr:uid="{AEDA126C-29C5-428C-BFE8-E21E71EC6281}"/>
    <cellStyle name="Comma 940 3 2" xfId="8479" xr:uid="{839C75E2-90CE-42D9-8DB2-D8652BC49EC3}"/>
    <cellStyle name="Comma 940 4" xfId="5372" xr:uid="{5BBC0D90-6833-4F6D-B390-E8DADCABA776}"/>
    <cellStyle name="Comma 940 4 2" xfId="10548" xr:uid="{D14B6524-75FD-4CE9-9666-B0589F816B66}"/>
    <cellStyle name="Comma 940 5" xfId="6420" xr:uid="{65A343F5-7125-43D2-B1D9-A0CDD3A86605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3" xfId="7452" xr:uid="{5B999E7A-B941-4128-94C6-903BA9B54FF4}"/>
    <cellStyle name="Comma 941 3" xfId="3247" xr:uid="{2ECB9EDD-DE3C-4B4F-B3E9-66DE32A570B7}"/>
    <cellStyle name="Comma 941 3 2" xfId="8480" xr:uid="{8A66ABA0-4D8A-414C-86CC-4CC1248BDCBC}"/>
    <cellStyle name="Comma 941 4" xfId="5373" xr:uid="{770812DC-0479-4EE2-AF57-64B1BD494789}"/>
    <cellStyle name="Comma 941 4 2" xfId="10549" xr:uid="{38565023-C975-4462-BDAB-F781AF8AB5CF}"/>
    <cellStyle name="Comma 941 5" xfId="6421" xr:uid="{7BE5D0DC-7ACC-4C88-B09C-4F3660B4FA28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3" xfId="7453" xr:uid="{6DD64DFE-CF62-409E-87C1-CD4265045162}"/>
    <cellStyle name="Comma 942 3" xfId="3248" xr:uid="{97CEACB7-7F78-4AB7-831A-1C9B184E03AA}"/>
    <cellStyle name="Comma 942 3 2" xfId="8481" xr:uid="{4A48090D-630A-4AA5-A798-8DD94020184D}"/>
    <cellStyle name="Comma 942 4" xfId="5374" xr:uid="{EAE257F3-5029-4FF0-B11A-FAB3E9BC60BC}"/>
    <cellStyle name="Comma 942 4 2" xfId="10550" xr:uid="{452F60DF-5BC1-41F7-B2BC-7AF53F9D557A}"/>
    <cellStyle name="Comma 942 5" xfId="6422" xr:uid="{94838324-AD34-4432-B165-9B89360611F9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3" xfId="7454" xr:uid="{244A3497-2D0D-4FD8-91BE-FD489A62387F}"/>
    <cellStyle name="Comma 943 3" xfId="3249" xr:uid="{0F632CEB-EF82-4FDA-98EC-07C31A54B2BF}"/>
    <cellStyle name="Comma 943 3 2" xfId="8482" xr:uid="{E606A6AB-9CC3-4040-AE70-D2C2C9BCE68C}"/>
    <cellStyle name="Comma 943 4" xfId="5375" xr:uid="{2906B484-6EF0-4B58-919E-6E4C97C6B497}"/>
    <cellStyle name="Comma 943 4 2" xfId="10551" xr:uid="{DC9430F1-7C8C-45EC-80AA-5BB8B36DDC2F}"/>
    <cellStyle name="Comma 943 5" xfId="6423" xr:uid="{9941A338-4420-4AAC-A6BB-EF198D07556A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3" xfId="7455" xr:uid="{7C79DC78-B9AF-4970-91D0-F5A1C1E33B5C}"/>
    <cellStyle name="Comma 944 3" xfId="3250" xr:uid="{629E7655-D0F1-453B-8339-3CEDE778BF6F}"/>
    <cellStyle name="Comma 944 3 2" xfId="8483" xr:uid="{CDDD6C60-DF01-483E-9808-DFE7DF8D8E61}"/>
    <cellStyle name="Comma 944 4" xfId="5376" xr:uid="{12D2496F-5634-4B91-AC3F-D1FCEEAF7A47}"/>
    <cellStyle name="Comma 944 4 2" xfId="10552" xr:uid="{081BF136-537A-4DE3-957C-36B9D69EB89E}"/>
    <cellStyle name="Comma 944 5" xfId="6424" xr:uid="{A6345D48-CF34-40A4-98F6-99007EEBE33B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3" xfId="7456" xr:uid="{D47D5CB4-7382-47DB-AF71-9E51DC272F2D}"/>
    <cellStyle name="Comma 945 3" xfId="3251" xr:uid="{4EAEE90E-4FC4-4833-B43B-A7027817114F}"/>
    <cellStyle name="Comma 945 3 2" xfId="8484" xr:uid="{7B535686-4D67-4249-AF4D-3B2F4F3D1D00}"/>
    <cellStyle name="Comma 945 4" xfId="5377" xr:uid="{C4F5C81E-24E1-4FE2-A97D-2906CD06C914}"/>
    <cellStyle name="Comma 945 4 2" xfId="10553" xr:uid="{2D9ED719-BDA4-49B4-BDAE-9D9F400F8A40}"/>
    <cellStyle name="Comma 945 5" xfId="6425" xr:uid="{988F3617-CD55-4AC9-AD9B-29276A73113F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3" xfId="7457" xr:uid="{AD4D44F8-2F75-4222-B7DC-AF4418C1E85D}"/>
    <cellStyle name="Comma 946 3" xfId="3252" xr:uid="{2B767153-D461-43A4-81D3-89DF52C60611}"/>
    <cellStyle name="Comma 946 3 2" xfId="8485" xr:uid="{AFDD1CDD-396F-40DD-92D4-43D88D38BD65}"/>
    <cellStyle name="Comma 946 4" xfId="5378" xr:uid="{8EC32CAD-B510-40C2-AB67-9C62A3C0CD0D}"/>
    <cellStyle name="Comma 946 4 2" xfId="10554" xr:uid="{29181102-F1E4-426A-9038-1D756FCB5B99}"/>
    <cellStyle name="Comma 946 5" xfId="6426" xr:uid="{623977B1-A349-408D-8D92-EB1BBAFDCBC5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3" xfId="7458" xr:uid="{FDB8976F-D8BB-4040-BFE0-31B7BD7822E3}"/>
    <cellStyle name="Comma 947 3" xfId="3253" xr:uid="{000AFE68-414C-4E98-A1A6-81CE315C1162}"/>
    <cellStyle name="Comma 947 3 2" xfId="8486" xr:uid="{3E6431D0-2A75-4F32-802A-F57BD01BE4C0}"/>
    <cellStyle name="Comma 947 4" xfId="5379" xr:uid="{FBE71268-D26C-49C1-99F6-4BD11D5AD8A1}"/>
    <cellStyle name="Comma 947 4 2" xfId="10555" xr:uid="{3D2ED330-6FF1-48B5-9830-5DBFADA603FB}"/>
    <cellStyle name="Comma 947 5" xfId="6427" xr:uid="{93BA1C54-925F-44E5-BDD4-E8BC25A75135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3" xfId="7459" xr:uid="{FD623490-5434-46BD-8614-F9425C1677FC}"/>
    <cellStyle name="Comma 948 3" xfId="3254" xr:uid="{75606C4A-75CD-4079-87A9-6E4AF9DABFC8}"/>
    <cellStyle name="Comma 948 3 2" xfId="8487" xr:uid="{31FB99C8-FA2E-4A49-957D-CF430F1C0F9E}"/>
    <cellStyle name="Comma 948 4" xfId="5380" xr:uid="{F878BC44-A85F-44D2-8BD0-6F114B92B2E6}"/>
    <cellStyle name="Comma 948 4 2" xfId="10556" xr:uid="{C6648DE1-B2C6-49E7-8EFA-4DF78792E800}"/>
    <cellStyle name="Comma 948 5" xfId="6428" xr:uid="{05D9B1D4-2CFD-4416-A6CC-E8A83AC014E3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3" xfId="7460" xr:uid="{C2FB011C-A544-4974-89FB-F3DEE6279BA2}"/>
    <cellStyle name="Comma 949 3" xfId="3255" xr:uid="{A5127D30-4457-455A-B3D1-353C55D1AF7B}"/>
    <cellStyle name="Comma 949 3 2" xfId="8488" xr:uid="{5438E2F8-3627-427C-9C59-3A7B243C7638}"/>
    <cellStyle name="Comma 949 4" xfId="5381" xr:uid="{627D49F5-9D20-4B5B-B777-7D968DA750E9}"/>
    <cellStyle name="Comma 949 4 2" xfId="10557" xr:uid="{285F88B2-5E18-43DA-AC7C-B7FF4A8447D3}"/>
    <cellStyle name="Comma 949 5" xfId="6429" xr:uid="{132416EB-5A77-41D1-84B0-97A581AE429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3" xfId="6606" xr:uid="{2D998B26-F302-4862-A449-7E01889B05E3}"/>
    <cellStyle name="Comma 95 3" xfId="2401" xr:uid="{03E40966-C39F-485C-93A8-5380853C2CEA}"/>
    <cellStyle name="Comma 95 3 2" xfId="7634" xr:uid="{609E61C0-EB3C-41B3-AFA3-1CB3D6314270}"/>
    <cellStyle name="Comma 95 4" xfId="4527" xr:uid="{B8BDFA47-F872-4576-883F-5A7CDF7F77B9}"/>
    <cellStyle name="Comma 95 4 2" xfId="9703" xr:uid="{F19D571C-3477-4265-91D0-827E09246848}"/>
    <cellStyle name="Comma 95 5" xfId="5575" xr:uid="{8A343811-2C2E-4FE2-90DE-B7D4FCA2A0F4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3" xfId="7461" xr:uid="{8D2C8BD0-D4EF-4D09-8320-AB61C17A556F}"/>
    <cellStyle name="Comma 950 3" xfId="3256" xr:uid="{48F66B1D-4390-49B3-B3E8-B0921A86C8AF}"/>
    <cellStyle name="Comma 950 3 2" xfId="8489" xr:uid="{8DCEFA24-5D3C-4D97-981E-4C84A52694C9}"/>
    <cellStyle name="Comma 950 4" xfId="5382" xr:uid="{5BA81AAF-2B07-4EF0-9089-ED01B58E34BC}"/>
    <cellStyle name="Comma 950 4 2" xfId="10558" xr:uid="{0EC0D0FE-4B76-40B3-9453-E7970FCFBDCD}"/>
    <cellStyle name="Comma 950 5" xfId="6430" xr:uid="{B5CBCD6A-8665-4E73-A149-098EF8D13318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3" xfId="7462" xr:uid="{1A93DADB-C574-46C0-8268-CE2B462EF1DC}"/>
    <cellStyle name="Comma 951 3" xfId="3257" xr:uid="{CE2863C0-ED6B-48B1-B98F-4934C5AEB649}"/>
    <cellStyle name="Comma 951 3 2" xfId="8490" xr:uid="{3D76BB78-D85E-42BC-9A17-AB721533D753}"/>
    <cellStyle name="Comma 951 4" xfId="5383" xr:uid="{0D43319F-B17E-4B0C-8406-FB5BCC4384B1}"/>
    <cellStyle name="Comma 951 4 2" xfId="10559" xr:uid="{7D2B81FB-6D33-4A03-A0F6-9EE3B303A22F}"/>
    <cellStyle name="Comma 951 5" xfId="6431" xr:uid="{18A41B8E-D1A3-4C71-B08E-BA7255C62AF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3" xfId="7463" xr:uid="{3DF77302-813E-4052-9E80-7275D4AFCAE7}"/>
    <cellStyle name="Comma 952 3" xfId="3258" xr:uid="{E305B069-BFC2-4726-A88E-091B988E520F}"/>
    <cellStyle name="Comma 952 3 2" xfId="8491" xr:uid="{266AF78A-A1A5-4B9C-8E0B-B6281CDF1387}"/>
    <cellStyle name="Comma 952 4" xfId="5384" xr:uid="{0E870EA2-BB74-48CF-9527-57CD0C9C0EE0}"/>
    <cellStyle name="Comma 952 4 2" xfId="10560" xr:uid="{0F339225-8125-401F-9613-BAE0383196E3}"/>
    <cellStyle name="Comma 952 5" xfId="6432" xr:uid="{0DCBD2F8-AA5F-493C-917B-FC5D9A14506F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3" xfId="7464" xr:uid="{206AC396-E208-439F-B7CF-373832126DC2}"/>
    <cellStyle name="Comma 953 3" xfId="3259" xr:uid="{934C59B7-4622-4BC4-9458-F6FF106F7CBD}"/>
    <cellStyle name="Comma 953 3 2" xfId="8492" xr:uid="{8DB405D6-91B5-4E27-BFF5-4C536AD43DD9}"/>
    <cellStyle name="Comma 953 4" xfId="5385" xr:uid="{82432755-FCFE-477C-BA38-9DCC87261B0C}"/>
    <cellStyle name="Comma 953 4 2" xfId="10561" xr:uid="{E3AAD890-5D3F-495E-BBB2-57730DFD2E8A}"/>
    <cellStyle name="Comma 953 5" xfId="6433" xr:uid="{24A1520A-BBEB-4C5D-A906-C8EDADD95E7A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3" xfId="7465" xr:uid="{D95D0352-AB4A-422B-968F-BC2987C21807}"/>
    <cellStyle name="Comma 954 3" xfId="3260" xr:uid="{D0457735-BAED-41F2-A965-40772422CEA2}"/>
    <cellStyle name="Comma 954 3 2" xfId="8493" xr:uid="{DE5DF632-1BCC-46B8-9F8F-D64B06C06BBF}"/>
    <cellStyle name="Comma 954 4" xfId="5386" xr:uid="{19E10778-B1DB-4334-B23D-B7E7AFA22B1F}"/>
    <cellStyle name="Comma 954 4 2" xfId="10562" xr:uid="{BF03561C-C428-40CB-9E82-28E2DB2D0285}"/>
    <cellStyle name="Comma 954 5" xfId="6434" xr:uid="{50807E5B-3967-413B-B6B9-2AB190BBD717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3" xfId="7466" xr:uid="{21283FDC-C233-4915-B67B-D23FE251FBD4}"/>
    <cellStyle name="Comma 955 3" xfId="3261" xr:uid="{4EBC3F55-FCF8-4C7D-8588-F07F346DEDA6}"/>
    <cellStyle name="Comma 955 3 2" xfId="8494" xr:uid="{E8CEAA6A-042C-4419-A8E8-5BABABE24834}"/>
    <cellStyle name="Comma 955 4" xfId="5387" xr:uid="{F5172873-E387-4040-BD4B-C39B1109D323}"/>
    <cellStyle name="Comma 955 4 2" xfId="10563" xr:uid="{E7D3D2B1-81C1-4929-A18D-F5F0E35A4C57}"/>
    <cellStyle name="Comma 955 5" xfId="6435" xr:uid="{B094BB05-C9A7-453D-9FAF-1ECFC643234B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3" xfId="7467" xr:uid="{13F2CDD1-3A1A-406B-BEFD-5C378188C9A5}"/>
    <cellStyle name="Comma 956 3" xfId="3262" xr:uid="{9A7376C7-E48D-4D28-8740-443ED213CEE4}"/>
    <cellStyle name="Comma 956 3 2" xfId="8495" xr:uid="{03E5402E-8CB6-4DED-BF71-930C9948B286}"/>
    <cellStyle name="Comma 956 4" xfId="5388" xr:uid="{7D0FE181-7B62-4970-8DA4-DE4F3A138039}"/>
    <cellStyle name="Comma 956 4 2" xfId="10564" xr:uid="{6B62AD77-C300-4527-91B6-6162114D99D6}"/>
    <cellStyle name="Comma 956 5" xfId="6436" xr:uid="{4CFCF228-E84D-4E05-8CD7-374DFB4B8701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3" xfId="7468" xr:uid="{5F02D343-4041-4462-B7E9-1DF0DD4F9580}"/>
    <cellStyle name="Comma 957 3" xfId="3263" xr:uid="{C1DFEDF8-23DD-4769-BF82-56159A33AD91}"/>
    <cellStyle name="Comma 957 3 2" xfId="8496" xr:uid="{719484D4-2D7F-4743-997C-5016AC863DDB}"/>
    <cellStyle name="Comma 957 4" xfId="5389" xr:uid="{DA378FB3-156C-4955-9605-6335388A6B24}"/>
    <cellStyle name="Comma 957 4 2" xfId="10565" xr:uid="{D355A05C-7E34-47FE-9864-F30E745A8CA6}"/>
    <cellStyle name="Comma 957 5" xfId="6437" xr:uid="{317EF0D2-FE6F-4DAF-B4B5-E7CE7DA2659D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3" xfId="7469" xr:uid="{CEBAF352-6E48-407C-AEB8-F5716E6EEDB2}"/>
    <cellStyle name="Comma 958 3" xfId="3264" xr:uid="{FC9A0FC1-C3E5-4166-B57E-E8A457764BAB}"/>
    <cellStyle name="Comma 958 3 2" xfId="8497" xr:uid="{237B78D8-9531-4C62-A921-4FA215937084}"/>
    <cellStyle name="Comma 958 4" xfId="5390" xr:uid="{AF172CD5-14E4-43D5-9692-F4FAB463BD23}"/>
    <cellStyle name="Comma 958 4 2" xfId="10566" xr:uid="{EBF9DE46-4A24-4E22-A75B-36747BECAD4A}"/>
    <cellStyle name="Comma 958 5" xfId="6438" xr:uid="{C5317D90-EEDD-4237-8AB2-CCA6C0675BED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3" xfId="7470" xr:uid="{02C54E76-20B0-48AA-BF32-9EFA857070B5}"/>
    <cellStyle name="Comma 959 3" xfId="3265" xr:uid="{95D68248-BAA5-4B9F-88F6-A25061E9B74D}"/>
    <cellStyle name="Comma 959 3 2" xfId="8498" xr:uid="{E68E9BCE-A74C-4EF5-97D2-7B7FF14B3613}"/>
    <cellStyle name="Comma 959 4" xfId="5391" xr:uid="{2B2B87AA-B95B-4DA7-AC54-5B3A7BB56BCD}"/>
    <cellStyle name="Comma 959 4 2" xfId="10567" xr:uid="{C3537B79-147A-4499-ADCE-B5EAA5BA38EA}"/>
    <cellStyle name="Comma 959 5" xfId="6439" xr:uid="{1CC1A2E4-94B9-40E0-BFBD-0FE5FBEC5661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3" xfId="6607" xr:uid="{0EE14A53-E200-4383-A21A-FFFB646D7787}"/>
    <cellStyle name="Comma 96 3" xfId="2402" xr:uid="{FF027217-1C05-40E6-9961-EB47F7CAF898}"/>
    <cellStyle name="Comma 96 3 2" xfId="7635" xr:uid="{FD24D17E-4826-417B-92F1-CB046BD7E3DA}"/>
    <cellStyle name="Comma 96 4" xfId="4528" xr:uid="{61D39C61-6C72-4CEE-B73E-475E713D24EF}"/>
    <cellStyle name="Comma 96 4 2" xfId="9704" xr:uid="{80F9A053-36B7-498F-BB1E-03CBFF0D07A5}"/>
    <cellStyle name="Comma 96 5" xfId="5576" xr:uid="{FB7CB1F8-1E1C-4C10-96D4-497585B728DE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3" xfId="7471" xr:uid="{F7FDA3DD-BA06-4924-B5A0-89F942221071}"/>
    <cellStyle name="Comma 960 3" xfId="3266" xr:uid="{993919DF-394C-4DB4-8CA9-FA75D6B1FE39}"/>
    <cellStyle name="Comma 960 3 2" xfId="8499" xr:uid="{0F2CAEE7-F92D-40DC-94C4-46F8F0389282}"/>
    <cellStyle name="Comma 960 4" xfId="5392" xr:uid="{5D145691-3A26-42EF-A067-323E6DCA8921}"/>
    <cellStyle name="Comma 960 4 2" xfId="10568" xr:uid="{526684EA-4779-4D58-AF8E-222CC43D5DFB}"/>
    <cellStyle name="Comma 960 5" xfId="6440" xr:uid="{F3C86962-429B-408B-AA56-342573784C36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3" xfId="7472" xr:uid="{9064D1BE-B3EC-4BA9-9C95-61387C724B6C}"/>
    <cellStyle name="Comma 961 3" xfId="3267" xr:uid="{CB2D1A64-00D6-4760-8B16-6064BBF124F1}"/>
    <cellStyle name="Comma 961 3 2" xfId="8500" xr:uid="{DCEEBD16-E4AA-4F41-B68D-8C13C4294CE9}"/>
    <cellStyle name="Comma 961 4" xfId="5393" xr:uid="{2E013E0F-3662-42E6-B087-EB263D5BAC2D}"/>
    <cellStyle name="Comma 961 4 2" xfId="10569" xr:uid="{373236FD-F479-4B22-9A83-BBF82CA00714}"/>
    <cellStyle name="Comma 961 5" xfId="6441" xr:uid="{28066D64-878F-4962-8BD2-EE2A29CBD4E1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3" xfId="7473" xr:uid="{6AF87951-8588-4AEF-BA5D-E0CFFEFC6BAB}"/>
    <cellStyle name="Comma 962 3" xfId="3268" xr:uid="{9265B937-5A4E-4DF0-A0D0-1DD9EA0EFC83}"/>
    <cellStyle name="Comma 962 3 2" xfId="8501" xr:uid="{EA84B744-4FE2-4EC6-AF3B-4BCE1CB9B094}"/>
    <cellStyle name="Comma 962 4" xfId="5394" xr:uid="{A8C39650-B955-4D96-8E9E-0332D2E07C77}"/>
    <cellStyle name="Comma 962 4 2" xfId="10570" xr:uid="{35A13A80-77EB-4965-B746-BBD102E33854}"/>
    <cellStyle name="Comma 962 5" xfId="6442" xr:uid="{F5CFD500-3E1D-4511-9FA1-A90342D32D3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3" xfId="7474" xr:uid="{D4EC7CFF-7CA7-40A8-AE3B-8D98E0718083}"/>
    <cellStyle name="Comma 963 3" xfId="3269" xr:uid="{5192C0A1-55CF-4D97-843C-0F558574FF1E}"/>
    <cellStyle name="Comma 963 3 2" xfId="8502" xr:uid="{416E6BC4-4D56-433C-BB7B-0496F7C835BE}"/>
    <cellStyle name="Comma 963 4" xfId="5395" xr:uid="{69A70D3B-094C-498C-8F2A-0E77D23CA6EB}"/>
    <cellStyle name="Comma 963 4 2" xfId="10571" xr:uid="{75DF797D-0AA1-4922-99F5-F621377CB784}"/>
    <cellStyle name="Comma 963 5" xfId="6443" xr:uid="{D8C5D0A7-D443-4916-9D68-5FC9D2C5B097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3" xfId="7475" xr:uid="{058D9816-7EAE-44EF-BDD9-860E582BBBF7}"/>
    <cellStyle name="Comma 964 3" xfId="3270" xr:uid="{3EE354D2-8105-47BC-8B7E-89792178D4FA}"/>
    <cellStyle name="Comma 964 3 2" xfId="8503" xr:uid="{8670C4F3-7A80-4B6D-82D1-7104452F92CD}"/>
    <cellStyle name="Comma 964 4" xfId="5396" xr:uid="{B241A3F2-E0B3-4334-9CBA-F8E22AD8720A}"/>
    <cellStyle name="Comma 964 4 2" xfId="10572" xr:uid="{9B72394F-5E9F-4853-AC28-8658EF6A1760}"/>
    <cellStyle name="Comma 964 5" xfId="6444" xr:uid="{6550BA7D-465F-4877-BEAB-89E5316D5AA1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3" xfId="7476" xr:uid="{252284FD-B0AC-4C4C-95E0-1D862C512E94}"/>
    <cellStyle name="Comma 965 3" xfId="3271" xr:uid="{5D0421B7-F0A3-49FE-836D-DE7B2621DE88}"/>
    <cellStyle name="Comma 965 3 2" xfId="8504" xr:uid="{0F3CE3BD-EF71-4878-B05D-714E4F01A9F8}"/>
    <cellStyle name="Comma 965 4" xfId="5397" xr:uid="{26FA8E3B-DC6E-40EC-A60E-7913A226D833}"/>
    <cellStyle name="Comma 965 4 2" xfId="10573" xr:uid="{7CF0DE41-BA49-4B6D-A94D-3E828C138FD4}"/>
    <cellStyle name="Comma 965 5" xfId="6445" xr:uid="{3309486C-A274-4388-81D4-F242A37F5738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3" xfId="7477" xr:uid="{8A7EF136-C1E4-4F6E-8EA0-1EF1F00D584E}"/>
    <cellStyle name="Comma 966 3" xfId="3272" xr:uid="{F0862251-EBD2-4384-80D9-897D88E8D886}"/>
    <cellStyle name="Comma 966 3 2" xfId="8505" xr:uid="{905F45BC-5D07-4549-9321-594850E8F470}"/>
    <cellStyle name="Comma 966 4" xfId="5398" xr:uid="{94C0FCBB-C3CF-45F4-A3BF-6735951B4617}"/>
    <cellStyle name="Comma 966 4 2" xfId="10574" xr:uid="{87C0ECF7-8619-47A3-A1BC-62A699D6D8E2}"/>
    <cellStyle name="Comma 966 5" xfId="6446" xr:uid="{6B5AF90E-206D-4331-A092-0F4A2964AD11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3" xfId="7478" xr:uid="{EA7EA052-7529-45F6-9201-E50FFE86943A}"/>
    <cellStyle name="Comma 967 3" xfId="3273" xr:uid="{494049A0-5F8D-4613-BD2F-B9F7F2953692}"/>
    <cellStyle name="Comma 967 3 2" xfId="8506" xr:uid="{6E997A43-2705-478C-8236-7F17A0942EE6}"/>
    <cellStyle name="Comma 967 4" xfId="5399" xr:uid="{A071F717-3748-436F-9167-5A1049572765}"/>
    <cellStyle name="Comma 967 4 2" xfId="10575" xr:uid="{6779808E-96B7-4C14-B077-2FF19E05483B}"/>
    <cellStyle name="Comma 967 5" xfId="6447" xr:uid="{EBA17A06-EEA7-4E26-8656-2652B15242FA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3" xfId="7479" xr:uid="{03250C14-5107-43B8-810B-6F9FEADAB513}"/>
    <cellStyle name="Comma 968 3" xfId="3274" xr:uid="{715B62D0-060D-46D2-A958-E5E09E4213A7}"/>
    <cellStyle name="Comma 968 3 2" xfId="8507" xr:uid="{F3665BF3-379B-4D81-BB23-DE198C657C8F}"/>
    <cellStyle name="Comma 968 4" xfId="5400" xr:uid="{EA7A1FE2-B508-4C51-BA82-F21CA4BF647A}"/>
    <cellStyle name="Comma 968 4 2" xfId="10576" xr:uid="{1827F913-F28C-4432-834F-EDE00CB79D04}"/>
    <cellStyle name="Comma 968 5" xfId="6448" xr:uid="{D1ADF3F0-F83C-4B37-849D-9A2ED24208FE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3" xfId="7480" xr:uid="{F01C82D6-B77A-4E3F-80FE-3BEE582BB3BE}"/>
    <cellStyle name="Comma 969 3" xfId="3275" xr:uid="{277A1E26-5E88-4B5D-9B34-66BB0B09DF3C}"/>
    <cellStyle name="Comma 969 3 2" xfId="8508" xr:uid="{6CF79FEC-5AFD-488B-A942-9BF2326826A7}"/>
    <cellStyle name="Comma 969 4" xfId="5401" xr:uid="{4D62D3EF-2E90-4CA9-AFBC-82607E9C9FDD}"/>
    <cellStyle name="Comma 969 4 2" xfId="10577" xr:uid="{A43F5427-289F-4BCC-9A36-1FFD25F21A5D}"/>
    <cellStyle name="Comma 969 5" xfId="6449" xr:uid="{D2FA22A7-7315-44A0-96D5-59C4FD2F8575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3" xfId="6608" xr:uid="{DADE8681-00C5-4A01-BE8A-C9EE14D72FD8}"/>
    <cellStyle name="Comma 97 3" xfId="2403" xr:uid="{CD348C6A-2A4C-4E85-B5BA-FB2FC8E00718}"/>
    <cellStyle name="Comma 97 3 2" xfId="7636" xr:uid="{8FA1FFD0-B647-412D-AEBD-EBCD8EC5B57B}"/>
    <cellStyle name="Comma 97 4" xfId="4529" xr:uid="{E2632C54-36C2-4DC1-ADD6-DC750D5B4602}"/>
    <cellStyle name="Comma 97 4 2" xfId="9705" xr:uid="{2BB1BA63-1635-4A48-B1BF-EA24C2E37360}"/>
    <cellStyle name="Comma 97 5" xfId="5577" xr:uid="{7C823F35-4ADF-4DF0-A01B-CD24E3228AAC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3" xfId="7481" xr:uid="{77C35DE9-A4D3-4577-8570-4CF82B7882FB}"/>
    <cellStyle name="Comma 970 3" xfId="3276" xr:uid="{E00C15E6-DEE4-44D3-AF16-25CE58A36704}"/>
    <cellStyle name="Comma 970 3 2" xfId="8509" xr:uid="{331D5FA0-F023-4B7F-8D55-DBF9E82B7179}"/>
    <cellStyle name="Comma 970 4" xfId="5402" xr:uid="{AC36B1BF-CBF9-4CEC-89B3-35565E61E254}"/>
    <cellStyle name="Comma 970 4 2" xfId="10578" xr:uid="{50502266-784C-47E1-B6C9-D82B9270A308}"/>
    <cellStyle name="Comma 970 5" xfId="6450" xr:uid="{F37AD687-4D8C-4556-BD00-76CB72D0BF25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3" xfId="7482" xr:uid="{21B72826-D2C1-4489-9B42-F8F259665EB6}"/>
    <cellStyle name="Comma 971 3" xfId="3277" xr:uid="{F3C31A4D-5A92-41CA-AB1B-A723A4133156}"/>
    <cellStyle name="Comma 971 3 2" xfId="8510" xr:uid="{07D93296-DA1A-43DB-AA91-0281D59327A6}"/>
    <cellStyle name="Comma 971 4" xfId="5403" xr:uid="{46D0A58C-204A-4316-A2D7-19988473F9CA}"/>
    <cellStyle name="Comma 971 4 2" xfId="10579" xr:uid="{BABD1695-02E8-4259-B1AB-368D40AE42C3}"/>
    <cellStyle name="Comma 971 5" xfId="6451" xr:uid="{628912CC-4DC7-4713-9550-43A0A4C9DE21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3" xfId="7483" xr:uid="{98489EE8-703D-449C-97C7-9A9135E5BD10}"/>
    <cellStyle name="Comma 972 3" xfId="3278" xr:uid="{35DB3E28-6DCC-46B9-A3C3-29665DF52F71}"/>
    <cellStyle name="Comma 972 3 2" xfId="8511" xr:uid="{1B0885A1-4B62-4BD7-9D2C-EF02B8A3C878}"/>
    <cellStyle name="Comma 972 4" xfId="5404" xr:uid="{8F767A56-11B0-481F-9654-3A2A71CC63C4}"/>
    <cellStyle name="Comma 972 4 2" xfId="10580" xr:uid="{A3C82186-0D4D-49BD-B6B8-86DF65CAE327}"/>
    <cellStyle name="Comma 972 5" xfId="6452" xr:uid="{45062481-7621-4F22-ABCB-C8796FF0F22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3" xfId="7484" xr:uid="{D7BE024D-1BC9-428D-A0C7-4D833A8A208A}"/>
    <cellStyle name="Comma 973 3" xfId="3279" xr:uid="{42C437F4-9D84-4415-A223-A237925ABF89}"/>
    <cellStyle name="Comma 973 3 2" xfId="8512" xr:uid="{B02F12E6-C42F-4638-9B39-605B19CE1B43}"/>
    <cellStyle name="Comma 973 4" xfId="5405" xr:uid="{CB1AE7CF-9721-43F2-8B58-F00D7B1F5171}"/>
    <cellStyle name="Comma 973 4 2" xfId="10581" xr:uid="{B97D9BB2-A0B0-428A-AE9E-800EC0308D6D}"/>
    <cellStyle name="Comma 973 5" xfId="6453" xr:uid="{B5B58B07-A13C-42EB-974E-F05A20D44D2A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3" xfId="7485" xr:uid="{6F5152C7-EED4-498E-B738-A96C4DB475F1}"/>
    <cellStyle name="Comma 974 3" xfId="3280" xr:uid="{0ACFC9C6-C122-4B77-9F96-CDB32641E2B3}"/>
    <cellStyle name="Comma 974 3 2" xfId="8513" xr:uid="{C06FB463-7E38-4BBE-9087-437490BA79E5}"/>
    <cellStyle name="Comma 974 4" xfId="5406" xr:uid="{4D2E955C-10A2-4BB3-876F-6C1072995615}"/>
    <cellStyle name="Comma 974 4 2" xfId="10582" xr:uid="{296815F6-7475-4AAC-87E3-5F1924DE23FA}"/>
    <cellStyle name="Comma 974 5" xfId="6454" xr:uid="{79C5E29E-4991-424C-8E8F-B24B6F64427C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3" xfId="7486" xr:uid="{84EDD0A3-281E-4DE5-B608-0583A0A578A0}"/>
    <cellStyle name="Comma 975 3" xfId="3281" xr:uid="{D6E7429E-74BA-4167-B3E8-C73B1AF42718}"/>
    <cellStyle name="Comma 975 3 2" xfId="8514" xr:uid="{32DC0146-494E-4188-BA95-393E26CBC939}"/>
    <cellStyle name="Comma 975 4" xfId="5407" xr:uid="{A9B67A8E-EC1E-43B4-BD27-1B630C940B44}"/>
    <cellStyle name="Comma 975 4 2" xfId="10583" xr:uid="{EF4D8E96-BCB0-4167-99A7-59E93E0266F3}"/>
    <cellStyle name="Comma 975 5" xfId="6455" xr:uid="{429A4838-DDF6-4E98-BDAE-D4333AAB7A6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3" xfId="7487" xr:uid="{075B2887-BBF3-4065-A465-17D6275DF53B}"/>
    <cellStyle name="Comma 976 3" xfId="3282" xr:uid="{20CC8A91-9BD8-403D-88EC-7DBFB1B7F001}"/>
    <cellStyle name="Comma 976 3 2" xfId="8515" xr:uid="{5B646A89-C4C3-418B-BE79-B56AA82088FF}"/>
    <cellStyle name="Comma 976 4" xfId="5408" xr:uid="{647D964B-A8D8-42EF-BFBB-1052DEABB499}"/>
    <cellStyle name="Comma 976 4 2" xfId="10584" xr:uid="{CDA922EE-8056-48E6-B9B1-0E2BE546A8C6}"/>
    <cellStyle name="Comma 976 5" xfId="6456" xr:uid="{C8D36BB1-D0B8-4709-A60E-B10883F12978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3" xfId="7488" xr:uid="{ACB4B085-8593-46D4-9DA4-FAAD3DB21E09}"/>
    <cellStyle name="Comma 977 3" xfId="3283" xr:uid="{8C139476-B68D-4514-B09C-89A79A98B5FC}"/>
    <cellStyle name="Comma 977 3 2" xfId="8516" xr:uid="{39031B65-50F8-49DA-B41D-C3FCBFB50F1C}"/>
    <cellStyle name="Comma 977 4" xfId="5409" xr:uid="{3871CD35-2B35-4F0E-982B-0E23BB4C5FF6}"/>
    <cellStyle name="Comma 977 4 2" xfId="10585" xr:uid="{87CA95DD-8E0D-45AC-9FBA-FF63DB147DE9}"/>
    <cellStyle name="Comma 977 5" xfId="6457" xr:uid="{AAB5C7A5-6C92-42A4-B6C5-0FE047505F2C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3" xfId="7489" xr:uid="{C9F2929E-E42A-4088-BA55-E99289275ADE}"/>
    <cellStyle name="Comma 978 3" xfId="3284" xr:uid="{652770DC-ACBB-4613-8B66-1E35EEB15380}"/>
    <cellStyle name="Comma 978 3 2" xfId="8517" xr:uid="{C2AEAFCF-168E-4B4E-A4AA-756952DB2DD1}"/>
    <cellStyle name="Comma 978 4" xfId="5410" xr:uid="{7806DD31-8964-414D-9F9B-28591F12877E}"/>
    <cellStyle name="Comma 978 4 2" xfId="10586" xr:uid="{6E140820-2105-40A8-854C-BF661BDE4421}"/>
    <cellStyle name="Comma 978 5" xfId="6458" xr:uid="{F3CFCD52-AA53-40A1-A62A-C0B626F7BC33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3" xfId="7490" xr:uid="{2CCBCCF5-2BB3-49F6-A33D-0B5C50DC9BDE}"/>
    <cellStyle name="Comma 979 3" xfId="3285" xr:uid="{672687EF-6CDC-45A7-ACF2-6730CDF35CEC}"/>
    <cellStyle name="Comma 979 3 2" xfId="8518" xr:uid="{B2C1EA42-91C2-4D0E-8B95-6ECC33ABA577}"/>
    <cellStyle name="Comma 979 4" xfId="5411" xr:uid="{2865038F-F893-4248-9C71-BAC5E9964009}"/>
    <cellStyle name="Comma 979 4 2" xfId="10587" xr:uid="{F7FF3B33-98C5-4EF8-A649-BBFC7B18EC7D}"/>
    <cellStyle name="Comma 979 5" xfId="6459" xr:uid="{4B114E68-A5BB-4BE7-80E6-63111077D39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3" xfId="6609" xr:uid="{F91FE721-FEEF-4E88-929E-E9AE9D4145FD}"/>
    <cellStyle name="Comma 98 3" xfId="2404" xr:uid="{CCB4D262-D2E6-446E-8B9F-B4C07B916554}"/>
    <cellStyle name="Comma 98 3 2" xfId="7637" xr:uid="{D05BD8B4-E9FB-4D1D-8440-4A83E16823F3}"/>
    <cellStyle name="Comma 98 4" xfId="4530" xr:uid="{7F983B73-D9A0-4E6A-9835-11216F9DCBB9}"/>
    <cellStyle name="Comma 98 4 2" xfId="9706" xr:uid="{370F6A87-A79B-4364-99EA-F54B11A33EB2}"/>
    <cellStyle name="Comma 98 5" xfId="5578" xr:uid="{54A7740B-5E40-4C34-8757-FCD2DF268C36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3" xfId="7491" xr:uid="{D205FA16-B266-4AC0-B0FA-DB4ABFB8FE54}"/>
    <cellStyle name="Comma 980 3" xfId="3286" xr:uid="{CFBDE56B-53F6-407A-B3D7-1FB93B10C22A}"/>
    <cellStyle name="Comma 980 3 2" xfId="8519" xr:uid="{60A7C0FE-001A-4B79-B24A-B1B24282C261}"/>
    <cellStyle name="Comma 980 4" xfId="5412" xr:uid="{776BECF6-2864-4131-A4B0-E55222684644}"/>
    <cellStyle name="Comma 980 4 2" xfId="10588" xr:uid="{5D116299-C843-49DE-968B-F4BA97F7BC72}"/>
    <cellStyle name="Comma 980 5" xfId="6460" xr:uid="{22919E8D-2985-4738-A10D-38E07AF1A1D6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3" xfId="7492" xr:uid="{00C59089-4E9F-4366-AA58-F7C395E1BC26}"/>
    <cellStyle name="Comma 981 3" xfId="3287" xr:uid="{047A0674-7286-4907-A693-6893BAFE5495}"/>
    <cellStyle name="Comma 981 3 2" xfId="8520" xr:uid="{46F689DE-74B8-4310-86E7-15C2625E87CC}"/>
    <cellStyle name="Comma 981 4" xfId="5413" xr:uid="{43CA5944-2139-491A-92F8-5A5CD7A18ABF}"/>
    <cellStyle name="Comma 981 4 2" xfId="10589" xr:uid="{C8FF0414-85FE-42F5-9301-93986B29EABC}"/>
    <cellStyle name="Comma 981 5" xfId="6461" xr:uid="{3A3FEB57-50F6-4456-8D3D-15D192072BB0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3" xfId="7493" xr:uid="{E66F0045-FF9F-4BEA-912E-E07C0653C5B8}"/>
    <cellStyle name="Comma 982 3" xfId="3288" xr:uid="{F957D613-7746-4431-93C1-7EE66A1AE36C}"/>
    <cellStyle name="Comma 982 3 2" xfId="8521" xr:uid="{76B4B25E-B85C-4FE9-B5A2-80DB5C4B518C}"/>
    <cellStyle name="Comma 982 4" xfId="5414" xr:uid="{9F981549-0D9C-4EB6-A6B6-A59D1825EB02}"/>
    <cellStyle name="Comma 982 4 2" xfId="10590" xr:uid="{01F3A7C6-517F-4DFA-BB02-B49464BBFDA5}"/>
    <cellStyle name="Comma 982 5" xfId="6462" xr:uid="{D643CD28-004F-4AEA-B08B-C8F7488C63D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3" xfId="7494" xr:uid="{FD9785A7-1708-4B7D-A4AF-BE9F4EFF34FA}"/>
    <cellStyle name="Comma 983 3" xfId="3289" xr:uid="{9CB9BA4C-A00F-4180-8B81-FA3B8E26A857}"/>
    <cellStyle name="Comma 983 3 2" xfId="8522" xr:uid="{0C77E402-D7EB-4620-B5AF-C0E740C602E8}"/>
    <cellStyle name="Comma 983 4" xfId="5415" xr:uid="{8DF99A7A-0619-440F-B903-790739CF039A}"/>
    <cellStyle name="Comma 983 4 2" xfId="10591" xr:uid="{B45EED27-1928-4500-BF6E-2AC6D97D39A5}"/>
    <cellStyle name="Comma 983 5" xfId="6463" xr:uid="{340732B5-7ED9-4956-AE6F-5D65BE8F5701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3" xfId="7495" xr:uid="{D803BD07-2C90-48DA-AFE2-41951554736C}"/>
    <cellStyle name="Comma 984 3" xfId="3290" xr:uid="{4648B2D1-904E-4FD1-A5F2-C4A9D58C42FF}"/>
    <cellStyle name="Comma 984 3 2" xfId="8523" xr:uid="{BD6A971E-0C64-4BF9-AA58-CDB591C69AB5}"/>
    <cellStyle name="Comma 984 4" xfId="5416" xr:uid="{B0FADA91-F1B6-494B-ACF0-798646635AE4}"/>
    <cellStyle name="Comma 984 4 2" xfId="10592" xr:uid="{1209C93D-24D0-4E02-B221-71BCBF37392A}"/>
    <cellStyle name="Comma 984 5" xfId="6464" xr:uid="{0BDE64DC-854C-4AE7-B157-7A290D507103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3" xfId="7496" xr:uid="{4E095225-C3A0-4061-BEE9-442A41D3E5CC}"/>
    <cellStyle name="Comma 985 3" xfId="3291" xr:uid="{5EF9F932-6B85-4516-88B1-9B1775ADBDA8}"/>
    <cellStyle name="Comma 985 3 2" xfId="8524" xr:uid="{EF262B41-AADC-48B5-9BDD-B9C3E9F6EFB6}"/>
    <cellStyle name="Comma 985 4" xfId="5417" xr:uid="{F5B82ABE-4E83-4069-8DC2-E6CADBA07E17}"/>
    <cellStyle name="Comma 985 4 2" xfId="10593" xr:uid="{9937D5CD-1A9A-4388-BC7B-F873167E82CF}"/>
    <cellStyle name="Comma 985 5" xfId="6465" xr:uid="{0D97D7A3-5FA4-4CDD-B90A-9CC0F3CFFD81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3" xfId="7497" xr:uid="{84C8CED6-D0EE-4555-8E63-FD54BD325F97}"/>
    <cellStyle name="Comma 986 3" xfId="3292" xr:uid="{A2C872CF-0D27-4FD9-B704-B09A7958C1D8}"/>
    <cellStyle name="Comma 986 3 2" xfId="8525" xr:uid="{9E295302-FA1D-4D25-BDEC-179AEBA8DE67}"/>
    <cellStyle name="Comma 986 4" xfId="5418" xr:uid="{A46A9C3D-4897-42DA-99E6-391150227F79}"/>
    <cellStyle name="Comma 986 4 2" xfId="10594" xr:uid="{F0488B11-1F45-4908-885F-AF08C7DED5FB}"/>
    <cellStyle name="Comma 986 5" xfId="6466" xr:uid="{CF02F0D9-888F-4C8A-AF43-6EF8E3C464A8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3" xfId="7498" xr:uid="{2AA7D46E-FB89-400A-BC3F-CF993A9D2F76}"/>
    <cellStyle name="Comma 987 3" xfId="3293" xr:uid="{804CB876-8DE8-4B57-8FCD-68A35CE29609}"/>
    <cellStyle name="Comma 987 3 2" xfId="8526" xr:uid="{8A1B6636-0866-4ACB-833A-B6899A12F0F1}"/>
    <cellStyle name="Comma 987 4" xfId="5419" xr:uid="{4330B5B8-E133-4519-A3CA-8DDF636A1BD9}"/>
    <cellStyle name="Comma 987 4 2" xfId="10595" xr:uid="{16F4B0B5-EB3D-46E3-BC8D-928BD07C830B}"/>
    <cellStyle name="Comma 987 5" xfId="6467" xr:uid="{19DDA292-F7DF-4A08-9DDE-A4829A07660F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3" xfId="7499" xr:uid="{14A26034-889D-4E53-8EFE-4B3314C572AE}"/>
    <cellStyle name="Comma 988 3" xfId="3294" xr:uid="{872C6370-560A-4638-80D8-0A2FBC99E071}"/>
    <cellStyle name="Comma 988 3 2" xfId="8527" xr:uid="{65F8C42C-F925-4127-ABAA-95E0E5CE1705}"/>
    <cellStyle name="Comma 988 4" xfId="5420" xr:uid="{9FFB9993-D1EE-4DAA-A3C0-64E2FAAE1DED}"/>
    <cellStyle name="Comma 988 4 2" xfId="10596" xr:uid="{3811F71D-169D-49A5-B9A2-D3D4804471CC}"/>
    <cellStyle name="Comma 988 5" xfId="6468" xr:uid="{9CD50D88-26A5-43C5-BEDA-3C92BEE6C09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3" xfId="7500" xr:uid="{E184A19C-A966-4FED-8635-66FED08B14D7}"/>
    <cellStyle name="Comma 989 3" xfId="3295" xr:uid="{89BDEFB9-01BC-4976-B286-3C16B4FAA066}"/>
    <cellStyle name="Comma 989 3 2" xfId="8528" xr:uid="{C9AFD985-03BA-4405-A9C7-CA25E5CE1B8C}"/>
    <cellStyle name="Comma 989 4" xfId="5421" xr:uid="{24949375-7373-4917-A11E-A28C7C79F3C8}"/>
    <cellStyle name="Comma 989 4 2" xfId="10597" xr:uid="{791B0A70-923E-4842-92E9-FF3D829AD410}"/>
    <cellStyle name="Comma 989 5" xfId="6469" xr:uid="{2B018330-BEF8-4B59-872F-C6FF3A2C8AA6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3" xfId="6610" xr:uid="{E7A4077F-0FAB-4F52-8385-0B0A340C66B3}"/>
    <cellStyle name="Comma 99 3" xfId="2405" xr:uid="{E89623A2-8BE4-4D31-BB1B-3803C06D218C}"/>
    <cellStyle name="Comma 99 3 2" xfId="7638" xr:uid="{177AC729-2F05-452C-9D13-F5E25F5E15A8}"/>
    <cellStyle name="Comma 99 4" xfId="4531" xr:uid="{2B265AE9-8272-459E-AB5F-22B0E57E1FFA}"/>
    <cellStyle name="Comma 99 4 2" xfId="9707" xr:uid="{E13F3886-E562-4D91-9CBF-0710D94DF42A}"/>
    <cellStyle name="Comma 99 5" xfId="5579" xr:uid="{67786B66-32E9-47B5-B0C6-45368DC21937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3" xfId="7501" xr:uid="{AECD5A1D-88C6-4C7C-8E6F-BA03AB39F7DB}"/>
    <cellStyle name="Comma 990 3" xfId="3296" xr:uid="{D3EE5822-94D1-4772-869F-8354583EB241}"/>
    <cellStyle name="Comma 990 3 2" xfId="8529" xr:uid="{C1101BBF-21D4-4882-8D62-E6EF7F209886}"/>
    <cellStyle name="Comma 990 4" xfId="5422" xr:uid="{D9E685E6-4281-4E52-A40B-11B89FC3093B}"/>
    <cellStyle name="Comma 990 4 2" xfId="10598" xr:uid="{389E22E3-29FC-4907-8D70-A224B16C77BE}"/>
    <cellStyle name="Comma 990 5" xfId="6470" xr:uid="{3D69DA44-A5C4-4C94-A9B1-96CD03BF2B9C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3" xfId="7502" xr:uid="{4963CFBE-04A8-4731-9886-AFFCFC0F3A26}"/>
    <cellStyle name="Comma 991 3" xfId="3297" xr:uid="{B024716C-1BDA-47E5-98FD-11D4D9FA21CC}"/>
    <cellStyle name="Comma 991 3 2" xfId="8530" xr:uid="{A1D27515-9E5F-4D5A-B447-8AB464E858BF}"/>
    <cellStyle name="Comma 991 4" xfId="5423" xr:uid="{91F3ED3B-C516-4FD9-8333-AAC3F5ED9D3C}"/>
    <cellStyle name="Comma 991 4 2" xfId="10599" xr:uid="{CD61F57D-79B9-4743-98F8-2A5660640699}"/>
    <cellStyle name="Comma 991 5" xfId="6471" xr:uid="{98F42393-F3EF-4163-83A9-FB427B1FADA1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3" xfId="7503" xr:uid="{6776A2CE-407E-4458-84BC-CE4515B18EA4}"/>
    <cellStyle name="Comma 992 3" xfId="3298" xr:uid="{6B98B0D9-65FC-4E02-8BB6-FCC3C49CFBB6}"/>
    <cellStyle name="Comma 992 3 2" xfId="8531" xr:uid="{CF31A69B-FB9C-4D11-AB66-91E93404ACF5}"/>
    <cellStyle name="Comma 992 4" xfId="5424" xr:uid="{37E57D50-A75E-4AC8-9CB5-85FB0B05AE52}"/>
    <cellStyle name="Comma 992 4 2" xfId="10600" xr:uid="{9654C994-E841-4578-B071-3D536636A32B}"/>
    <cellStyle name="Comma 992 5" xfId="6472" xr:uid="{4CF2536E-A9B2-41AF-94E6-17871B80C34D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3" xfId="7504" xr:uid="{450A078A-6689-48CC-BAF0-873094B53C4D}"/>
    <cellStyle name="Comma 993 3" xfId="3299" xr:uid="{A5A280F8-4889-4D36-821B-8F5000B0CFEE}"/>
    <cellStyle name="Comma 993 3 2" xfId="8532" xr:uid="{741B95A2-D22E-47E3-80A6-8E99D139ED4B}"/>
    <cellStyle name="Comma 993 4" xfId="5425" xr:uid="{66674814-05F0-496D-AE46-00F8CBA3E536}"/>
    <cellStyle name="Comma 993 4 2" xfId="10601" xr:uid="{8F0FB321-B1CA-47A9-8F42-19694A45C89D}"/>
    <cellStyle name="Comma 993 5" xfId="6473" xr:uid="{FC06ABA6-3A32-4A03-8BFF-4249CA18C8EB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3" xfId="7505" xr:uid="{65D48ACE-9DD9-484C-8D93-BAE1F40889AC}"/>
    <cellStyle name="Comma 994 3" xfId="3300" xr:uid="{27BB52FE-DF16-4ABE-B387-45FD93DBA005}"/>
    <cellStyle name="Comma 994 3 2" xfId="8533" xr:uid="{0D86A060-8479-4A1C-995F-D52FC9FF5708}"/>
    <cellStyle name="Comma 994 4" xfId="5426" xr:uid="{0D8C5F28-B203-45DE-BA6C-B60F9763CB61}"/>
    <cellStyle name="Comma 994 4 2" xfId="10602" xr:uid="{6C9F27F8-6D55-4F6B-807A-FB61D3E1200C}"/>
    <cellStyle name="Comma 994 5" xfId="6474" xr:uid="{B68E8B43-34DD-4B19-9638-6433CEA21EE7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3" xfId="7506" xr:uid="{F290FEEB-8890-49C4-AF25-894F2CC765B1}"/>
    <cellStyle name="Comma 995 3" xfId="3301" xr:uid="{65BC7402-8737-4E1D-8DAA-8341E7C91063}"/>
    <cellStyle name="Comma 995 3 2" xfId="8534" xr:uid="{DAB1FFCB-F788-4364-8EF0-5C92B11F2D81}"/>
    <cellStyle name="Comma 995 4" xfId="5427" xr:uid="{7E1A7F67-AB48-432B-9DC8-093CAAB57D22}"/>
    <cellStyle name="Comma 995 4 2" xfId="10603" xr:uid="{5FDE88CE-8E75-418D-8393-AF5C40359312}"/>
    <cellStyle name="Comma 995 5" xfId="6475" xr:uid="{3F6602AD-24FB-40E2-B358-C683A10DF4D4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3" xfId="7507" xr:uid="{B37AC5AF-7E97-42F9-AF00-52577C825103}"/>
    <cellStyle name="Comma 996 3" xfId="3302" xr:uid="{53230806-4B18-40CF-9EC8-5AAE5B20E2DA}"/>
    <cellStyle name="Comma 996 3 2" xfId="8535" xr:uid="{73D14BD6-C50B-4554-A01A-9DCB11566C4C}"/>
    <cellStyle name="Comma 996 4" xfId="5428" xr:uid="{9C467A77-2962-4F1E-A2A9-3EE819C8B580}"/>
    <cellStyle name="Comma 996 4 2" xfId="10604" xr:uid="{FB3C816B-E835-46FB-A7A4-86FB99578569}"/>
    <cellStyle name="Comma 996 5" xfId="6476" xr:uid="{E3BF5A15-DFE3-4A36-A43C-A38909725B92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3" xfId="7508" xr:uid="{B56D78B1-B3F7-4E85-9BFD-C6CC4351EE4D}"/>
    <cellStyle name="Comma 997 3" xfId="3303" xr:uid="{C0190CE3-27C0-46F9-934B-94215C062450}"/>
    <cellStyle name="Comma 997 3 2" xfId="8536" xr:uid="{2A71E8A9-79D7-44D4-A95A-D4244693E4F0}"/>
    <cellStyle name="Comma 997 4" xfId="5429" xr:uid="{AC1754C0-F08D-4F16-81E2-447A09FA62CC}"/>
    <cellStyle name="Comma 997 4 2" xfId="10605" xr:uid="{72FE470E-73A1-4FD9-8836-F998B9CBDC75}"/>
    <cellStyle name="Comma 997 5" xfId="6477" xr:uid="{2234B7DC-93ED-4DE8-9B67-D38D065EEDE9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3" xfId="7509" xr:uid="{F7C6C730-4220-488F-85CB-C46BC6A7F85A}"/>
    <cellStyle name="Comma 998 3" xfId="3304" xr:uid="{B910F37F-2338-4480-BD23-D2FB37CB4D6C}"/>
    <cellStyle name="Comma 998 3 2" xfId="8537" xr:uid="{B096A7F0-DA6F-4CFB-BC22-6DB808E101F7}"/>
    <cellStyle name="Comma 998 4" xfId="5430" xr:uid="{4759EB24-1467-4CFD-A6AF-7C3706047957}"/>
    <cellStyle name="Comma 998 4 2" xfId="10606" xr:uid="{C70FC546-9E6B-4A8E-93A7-9502D83E5546}"/>
    <cellStyle name="Comma 998 5" xfId="6478" xr:uid="{478A1DF3-A7CC-4717-B708-4FD569351EAB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3" xfId="7510" xr:uid="{7629BCB6-1780-4E58-954B-0BECD8996F66}"/>
    <cellStyle name="Comma 999 3" xfId="3305" xr:uid="{CB218D1C-8714-4BE0-9F5C-C8E98BA22B84}"/>
    <cellStyle name="Comma 999 3 2" xfId="8538" xr:uid="{C1A6F3FA-130C-44E3-B328-43BCF0C7BB48}"/>
    <cellStyle name="Comma 999 4" xfId="5431" xr:uid="{67BFC789-DF78-4F6E-946D-C9ACCFD0DDC1}"/>
    <cellStyle name="Comma 999 4 2" xfId="10607" xr:uid="{37EA064F-A813-4E78-AB15-7874D51117A4}"/>
    <cellStyle name="Comma 999 5" xfId="6479" xr:uid="{2D39C12B-405B-49DC-9E4D-C1B6F6DDCB08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3" xfId="6515" xr:uid="{CD518607-9E67-43DA-BB5A-3DA8086F01B7}"/>
    <cellStyle name="Vírgula 3 3" xfId="2310" xr:uid="{64AA42A3-494B-45AC-821A-85C0BECC6097}"/>
    <cellStyle name="Vírgula 3 3 2" xfId="7543" xr:uid="{F3DC7E4A-7465-418B-895C-9DB40AECB9E9}"/>
    <cellStyle name="Vírgula 3 4" xfId="4436" xr:uid="{B5BFB2B8-7105-4A82-8E26-E00C338EDE20}"/>
    <cellStyle name="Vírgula 3 4 2" xfId="9612" xr:uid="{D85787CF-D5D3-48E6-AA23-4C6C2991EE9D}"/>
    <cellStyle name="Vírgula 3 5" xfId="5484" xr:uid="{DF06B457-B86E-4385-8731-073F65E02695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401.65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12" s="2"/>
      </tp>
      <tp t="s">
        <v>#N/A Real Time</v>
        <stp/>
        <stp>BDP|9106857053131827566|22</stp>
        <stp>SPXW US 12/31/25 C6950 Index</stp>
        <stp>DELTA_MID_RT</stp>
        <tr r="W76" s="89"/>
      </tp>
      <tp>
        <v>0.42318800091743469</v>
        <stp/>
        <stp>BDP|16080044180315030458|22</stp>
        <stp>META US 04/17/26 C690 Equity</stp>
        <stp>DELTA_MID_RT</stp>
        <tr r="W85" s="89"/>
      </tp>
      <tp>
        <v>10.75</v>
        <stp/>
        <stp>BDP|6580988844141608170|22</stp>
        <stp>AVGO US 02/13/26 C330 Equity</stp>
        <stp>bid</stp>
        <tr r="K20" s="89"/>
        <tr r="P6" s="2"/>
      </tp>
      <tp>
        <v>11.45</v>
        <stp/>
        <stp>BDP|7161576793570117471|22</stp>
        <stp>AVGO US 02/13/26 C330 Equity</stp>
        <stp>ask</stp>
        <tr r="L20" s="89"/>
        <tr r="Q6" s="2"/>
      </tp>
      <tp>
        <v>6933.75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94" s="89"/>
        <tr r="W95" s="89"/>
      </tp>
      <tp t="s">
        <v>USD</v>
        <stp/>
        <stp>BDP|6756872842970625586|22</stp>
        <stp>NFLX US 05/15/26 C90 Equity</stp>
        <stp>QUOTED_CURRENCY_REALTIME</stp>
        <tr r="G9" s="2"/>
      </tp>
      <tp t="s">
        <v>#N/A Real Time</v>
        <stp/>
        <stp>BDP|3954062195024173589|22</stp>
        <stp>RTYWU5C3 2425 Index</stp>
        <stp>ask</stp>
        <tr r="L60" s="89"/>
      </tp>
      <tp>
        <v>551000</v>
        <stp/>
        <stp>BDP|16866508691273641435|22</stp>
        <stp>402340 KS Equity</stp>
        <stp>LAST_PRICE</stp>
        <tr r="I28" s="1"/>
      </tp>
      <tp>
        <v>-0.12583999335765839</v>
        <stp/>
        <stp>BDP|2162853239863021436|22</stp>
        <stp>TSM US 06/18/26 C380 Equity</stp>
        <stp>theta_mid_rt</stp>
        <tr r="AN28" s="2"/>
      </tp>
      <tp>
        <v>0.53770202398300171</v>
        <stp/>
        <stp>BDP|10012779820456568860|22</stp>
        <stp>META US 02/27/26 C660 Equity</stp>
        <stp>DELTA_MID_RT</stp>
        <tr r="W96" s="89"/>
      </tp>
      <tp>
        <v>36.270000000000003</v>
        <stp/>
        <stp>BDP|4238048935133024019|22</stp>
        <stp>AVGO US 06/18/26 C350 Equity</stp>
        <stp>mid</stp>
        <tr r="L5" s="2"/>
      </tp>
      <tp t="s">
        <v>#N/A Real Time</v>
        <stp/>
        <stp>BDP|5591909437626601776|22</stp>
        <stp>4EU5 Index</stp>
        <stp>LAST_PRICE</stp>
        <tr r="S52" s="89"/>
        <tr r="S53" s="89"/>
        <tr r="S54" s="89"/>
      </tp>
      <tp t="s">
        <v>#N/A Real Time</v>
        <stp/>
        <stp>BDP|2533983096932488351|22</stp>
        <stp>RTYWU5C3 2425 Index</stp>
        <stp>bid</stp>
        <tr r="K60" s="89"/>
      </tp>
      <tp>
        <v>0.16347700357437134</v>
        <stp/>
        <stp>BDP|14091170888152008254|22</stp>
        <stp>ASHR US 02/20/26 C35 Equity</stp>
        <stp>DELTA_MID_RT</stp>
        <tr r="AF4" s="2"/>
      </tp>
      <tp>
        <v>0.75405502319335938</v>
        <stp/>
        <stp>BDP|10111712063840980805|22</stp>
        <stp>AAPL US 04/17/26 C260 Equity</stp>
        <stp>DELTA_MID_RT</stp>
        <tr r="AF14" s="2"/>
      </tp>
      <tp>
        <v>-0.20932799577713013</v>
        <stp/>
        <stp>BDP|17295184878350823401|22</stp>
        <stp>INTC US 07/17/26 P40 Equity</stp>
        <stp>DELTA_MID_RT</stp>
        <tr r="AF19" s="2"/>
        <tr r="W113" s="89"/>
      </tp>
      <tp>
        <v>0.47390401363372803</v>
        <stp/>
        <stp>BDP|13298101022063198194|22</stp>
        <stp>META US 07/17/26 C700 Equity</stp>
        <stp>DELTA_MID_RT</stp>
        <tr r="W14" s="89"/>
        <tr r="W87" s="89"/>
      </tp>
      <tp>
        <v>401.14</v>
        <stp/>
        <stp>BDP|274803756834169207|22</stp>
        <stp>MSFT EQUITY</stp>
        <stp>LAST_PRICE</stp>
        <tr r="C7" s="1"/>
      </tp>
      <tp>
        <v>25044.25</v>
        <stp/>
        <stp>BDP|15202915405080361753|22</stp>
        <stp>NQA index</stp>
        <stp>LAST_PRICE</stp>
        <tr r="AG1" s="1"/>
      </tp>
      <tp>
        <v>-0.1835390031337738</v>
        <stp/>
        <stp>BDP|12625852508096869257|22</stp>
        <stp>NFLX US 05/15/26 P70 Equity</stp>
        <stp>DELTA_MID_RT</stp>
        <tr r="AF10" s="2"/>
      </tp>
      <tp>
        <v>0.12884500622749329</v>
        <stp/>
        <stp>BDP|14376704092753502269|22</stp>
        <stp>AMZN US 04/17/26 C250 Equity</stp>
        <stp>DELTA_MID_RT</stp>
        <tr r="W8" s="89"/>
        <tr r="AF21" s="2"/>
      </tp>
      <tp>
        <v>0.01</v>
        <stp/>
        <stp>BDP|3112113890160595695|22</stp>
        <stp>GOOG US 02/06/26 P300 Equity</stp>
        <stp>ask</stp>
        <tr r="Q7" s="2"/>
      </tp>
      <tp>
        <v>18.350000000000001</v>
        <stp/>
        <stp>BDP|6950483502123346657|22</stp>
        <stp>AVGO US 02/06/26 C315 Equity</stp>
        <stp>ask</stp>
        <tr r="L19" s="89"/>
      </tp>
      <tp t="s">
        <v>USD</v>
        <stp/>
        <stp>BDP|6256704095836032074|22</stp>
        <stp>INTC US 07/17/26 C50 Equity</stp>
        <stp>QUOTED_CURRENCY_REALTIME</stp>
        <tr r="G18" s="2"/>
        <tr r="F112" s="89"/>
      </tp>
      <tp t="s">
        <v>USD</v>
        <stp/>
        <stp>BDP|11169663965640262458|22</stp>
        <stp>1OG6C 26000 Index</stp>
        <stp>QUOTED_CURRENCY_REALTIME</stp>
        <tr r="F69" s="89"/>
      </tp>
      <tp>
        <v>12.1</v>
        <stp/>
        <stp>BDP|5246680316890063223|22</stp>
        <stp>NVDA US 05/15/26 C200 Equity</stp>
        <stp>bid</stp>
        <tr r="P8" s="2"/>
      </tp>
      <tp>
        <v>31.5</v>
        <stp/>
        <stp>BDP|3590605343208203473|22</stp>
        <stp>META US 07/17/26 C750 Equity</stp>
        <stp>ask</stp>
        <tr r="Q11" s="2"/>
        <tr r="L13" s="89"/>
      </tp>
      <tp t="s">
        <v>#N/A Requesting Data...3505555648</v>
        <stp/>
        <stp>BDP|17013938858517156635</stp>
        <tr r="AR18" s="2"/>
      </tp>
      <tp t="s">
        <v>#N/A Requesting Data...3328862871</v>
        <stp/>
        <stp>BDP|13897144794545722466</stp>
        <tr r="D16" s="2"/>
      </tp>
      <tp t="s">
        <v>#N/A Requesting Data...3163079690</v>
        <stp/>
        <stp>BDP|10279292815169732005</stp>
        <tr r="AG28" s="1"/>
      </tp>
      <tp t="s">
        <v>#N/A Requesting Data...4004465756</v>
        <stp/>
        <stp>BDP|15582332073698885344</stp>
        <tr r="G19" s="446"/>
      </tp>
      <tp t="s">
        <v>#N/A Requesting Data...3292363877</v>
        <stp/>
        <stp>BDP|18146375769712507536</stp>
        <tr r="E2" s="1"/>
      </tp>
      <tp t="s">
        <v>#N/A Requesting Data...3175118643</v>
        <stp/>
        <stp>BDP|10105494213746991999</stp>
        <tr r="K26" s="1"/>
      </tp>
      <tp>
        <v>285</v>
        <stp/>
        <stp>BDP|11303363706187383789|22</stp>
        <stp>2OG6P 25000 Index</stp>
        <stp>bid</stp>
        <tr r="K70" s="89"/>
      </tp>
      <tp t="s">
        <v>#N/A Requesting Data...4203953964</v>
        <stp/>
        <stp>BDP|10639276692284852548</stp>
        <tr r="F28" s="446"/>
      </tp>
      <tp t="s">
        <v>#N/A Requesting Data...3455885411</v>
        <stp/>
        <stp>BDP|10749518787913680498</stp>
        <tr r="G41" s="446"/>
      </tp>
      <tp t="s">
        <v>#N/A Requesting Data...4064983863</v>
        <stp/>
        <stp>BDP|10814365099347588739</stp>
        <tr r="AA24" s="2"/>
      </tp>
      <tp t="s">
        <v>#N/A Requesting Data...4112143084</v>
        <stp/>
        <stp>BDP|10145867011121078252</stp>
        <tr r="E14" s="89"/>
        <tr r="E87" s="89"/>
      </tp>
      <tp t="s">
        <v>#N/A N/A</v>
        <stp/>
        <stp>BDP|12363723043083315837</stp>
        <tr r="R76" s="89"/>
      </tp>
      <tp t="s">
        <v>#N/A Requesting Data...3319862234</v>
        <stp/>
        <stp>BDP|18211234415810662179</stp>
        <tr r="AR21" s="2"/>
      </tp>
      <tp t="s">
        <v>#N/A Requesting Data...4212946416</v>
        <stp/>
        <stp>BDP|16757205954548058378</stp>
        <tr r="AI27" s="1"/>
      </tp>
      <tp t="s">
        <v>#N/A Requesting Data...3176364402</v>
        <stp/>
        <stp>BDP|15240130704368843692</stp>
        <tr r="V70" s="89"/>
      </tp>
      <tp t="s">
        <v>#N/A Requesting Data...3180813581</v>
        <stp/>
        <stp>BDP|16761382649589718257</stp>
        <tr r="F27" s="446"/>
        <tr r="AB20" s="1"/>
      </tp>
      <tp t="s">
        <v>#N/A Requesting Data...3381101811</v>
        <stp/>
        <stp>BDP|10560430593062313514</stp>
        <tr r="AG39" s="1"/>
      </tp>
      <tp t="s">
        <v>#N/A Requesting Data...4246888134</v>
        <stp/>
        <stp>BDP|13546818454494181070</stp>
        <tr r="AC39" s="1"/>
      </tp>
      <tp>
        <v>0.60718601942062378</v>
        <stp/>
        <stp>BDP|11754717216942473893|22</stp>
        <stp>INTC US 07/17/26 C50 Equity</stp>
        <stp>DELTA_MID_RT</stp>
        <tr r="AF18" s="2"/>
        <tr r="W112" s="89"/>
      </tp>
      <tp>
        <v>25</v>
        <stp/>
        <stp>BDP|4828129288805035374|22</stp>
        <stp>AAPL US 04/17/26 C260 Equity</stp>
        <stp>ask</stp>
        <tr r="Q14" s="2"/>
      </tp>
      <tp t="s">
        <v>USD</v>
        <stp/>
        <stp>BDP|8705052805562621196|22</stp>
        <stp>1OG6C 25550 INDEX</stp>
        <stp>QUOTED_CURRENCY_REALTIME</stp>
        <tr r="G25" s="2"/>
      </tp>
      <tp t="s">
        <v>#N/A Requesting Data...3047498100</v>
        <stp/>
        <stp>BDP|14708527546846978837</stp>
        <tr r="F22" s="446"/>
      </tp>
      <tp t="s">
        <v>#N/A Requesting Data...3000505842</v>
        <stp/>
        <stp>BDP|17382508591454336498</stp>
        <tr r="F10" s="446"/>
      </tp>
      <tp t="s">
        <v>#N/A Requesting Data...4080050390</v>
        <stp/>
        <stp>BDP|17953939637996030051</stp>
        <tr r="AI29" s="1"/>
      </tp>
      <tp t="s">
        <v>#N/A Requesting Data...3571727383</v>
        <stp/>
        <stp>BDP|15393992280169008616</stp>
        <tr r="F24" s="446"/>
      </tp>
      <tp t="s">
        <v>#N/A Requesting Data...3447087588</v>
        <stp/>
        <stp>BDP|10256865635189905931</stp>
        <tr r="D26" s="446"/>
        <tr r="AC24" s="1"/>
      </tp>
      <tp t="s">
        <v>#N/A Requesting Data...3099891875</v>
        <stp/>
        <stp>BDP|16689167093940664591</stp>
        <tr r="AA25" s="2"/>
      </tp>
      <tp t="s">
        <v>#N/A N/A</v>
        <stp/>
        <stp>BDP|15319109960459527098</stp>
        <tr r="AC8" s="2"/>
      </tp>
      <tp t="s">
        <v>#N/A Requesting Data...3060570411</v>
        <stp/>
        <stp>BDP|12625403616855824991</stp>
        <tr r="F15" s="446"/>
        <tr r="AB42" s="1"/>
      </tp>
      <tp t="s">
        <v>#N/A Requesting Data...4140421580</v>
        <stp/>
        <stp>BDP|10865582194811567656</stp>
        <tr r="C86" s="89"/>
      </tp>
      <tp t="s">
        <v>#N/A Requesting Data...3219328239</v>
        <stp/>
        <stp>BDP|15688519024610633913</stp>
        <tr r="C18" s="2"/>
      </tp>
      <tp t="s">
        <v>#N/A Requesting Data...3510486320</v>
        <stp/>
        <stp>BDP|16354487536428919237</stp>
        <tr r="P12" s="338"/>
      </tp>
      <tp t="s">
        <v>#N/A Requesting Data...4289654133</v>
        <stp/>
        <stp>BDP|16382697175628205742</stp>
        <tr r="K2" s="2"/>
        <tr r="J1" s="24"/>
      </tp>
      <tp t="s">
        <v>#N/A Requesting Data...3744010834</v>
        <stp/>
        <stp>BDP|15424437415758390085</stp>
        <tr r="C14" s="2"/>
      </tp>
      <tp t="s">
        <v>#N/A Requesting Data...4003466830</v>
        <stp/>
        <stp>BDP|12568958234819466988</stp>
        <tr r="AI22" s="1"/>
      </tp>
      <tp t="s">
        <v>#N/A Requesting Data...3337713420</v>
        <stp/>
        <stp>BDP|14534507482414865574</stp>
        <tr r="AF41" s="1"/>
      </tp>
      <tp t="s">
        <v>#N/A Requesting Data...3971829986</v>
        <stp/>
        <stp>BDP|11892165296548077932</stp>
        <tr r="T19" s="89"/>
      </tp>
      <tp t="s">
        <v>#N/A Requesting Data...3013926911</v>
        <stp/>
        <stp>BDP|17652888866595306479</stp>
        <tr r="O20" s="89"/>
        <tr r="T6" s="2"/>
      </tp>
      <tp t="s">
        <v>#N/A N/A</v>
        <stp/>
        <stp>BDP|14349475688053402391</stp>
        <tr r="AV24" s="2"/>
        <tr r="AV25" s="2"/>
        <tr r="AV26" s="2"/>
      </tp>
      <tp t="s">
        <v>#N/A Requesting Data...3292683283</v>
        <stp/>
        <stp>BDP|18355353104331140221</stp>
        <tr r="E6" s="1"/>
      </tp>
      <tp t="s">
        <v>#N/A Requesting Data...3591983308</v>
        <stp/>
        <stp>BDP|15808701373659965426</stp>
        <tr r="J5" s="1"/>
      </tp>
      <tp t="s">
        <v>#N/A Requesting Data...3099443327</v>
        <stp/>
        <stp>BDP|14077436120512876887</stp>
        <tr r="AH11" s="338"/>
      </tp>
      <tp t="s">
        <v>#N/A Requesting Data...3154520319</v>
        <stp/>
        <stp>BDP|13175812915866643410</stp>
        <tr r="C69" s="89"/>
      </tp>
      <tp t="s">
        <v>#N/A Requesting Data...4204482354</v>
        <stp/>
        <stp>BDP|11209184266078842639</stp>
        <tr r="AC19" s="1"/>
      </tp>
      <tp t="s">
        <v>#N/A Requesting Data...3996579587</v>
        <stp/>
        <stp>BDP|14264052336898754717</stp>
        <tr r="T14" s="89"/>
        <tr r="T87" s="89"/>
      </tp>
      <tp t="s">
        <v>#N/A Requesting Data...3931003664</v>
        <stp/>
        <stp>BDP|12312804645696681068</stp>
        <tr r="AF30" s="1"/>
      </tp>
      <tp t="s">
        <v>#N/A Requesting Data...4287455637</v>
        <stp/>
        <stp>BDP|17203212740478165145</stp>
        <tr r="Z111" s="89"/>
        <tr r="AA111" s="89"/>
      </tp>
      <tp>
        <v>0.43272098898887634</v>
        <stp/>
        <stp>BDP|10080332628046700882|22</stp>
        <stp>NVDA US 05/15/26 C200 Equity</stp>
        <stp>DELTA_MID_RT</stp>
        <tr r="AF8" s="2"/>
      </tp>
      <tp>
        <v>3.75</v>
        <stp/>
        <stp>BDP|2704392533194770021|22</stp>
        <stp>AMZN US 04/17/26 C235 Equity</stp>
        <stp>bid</stp>
        <tr r="K7" s="89"/>
        <tr r="P20" s="2"/>
      </tp>
      <tp t="s">
        <v>#N/A Requesting Data...3429594465</v>
        <stp/>
        <stp>BDP|14228839741476914704</stp>
        <tr r="AF43" s="1"/>
      </tp>
      <tp t="s">
        <v>#N/A Requesting Data...3782179134</v>
        <stp/>
        <stp>BDP|14249495381629606855</stp>
        <tr r="O30" s="89"/>
      </tp>
      <tp t="s">
        <v>#N/A Requesting Data...3749300475</v>
        <stp/>
        <stp>BDP|10379287684220430311</stp>
        <tr r="F4" s="2"/>
      </tp>
      <tp t="s">
        <v>#N/A Requesting Data...3671877702</v>
        <stp/>
        <stp>BDP|15959271808308527692</stp>
        <tr r="V14" s="89"/>
        <tr r="V87" s="89"/>
      </tp>
      <tp t="s">
        <v>#N/A Requesting Data...3112921359</v>
        <stp/>
        <stp>BDP|10669609054893745987</stp>
        <tr r="T15" s="2"/>
      </tp>
      <tp t="s">
        <v>#N/A Requesting Data...3804895842</v>
        <stp/>
        <stp>BDP|15503790003338181325</stp>
        <tr r="AA9" s="2"/>
      </tp>
      <tp t="s">
        <v>#N/A Requesting Data...3149670664</v>
        <stp/>
        <stp>BDP|11079602305746428808</stp>
        <tr r="O104" s="89"/>
      </tp>
      <tp t="s">
        <v>#N/A N/A</v>
        <stp/>
        <stp>BDP|15676788515242812821</stp>
        <tr r="R69" s="89"/>
      </tp>
      <tp t="s">
        <v>#N/A Requesting Data...3024866348</v>
        <stp/>
        <stp>BDP|18279909896309755834</stp>
        <tr r="AG14" s="1"/>
      </tp>
      <tp t="s">
        <v>#N/A Requesting Data...3293630338</v>
        <stp/>
        <stp>BDP|12571041380342291138</stp>
        <tr r="F34" s="446"/>
      </tp>
      <tp t="s">
        <v>#N/A Requesting Data...4189247216</v>
        <stp/>
        <stp>BDP|14378960337990766762</stp>
        <tr r="K34" s="1"/>
      </tp>
      <tp t="s">
        <v>#N/A N/A</v>
        <stp/>
        <stp>BDP|18294824894201725105</stp>
        <tr r="AC17" s="2"/>
        <tr r="AC18" s="2"/>
        <tr r="AC19" s="2"/>
      </tp>
      <tp t="s">
        <v>#N/A Requesting Data...3955621749</v>
        <stp/>
        <stp>BDP|16648478878978208488</stp>
        <tr r="O94" s="89"/>
        <tr r="O95" s="89"/>
      </tp>
      <tp t="s">
        <v>#N/A Requesting Data...3991306098</v>
        <stp/>
        <stp>BDP|18096821285957052647</stp>
        <tr r="F18" s="446"/>
      </tp>
      <tp t="s">
        <v>#N/A Requesting Data...4116995581</v>
        <stp/>
        <stp>BDP|15656413080994607429</stp>
        <tr r="Z13" s="89"/>
        <tr r="AA13" s="89"/>
      </tp>
      <tp t="s">
        <v>#N/A Requesting Data...3480297364</v>
        <stp/>
        <stp>BDP|13020371554755200921</stp>
        <tr r="AD14" s="2"/>
      </tp>
      <tp t="s">
        <v>#N/A Requesting Data...3213989322</v>
        <stp/>
        <stp>BDP|12912684483811638411</stp>
        <tr r="L27" s="1"/>
        <tr r="L28" s="1"/>
        <tr r="L29" s="1"/>
      </tp>
      <tp t="s">
        <v>#N/A Requesting Data...3543393266</v>
        <stp/>
        <stp>BDP|16080473360335288805</stp>
        <tr r="AF24" s="1"/>
        <tr r="AF9" s="338"/>
      </tp>
      <tp t="s">
        <v>#N/A Requesting Data...3562275336</v>
        <stp/>
        <stp>BDP|10266278304482033950</stp>
        <tr r="AR13" s="2"/>
      </tp>
      <tp t="s">
        <v>#N/A Requesting Data...3846882409</v>
        <stp/>
        <stp>BDP|18082660766744672526</stp>
        <tr r="X10" s="338"/>
      </tp>
      <tp t="s">
        <v>#N/A Requesting Data...3254085346</v>
        <stp/>
        <stp>BDP|17620015100226350806</stp>
        <tr r="AG26" s="1"/>
      </tp>
      <tp t="s">
        <v>#N/A Requesting Data...3255995929</v>
        <stp/>
        <stp>BDP|14539375968436522979</stp>
        <tr r="F19" s="2"/>
      </tp>
      <tp t="s">
        <v>#N/A Requesting Data...3658286733</v>
        <stp/>
        <stp>BDP|15816931278674113197</stp>
        <tr r="C4" s="2"/>
      </tp>
      <tp t="s">
        <v>#N/A Requesting Data...4248045506</v>
        <stp/>
        <stp>BDP|15466705637537159880</stp>
        <tr r="AF12" s="1"/>
      </tp>
      <tp t="s">
        <v>#N/A Requesting Data...3930204120</v>
        <stp/>
        <stp>BDP|14902852357240652727</stp>
        <tr r="J1" s="1"/>
      </tp>
      <tp t="s">
        <v>#N/A N/A</v>
        <stp/>
        <stp>BDP|17533482173292275834</stp>
        <tr r="Q10" s="338"/>
      </tp>
      <tp t="s">
        <v>#N/A Requesting Data...3776584942</v>
        <stp/>
        <stp>BDP|17255225148738161764</stp>
        <tr r="E11" s="2"/>
      </tp>
      <tp t="s">
        <v>#N/A Requesting Data...3685558444</v>
        <stp/>
        <stp>BDP|11004855748816491574</stp>
        <tr r="AA61" s="89"/>
        <tr r="Z61" s="89"/>
      </tp>
      <tp t="s">
        <v>#N/A Requesting Data...3831842961</v>
        <stp/>
        <stp>BDP|14026845325197194708</stp>
        <tr r="AB31" s="1"/>
      </tp>
      <tp t="s">
        <v>#N/A Requesting Data...3154037882</v>
        <stp/>
        <stp>BDP|11272815417494005276</stp>
        <tr r="D44" s="89"/>
      </tp>
      <tp t="s">
        <v>#N/A Requesting Data...4119504015</v>
        <stp/>
        <stp>BDP|12254931781748441511</stp>
        <tr r="AA4" s="2"/>
      </tp>
      <tp t="s">
        <v>#N/A Requesting Data...4123959342</v>
        <stp/>
        <stp>BDP|16747972762296741126</stp>
        <tr r="AF31" s="1"/>
      </tp>
      <tp t="s">
        <v>#N/A Requesting Data...3743159576</v>
        <stp/>
        <stp>BDP|16966852497278566182</stp>
        <tr r="J6" s="1"/>
      </tp>
      <tp t="s">
        <v>#N/A N/A</v>
        <stp/>
        <stp>BDH|17149768060239937195</stp>
        <tr r="AN9" s="338"/>
      </tp>
      <tp>
        <v>0.51431000232696533</v>
        <stp/>
        <stp>BDP|18110796337974702583|22</stp>
        <stp>AVGO US 06/18/26 C350 Equity</stp>
        <stp>DELTA_MID_RT</stp>
        <tr r="AF5" s="2"/>
      </tp>
      <tp t="s">
        <v>#N/A Requesting Data...3455642971</v>
        <stp/>
        <stp>BDP|14736502366221001988</stp>
        <tr r="AG21" s="1"/>
      </tp>
      <tp t="s">
        <v>#N/A Requesting Data...3002130471</v>
        <stp/>
        <stp>BDP|10419386169832867846</stp>
        <tr r="D37" s="89"/>
      </tp>
      <tp t="s">
        <v>#N/A N/A</v>
        <stp/>
        <stp>BDP|17625228135649301090</stp>
        <tr r="Q12" s="338"/>
      </tp>
      <tp t="s">
        <v>#N/A Requesting Data...3260491200</v>
        <stp/>
        <stp>BDP|11125292552139461053</stp>
        <tr r="AC15" s="1"/>
      </tp>
      <tp t="s">
        <v>#N/A Requesting Data...3715530337</v>
        <stp/>
        <stp>BDP|13719327490656774082</stp>
        <tr r="K38" s="1"/>
      </tp>
      <tp t="s">
        <v>#N/A Requesting Data...3052577450</v>
        <stp/>
        <stp>BDP|12067346968488625077</stp>
        <tr r="N9" s="1"/>
      </tp>
      <tp t="s">
        <v>#N/A Requesting Data...3534436699</v>
        <stp/>
        <stp>BDP|16409736918268434763</stp>
        <tr r="AD15" s="2"/>
      </tp>
      <tp t="s">
        <v>#N/A Requesting Data...3683442988</v>
        <stp/>
        <stp>BDP|16997990849215372165</stp>
        <tr r="V30" s="89"/>
      </tp>
      <tp t="s">
        <v>#N/A Requesting Data...3860656981</v>
        <stp/>
        <stp>BDP|10458872348380612322</stp>
        <tr r="D32" s="446"/>
      </tp>
      <tp t="s">
        <v>#N/A Requesting Data...3199210590</v>
        <stp/>
        <stp>BDP|11607763991426641696</stp>
        <tr r="O96" s="89"/>
      </tp>
      <tp t="s">
        <v>#N/A Requesting Data...4235777642</v>
        <stp/>
        <stp>BDP|12446616610012704839</stp>
        <tr r="AF14" s="1"/>
      </tp>
      <tp t="s">
        <v>#N/A Requesting Data...3795048750</v>
        <stp/>
        <stp>BDP|12917284443828342304</stp>
        <tr r="AC41" s="1"/>
      </tp>
      <tp t="s">
        <v>#N/A Requesting Data...4037630157</v>
        <stp/>
        <stp>BDP|15520885965692162698</stp>
        <tr r="P11" s="338"/>
      </tp>
      <tp t="s">
        <v>#N/A Requesting Data...4084975980</v>
        <stp/>
        <stp>BDP|18411820983824502305</stp>
        <tr r="E9" s="1"/>
      </tp>
      <tp t="s">
        <v>#N/A Requesting Data...3453726159</v>
        <stp/>
        <stp>BDP|10592246107754169947</stp>
        <tr r="AR19" s="2"/>
      </tp>
      <tp t="s">
        <v>#N/A Requesting Data...3468875748</v>
        <stp/>
        <stp>BDP|15088949515073653147</stp>
        <tr r="AI31" s="1"/>
      </tp>
      <tp t="s">
        <v>#N/A N/A</v>
        <stp/>
        <stp>BDP|13400157600295352875</stp>
        <tr r="AQ4" s="2"/>
      </tp>
      <tp t="s">
        <v>#N/A Requesting Data...4117735173</v>
        <stp/>
        <stp>BDP|10282731194108712961</stp>
        <tr r="X8" s="338"/>
      </tp>
      <tp t="s">
        <v>#N/A Requesting Data...3886270516</v>
        <stp/>
        <stp>BDP|11825565969849644458</stp>
        <tr r="G26" s="446"/>
      </tp>
      <tp t="s">
        <v>#N/A Requesting Data...3215323079</v>
        <stp/>
        <stp>BDP|12871173848491846983</stp>
        <tr r="D111" s="89"/>
      </tp>
      <tp t="s">
        <v>#N/A N/A</v>
        <stp/>
        <stp>BDP|13477200596854183354</stp>
        <tr r="AV7" s="2"/>
      </tp>
      <tp t="s">
        <v>#N/A Requesting Data...3721621417</v>
        <stp/>
        <stp>BDP|10754652992714129477</stp>
        <tr r="E86" s="89"/>
      </tp>
      <tp t="s">
        <v>#N/A Requesting Data...3696339369</v>
        <stp/>
        <stp>BDP|13743925468151835237</stp>
        <tr r="AF42" s="1"/>
      </tp>
      <tp t="s">
        <v>#N/A N/A</v>
        <stp/>
        <stp>BDH|15782836761304922025</stp>
        <tr r="AP11" s="338"/>
      </tp>
      <tp t="s">
        <v>USD</v>
        <stp/>
        <stp>BDP|9800175734147310091|22</stp>
        <stp>NFLX US 05/15/26 P70 Equity</stp>
        <stp>QUOTED_CURRENCY_REALTIME</stp>
        <tr r="G10" s="2"/>
      </tp>
      <tp>
        <v>11.4</v>
        <stp/>
        <stp>BDP|7680890729121353321|22</stp>
        <stp>AAPL US 04/17/26 C280 Equity</stp>
        <stp>bid</stp>
        <tr r="P15" s="2"/>
      </tp>
      <tp t="s">
        <v>#N/A Requesting Data...3087460458</v>
        <stp/>
        <stp>BDP|10863947952309750924</stp>
        <tr r="AF15" s="1"/>
      </tp>
      <tp t="s">
        <v>#N/A Requesting Data...3920080406</v>
        <stp/>
        <stp>BDP|12166652821533652981</stp>
        <tr r="Z30" s="89"/>
        <tr r="AA30" s="89"/>
      </tp>
      <tp t="s">
        <v>#N/A Requesting Data...4189537882</v>
        <stp/>
        <stp>BDP|14151613796081423680</stp>
        <tr r="AI14" s="1"/>
      </tp>
      <tp t="s">
        <v>#N/A Requesting Data...3130639260</v>
        <stp/>
        <stp>BDP|11028786820390522815</stp>
        <tr r="AK10" s="338"/>
        <tr r="AK11" s="338"/>
        <tr r="AK12" s="338"/>
      </tp>
      <tp t="s">
        <v>#N/A Requesting Data...3621822998</v>
        <stp/>
        <stp>BDP|15549933334837718499</stp>
        <tr r="AJ12" s="338"/>
      </tp>
      <tp t="s">
        <v>#N/A Requesting Data...3794031643</v>
        <stp/>
        <stp>BDP|13021422978704305879</stp>
        <tr r="F33" s="446"/>
      </tp>
      <tp t="s">
        <v>#N/A N/A</v>
        <stp/>
        <stp>BDP|16521478898015424206</stp>
        <tr r="R13" s="89"/>
        <tr r="R14" s="89"/>
        <tr r="R85" s="89"/>
        <tr r="R86" s="89"/>
        <tr r="R87" s="89"/>
        <tr r="R96" s="89"/>
        <tr r="AV11" s="2"/>
      </tp>
      <tp t="s">
        <v>#N/A Requesting Data...3802087360</v>
        <stp/>
        <stp>BDP|16877024025140252836</stp>
        <tr r="F37" s="446"/>
      </tp>
      <tp t="s">
        <v>#N/A Requesting Data...3939800642</v>
        <stp/>
        <stp>BDP|10608928655856941660</stp>
        <tr r="C15" s="2"/>
      </tp>
      <tp t="s">
        <v>#N/A Requesting Data...3483137133</v>
        <stp/>
        <stp>BDP|16305130988474048795</stp>
        <tr r="C17" s="2"/>
      </tp>
      <tp t="s">
        <v>#N/A Requesting Data...3207582710</v>
        <stp/>
        <stp>BDP|10281815271105854697</stp>
        <tr r="K37" s="1"/>
      </tp>
      <tp t="s">
        <v>#N/A Requesting Data...4229237828</v>
        <stp/>
        <stp>BDP|13405037176711243908</stp>
        <tr r="E53" s="89"/>
      </tp>
      <tp t="s">
        <v>#N/A Requesting Data...3526076586</v>
        <stp/>
        <stp>BDP|14508373378954970866</stp>
        <tr r="D9" s="2"/>
      </tp>
      <tp t="s">
        <v>#N/A Requesting Data...3582623613</v>
        <stp/>
        <stp>BDP|14259965167551312659</stp>
        <tr r="F8" s="2"/>
      </tp>
      <tp t="s">
        <v>#N/A Requesting Data...3461842420</v>
        <stp/>
        <stp>BDP|12413850570425657438</stp>
        <tr r="K21" s="1"/>
      </tp>
      <tp t="s">
        <v>#N/A Requesting Data...4083312957</v>
        <stp/>
        <stp>BDP|14535010240339641566</stp>
        <tr r="T111" s="89"/>
        <tr r="AA17" s="2"/>
      </tp>
      <tp t="s">
        <v>#N/A Requesting Data...4174552415</v>
        <stp/>
        <stp>BDP|10667930917534298063</stp>
        <tr r="T104" s="89"/>
      </tp>
      <tp t="s">
        <v>#N/A Requesting Data...4187128109</v>
        <stp/>
        <stp>BDP|12603143287034451379</stp>
        <tr r="D27" s="446"/>
        <tr r="AC20" s="1"/>
      </tp>
      <tp t="s">
        <v>#N/A Requesting Data...3542922257</v>
        <stp/>
        <stp>BDP|10004210412887167840</stp>
        <tr r="D40" s="446"/>
      </tp>
      <tp t="s">
        <v>#N/A Requesting Data...4115404832</v>
        <stp/>
        <stp>BDP|11960982674731648253</stp>
        <tr r="C22" s="2"/>
      </tp>
      <tp t="s">
        <v>#N/A Invalid Security</v>
        <stp/>
        <stp>BDP|11076688730849429560|22</stp>
        <stp xml:space="preserve"> Equity</stp>
        <stp>bid</stp>
        <tr r="P2" s="2"/>
        <tr r="K94" s="89"/>
        <tr r="K95" s="89"/>
      </tp>
      <tp t="s">
        <v>#N/A N/A</v>
        <stp/>
        <stp>BDH|14478591647500573939</stp>
        <tr r="AM9" s="338"/>
      </tp>
      <tp t="s">
        <v>#N/A N/A</v>
        <stp/>
        <stp>BDP|777435198278128149|22</stp>
        <stp>1OG6P 23500 INDEX</stp>
        <stp>ask</stp>
        <tr r="Q26" s="2"/>
      </tp>
      <tp t="s">
        <v>#N/A Requesting Data...3921774458</v>
        <stp/>
        <stp>BDP|13209846733142548782</stp>
        <tr r="V103" s="89"/>
      </tp>
      <tp t="s">
        <v>#N/A Requesting Data...4098536993</v>
        <stp/>
        <stp>BDP|12514485676904256829</stp>
        <tr r="E76" s="89"/>
      </tp>
      <tp t="s">
        <v>#N/A Requesting Data...4275509742</v>
        <stp/>
        <stp>BDP|13594164286172898577</stp>
        <tr r="K13" s="1"/>
      </tp>
      <tp t="s">
        <v>#N/A Requesting Data...4189126214</v>
        <stp/>
        <stp>BDP|10028687100653384862</stp>
        <tr r="T5" s="2"/>
      </tp>
      <tp t="s">
        <v>#N/A Requesting Data...3891297874</v>
        <stp/>
        <stp>BDP|10831338585412516467</stp>
        <tr r="AB16" s="1"/>
      </tp>
      <tp t="s">
        <v>#N/A Requesting Data...3952040396</v>
        <stp/>
        <stp>BDP|15843140282036113720</stp>
        <tr r="G22" s="446"/>
      </tp>
      <tp t="s">
        <v>#N/A Requesting Data...3421829453</v>
        <stp/>
        <stp>BDP|17319342610009091197</stp>
        <tr r="G27" s="446"/>
      </tp>
      <tp t="s">
        <v>#N/A Requesting Data...3746886701</v>
        <stp/>
        <stp>BDP|11924439292996409721</stp>
        <tr r="AG36" s="1"/>
      </tp>
      <tp t="s">
        <v>#N/A Requesting Data...4231599417</v>
        <stp/>
        <stp>BDP|17470314704499627097</stp>
        <tr r="T44" s="89"/>
      </tp>
      <tp t="s">
        <v>#N/A N/A</v>
        <stp/>
        <stp>BDP|18096474274854136215</stp>
        <tr r="R102" s="89"/>
        <tr r="R103" s="89"/>
        <tr r="R104" s="89"/>
        <tr r="R36" s="89"/>
        <tr r="R37" s="89"/>
        <tr r="R43" s="89"/>
        <tr r="R44" s="89"/>
        <tr r="AV22" s="2"/>
        <tr r="AV23" s="2"/>
      </tp>
      <tp t="s">
        <v>#N/A Requesting Data...3708518422</v>
        <stp/>
        <stp>BDP|18074111082599132509</stp>
        <tr r="D112" s="89"/>
      </tp>
      <tp t="s">
        <v>#N/A Requesting Data...3968754180</v>
        <stp/>
        <stp>BDP|12581247922716100901</stp>
        <tr r="T43" s="89"/>
      </tp>
      <tp t="s">
        <v>#N/A Requesting Data...3116136752</v>
        <stp/>
        <stp>BDP|17245762396037753300</stp>
        <tr r="V19" s="89"/>
      </tp>
      <tp t="s">
        <v>#N/A Requesting Data...3954126317</v>
        <stp/>
        <stp>BDP|16819233362409435685</stp>
        <tr r="AD24" s="2"/>
      </tp>
      <tp t="s">
        <v>#N/A Requesting Data...3715983892</v>
        <stp/>
        <stp>BDP|11804015925529096782</stp>
        <tr r="AI40" s="1"/>
      </tp>
      <tp t="s">
        <v>#N/A Requesting Data...3718017595</v>
        <stp/>
        <stp>BDP|10476670090364142661</stp>
        <tr r="K24" s="1"/>
      </tp>
      <tp t="s">
        <v>#N/A Requesting Data...3058905136</v>
        <stp/>
        <stp>BDP|14574759861540790819</stp>
        <tr r="S10" s="338"/>
      </tp>
      <tp t="s">
        <v>#N/A Requesting Data...3634063654</v>
        <stp/>
        <stp>BDP|11934537446469823426</stp>
        <tr r="E8" s="2"/>
      </tp>
      <tp>
        <v>609.65</v>
        <stp/>
        <stp>BDP|8629289523220789997|22</stp>
        <stp>QQQ Equity</stp>
        <stp>LAST PRICE</stp>
        <tr r="I9" s="338"/>
      </tp>
      <tp>
        <v>0.55928599834442139</v>
        <stp/>
        <stp>BDP|17727048575326274193|22</stp>
        <stp>AVGO US 02/13/26 C330 Equity</stp>
        <stp>DELTA_MID_RT</stp>
        <tr r="W20" s="89"/>
        <tr r="AF6" s="2"/>
      </tp>
      <tp>
        <v>1.64</v>
        <stp/>
        <stp>BDP|3305454036532657008|22</stp>
        <stp>MSFT US 02/20/26 P375 Equity</stp>
        <stp>bid</stp>
        <tr r="K30" s="89"/>
      </tp>
      <tp>
        <v>48.9</v>
        <stp/>
        <stp>BDP|4911432985148125573|22</stp>
        <stp>META US 07/17/26 C700 Equity</stp>
        <stp>ask</stp>
        <tr r="L14" s="89"/>
        <tr r="L87" s="89"/>
      </tp>
      <tp t="s">
        <v>#N/A Requesting Data...3404111128</v>
        <stp/>
        <stp>BDP|12339741374220877028</stp>
        <tr r="F21" s="446"/>
      </tp>
      <tp t="s">
        <v>#N/A Requesting Data...3209474877</v>
        <stp/>
        <stp>BDP|15108137503044913212</stp>
        <tr r="T86" s="89"/>
      </tp>
      <tp t="s">
        <v>#N/A Requesting Data...4155452238</v>
        <stp/>
        <stp>BDP|12832425312094016130</stp>
        <tr r="D8" s="2"/>
      </tp>
      <tp t="s">
        <v>#N/A Requesting Data...3985408568</v>
        <stp/>
        <stp>BDP|16848172745796591757</stp>
        <tr r="J9" s="1"/>
      </tp>
      <tp t="s">
        <v>#N/A Requesting Data...4261706993</v>
        <stp/>
        <stp>BDP|16562634359111464613</stp>
        <tr r="AR10" s="2"/>
      </tp>
      <tp t="s">
        <v>#N/A Requesting Data...3762531509</v>
        <stp/>
        <stp>BDP|12394829048358209468</stp>
        <tr r="AR9" s="2"/>
      </tp>
      <tp t="s">
        <v>#N/A Requesting Data...3147751943</v>
        <stp/>
        <stp>BDP|13860953081054070419</stp>
        <tr r="Z44" s="89"/>
        <tr r="AA44" s="89"/>
      </tp>
      <tp t="s">
        <v>#N/A Requesting Data...4237240958</v>
        <stp/>
        <stp>BDP|14893482018297594407</stp>
        <tr r="AR26" s="2"/>
      </tp>
      <tp t="s">
        <v>#N/A Requesting Data...4167608260</v>
        <stp/>
        <stp>BDP|15894806241932056946</stp>
        <tr r="AD26" s="2"/>
      </tp>
      <tp t="s">
        <v>#N/A Requesting Data...3469236581</v>
        <stp/>
        <stp>BDP|14745325736447971162</stp>
        <tr r="D30" s="89"/>
      </tp>
      <tp t="s">
        <v>#N/A Requesting Data...3858186393</v>
        <stp/>
        <stp>BDP|15571587832455231410</stp>
        <tr r="AC29" s="1"/>
      </tp>
      <tp t="s">
        <v>#N/A Requesting Data...4241718273</v>
        <stp/>
        <stp>BDP|12274481806484777070</stp>
        <tr r="J4" s="1"/>
      </tp>
      <tp t="s">
        <v>#N/A Requesting Data...3590872067</v>
        <stp/>
        <stp>BDP|17216633965664243193</stp>
        <tr r="L10" s="338"/>
        <tr r="L11" s="338"/>
        <tr r="L12" s="338"/>
        <tr r="J10" s="338"/>
        <tr r="J11" s="338"/>
        <tr r="J12" s="338"/>
      </tp>
      <tp t="s">
        <v>#N/A Requesting Data...3255047323</v>
        <stp/>
        <stp>BDP|14776745928063005042</stp>
        <tr r="T52" s="89"/>
      </tp>
      <tp t="s">
        <v>#N/A Requesting Data...3818665712</v>
        <stp/>
        <stp>BDP|16719292853193179031</stp>
        <tr r="T27" s="2"/>
      </tp>
      <tp t="s">
        <v>#N/A Requesting Data...3406957135</v>
        <stp/>
        <stp>BDP|13796779298948123776</stp>
        <tr r="C52" s="89"/>
      </tp>
      <tp t="s">
        <v>#N/A Requesting Data...3363893173</v>
        <stp/>
        <stp>BDP|13805405504302407767</stp>
        <tr r="Z113" s="89"/>
        <tr r="AA113" s="89"/>
      </tp>
      <tp t="s">
        <v>#N/A Requesting Data...3454322703</v>
        <stp/>
        <stp>BDP|14240882820984424808</stp>
        <tr r="V69" s="89"/>
      </tp>
      <tp t="s">
        <v>#N/A Requesting Data...3402813341</v>
        <stp/>
        <stp>BDP|13150872693841225199</stp>
        <tr r="AR8" s="2"/>
      </tp>
      <tp t="s">
        <v>#N/A Requesting Data...3682962841</v>
        <stp/>
        <stp>BDP|13698454327306550105</stp>
        <tr r="T96" s="89"/>
      </tp>
      <tp t="s">
        <v>#N/A Requesting Data...4191233638</v>
        <stp/>
        <stp>BDP|10829953492237874568</stp>
        <tr r="F21" s="2"/>
      </tp>
      <tp t="s">
        <v>#N/A Requesting Data...4172762756</v>
        <stp/>
        <stp>BDP|17193753013640317341</stp>
        <tr r="T113" s="89"/>
        <tr r="AA19" s="2"/>
      </tp>
      <tp t="s">
        <v>#N/A Requesting Data...3337863403</v>
        <stp/>
        <stp>BDP|17950909593432390797</stp>
        <tr r="G29" s="446"/>
      </tp>
      <tp t="s">
        <v>#N/A N/A</v>
        <stp/>
        <stp>BDP|16464673670092529762</stp>
        <tr r="AB52" s="89"/>
        <tr r="AB53" s="89"/>
        <tr r="AB54" s="89"/>
      </tp>
      <tp t="s">
        <v>#N/A N/A</v>
        <stp/>
        <stp>BDP|16665812118984554998</stp>
        <tr r="AC12" s="2"/>
        <tr r="AC13" s="2"/>
      </tp>
      <tp t="s">
        <v>#N/A Requesting Data...3529336705</v>
        <stp/>
        <stp>BDP|17190454425561690252</stp>
        <tr r="AR14" s="2"/>
      </tp>
      <tp t="s">
        <v>#N/A Requesting Data...3885640207</v>
        <stp/>
        <stp>BDP|12909617883408150686</stp>
        <tr r="F17" s="446"/>
      </tp>
      <tp t="s">
        <v>#N/A Requesting Data...3719022170</v>
        <stp/>
        <stp>BDP|14907590063523957686</stp>
        <tr r="D39" s="446"/>
      </tp>
      <tp t="s">
        <v>#N/A Requesting Data...4050439442</v>
        <stp/>
        <stp>BDP|15427086549125422631</stp>
        <tr r="F29" s="446"/>
      </tp>
      <tp t="s">
        <v>#N/A Requesting Data...3530538842</v>
        <stp/>
        <stp>BDP|15027893309117038857</stp>
        <tr r="K16" s="1"/>
      </tp>
      <tp t="s">
        <v>#N/A Requesting Data...3729160307</v>
        <stp/>
        <stp>BDP|14798833541272440858</stp>
        <tr r="L9" s="338"/>
        <tr r="H9" s="338"/>
      </tp>
      <tp t="s">
        <v>#N/A Requesting Data...3640611216</v>
        <stp/>
        <stp>BDP|16413518304228438920</stp>
        <tr r="Z37" s="89"/>
        <tr r="AA37" s="89"/>
      </tp>
      <tp t="s">
        <v>#N/A N/A</v>
        <stp/>
        <stp>BDP|17447943913214573912</stp>
        <tr r="AC27" s="2"/>
        <tr r="AC28" s="2"/>
      </tp>
      <tp t="s">
        <v>#N/A Requesting Data...3944375343</v>
        <stp/>
        <stp>BDP|10540491936722929740</stp>
        <tr r="F13" s="446"/>
      </tp>
      <tp t="s">
        <v>#N/A Requesting Data...3695634763</v>
        <stp/>
        <stp>BDP|12465228967747275351</stp>
        <tr r="F5" s="2"/>
      </tp>
      <tp t="s">
        <v>#N/A Requesting Data...3363791347</v>
        <stp/>
        <stp>BDP|15421502917490517308</stp>
        <tr r="E103" s="89"/>
      </tp>
      <tp>
        <v>124.71</v>
        <stp/>
        <stp>BDP|1868269163989593436|22</stp>
        <stp>EWY Equity</stp>
        <stp>LAST_PRICE</stp>
        <tr r="I31" s="1"/>
      </tp>
      <tp t="s">
        <v>#N/A N/A</v>
        <stp/>
        <stp>BDH|12324430765506226419</stp>
        <tr r="AR9" s="338"/>
      </tp>
      <tp t="s">
        <v>#N/A N/A</v>
        <stp/>
        <stp>BDH|11080634834115000386</stp>
        <tr r="AR11" s="338"/>
        <tr r="AR12" s="338"/>
        <tr r="AR10" s="338"/>
      </tp>
      <tp>
        <v>22.15</v>
        <stp/>
        <stp>BDP|3322764634781769714|22</stp>
        <stp>META US 02/27/26 C660 Equity</stp>
        <stp>ask</stp>
        <tr r="L96" s="89"/>
      </tp>
      <tp t="s">
        <v>#N/A Requesting Data...3116337156</v>
        <stp/>
        <stp>BDP|15895214585768543406</stp>
        <tr r="AB21" s="1"/>
      </tp>
      <tp t="s">
        <v>#N/A Requesting Data...3586803593</v>
        <stp/>
        <stp>BDP|12506693576836787640</stp>
        <tr r="AC21" s="1"/>
      </tp>
      <tp t="s">
        <v>#N/A Requesting Data...3728103305</v>
        <stp/>
        <stp>BDP|12913717425274232066</stp>
        <tr r="AG27" s="1"/>
      </tp>
      <tp t="s">
        <v>#N/A Requesting Data...3720964564</v>
        <stp/>
        <stp>BDP|10102679327761087681</stp>
        <tr r="E13" s="2"/>
      </tp>
      <tp t="s">
        <v>#N/A N/A</v>
        <stp/>
        <stp>BDP|16916588204673977342</stp>
        <tr r="AB70" s="89"/>
      </tp>
      <tp t="s">
        <v>#N/A Requesting Data...3272870410</v>
        <stp/>
        <stp>BDP|15551517866741817422</stp>
        <tr r="F6" s="2"/>
      </tp>
      <tp t="s">
        <v>#N/A N/A</v>
        <stp/>
        <stp>BDP|17344183941382189338</stp>
        <tr r="AB30" s="89"/>
        <tr r="AB31" s="89"/>
      </tp>
      <tp t="s">
        <v>#N/A Requesting Data...4031043889</v>
        <stp/>
        <stp>BDP|12659323579531227475</stp>
        <tr r="C53" s="89"/>
      </tp>
      <tp t="s">
        <v>#N/A N/A</v>
        <stp/>
        <stp>BDP|11928681486748964459</stp>
        <tr r="AV14" s="2"/>
        <tr r="AV15" s="2"/>
      </tp>
      <tp t="s">
        <v>#N/A Requesting Data...4163853537</v>
        <stp/>
        <stp>BDP|13685951603788859137</stp>
        <tr r="T54" s="89"/>
      </tp>
      <tp t="s">
        <v>#N/A Requesting Data...3465794023</v>
        <stp/>
        <stp>BDP|11567651966607858555</stp>
        <tr r="E20" s="89"/>
      </tp>
      <tp t="s">
        <v>#N/A Requesting Data...4046634197</v>
        <stp/>
        <stp>BDP|17790298348871348384</stp>
        <tr r="D20" s="89"/>
      </tp>
      <tp t="s">
        <v>#N/A Requesting Data...3961080220</v>
        <stp/>
        <stp>BDP|12197625641431851271</stp>
        <tr r="D12" s="2"/>
      </tp>
      <tp t="s">
        <v>#N/A Requesting Data...3523737981</v>
        <stp/>
        <stp>BDP|10685834502708261397</stp>
        <tr r="V8" s="89"/>
        <tr r="AD21" s="2"/>
      </tp>
      <tp t="s">
        <v>#N/A Requesting Data...4063146716</v>
        <stp/>
        <stp>BDP|15919437567850131436</stp>
        <tr r="G28" s="446"/>
      </tp>
      <tp t="s">
        <v>#N/A N/A</v>
        <stp/>
        <stp>BDP|12988555714434708108</stp>
        <tr r="AV10" s="2"/>
        <tr r="AV9" s="2"/>
      </tp>
      <tp t="s">
        <v>#N/A Requesting Data...3582866209</v>
        <stp/>
        <stp>BDP|13934642593416417954</stp>
        <tr r="AI44" s="1"/>
      </tp>
      <tp t="s">
        <v>#N/A Requesting Data...4009298757</v>
        <stp/>
        <stp>BDP|17039732835313216359</stp>
        <tr r="G13" s="446"/>
      </tp>
      <tp t="s">
        <v>#N/A Requesting Data...4156966801</v>
        <stp/>
        <stp>BDP|11848586431027061306</stp>
        <tr r="K44" s="1"/>
      </tp>
      <tp t="s">
        <v>#N/A Requesting Data...3685834508</v>
        <stp/>
        <stp>BDP|12548118618327894654</stp>
        <tr r="C8" s="89"/>
        <tr r="D21" s="2"/>
      </tp>
      <tp t="s">
        <v>#N/A Requesting Data...3264714101</v>
        <stp/>
        <stp>BDP|10212284669224289309</stp>
        <tr r="G15" s="446"/>
      </tp>
      <tp t="s">
        <v>#N/A Requesting Data...3166718896</v>
        <stp/>
        <stp>BDP|14477773684938548023</stp>
        <tr r="AI26" s="1"/>
      </tp>
      <tp t="s">
        <v>#N/A Requesting Data...3329274798</v>
        <stp/>
        <stp>BDP|11933010124828542891</stp>
        <tr r="O37" s="89"/>
        <tr r="T23" s="2"/>
      </tp>
      <tp t="s">
        <v>#N/A Requesting Data...3687283284</v>
        <stp/>
        <stp>BDP|16139528108117140790</stp>
        <tr r="T13" s="89"/>
        <tr r="AA11" s="2"/>
      </tp>
      <tp t="s">
        <v>#N/A Requesting Data...3552803034</v>
        <stp/>
        <stp>BDP|12577068118946906617</stp>
        <tr r="AF28" s="1"/>
      </tp>
      <tp t="s">
        <v>#N/A Requesting Data...4094019339</v>
        <stp/>
        <stp>BDP|16931852689404443127</stp>
        <tr r="F23" s="446"/>
        <tr r="AB18" s="1"/>
      </tp>
      <tp t="s">
        <v>#N/A Requesting Data...3539905858</v>
        <stp/>
        <stp>BDP|14461057417982680435</stp>
        <tr r="AA12" s="2"/>
      </tp>
      <tp t="s">
        <v>#N/A N/A</v>
        <stp/>
        <stp>BDP|17671933814978710772|22</stp>
        <stp>1OG6C 26000 Index</stp>
        <stp>bid</stp>
        <tr r="K69" s="89"/>
      </tp>
      <tp t="s">
        <v>#N/A Requesting Data...4081142204</v>
        <stp/>
        <stp>BDP|14468716151160495523</stp>
        <tr r="Z14" s="89"/>
        <tr r="AA14" s="89"/>
        <tr r="Z87" s="89"/>
        <tr r="AA87" s="89"/>
      </tp>
      <tp t="s">
        <v>#N/A Requesting Data...3276539907</v>
        <stp/>
        <stp>BDP|17214529260663576400</stp>
        <tr r="AC27" s="1"/>
      </tp>
      <tp t="s">
        <v>#N/A Requesting Data...3621260300</v>
        <stp/>
        <stp>BDP|11488079128501837162</stp>
        <tr r="O14" s="89"/>
        <tr r="O87" s="89"/>
      </tp>
      <tp t="s">
        <v>#N/A N/A</v>
        <stp/>
        <stp>BDP|16066178257148215968</stp>
        <tr r="AV12" s="2"/>
        <tr r="AV13" s="2"/>
      </tp>
      <tp t="s">
        <v>#N/A Requesting Data...3817634368</v>
        <stp/>
        <stp>BDP|12718343677950174519</stp>
        <tr r="E7" s="1"/>
      </tp>
      <tp t="s">
        <v>#N/A Requesting Data...3882889305</v>
        <stp/>
        <stp>BDP|12144705418850616789</stp>
        <tr r="AR16" s="2"/>
      </tp>
      <tp t="s">
        <v>#N/A Requesting Data...3955521069</v>
        <stp/>
        <stp>BDP|14730076527710394522</stp>
        <tr r="N3" s="1"/>
      </tp>
      <tp t="s">
        <v>#N/A N/A</v>
        <stp/>
        <stp>BDP|14088876280754203979|22</stp>
        <stp>1OG6C 26000 Index</stp>
        <stp>ask</stp>
        <tr r="L69" s="89"/>
      </tp>
      <tp>
        <v>-2.2189998999238014E-3</v>
        <stp/>
        <stp>BDP|14602499783433890530|22</stp>
        <stp>GOOG US 02/06/26 P300 Equity</stp>
        <stp>DELTA_MID_RT</stp>
        <tr r="AF7" s="2"/>
      </tp>
      <tp>
        <v>48.35</v>
        <stp/>
        <stp>BDP|3120711432826724576|22</stp>
        <stp>META US 07/17/26 C700 Equity</stp>
        <stp>bid</stp>
        <tr r="K14" s="89"/>
        <tr r="K87" s="89"/>
      </tp>
      <tp t="s">
        <v>#N/A Requesting Data...3636959674</v>
        <stp/>
        <stp>BDP|16634752858660747458</stp>
        <tr r="K39" s="1"/>
      </tp>
      <tp t="s">
        <v>#N/A Requesting Data...3567834175</v>
        <stp/>
        <stp>BDP|10384653628097195348</stp>
        <tr r="V9" s="338"/>
      </tp>
      <tp t="s">
        <v>#N/A Requesting Data...3777361343</v>
        <stp/>
        <stp>BDP|18157396268365948849</stp>
        <tr r="G32" s="446"/>
      </tp>
      <tp t="s">
        <v>#N/A Requesting Data...3748043801</v>
        <stp/>
        <stp>BDP|12322490716684467354</stp>
        <tr r="AD28" s="2"/>
      </tp>
      <tp t="s">
        <v>#N/A N/A</v>
        <stp/>
        <stp>BDP|11921469108316932314</stp>
        <tr r="AV16" s="2"/>
      </tp>
      <tp t="s">
        <v>#N/A Requesting Data...3771181151</v>
        <stp/>
        <stp>BDP|11850099902500446183</stp>
        <tr r="AR28" s="2"/>
      </tp>
      <tp t="s">
        <v>#N/A N/A</v>
        <stp/>
        <stp>BDP|13846974553487624841</stp>
        <tr r="AB102" s="89"/>
        <tr r="AB103" s="89"/>
        <tr r="AB104" s="89"/>
        <tr r="AB36" s="89"/>
        <tr r="AB37" s="89"/>
        <tr r="AB43" s="89"/>
        <tr r="AB44" s="89"/>
        <tr r="AQ22" s="2"/>
        <tr r="AQ23" s="2"/>
      </tp>
      <tp t="s">
        <v>#N/A Requesting Data...3934010937</v>
        <stp/>
        <stp>BDP|10893554211676791255</stp>
        <tr r="AC30" s="1"/>
      </tp>
      <tp t="s">
        <v>#N/A Requesting Data...4134796051</v>
        <stp/>
        <stp>BDP|14667087596678820507</stp>
        <tr r="AI9" s="338"/>
      </tp>
      <tp t="s">
        <v>#N/A Requesting Data...3813108184</v>
        <stp/>
        <stp>BDP|14736375789817362891</stp>
        <tr r="AC2" s="1"/>
        <tr r="AD2" s="1"/>
      </tp>
      <tp t="s">
        <v>#N/A Requesting Data...4148803459</v>
        <stp/>
        <stp>BDP|16915999897423444512</stp>
        <tr r="AC18" s="1"/>
      </tp>
      <tp t="s">
        <v>#N/A Requesting Data...4096153420</v>
        <stp/>
        <stp>BDP|11184865175579332734</stp>
        <tr r="F12" s="446"/>
      </tp>
      <tp t="s">
        <v>#N/A Requesting Data...3629376489</v>
        <stp/>
        <stp>BDP|16647795119072066249</stp>
        <tr r="AF40" s="1"/>
      </tp>
      <tp t="s">
        <v>#N/A Requesting Data...4083075309</v>
        <stp/>
        <stp>BDP|10633791113720948675</stp>
        <tr r="AB40" s="1"/>
      </tp>
      <tp t="s">
        <v>#N/A N/A</v>
        <stp/>
        <stp>BDP|14646160180655233875</stp>
        <tr r="AC10" s="2"/>
        <tr r="AC9" s="2"/>
      </tp>
      <tp t="s">
        <v>#N/A N/A</v>
        <stp/>
        <stp>BDP|14721782818326063433</stp>
        <tr r="AC14" s="2"/>
        <tr r="AC15" s="2"/>
      </tp>
      <tp t="s">
        <v>#N/A Requesting Data...3723560212</v>
        <stp/>
        <stp>BDP|11542574144783666360</stp>
        <tr r="F41" s="446"/>
      </tp>
      <tp t="s">
        <v>#N/A Requesting Data...4062973640</v>
        <stp/>
        <stp>BDP|13345443953962599072</stp>
        <tr r="T37" s="89"/>
        <tr r="AA23" s="2"/>
      </tp>
      <tp>
        <v>82.46</v>
        <stp/>
        <stp>BDP|2399130969064853177|22</stp>
        <stp>IGV Equity</stp>
        <stp>LAST_PRICE</stp>
        <tr r="I25" s="1"/>
      </tp>
      <tp t="s">
        <v>#N/A N/A</v>
        <stp/>
        <stp>BDH|12835329730040286257</stp>
        <tr r="AS8" s="338"/>
      </tp>
      <tp t="s">
        <v>#N/A N/A</v>
        <stp/>
        <stp>BDH|13688527075546662792</stp>
        <tr r="AM10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76" s="89"/>
      </tp>
      <tp t="s">
        <v>#N/A Requesting Data...3892490951</v>
        <stp/>
        <stp>BDP|10572009716748941832</stp>
        <tr r="D43" s="89"/>
      </tp>
      <tp t="s">
        <v>#N/A Requesting Data...3356841002</v>
        <stp/>
        <stp>BDP|15656499554320397517</stp>
        <tr r="Z112" s="89"/>
        <tr r="AA112" s="89"/>
      </tp>
      <tp t="s">
        <v>#N/A Requesting Data...3618798644</v>
        <stp/>
        <stp>BDP|17750280324281015730</stp>
        <tr r="F14" s="2"/>
      </tp>
      <tp t="s">
        <v>#N/A Requesting Data...4195266883</v>
        <stp/>
        <stp>BDP|12055500611067822013</stp>
        <tr r="AJ8" s="338"/>
        <tr r="AH8" s="338"/>
      </tp>
      <tp t="s">
        <v>#N/A Requesting Data...3518105476</v>
        <stp/>
        <stp>BDP|11265502119766043209</stp>
        <tr r="AI25" s="1"/>
      </tp>
      <tp t="s">
        <v>#N/A Requesting Data...3251142098</v>
        <stp/>
        <stp>BDP|10827554593684445907</stp>
        <tr r="AG37" s="1"/>
      </tp>
      <tp t="s">
        <v>#N/A Requesting Data...3953253157</v>
        <stp/>
        <stp>BDP|10651894387614235500</stp>
        <tr r="V54" s="89"/>
      </tp>
      <tp t="s">
        <v>#N/A Requesting Data...4105583600</v>
        <stp/>
        <stp>BDP|10435868994421818135</stp>
        <tr r="C28" s="2"/>
      </tp>
      <tp t="s">
        <v>#N/A Requesting Data...4275572292</v>
        <stp/>
        <stp>BDP|18017376398746707540</stp>
        <tr r="G37" s="446"/>
      </tp>
      <tp t="s">
        <v>#N/A Requesting Data...3538246519</v>
        <stp/>
        <stp>BDP|17365785494690778868</stp>
        <tr r="E5" s="1"/>
      </tp>
      <tp t="s">
        <v>#N/A Requesting Data...3782399930</v>
        <stp/>
        <stp>BDP|15797485450435917089</stp>
        <tr r="AG29" s="1"/>
      </tp>
      <tp t="s">
        <v>#N/A Requesting Data...3238312352</v>
        <stp/>
        <stp>BDP|10629460632567404161</stp>
        <tr r="AF33" s="1"/>
      </tp>
      <tp t="s">
        <v>#N/A Requesting Data...4291943400</v>
        <stp/>
        <stp>BDP|11658442792988593552</stp>
        <tr r="AC22" s="1"/>
      </tp>
      <tp t="s">
        <v>#N/A Requesting Data...3301723731</v>
        <stp/>
        <stp>BDP|16165427454387328176</stp>
        <tr r="D7" s="89"/>
      </tp>
      <tp t="s">
        <v>#N/A Requesting Data...3482189187</v>
        <stp/>
        <stp>BDP|10036162177410701751</stp>
        <tr r="K28" s="1"/>
      </tp>
      <tp t="s">
        <v>#N/A Requesting Data...3928208918</v>
        <stp/>
        <stp>BDP|15698160403534380128</stp>
        <tr r="AB19" s="1"/>
      </tp>
      <tp t="s">
        <v>#N/A Requesting Data...4257060030</v>
        <stp/>
        <stp>BDP|11998355979195097173</stp>
        <tr r="T76" s="89"/>
      </tp>
      <tp t="s">
        <v>#N/A Requesting Data...3670531922</v>
        <stp/>
        <stp>BDP|16353514989043023996</stp>
        <tr r="AH11" s="338"/>
        <tr r="AJ11" s="338"/>
      </tp>
      <tp t="s">
        <v>#N/A Requesting Data...3890104103</v>
        <stp/>
        <stp>BDP|11157579934717202151</stp>
        <tr r="V52" s="89"/>
      </tp>
      <tp t="s">
        <v>#N/A Requesting Data...4176418489</v>
        <stp/>
        <stp>BDP|12276548317722131552</stp>
        <tr r="C70" s="89"/>
      </tp>
      <tp t="s">
        <v>#N/A Requesting Data...3689794829</v>
        <stp/>
        <stp>BDP|11816109239887247579</stp>
        <tr r="V44" s="89"/>
      </tp>
      <tp t="s">
        <v>#N/A Requesting Data...4072447350</v>
        <stp/>
        <stp>BDP|16301938465448635042</stp>
        <tr r="AG15" s="1"/>
      </tp>
      <tp t="s">
        <v>#N/A Requesting Data...3857848178</v>
        <stp/>
        <stp>BDP|12333730460741016377</stp>
        <tr r="C7" s="2"/>
      </tp>
      <tp t="s">
        <v>#N/A Requesting Data...3982480235</v>
        <stp/>
        <stp>BDP|10764751743486083471</stp>
        <tr r="E4" s="2"/>
      </tp>
      <tp t="s">
        <v>#N/A Requesting Data...3384470318</v>
        <stp/>
        <stp>BDP|14914589903223067341</stp>
        <tr r="AH8" s="338"/>
      </tp>
      <tp t="s">
        <v>#N/A N/A</v>
        <stp/>
        <stp>BDH|17510870327079210564</stp>
        <tr r="AN12" s="338"/>
      </tp>
      <tp t="s">
        <v>#N/A N/A</v>
        <stp/>
        <stp>BDH|16083662014255706556</stp>
        <tr r="AP10" s="338"/>
      </tp>
      <tp t="s">
        <v>#N/A N/A</v>
        <stp/>
        <stp>BDH|15802655799238673394</stp>
        <tr r="AS11" s="338"/>
        <tr r="AS10" s="338"/>
        <tr r="AS12" s="338"/>
      </tp>
      <tp t="s">
        <v>#N/A N/A</v>
        <stp/>
        <stp>BDH|12587823233369870139</stp>
        <tr r="AU9" s="338"/>
      </tp>
      <tp t="s">
        <v>#N/A N/A</v>
        <stp/>
        <stp>BDH|10302156106127628789</stp>
        <tr r="AS9" s="338"/>
      </tp>
      <tp t="s">
        <v>#N/A N/A</v>
        <stp/>
        <stp>BDP|207125126666571923|22</stp>
        <stp>1OG6P 23500 INDEX</stp>
        <stp>bid</stp>
        <tr r="P26" s="2"/>
      </tp>
      <tp t="s">
        <v>USD</v>
        <stp/>
        <stp>BDP|4400932532443896297|22</stp>
        <stp>1OG6P 23500 INDEX</stp>
        <stp>QUOTED_CURRENCY_REALTIME</stp>
        <tr r="G26" s="2"/>
      </tp>
      <tp>
        <v>3.8</v>
        <stp/>
        <stp>BDP|3142545392529110039|22</stp>
        <stp>AMZN US 04/17/26 C235 Equity</stp>
        <stp>mid</stp>
        <tr r="L20" s="2"/>
      </tp>
      <tp t="s">
        <v>#N/A Requesting Data...3496017479</v>
        <stp/>
        <stp>BDP|10297523734239490992</stp>
        <tr r="F19" s="446"/>
        <tr r="AB44" s="1"/>
      </tp>
      <tp t="s">
        <v>#N/A Requesting Data...3211147654</v>
        <stp/>
        <stp>BDP|13534980394766736373</stp>
        <tr r="AG41" s="1"/>
      </tp>
      <tp t="s">
        <v>#N/A Requesting Data...3323494075</v>
        <stp/>
        <stp>BDP|10811773521330276340</stp>
        <tr r="F42" s="446"/>
      </tp>
      <tp>
        <v>25044.25</v>
        <stp/>
        <stp>BDP|9834598325284437758|22</stp>
        <stp>2OH6 Index</stp>
        <stp>LAST_PRICE</stp>
        <tr r="S70" s="89"/>
      </tp>
      <tp t="s">
        <v>#N/A Requesting Data...4206273869</v>
        <stp/>
        <stp>BDP|10520345504357619290</stp>
        <tr r="Z8" s="89"/>
        <tr r="AA8" s="89"/>
      </tp>
      <tp t="s">
        <v>#N/A Requesting Data...4125370498</v>
        <stp/>
        <stp>BDP|15391181514731480268</stp>
        <tr r="T16" s="2"/>
      </tp>
      <tp t="s">
        <v>#N/A Requesting Data...3953043500</v>
        <stp/>
        <stp>BDP|13295681926322217334</stp>
        <tr r="AG25" s="1"/>
      </tp>
      <tp t="s">
        <v>#N/A Requesting Data...4019498081</v>
        <stp/>
        <stp>BDP|18269203655158880133</stp>
        <tr r="F39" s="446"/>
      </tp>
      <tp t="s">
        <v>#N/A Requesting Data...3534228830</v>
        <stp/>
        <stp>BDP|10439367344074999538</stp>
        <tr r="E13" s="89"/>
      </tp>
      <tp t="s">
        <v>#N/A Requesting Data...4123420953</v>
        <stp/>
        <stp>BDP|15182731223236736084</stp>
        <tr r="C43" s="89"/>
      </tp>
      <tp t="s">
        <v>#N/A Requesting Data...3959952177</v>
        <stp/>
        <stp>BDP|10799626579213180430</stp>
        <tr r="AC42" s="1"/>
      </tp>
      <tp t="s">
        <v>#N/A Requesting Data...4102130324</v>
        <stp/>
        <stp>BDP|10026543249623400473</stp>
        <tr r="AF17" s="1"/>
      </tp>
      <tp t="s">
        <v>#N/A Requesting Data...3918260463</v>
        <stp/>
        <stp>BDP|13639162762852624052</stp>
        <tr r="AF32" s="1"/>
      </tp>
      <tp t="s">
        <v>#N/A Requesting Data...3269215239</v>
        <stp/>
        <stp>BDP|11992867757893115984</stp>
        <tr r="C21" s="2"/>
      </tp>
      <tp t="s">
        <v>#N/A Requesting Data...4179061623</v>
        <stp/>
        <stp>BDP|17332669817360544646</stp>
        <tr r="C23" s="2"/>
      </tp>
      <tp t="s">
        <v>#N/A Requesting Data...4215022029</v>
        <stp/>
        <stp>BDP|18365939499897354990</stp>
        <tr r="D76" s="89"/>
      </tp>
      <tp t="s">
        <v>#N/A Requesting Data...3645951755</v>
        <stp/>
        <stp>BDP|11064610705050727104</stp>
        <tr r="V53" s="89"/>
      </tp>
      <tp t="s">
        <v>#N/A Requesting Data...4241277685</v>
        <stp/>
        <stp>BDP|11346506323885413513</stp>
        <tr r="E17" s="2"/>
      </tp>
      <tp t="s">
        <v>#N/A Requesting Data...3995081049</v>
        <stp/>
        <stp>BDP|18306685490807970654</stp>
        <tr r="D31" s="89"/>
      </tp>
      <tp t="s">
        <v>USD</v>
        <stp/>
        <stp>BDP|2423561100599861373|22</stp>
        <stp>INTC US 07/17/26 P40 Equity</stp>
        <stp>QUOTED_CURRENCY_REALTIME</stp>
        <tr r="G19" s="2"/>
        <tr r="F113" s="89"/>
      </tp>
      <tp>
        <v>25.45</v>
        <stp/>
        <stp>BDP|5005092167591802286|22</stp>
        <stp>META US 04/17/26 C690 Equity</stp>
        <stp>bid</stp>
        <tr r="K85" s="89"/>
      </tp>
      <tp>
        <v>0.68</v>
        <stp/>
        <stp>BDP|1240355269024157054|22</stp>
        <stp>MSFT US 02/20/26 P355 Equity</stp>
        <stp>ask</stp>
        <tr r="L31" s="89"/>
      </tp>
      <tp t="s">
        <v>#N/A Requesting Data...3551548115</v>
        <stp/>
        <stp>BDP|14531256854956960242</stp>
        <tr r="C112" s="89"/>
        <tr r="D18" s="2"/>
      </tp>
      <tp t="s">
        <v>#N/A Requesting Data...3273521563</v>
        <stp/>
        <stp>BDP|15108064142321968752</stp>
        <tr r="F22" s="2"/>
      </tp>
      <tp t="s">
        <v>#N/A N/A</v>
        <stp/>
        <stp>BDP|17370707244810639397</stp>
        <tr r="AC5" s="2"/>
        <tr r="AC6" s="2"/>
      </tp>
      <tp t="s">
        <v>#N/A Requesting Data...3494667760</v>
        <stp/>
        <stp>BDP|14546342925643453186</stp>
        <tr r="J8" s="338"/>
        <tr r="L8" s="338"/>
      </tp>
      <tp t="s">
        <v>#N/A Requesting Data...4118895314</v>
        <stp/>
        <stp>BDP|15404493773766767722</stp>
        <tr r="G36" s="446"/>
      </tp>
      <tp t="s">
        <v>#N/A Requesting Data...3228532290</v>
        <stp/>
        <stp>BDP|18114698683463557242</stp>
        <tr r="AF44" s="1"/>
      </tp>
      <tp t="s">
        <v>#N/A Requesting Data...3366332501</v>
        <stp/>
        <stp>BDP|14627889356148517678</stp>
        <tr r="E111" s="89"/>
      </tp>
      <tp t="s">
        <v>#N/A Requesting Data...4256743203</v>
        <stp/>
        <stp>BDP|16560212626605006480</stp>
        <tr r="C6" s="2"/>
      </tp>
      <tp t="s">
        <v>#N/A Requesting Data...3558659765</v>
        <stp/>
        <stp>BDP|14556104661927858316</stp>
        <tr r="N6" s="1"/>
      </tp>
      <tp t="s">
        <v>#N/A Requesting Data...3925946387</v>
        <stp/>
        <stp>BDP|12341108167772818008</stp>
        <tr r="T11" s="338"/>
      </tp>
      <tp t="s">
        <v>#N/A Requesting Data...4104622173</v>
        <stp/>
        <stp>BDP|16190103000157320731</stp>
        <tr r="V60" s="89"/>
      </tp>
      <tp t="s">
        <v>#N/A Requesting Data...4219917075</v>
        <stp/>
        <stp>BDP|12052868717818962496</stp>
        <tr r="AI8" s="338"/>
      </tp>
      <tp t="s">
        <v>#N/A Requesting Data...3302882534</v>
        <stp/>
        <stp>BDP|14605168762492000638</stp>
        <tr r="K31" s="1"/>
      </tp>
      <tp t="s">
        <v>#N/A Requesting Data...3419088139</v>
        <stp/>
        <stp>BDP|12678050625094398357</stp>
        <tr r="D35" s="446"/>
        <tr r="AC35" s="1"/>
      </tp>
      <tp t="s">
        <v>#N/A Requesting Data...3702281839</v>
        <stp/>
        <stp>BDP|10174429034410523025</stp>
        <tr r="E5" s="2"/>
      </tp>
      <tp t="s">
        <v>#N/A Requesting Data...3892200271</v>
        <stp/>
        <stp>BDP|13691107662271159260</stp>
        <tr r="AR27" s="2"/>
      </tp>
      <tp t="s">
        <v>#N/A Requesting Data...4227761469</v>
        <stp/>
        <stp>BDP|14541260223906476575</stp>
        <tr r="K19" s="1"/>
      </tp>
      <tp t="s">
        <v>#N/A N/A</v>
        <stp/>
        <stp>BDP|13548034063303146173</stp>
        <tr r="AC22" s="2"/>
        <tr r="AC23" s="2"/>
      </tp>
      <tp t="s">
        <v>#N/A Requesting Data...3748618664</v>
        <stp/>
        <stp>BDP|12760762958325303288</stp>
        <tr r="K35" s="1"/>
      </tp>
      <tp t="s">
        <v>#N/A Requesting Data...3892635321</v>
        <stp/>
        <stp>BDP|10999834888432391532</stp>
        <tr r="T8" s="89"/>
        <tr r="AA21" s="2"/>
      </tp>
      <tp t="s">
        <v>#N/A Requesting Data...3927695716</v>
        <stp/>
        <stp>BDP|16678311834407962683</stp>
        <tr r="V96" s="89"/>
      </tp>
      <tp t="s">
        <v>#N/A Requesting Data...3863527128</v>
        <stp/>
        <stp>BDP|17610933289947663688</stp>
        <tr r="K36" s="1"/>
      </tp>
      <tp t="s">
        <v>#N/A Requesting Data...3870423412</v>
        <stp/>
        <stp>BDP|12020891338657290965</stp>
        <tr r="K40" s="1"/>
      </tp>
      <tp t="s">
        <v>#N/A Requesting Data...4056972167</v>
        <stp/>
        <stp>BDP|17117535562106038540</stp>
        <tr r="X11" s="338"/>
      </tp>
      <tp t="s">
        <v>#N/A Requesting Data...3544015095</v>
        <stp/>
        <stp>BDP|11947265064485960753</stp>
        <tr r="U8" s="338"/>
      </tp>
      <tp t="s">
        <v>#N/A Requesting Data...4051822554</v>
        <stp/>
        <stp>BDP|16417427955559579911</stp>
        <tr r="Z103" s="89"/>
        <tr r="AA103" s="89"/>
      </tp>
      <tp t="s">
        <v>#N/A Requesting Data...3696183235</v>
        <stp/>
        <stp>BDP|13856641820218803820</stp>
        <tr r="AB13" s="1"/>
      </tp>
      <tp>
        <v>87.94</v>
        <stp/>
        <stp>BDP|2057497571936690391|22</stp>
        <stp>XLP Equity</stp>
        <stp>LAST_PRICE</stp>
        <tr r="I44" s="1"/>
      </tp>
      <tp>
        <v>31.27</v>
        <stp/>
        <stp>BDP|8316763994800088980|22</stp>
        <stp>META US 07/17/26 C750 Equity</stp>
        <stp>mid</stp>
        <tr r="L11" s="2"/>
      </tp>
      <tp t="s">
        <v>#N/A Requesting Data...4156657032</v>
        <stp/>
        <stp>BDP|12136399326041179666</stp>
        <tr r="AC40" s="1"/>
      </tp>
      <tp t="s">
        <v>#N/A Requesting Data...3260395294</v>
        <stp/>
        <stp>BDP|14359282660695781141</stp>
        <tr r="AI42" s="1"/>
      </tp>
      <tp t="s">
        <v>#N/A Requesting Data...3977195992</v>
        <stp/>
        <stp>BDP|12194689278231069699</stp>
        <tr r="AI12" s="1"/>
      </tp>
      <tp t="s">
        <v>#N/A Requesting Data...4063649487</v>
        <stp/>
        <stp>BDP|16851834935831563802</stp>
        <tr r="T8" s="2"/>
      </tp>
      <tp t="s">
        <v>#N/A Requesting Data...3536256572</v>
        <stp/>
        <stp>BDP|17530799258079648899</stp>
        <tr r="AR25" s="2"/>
      </tp>
      <tp t="s">
        <v>#N/A Requesting Data...3462534524</v>
        <stp/>
        <stp>BDP|17303082674511603530</stp>
        <tr r="C96" s="89"/>
      </tp>
      <tp t="s">
        <v>#N/A Requesting Data...3466519915</v>
        <stp/>
        <stp>BDP|17958159524868336813</stp>
        <tr r="AI28" s="1"/>
      </tp>
      <tp t="s">
        <v>#N/A Requesting Data...3901144123</v>
        <stp/>
        <stp>BDP|11697784175497336241</stp>
        <tr r="F10" s="2"/>
      </tp>
      <tp t="s">
        <v>#N/A Requesting Data...4176822690</v>
        <stp/>
        <stp>BDP|13362587002474685639</stp>
        <tr r="G33" s="446"/>
      </tp>
      <tp t="s">
        <v>#N/A Requesting Data...3879888851</v>
        <stp/>
        <stp>BDP|14006343299942798856</stp>
        <tr r="AI20" s="1"/>
      </tp>
      <tp t="s">
        <v>#N/A Requesting Data...4215021400</v>
        <stp/>
        <stp>BDP|12062717686630053994</stp>
        <tr r="V104" s="89"/>
      </tp>
      <tp>
        <v>25044.25</v>
        <stp/>
        <stp>BDP|5100640861095501669|22</stp>
        <stp>1OH6 Index</stp>
        <stp>LAST_PRICE</stp>
        <tr r="S69" s="89"/>
      </tp>
      <tp t="s">
        <v>#N/A Requesting Data...3668070124</v>
        <stp/>
        <stp>BDP|14199946290092577216</stp>
        <tr r="F26" s="2"/>
      </tp>
      <tp t="s">
        <v>#N/A Requesting Data...3611732257</v>
        <stp/>
        <stp>BDP|10930560316549062982</stp>
        <tr r="C76" s="89"/>
      </tp>
      <tp t="s">
        <v>#N/A Requesting Data...4150076063</v>
        <stp/>
        <stp>BDP|17624673723155105222</stp>
        <tr r="AB43" s="1"/>
      </tp>
      <tp t="s">
        <v>#N/A Requesting Data...3901082806</v>
        <stp/>
        <stp>BDP|14406440625767437102</stp>
        <tr r="J10" s="1"/>
      </tp>
      <tp t="s">
        <v>#N/A Requesting Data...3714469310</v>
        <stp/>
        <stp>BDP|14437871301241284935</stp>
        <tr r="AJ12" s="338"/>
      </tp>
      <tp t="s">
        <v>#N/A Requesting Data...4036306766</v>
        <stp/>
        <stp>BDP|11214745035248274920</stp>
        <tr r="V8" s="338"/>
      </tp>
      <tp t="s">
        <v>#N/A Requesting Data...4166916355</v>
        <stp/>
        <stp>BDP|12168490429210433067</stp>
        <tr r="T85" s="89"/>
      </tp>
      <tp t="s">
        <v>#N/A Requesting Data...4261969832</v>
        <stp/>
        <stp>BDP|11625676250200786659</stp>
        <tr r="T8" s="338"/>
      </tp>
      <tp t="s">
        <v>#N/A N/A</v>
        <stp/>
        <stp>BDP|18042899846108511886</stp>
        <tr r="AQ8" s="2"/>
      </tp>
      <tp t="s">
        <v>#N/A Requesting Data...3413336811</v>
        <stp/>
        <stp>BDP|14059396921424230587</stp>
        <tr r="AF37" s="1"/>
        <tr r="AF11" s="338"/>
      </tp>
      <tp t="s">
        <v>#N/A Requesting Data...3828941236</v>
        <stp/>
        <stp>BDP|12166373874230381241</stp>
        <tr r="C19" s="2"/>
      </tp>
      <tp t="s">
        <v>#N/A Requesting Data...3715146027</v>
        <stp/>
        <stp>BDP|17956776735294864366</stp>
        <tr r="E61" s="89"/>
      </tp>
      <tp t="s">
        <v>#N/A Requesting Data...3624920789</v>
        <stp/>
        <stp>BDP|16889121320327881669</stp>
        <tr r="O43" s="89"/>
      </tp>
      <tp t="s">
        <v>#N/A Requesting Data...3892072759</v>
        <stp/>
        <stp>BDP|14042234469680826459</stp>
        <tr r="AR6" s="2"/>
      </tp>
      <tp t="s">
        <v>#N/A Requesting Data...4219989390</v>
        <stp/>
        <stp>BDP|12672964110318587625</stp>
        <tr r="E22" s="2"/>
      </tp>
      <tp t="s">
        <v>#N/A Requesting Data...3886763735</v>
        <stp/>
        <stp>BDP|10337841861653211939</stp>
        <tr r="F14" s="446"/>
        <tr r="AB41" s="1"/>
      </tp>
      <tp t="s">
        <v>#N/A Requesting Data...4254949073</v>
        <stp/>
        <stp>BDP|12370547281383201820</stp>
        <tr r="AG20" s="1"/>
      </tp>
      <tp t="s">
        <v>#N/A Requesting Data...4162360560</v>
        <stp/>
        <stp>BDP|11243430201469561835</stp>
        <tr r="AI34" s="1"/>
      </tp>
      <tp>
        <v>0.43643701076507568</v>
        <stp/>
        <stp>BDP|13606219202075101737|22</stp>
        <stp>INTC US 07/17/26 C60 Equity</stp>
        <stp>DELTA_MID_RT</stp>
        <tr r="AF17" s="2"/>
        <tr r="W111" s="89"/>
      </tp>
      <tp t="s">
        <v>#N/A Invalid Security</v>
        <stp/>
        <stp>BDP|17276935431976766163|22</stp>
        <stp xml:space="preserve"> Equity</stp>
        <stp>QUOTED_CURRENCY_REALTIME</stp>
        <tr r="F94" s="89"/>
        <tr r="F95" s="89"/>
      </tp>
      <tp>
        <v>31.05</v>
        <stp/>
        <stp>BDP|1435529279737285533|22</stp>
        <stp>META US 07/17/26 C750 Equity</stp>
        <stp>bid</stp>
        <tr r="P11" s="2"/>
        <tr r="K13" s="89"/>
      </tp>
      <tp>
        <v>21.9</v>
        <stp/>
        <stp>BDP|3455432218402996031|22</stp>
        <stp>META US 02/27/26 C660 Equity</stp>
        <stp>bid</stp>
        <tr r="K96" s="89"/>
      </tp>
      <tp>
        <v>11.45</v>
        <stp/>
        <stp>BDP|1560319554749533723|22</stp>
        <stp>AAPL US 04/17/26 C280 Equity</stp>
        <stp>mid</stp>
        <tr r="L15" s="2"/>
      </tp>
      <tp t="s">
        <v>#N/A Requesting Data...3366906082</v>
        <stp/>
        <stp>BDP|15314903583123967208</stp>
        <tr r="F16" s="2"/>
      </tp>
      <tp t="s">
        <v>#N/A N/A</v>
        <stp/>
        <stp>BDP|10976567873595722239</stp>
        <tr r="AV27" s="2"/>
        <tr r="AV28" s="2"/>
      </tp>
      <tp t="s">
        <v>#N/A Requesting Data...3425648083</v>
        <stp/>
        <stp>BDP|15688066863846340087</stp>
        <tr r="D28" s="446"/>
      </tp>
      <tp t="s">
        <v>#N/A Requesting Data...3450541907</v>
        <stp/>
        <stp>BDP|10174366559095309654</stp>
        <tr r="AA53" s="89"/>
        <tr r="Z53" s="89"/>
      </tp>
      <tp t="s">
        <v>#N/A Requesting Data...3518295548</v>
        <stp/>
        <stp>BDP|15767057305588506896</stp>
        <tr r="AH9" s="338"/>
      </tp>
      <tp t="s">
        <v>#N/A Requesting Data...3377000531</v>
        <stp/>
        <stp>BDP|12598914732268945550</stp>
        <tr r="E10" s="1"/>
      </tp>
      <tp t="s">
        <v>#N/A Requesting Data...4010410492</v>
        <stp/>
        <stp>BDP|10968744678995921066</stp>
        <tr r="C94" s="89"/>
        <tr r="C95" s="89"/>
      </tp>
      <tp t="s">
        <v>#N/A Requesting Data...4067365501</v>
        <stp/>
        <stp>BDP|12490577043850363694</stp>
        <tr r="C85" s="89"/>
      </tp>
      <tp t="s">
        <v>#N/A Requesting Data...3344975124</v>
        <stp/>
        <stp>BDP|10081631609357580421</stp>
        <tr r="T30" s="89"/>
      </tp>
      <tp t="s">
        <v>#N/A Requesting Data...3810180053</v>
        <stp/>
        <stp>BDP|15872646771885299421</stp>
        <tr r="F16" s="446"/>
      </tp>
      <tp t="s">
        <v>#N/A Requesting Data...3554534302</v>
        <stp/>
        <stp>BDP|13263289468687990577</stp>
        <tr r="AA20" s="89"/>
        <tr r="Z20" s="89"/>
      </tp>
      <tp t="s">
        <v>#N/A Requesting Data...3837300870</v>
        <stp/>
        <stp>BDP|12562295840812224313</stp>
        <tr r="C36" s="89"/>
        <tr r="D22" s="2"/>
      </tp>
      <tp t="s">
        <v>#N/A Requesting Data...3700274590</v>
        <stp/>
        <stp>BDP|14521485953094621461</stp>
        <tr r="T9" s="2"/>
      </tp>
      <tp t="s">
        <v>#N/A Requesting Data...3567290366</v>
        <stp/>
        <stp>BDP|15051140014688420859</stp>
        <tr r="AC12" s="1"/>
      </tp>
      <tp t="s">
        <v>#N/A Requesting Data...3639004559</v>
        <stp/>
        <stp>BDP|10649617194228048229</stp>
        <tr r="V111" s="89"/>
        <tr r="AD17" s="2"/>
      </tp>
      <tp t="s">
        <v>#N/A Requesting Data...4033048508</v>
        <stp/>
        <stp>BDP|16068368952433220674</stp>
        <tr r="D61" s="89"/>
      </tp>
      <tp t="s">
        <v>#N/A Requesting Data...4100359987</v>
        <stp/>
        <stp>BDP|17342615633087431051</stp>
        <tr r="AR15" s="2"/>
      </tp>
      <tp t="s">
        <v>#N/A N/A</v>
        <stp/>
        <stp>BDP|10378554916186339736</stp>
        <tr r="AC7" s="2"/>
      </tp>
      <tp t="s">
        <v>#N/A N/A</v>
        <stp/>
        <stp>BDP|17289014403731542359</stp>
        <tr r="AB111" s="89"/>
        <tr r="AB112" s="89"/>
        <tr r="AB113" s="89"/>
        <tr r="AQ17" s="2"/>
        <tr r="AQ18" s="2"/>
        <tr r="AQ19" s="2"/>
      </tp>
      <tp t="s">
        <v>#N/A Requesting Data...3375550723</v>
        <stp/>
        <stp>BDP|14342024613619901985</stp>
        <tr r="F32" s="446"/>
      </tp>
      <tp t="s">
        <v>#N/A Requesting Data...4281658913</v>
        <stp/>
        <stp>BDP|13450917922399223467</stp>
        <tr r="G34" s="446"/>
      </tp>
      <tp t="s">
        <v>#N/A Requesting Data...4106926333</v>
        <stp/>
        <stp>BDP|10603598986270914823</stp>
        <tr r="AC25" s="1"/>
      </tp>
      <tp t="s">
        <v>#N/A Requesting Data...3529821405</v>
        <stp/>
        <stp>BDP|12142735374617755031</stp>
        <tr r="AG13" s="1"/>
      </tp>
      <tp t="s">
        <v>#N/A Requesting Data...3857553767</v>
        <stp/>
        <stp>BDP|12129279820182595515</stp>
        <tr r="E112" s="89"/>
      </tp>
      <tp t="s">
        <v>#N/A Requesting Data...4159967349</v>
        <stp/>
        <stp>BDP|16326006333405026555</stp>
        <tr r="T69" s="89"/>
      </tp>
      <tp t="s">
        <v>#N/A Requesting Data...3630685332</v>
        <stp/>
        <stp>BDP|18269255641489268206</stp>
        <tr r="AC32" s="1"/>
      </tp>
      <tp t="s">
        <v>#N/A Requesting Data...3623941589</v>
        <stp/>
        <stp>BDP|15660791077340487089</stp>
        <tr r="E1" s="1"/>
      </tp>
      <tp t="s">
        <v>#N/A Requesting Data...3822448913</v>
        <stp/>
        <stp>BDP|17271244710975447452</stp>
        <tr r="AK9" s="338"/>
      </tp>
      <tp t="s">
        <v>#N/A Requesting Data...3672623377</v>
        <stp/>
        <stp>BDP|11554727543057728040</stp>
        <tr r="Z31" s="89"/>
        <tr r="AA31" s="89"/>
      </tp>
      <tp t="s">
        <v>#N/A Requesting Data...3573909069</v>
        <stp/>
        <stp>BDP|10671335204882257452</stp>
        <tr r="AA16" s="2"/>
      </tp>
      <tp t="s">
        <v>#N/A Requesting Data...3714223146</v>
        <stp/>
        <stp>BDP|14505061934744038618</stp>
        <tr r="AB2" s="1"/>
      </tp>
      <tp t="s">
        <v>#N/A Requesting Data...3458805919</v>
        <stp/>
        <stp>BDP|11370170641465778442</stp>
        <tr r="O85" s="89"/>
      </tp>
    </main>
    <main first="bofaddin.rtdserver">
      <tp>
        <v>265.02</v>
        <stp/>
        <stp>BDP|7062867511992634566|22</stp>
        <stp>IWM EQUITY</stp>
        <stp>LAST_PRICE</stp>
        <tr r="L8" s="1"/>
      </tp>
      <tp>
        <v>33.68</v>
        <stp/>
        <stp>BDP|16778716474861008512|22</stp>
        <stp>ASHR US Equity</stp>
        <stp>LAST_PRICE</stp>
        <tr r="Z4" s="2"/>
      </tp>
      <tp t="s">
        <v>USD</v>
        <stp/>
        <stp>BDP|9273807267583160426|22</stp>
        <stp>GOOG US 02/06/26 P300 Equity</stp>
        <stp>QUOTED_CURRENCY_REALTIME</stp>
        <tr r="G7" s="2"/>
      </tp>
      <tp>
        <v>163500</v>
        <stp/>
        <stp>BDP|2801672589713003233|22</stp>
        <stp>005930 KS Equity</stp>
        <stp>LAST_PRICE</stp>
        <tr r="I29" s="1"/>
      </tp>
      <tp>
        <v>-0.28719198703765869</v>
        <stp/>
        <stp>BDP|9710449431964621858|22</stp>
        <stp>QQQ US 02/20/26 P595 Equity</stp>
        <stp>DELTA_MID_RT</stp>
        <tr r="W43" s="89"/>
      </tp>
      <tp>
        <v>887000</v>
        <stp/>
        <stp>BDP|5584348829070198606|22</stp>
        <stp>000660 KP Equity</stp>
        <stp>LAST_PRICE</stp>
        <tr r="I27" s="1"/>
      </tp>
      <tp>
        <v>208.44</v>
        <stp/>
        <stp>BDP|8139972387614957050|22</stp>
        <stp>AMD EQUITY</stp>
        <stp>LAST_PRICE</stp>
        <tr r="C4" s="1"/>
      </tp>
      <tp>
        <v>-1.8783999606966972E-2</v>
        <stp/>
        <stp>BDP|16828695075002840217|22</stp>
        <stp>INTC US 07/17/26 P40 Equity</stp>
        <stp>theta_mid_rt</stp>
        <tr r="AN19" s="2"/>
      </tp>
      <tp t="s">
        <v>#N/A Real Time</v>
        <stp/>
        <stp>BDP|8671606719947634072|22</stp>
        <stp>4EM5P    6025 Index</stp>
        <stp>DELTA_MID_RT</stp>
        <tr r="W53" s="89"/>
      </tp>
      <tp>
        <v>-4.8600002191960812E-3</v>
        <stp/>
        <stp>BDP|1852356257343713250|22</stp>
        <stp>QQQ US 02/06/26 P600 Equity</stp>
        <stp>DELTA_MID_RT</stp>
        <tr r="W36" s="89"/>
        <tr r="AF22" s="2"/>
      </tp>
      <tp>
        <v>1.9120000069960952E-3</v>
        <stp/>
        <stp>BDP|2686469546627559019|22</stp>
        <stp>QQQ US 02/06/26 C640 Equity</stp>
        <stp>DELTA_MID_RT</stp>
        <tr r="W102" s="89"/>
      </tp>
      <tp t="s">
        <v>#N/A Real Time</v>
        <stp/>
        <stp>BDP|11820070012775282534|22</stp>
        <stp>RTYWU5C3 2500 Index</stp>
        <stp>ask</stp>
        <tr r="L61" s="89"/>
      </tp>
      <tp>
        <v>332.92</v>
        <stp/>
        <stp>BDP|17019897193923426340|22</stp>
        <stp>AVGO US Equity</stp>
        <stp>LAST_PRICE</stp>
        <tr r="S19" s="89"/>
        <tr r="S20" s="89"/>
        <tr r="Z6" s="2"/>
        <tr r="Z5" s="2"/>
      </tp>
      <tp t="s">
        <v>#N/A Real Time</v>
        <stp/>
        <stp>BDP|16831399122066681226|22</stp>
        <stp>RTYWU5C3 2500 Index</stp>
        <stp>bid</stp>
        <tr r="K61" s="89"/>
      </tp>
      <tp>
        <v>401.65</v>
        <stp/>
        <stp>BDP|5033619958928963959|22</stp>
        <stp>SMH EQUITY</stp>
        <stp>LAST_PRICE</stp>
        <tr r="L3" s="1"/>
      </tp>
      <tp>
        <v>-0.11518099904060364</v>
        <stp/>
        <stp>BDP|17204206709522420966|22</stp>
        <stp>AAPL US 04/17/26 C280 Equity</stp>
        <stp>theta_mid_rt</stp>
        <tr r="AN15" s="2"/>
      </tp>
      <tp>
        <v>-2.1649999544024467E-3</v>
        <stp/>
        <stp>BDP|3750972307763569111|22</stp>
        <stp>QQQ US 02/06/26 P585 Equity</stp>
        <stp>DELTA_MID_RT</stp>
        <tr r="W37" s="89"/>
        <tr r="AF23" s="2"/>
      </tp>
      <tp>
        <v>-0.11997099965810776</v>
        <stp/>
        <stp>BDP|12394711501428764022|22</stp>
        <stp>AAPL US 04/17/26 C260 Equity</stp>
        <stp>theta_mid_rt</stp>
        <tr r="AN14" s="2"/>
      </tp>
      <tp t="s">
        <v>#N/A Real Time</v>
        <stp/>
        <stp>BDP|9893971634581157776|22</stp>
        <stp>RTYWU5C3 2425 Index</stp>
        <stp>DELTA_MID_RT</stp>
        <tr r="W60" s="89"/>
      </tp>
      <tp>
        <v>-4.4075999408960342E-2</v>
        <stp/>
        <stp>BDP|14645721859825680070|22</stp>
        <stp>AMZN US 04/17/26 C250 Equity</stp>
        <stp>theta_mid_rt</stp>
        <tr r="AN21" s="2"/>
      </tp>
      <tp t="s">
        <v>USD</v>
        <stp/>
        <stp>BDP|13018755027784620529|22</stp>
        <stp>1OG6C 26000 INDEX</stp>
        <stp>QUOTED_CURRENCY_REALTIME</stp>
        <tr r="G24" s="2"/>
      </tp>
      <tp t="s">
        <v>#N/A Real Time</v>
        <stp/>
        <stp>BDP|2501457664342157633|22</stp>
        <stp>4EM5C    6300 Index</stp>
        <stp>DELTA_MID_RT</stp>
        <tr r="W52" s="89"/>
      </tp>
      <tp t="s">
        <v>USD</v>
        <stp/>
        <stp>BDP|7838754586750848048|22</stp>
        <stp>MSFT US 02/20/26 P355 Equity</stp>
        <stp>QUOTED_CURRENCY_REALTIME</stp>
        <tr r="F31" s="89"/>
      </tp>
      <tp>
        <v>25044.25</v>
        <stp/>
        <stp>BDP|15621475834069929149|22</stp>
        <stp>NQA INDEX</stp>
        <stp>LAST_PRICE</stp>
        <tr r="I17" s="1"/>
      </tp>
      <tp>
        <v>348.85</v>
        <stp/>
        <stp>BDP|5454315708850008901|22</stp>
        <stp>TSM EQUITY</stp>
        <stp>LAST_PRICE</stp>
        <tr r="C3" s="1"/>
      </tp>
      <tp>
        <v>-0.9281659722328186</v>
        <stp/>
        <stp>BDP|4097278365440757822|22</stp>
        <stp>QQQ US 02/06/26 P624 Equity</stp>
        <stp>DELTA_MID_RT</stp>
        <tr r="W104" s="89"/>
      </tp>
      <tp t="s">
        <v>USD</v>
        <stp/>
        <stp>BDP|2430132797707671505|22</stp>
        <stp>NVDA US 05/15/26 C200 Equity</stp>
        <stp>QUOTED_CURRENCY_REALTIME</stp>
        <tr r="G8" s="2"/>
      </tp>
      <tp t="s">
        <v>#N/A Real Time</v>
        <stp/>
        <stp>BDP|5618054662935339575|22</stp>
        <stp>4EM5P    5800 Index</stp>
        <stp>DELTA_MID_RT</stp>
        <tr r="W54" s="89"/>
      </tp>
      <tp t="s">
        <v>#N/A Real Time</v>
        <stp/>
        <stp>BDP|3644211716247599726|22</stp>
        <stp>RTYWU5C3 2500 Index</stp>
        <stp>DELTA_MID_RT</stp>
        <tr r="W61" s="89"/>
      </tp>
      <tp t="s">
        <v>USD</v>
        <stp/>
        <stp>BDP|7501026932121023555|22</stp>
        <stp>AVGO US 02/13/26 C330 Equity</stp>
        <stp>QUOTED_CURRENCY_REALTIME</stp>
        <tr r="F20" s="89"/>
        <tr r="G6" s="2"/>
      </tp>
      <tp t="s">
        <v>USD</v>
        <stp/>
        <stp>BDP|12401159505908896742|22</stp>
        <stp>MELI US 02/20/26 C2150 Equity</stp>
        <stp>QUOTED_CURRENCY_REALTIME</stp>
        <tr r="G16" s="2"/>
      </tp>
      <tp>
        <v>282.58</v>
        <stp/>
        <stp>BDP|4895281984520079725|22</stp>
        <stp>WDC EQUITY</stp>
        <stp>LAST_PRICE</stp>
        <tr r="H7" s="1"/>
      </tp>
      <tp>
        <v>-3.0501000583171844E-2</v>
        <stp/>
        <stp>BDP|11687415304317098980|22</stp>
        <stp>NFLX US 05/15/26 C90 Equity</stp>
        <stp>theta_mid_rt</stp>
        <tr r="AN9" s="2"/>
      </tp>
      <tp t="s">
        <v>#N/A Real Time</v>
        <stp/>
        <stp>BDP|14239316141835558447|22</stp>
        <stp>4EM5P    6025 Index</stp>
        <stp>QUOTED_CURRENCY_REALTIME</stp>
        <tr r="F53" s="89"/>
      </tp>
      <tp t="s">
        <v>USD</v>
        <stp/>
        <stp>BDP|7738847520517229982|22</stp>
        <stp>META US 07/17/26 C670 Equity</stp>
        <stp>QUOTED_CURRENCY_REALTIME</stp>
        <tr r="F86" s="89"/>
      </tp>
      <tp t="s">
        <v>USD</v>
        <stp/>
        <stp>BDP|5183346410322862647|22</stp>
        <stp>AAPL US 04/17/26 C260 Equity</stp>
        <stp>QUOTED_CURRENCY_REALTIME</stp>
        <tr r="G14" s="2"/>
      </tp>
      <tp t="s">
        <v>USD</v>
        <stp/>
        <stp>BDP|5793744081546209980|22</stp>
        <stp>META US 04/17/26 C690 Equity</stp>
        <stp>QUOTED_CURRENCY_REALTIME</stp>
        <tr r="F85" s="89"/>
      </tp>
      <tp t="s">
        <v>#N/A Invalid Security</v>
        <stp/>
        <stp>BDP|4149584775528543730|22</stp>
        <stp xml:space="preserve"> Equity</stp>
        <stp>ask</stp>
        <tr r="Q2" s="2"/>
        <tr r="L94" s="89"/>
        <tr r="L95" s="89"/>
      </tp>
      <tp>
        <v>394.69</v>
        <stp/>
        <stp>BDP|12429311880057526361|22</stp>
        <stp>MU EQUITY</stp>
        <stp>LAST_PRICE</stp>
        <tr r="H2" s="1"/>
      </tp>
      <tp t="s">
        <v>#N/A N/A</v>
        <stp/>
        <stp>BDP|17840716301324364331|22</stp>
        <stp>1OG6C 25550 INDEX</stp>
        <stp>ask</stp>
        <tr r="Q25" s="2"/>
      </tp>
      <tp t="s">
        <v>USD</v>
        <stp/>
        <stp>BDP|16838689156039068432|22</stp>
        <stp>QQQ US 02/06/26 P600 Equity</stp>
        <stp>QUOTED_CURRENCY_REALTIME</stp>
        <tr r="F36" s="89"/>
        <tr r="G22" s="2"/>
      </tp>
      <tp t="s">
        <v>USD</v>
        <stp/>
        <stp>BDP|9373829889527232263|22</stp>
        <stp>META US 07/17/26 C750 Equity</stp>
        <stp>QUOTED_CURRENCY_REALTIME</stp>
        <tr r="G11" s="2"/>
        <tr r="F13" s="89"/>
      </tp>
      <tp t="s">
        <v>USD</v>
        <stp/>
        <stp>BDP|3020421564486355027|22</stp>
        <stp>AMZN US 04/17/26 C250 Equity</stp>
        <stp>QUOTED_CURRENCY_REALTIME</stp>
        <tr r="F8" s="89"/>
        <tr r="G21" s="2"/>
      </tp>
      <tp t="s">
        <v>#N/A Real Time</v>
        <stp/>
        <stp>BDP|14971432828971535518|22</stp>
        <stp>RTYWU5C3 2500 Index</stp>
        <stp>QUOTED_CURRENCY_REALTIME</stp>
        <tr r="F61" s="89"/>
      </tp>
      <tp>
        <v>-2.6567000895738602E-2</v>
        <stp/>
        <stp>BDP|18355121389053073684|22</stp>
        <stp>INTC US 07/17/26 C60 Equity</stp>
        <stp>theta_mid_rt</stp>
        <tr r="AN17" s="2"/>
      </tp>
      <tp>
        <v>50.59</v>
        <stp/>
        <stp>BDP|15280641543212915371|22</stp>
        <stp>INTC US Equity</stp>
        <stp>LAST_PRICE</stp>
        <tr r="Z17" s="2"/>
        <tr r="Z18" s="2"/>
        <tr r="Z19" s="2"/>
        <tr r="S111" s="89"/>
        <tr r="S112" s="89"/>
        <tr r="S113" s="89"/>
      </tp>
      <tp>
        <v>-6.586100161075592E-2</v>
        <stp/>
        <stp>BDP|16456111785153391042|22</stp>
        <stp>MRVL US 03/20/26 P70 Equity</stp>
        <stp>theta_mid_rt</stp>
        <tr r="AN12" s="2"/>
      </tp>
      <tp t="s">
        <v>USD</v>
        <stp/>
        <stp>BDP|15790829845725470611|22</stp>
        <stp>QQQ US 02/06/26 C634 Equity</stp>
        <stp>QUOTED_CURRENCY_REALTIME</stp>
        <tr r="F103" s="89"/>
      </tp>
      <tp>
        <v>210.32</v>
        <stp/>
        <stp>BDP|11431942920512482031|22</stp>
        <stp>AMZN US Equity</stp>
        <stp>LAST_PRICE</stp>
        <tr r="S7" s="89"/>
        <tr r="S8" s="89"/>
        <tr r="Z20" s="2"/>
        <tr r="Z21" s="2"/>
      </tp>
      <tp>
        <v>100.74</v>
        <stp/>
        <stp>BDP|5743631822536954954|22</stp>
        <stp>NOW EQUITY</stp>
        <stp>LAST_PRICE</stp>
        <tr r="H10" s="1"/>
      </tp>
      <tp t="s">
        <v>USD</v>
        <stp/>
        <stp>BDP|10728113071094525536|22</stp>
        <stp>QQQ US 02/20/26 P595 Equity</stp>
        <stp>QUOTED_CURRENCY_REALTIME</stp>
        <tr r="F43" s="89"/>
      </tp>
      <tp>
        <v>609.65</v>
        <stp/>
        <stp>BDP|360499996244621952|22</stp>
        <stp>QQQ US Equity</stp>
        <stp>LAST_PRICE</stp>
        <tr r="S37" s="89"/>
        <tr r="S43" s="89"/>
        <tr r="S102" s="89"/>
        <tr r="S103" s="89"/>
        <tr r="S104" s="89"/>
        <tr r="S36" s="89"/>
        <tr r="S44" s="89"/>
        <tr r="Z22" s="2"/>
        <tr r="Z23" s="2"/>
      </tp>
      <tp>
        <v>661.46</v>
        <stp/>
        <stp>BDP|12884552599081678750|22</stp>
        <stp>META US Equity</stp>
        <stp>LAST_PRICE</stp>
        <tr r="Z11" s="2"/>
        <tr r="S14" s="89"/>
        <tr r="S85" s="89"/>
        <tr r="S86" s="89"/>
        <tr r="S96" s="89"/>
        <tr r="S13" s="89"/>
        <tr r="S87" s="89"/>
      </tp>
      <tp>
        <v>-2.542399987578392E-2</v>
        <stp/>
        <stp>BDP|17856461713270669920|22</stp>
        <stp>INTC US 07/17/26 C50 Equity</stp>
        <stp>theta_mid_rt</stp>
        <tr r="AN18" s="2"/>
      </tp>
      <tp>
        <v>-3.9269000291824341E-2</v>
        <stp/>
        <stp>BDP|10014400757682207201|22</stp>
        <stp>MRVL US 03/20/26 P60 Equity</stp>
        <stp>theta_mid_rt</stp>
        <tr r="AN13" s="2"/>
      </tp>
      <tp t="s">
        <v>#N/A N/A</v>
        <stp/>
        <stp>BDP|16772891587225832569|22</stp>
        <stp>1OG6C 26000 INDEX</stp>
        <stp>ask</stp>
        <tr r="Q24" s="2"/>
      </tp>
      <tp t="s">
        <v>USD</v>
        <stp/>
        <stp>BDP|11171006643610213747|22</stp>
        <stp>QQQ US 02/20/26 P580 Equity</stp>
        <stp>QUOTED_CURRENCY_REALTIME</stp>
        <tr r="F44" s="89"/>
      </tp>
      <tp>
        <v>82.46</v>
        <stp/>
        <stp>BDP|2213699979188169021|22</stp>
        <stp>IGV EQUITY</stp>
        <stp>LAST_PRICE</stp>
        <tr r="L2" s="1"/>
      </tp>
      <tp t="s">
        <v>#N/A N/A</v>
        <stp/>
        <stp>BDP|16617642049071100779|22</stp>
        <stp>GOOG US 02/06/26 P300 Equity</stp>
        <stp>theta_mid_rt</stp>
        <tr r="AN7" s="2"/>
      </tp>
      <tp>
        <v>84.82</v>
        <stp/>
        <stp>BDP|224343272968290990|22</stp>
        <stp>CSCO Equity</stp>
        <stp>LAST_PRICE</stp>
        <tr r="I33" s="1"/>
      </tp>
      <tp t="s">
        <v>USD</v>
        <stp/>
        <stp>BDP|11467795818627236233|22</stp>
        <stp>QQQ US 02/06/26 C640 Equity</stp>
        <stp>QUOTED_CURRENCY_REALTIME</stp>
        <tr r="F102" s="89"/>
      </tp>
      <tp t="s">
        <v>USD</v>
        <stp/>
        <stp>BDP|8551146402332547609|22</stp>
        <stp>META US 07/17/26 C700 Equity</stp>
        <stp>QUOTED_CURRENCY_REALTIME</stp>
        <tr r="F14" s="89"/>
        <tr r="F87" s="89"/>
      </tp>
      <tp t="s">
        <v>#N/A N/A</v>
        <stp/>
        <stp>BDP|14746072603058243579|22</stp>
        <stp>1OG6C 26000 INDEX</stp>
        <stp>bid</stp>
        <tr r="P24" s="2"/>
      </tp>
      <tp>
        <v>-0.68846297264099121</v>
        <stp/>
        <stp>BDP|17419465540794523313|22</stp>
        <stp>AVGO US 02/13/26 C330 Equity</stp>
        <stp>theta_mid_rt</stp>
        <tr r="AN6" s="2"/>
      </tp>
      <tp t="s">
        <v>#N/A Invalid Security</v>
        <stp/>
        <stp>BDP|7846864529941089881|22</stp>
        <stp xml:space="preserve"> Equity</stp>
        <stp>mid</stp>
        <tr r="L2" s="2"/>
      </tp>
      <tp>
        <v>609.65</v>
        <stp/>
        <stp>BDP|2689810960265066336|22</stp>
        <stp>QQQ EQUITY</stp>
        <stp>LAST_PRICE</stp>
        <tr r="L6" s="1"/>
      </tp>
      <tp>
        <v>-8.5083998739719391E-2</v>
        <stp/>
        <stp>BDP|11554504603472673655|22</stp>
        <stp>NVDA US 05/15/26 C200 Equity</stp>
        <stp>theta_mid_rt</stp>
        <tr r="AN8" s="2"/>
      </tp>
      <tp t="s">
        <v>#N/A N/A</v>
        <stp/>
        <stp>BDH|1872602488313947038</stp>
        <tr r="AP12" s="338"/>
      </tp>
      <tp t="s">
        <v>#N/A Requesting Data...4039213475</v>
        <stp/>
        <stp>BDP|3970119255888163378</stp>
        <tr r="L11" s="338"/>
        <tr r="H11" s="338"/>
      </tp>
      <tp t="s">
        <v>#N/A Requesting Data...4222346866</v>
        <stp/>
        <stp>BDP|1780817128230709721</stp>
        <tr r="AC36" s="1"/>
      </tp>
      <tp t="s">
        <v>#N/A Requesting Data...3778695898</v>
        <stp/>
        <stp>BDP|6875767680954769102</stp>
        <tr r="AR5" s="2"/>
      </tp>
      <tp t="s">
        <v>#N/A Requesting Data...3739605646</v>
        <stp/>
        <stp>BDP|7500005297250850236</stp>
        <tr r="N1" s="1"/>
      </tp>
      <tp t="s">
        <v>#N/A Requesting Data...3614110565</v>
        <stp/>
        <stp>BDP|7828562231434179977</stp>
        <tr r="G30" s="446"/>
      </tp>
      <tp t="s">
        <v>#N/A Requesting Data...3719376824</v>
        <stp/>
        <stp>BDP|4963441776899217208</stp>
        <tr r="AG23" s="1"/>
      </tp>
      <tp t="s">
        <v>#N/A Requesting Data...3740082805</v>
        <stp/>
        <stp>BDP|8367283627072476679</stp>
        <tr r="AC34" s="1"/>
      </tp>
      <tp t="s">
        <v>#N/A Requesting Data...3430308155</v>
        <stp/>
        <stp>BDP|4596394917382492801</stp>
        <tr r="AF10" s="1"/>
      </tp>
      <tp t="s">
        <v>#N/A Requesting Data...3550979506</v>
        <stp/>
        <stp>BDP|8267476373493896423</stp>
        <tr r="N2" s="1"/>
      </tp>
      <tp t="s">
        <v>#N/A Requesting Data...4191934861</v>
        <stp/>
        <stp>BDP|4738998939235389797</stp>
        <tr r="F8" s="446"/>
      </tp>
      <tp t="s">
        <v>#N/A Requesting Data...3935310134</v>
        <stp/>
        <stp>BDP|5580113800851198970</stp>
        <tr r="J3" s="1"/>
      </tp>
      <tp t="s">
        <v>#N/A Requesting Data...4173806826</v>
        <stp/>
        <stp>BDP|5357847351561143559</stp>
        <tr r="AG22" s="1"/>
      </tp>
      <tp t="s">
        <v>#N/A N/A</v>
        <stp/>
        <stp>BDP|2282995976142786289</stp>
        <tr r="R19" s="89"/>
        <tr r="R20" s="89"/>
        <tr r="AV5" s="2"/>
        <tr r="AV6" s="2"/>
      </tp>
      <tp t="s">
        <v>#N/A Requesting Data...3640374130</v>
        <stp/>
        <stp>BDP|8370148836023021531</stp>
        <tr r="AF38" s="1"/>
      </tp>
      <tp t="s">
        <v>#N/A Requesting Data...4252813131</v>
        <stp/>
        <stp>BDP|1367410484473609226</stp>
        <tr r="AK8" s="338"/>
        <tr r="AI8" s="338"/>
      </tp>
      <tp t="s">
        <v>#N/A N/A</v>
        <stp/>
        <stp>BDH|9493775905956696424</stp>
        <tr r="AN11" s="338"/>
      </tp>
      <tp t="s">
        <v>#N/A Requesting Data...3531099313</v>
        <stp/>
        <stp>BDP|6304588193007204199</stp>
        <tr r="K24" s="2"/>
      </tp>
      <tp t="s">
        <v>#N/A Requesting Data...3802675484</v>
        <stp/>
        <stp>BDP|7995642520067911849</stp>
        <tr r="C30" s="89"/>
      </tp>
      <tp t="s">
        <v>#N/A Requesting Data...4288908468</v>
        <stp/>
        <stp>BDP|2737330982055463026</stp>
        <tr r="AG38" s="1"/>
      </tp>
      <tp t="s">
        <v>#N/A Requesting Data...3686464772</v>
        <stp/>
        <stp>BDP|3098041072779459130</stp>
        <tr r="E85" s="89"/>
      </tp>
      <tp t="s">
        <v>#N/A Requesting Data...4259099440</v>
        <stp/>
        <stp>BDP|4670123577217166936</stp>
        <tr r="C13" s="89"/>
        <tr r="D11" s="2"/>
      </tp>
      <tp t="s">
        <v>#N/A Requesting Data...3509371494</v>
        <stp/>
        <stp>BDP|5489377534060375922</stp>
        <tr r="T61" s="89"/>
      </tp>
      <tp t="s">
        <v>#N/A Requesting Data...3437467495</v>
        <stp/>
        <stp>BDP|3262255082576563363</stp>
        <tr r="AD9" s="2"/>
      </tp>
      <tp t="s">
        <v>#N/A Requesting Data...3802359939</v>
        <stp/>
        <stp>BDP|9515949913399601436</stp>
        <tr r="G25" s="446"/>
      </tp>
      <tp t="s">
        <v>#N/A Requesting Data...3608448094</v>
        <stp/>
        <stp>BDP|8438357318146538099</stp>
        <tr r="AA10" s="2"/>
      </tp>
      <tp>
        <v>0.37773001194000244</v>
        <stp/>
        <stp>BDP|1548409391739816515|22</stp>
        <stp>NFLX US 05/15/26 C90 Equity</stp>
        <stp>DELTA_MID_RT</stp>
        <tr r="AF9" s="2"/>
      </tp>
      <tp t="s">
        <v>#N/A Requesting Data...4170752856</v>
        <stp/>
        <stp>BDP|6204028408889825288</stp>
        <tr r="T7" s="2"/>
      </tp>
      <tp t="s">
        <v>#N/A Requesting Data...3594613424</v>
        <stp/>
        <stp>BDP|3337761684491833019</stp>
        <tr r="F44" s="446"/>
      </tp>
      <tp t="s">
        <v>#N/A Requesting Data...3823673562</v>
        <stp/>
        <stp>BDP|4245700180187394193</stp>
        <tr r="E60" s="89"/>
      </tp>
      <tp t="s">
        <v>#N/A Requesting Data...3951770688</v>
        <stp/>
        <stp>BDP|9699474378527567053</stp>
        <tr r="AC31" s="1"/>
      </tp>
      <tp t="s">
        <v>#N/A Requesting Data...3526720058</v>
        <stp/>
        <stp>BDP|4285935136463896062</stp>
        <tr r="O8" s="89"/>
        <tr r="T21" s="2"/>
      </tp>
      <tp t="s">
        <v>#N/A Requesting Data...3703218684</v>
        <stp/>
        <stp>BDP|7819915198188826275</stp>
        <tr r="C19" s="89"/>
      </tp>
      <tp t="s">
        <v>#N/A Requesting Data...4027279879</v>
        <stp/>
        <stp>BDP|6354811170286959255</stp>
        <tr r="AB23" s="1"/>
      </tp>
      <tp t="s">
        <v>#N/A Requesting Data...3756047119</v>
        <stp/>
        <stp>BDP|4958570254160242959</stp>
        <tr r="T9" s="338"/>
      </tp>
      <tp t="s">
        <v>#N/A Requesting Data...4068101367</v>
        <stp/>
        <stp>BDP|2733438992871373383</stp>
        <tr r="AA7" s="89"/>
        <tr r="Z7" s="89"/>
      </tp>
      <tp t="s">
        <v>#N/A Requesting Data...4225598218</v>
        <stp/>
        <stp>BDP|8546570959465252042</stp>
        <tr r="D14" s="89"/>
      </tp>
      <tp t="s">
        <v>#N/A Requesting Data...3957759633</v>
        <stp/>
        <stp>BDP|8822702176695077037</stp>
        <tr r="AG30" s="1"/>
      </tp>
      <tp t="s">
        <v>#N/A Requesting Data...3607946308</v>
        <stp/>
        <stp>BDP|7223883239641187000</stp>
        <tr r="G16" s="446"/>
      </tp>
      <tp t="s">
        <v>#N/A Requesting Data...3868529131</v>
        <stp/>
        <stp>BDP|5114854945934215018</stp>
        <tr r="V85" s="89"/>
      </tp>
      <tp t="s">
        <v>#N/A Requesting Data...3653023686</v>
        <stp/>
        <stp>BDP|1598659997744367766</stp>
        <tr r="E104" s="89"/>
      </tp>
      <tp t="s">
        <v>#N/A Requesting Data...3488224222</v>
        <stp/>
        <stp>BDP|6959399984186721602</stp>
        <tr r="AB15" s="1"/>
      </tp>
      <tp t="s">
        <v>#N/A Requesting Data...3703601449</v>
        <stp/>
        <stp>BDP|8023230975554206472</stp>
        <tr r="U9" s="338"/>
      </tp>
      <tp t="s">
        <v>#N/A Requesting Data...3453117131</v>
        <stp/>
        <stp>BDP|2832828567039648888</stp>
        <tr r="D4" s="2"/>
      </tp>
      <tp t="s">
        <v>#N/A Requesting Data...3546822560</v>
        <stp/>
        <stp>BDP|1449141764908407306</stp>
        <tr r="F11" s="446"/>
      </tp>
      <tp t="s">
        <v>#N/A N/A</v>
        <stp/>
        <stp>BDP|8840098927283470439</stp>
        <tr r="AB69" s="89"/>
      </tp>
      <tp t="s">
        <v>#N/A Requesting Data...4236930728</v>
        <stp/>
        <stp>BDP|5324934671485943394</stp>
        <tr r="T7" s="89"/>
        <tr r="AA20" s="2"/>
      </tp>
      <tp t="s">
        <v>#N/A Requesting Data...4020062162</v>
        <stp/>
        <stp>BDP|7951947862590616582</stp>
        <tr r="AF35" s="1"/>
        <tr r="AF10" s="338"/>
      </tp>
      <tp t="s">
        <v>#N/A Requesting Data...4182732887</v>
        <stp/>
        <stp>BDP|9891481019803044282</stp>
        <tr r="G23" s="446"/>
      </tp>
      <tp t="s">
        <v>#N/A Requesting Data...4237209866</v>
        <stp/>
        <stp>BDP|4140538680732569611</stp>
        <tr r="V86" s="89"/>
      </tp>
      <tp t="s">
        <v>#N/A Requesting Data...3595749475</v>
        <stp/>
        <stp>BDP|4483024190569292927</stp>
        <tr r="O36" s="89"/>
        <tr r="T22" s="2"/>
      </tp>
      <tp t="s">
        <v>#N/A Requesting Data...3505769080</v>
        <stp/>
        <stp>BDP|8556001965966004541</stp>
        <tr r="V7" s="89"/>
        <tr r="AD20" s="2"/>
      </tp>
      <tp t="s">
        <v>#N/A Requesting Data...4005155572</v>
        <stp/>
        <stp>BDP|7612533417436704812</stp>
        <tr r="AJ10" s="338"/>
      </tp>
      <tp t="s">
        <v>#N/A Requesting Data...3922858101</v>
        <stp/>
        <stp>BDP|9574059420494792234</stp>
        <tr r="L9" s="338"/>
        <tr r="J9" s="338"/>
      </tp>
      <tp t="s">
        <v>#N/A Requesting Data...3785806221</v>
        <stp/>
        <stp>BDP|3007975292676340821</stp>
        <tr r="G24" s="446"/>
      </tp>
      <tp>
        <v>1.89</v>
        <stp/>
        <stp>BDP|18070775841882378335|22</stp>
        <stp>MSFT US 02/20/26 P375 Equity</stp>
        <stp>ask</stp>
        <tr r="L30" s="89"/>
      </tp>
      <tp>
        <v>1.72</v>
        <stp/>
        <stp>BDP|15617213628792595523|22</stp>
        <stp>AMZN US 04/17/26 C250 Equity</stp>
        <stp>bid</stp>
        <tr r="K8" s="89"/>
        <tr r="P21" s="2"/>
      </tp>
      <tp>
        <v>41.3</v>
        <stp/>
        <stp>BDP|10089550128122679017|22</stp>
        <stp>TSM US 06/18/26 C340 Equity</stp>
        <stp>ask</stp>
        <tr r="Q27" s="2"/>
      </tp>
      <tp>
        <v>12.5</v>
        <stp/>
        <stp>BDP|15067057014722889479|22</stp>
        <stp>MELI US 02/20/26 C2150 Equity</stp>
        <stp>mid</stp>
        <tr r="L16" s="2"/>
      </tp>
      <tp>
        <v>0.01</v>
        <stp/>
        <stp>BDP|15647805313047322533|22</stp>
        <stp>QQQ US 02/06/26 C634 Equity</stp>
        <stp>ask</stp>
        <tr r="L103" s="89"/>
      </tp>
      <tp>
        <v>-0.23060999810695648</v>
        <stp/>
        <stp>BDP|3431413272118379814|22</stp>
        <stp>MRVL US 03/20/26 P70 Equity</stp>
        <stp>DELTA_MID_RT</stp>
        <tr r="AF12" s="2"/>
      </tp>
      <tp>
        <v>20</v>
        <stp/>
        <stp>BDP|12458786615321879337|22</stp>
        <stp>MELI US 02/20/26 C2150 Equity</stp>
        <stp>ask</stp>
        <tr r="Q16" s="2"/>
      </tp>
      <tp t="s">
        <v>#N/A Requesting Data...3614697395</v>
        <stp/>
        <stp>BDP|5266989866390412427</stp>
        <tr r="D38" s="446"/>
      </tp>
      <tp t="s">
        <v>#N/A Requesting Data...4127189964</v>
        <stp/>
        <stp>BDP|1529618684855229495</stp>
        <tr r="E113" s="89"/>
      </tp>
      <tp t="s">
        <v>#N/A Requesting Data...4269327652</v>
        <stp/>
        <stp>BDP|8452001835880289581</stp>
        <tr r="AB33" s="1"/>
      </tp>
      <tp t="s">
        <v>#N/A Requesting Data...3646918701</v>
        <stp/>
        <stp>BDP|6865956502756622717</stp>
        <tr r="AH12" s="338"/>
        <tr r="AJ12" s="338"/>
      </tp>
      <tp t="s">
        <v>#N/A Requesting Data...4094160939</v>
        <stp/>
        <stp>BDP|2379295593121097618</stp>
        <tr r="D44" s="446"/>
      </tp>
      <tp t="s">
        <v>#N/A Requesting Data...3720464500</v>
        <stp/>
        <stp>BDP|8800614714481507068</stp>
        <tr r="V113" s="89"/>
        <tr r="AD19" s="2"/>
      </tp>
      <tp t="s">
        <v>#N/A Requesting Data...3520765991</v>
        <stp/>
        <stp>BDP|8758571697009183387</stp>
        <tr r="D36" s="89"/>
      </tp>
      <tp t="s">
        <v>#N/A Requesting Data...3820907467</v>
        <stp/>
        <stp>BDP|2963417087789627971</stp>
        <tr r="O44" s="89"/>
      </tp>
      <tp t="s">
        <v>#N/A Requesting Data...4050475498</v>
        <stp/>
        <stp>BDP|4921802853610075745</stp>
        <tr r="E23" s="2"/>
      </tp>
      <tp t="s">
        <v>#N/A N/A</v>
        <stp/>
        <stp>BDH|2391938968983189064</stp>
        <tr r="AM8" s="338"/>
      </tp>
      <tp t="s">
        <v>#N/A N/A</v>
        <stp/>
        <stp>BDP|8927803377951233812</stp>
        <tr r="AB76" s="89"/>
      </tp>
      <tp t="s">
        <v>#N/A Requesting Data...4286063611</v>
        <stp/>
        <stp>BDP|9705465375891920507</stp>
        <tr r="E30" s="89"/>
      </tp>
      <tp t="s">
        <v>#N/A Requesting Data...4222123321</v>
        <stp/>
        <stp>BDP|3634566470506988994</stp>
        <tr r="E10" s="2"/>
      </tp>
      <tp t="s">
        <v>#N/A Requesting Data...3506836004</v>
        <stp/>
        <stp>BDP|2373282825879707587</stp>
        <tr r="O31" s="89"/>
      </tp>
      <tp t="s">
        <v>#N/A Requesting Data...3813296000</v>
        <stp/>
        <stp>BDP|2292616657717420814</stp>
        <tr r="AF8" s="338"/>
      </tp>
      <tp t="s">
        <v>#N/A Requesting Data...4059921726</v>
        <stp/>
        <stp>BDP|1704402293557704529</stp>
        <tr r="N7" s="1"/>
      </tp>
      <tp t="s">
        <v>#N/A Requesting Data...4177803334</v>
        <stp/>
        <stp>BDP|9537171844222621012</stp>
        <tr r="V37" s="89"/>
        <tr r="AD23" s="2"/>
      </tp>
      <tp t="s">
        <v>#N/A Requesting Data...3812297399</v>
        <stp/>
        <stp>BDP|5193721434947414826</stp>
        <tr r="E6" s="2"/>
      </tp>
      <tp t="s">
        <v>#N/A Requesting Data...3967718659</v>
        <stp/>
        <stp>BDP|5623416671028593055</stp>
        <tr r="AI9" s="338"/>
        <tr r="AK9" s="338"/>
      </tp>
      <tp t="s">
        <v>#N/A Requesting Data...3504870783</v>
        <stp/>
        <stp>BDP|2644203280360986688</stp>
        <tr r="F35" s="446"/>
        <tr r="AB35" s="1"/>
      </tp>
      <tp>
        <v>17.72</v>
        <stp/>
        <stp>BDP|1056906607050736285|22</stp>
        <stp>CPNG Equity</stp>
        <stp>LAST PRICE</stp>
        <tr r="L7" s="446"/>
      </tp>
      <tp>
        <v>348.85</v>
        <stp/>
        <stp>BDP|10734773146792366841|22</stp>
        <stp>TSM US Equity</stp>
        <stp>LAST_PRICE</stp>
        <tr r="Z27" s="2"/>
        <tr r="Z28" s="2"/>
      </tp>
      <tp t="s">
        <v>#N/A Requesting Data...4242502524</v>
        <stp/>
        <stp>BDP|3786323124408946521</stp>
        <tr r="D45" s="446"/>
      </tp>
      <tp t="s">
        <v>#N/A Requesting Data...3644654684</v>
        <stp/>
        <stp>BDP|9444713149694755115</stp>
        <tr r="D19" s="89"/>
      </tp>
      <tp t="s">
        <v>#N/A Requesting Data...4093593345</v>
        <stp/>
        <stp>BDP|6216675641052897975</stp>
        <tr r="F24" s="2"/>
      </tp>
      <tp t="s">
        <v>#N/A Requesting Data...3912397278</v>
        <stp/>
        <stp>BDP|2806504826139638334</stp>
        <tr r="AG35" s="1"/>
      </tp>
      <tp t="s">
        <v>#N/A Requesting Data...3561729519</v>
        <stp/>
        <stp>BDP|4784976331940308190</stp>
        <tr r="AA60" s="89"/>
        <tr r="Z60" s="89"/>
      </tp>
      <tp t="s">
        <v>#N/A Requesting Data...3758610980</v>
        <stp/>
        <stp>BDP|9710382212763767725</stp>
        <tr r="E25" s="2"/>
      </tp>
      <tp t="s">
        <v>#N/A Requesting Data...3529350332</v>
        <stp/>
        <stp>BDP|8119275495638947437</stp>
        <tr r="AI39" s="1"/>
      </tp>
      <tp t="s">
        <v>#N/A Requesting Data...4038544542</v>
        <stp/>
        <stp>BDP|2842170687233636700</stp>
        <tr r="AH10" s="338"/>
      </tp>
      <tp t="s">
        <v>#N/A Requesting Data...4005921796</v>
        <stp/>
        <stp>BDP|4869589199183306457</stp>
        <tr r="K14" s="1"/>
      </tp>
      <tp t="s">
        <v>#N/A Requesting Data...3672812697</v>
        <stp/>
        <stp>BDP|6268649388386345129</stp>
        <tr r="D60" s="89"/>
      </tp>
      <tp t="s">
        <v>#N/A Requesting Data...4272753710</v>
        <stp/>
        <stp>BDP|7576730522755872830</stp>
        <tr r="F38" s="446"/>
      </tp>
      <tp t="s">
        <v>#N/A Requesting Data...4059227314</v>
        <stp/>
        <stp>BDP|8511822399922251439</stp>
        <tr r="AA26" s="2"/>
      </tp>
      <tp t="s">
        <v>#N/A Requesting Data...3804558934</v>
        <stp/>
        <stp>BDP|4511290661908043710</stp>
        <tr r="AB29" s="1"/>
      </tp>
      <tp t="s">
        <v>#N/A Requesting Data...3619874532</v>
        <stp/>
        <stp>BDP|3243919885914808926</stp>
        <tr r="AB14" s="1"/>
      </tp>
      <tp t="s">
        <v>#N/A Requesting Data...4120353718</v>
        <stp/>
        <stp>BDP|9539667201337640785</stp>
        <tr r="U12" s="338"/>
      </tp>
      <tp t="s">
        <v>#N/A Requesting Data...3998167560</v>
        <stp/>
        <stp>BDP|7446900777882759491</stp>
        <tr r="AF18" s="1"/>
        <tr r="AG9" s="338"/>
      </tp>
      <tp t="s">
        <v>#N/A Requesting Data...3855076934</v>
        <stp/>
        <stp>BDP|8782158116286979106</stp>
        <tr r="AG44" s="1"/>
      </tp>
      <tp t="s">
        <v>#N/A Requesting Data...4123137352</v>
        <stp/>
        <stp>BDP|8082808686523364478</stp>
        <tr r="Z36" s="89"/>
        <tr r="AA36" s="89"/>
      </tp>
      <tp t="s">
        <v>#N/A Requesting Data...4107181375</v>
        <stp/>
        <stp>BDP|8622760163721094706</stp>
        <tr r="Z94" s="89"/>
        <tr r="Z95" s="89"/>
        <tr r="AA94" s="89"/>
        <tr r="AA95" s="89"/>
      </tp>
      <tp t="s">
        <v>#N/A Requesting Data...3510716295</v>
        <stp/>
        <stp>BDP|6981952152763597689</stp>
        <tr r="C9" s="2"/>
      </tp>
      <tp t="s">
        <v>#N/A Requesting Data...3792997716</v>
        <stp/>
        <stp>BDP|9767673655222751723</stp>
        <tr r="C31" s="89"/>
      </tp>
      <tp t="s">
        <v>#N/A Requesting Data...3703843395</v>
        <stp/>
        <stp>BDP|5576438787561382724</stp>
        <tr r="AJ9" s="338"/>
      </tp>
      <tp t="s">
        <v>#N/A Requesting Data...4280644322</v>
        <stp/>
        <stp>BDP|1371944730256623208</stp>
        <tr r="T53" s="89"/>
      </tp>
      <tp t="s">
        <v>#N/A Requesting Data...3989555634</v>
        <stp/>
        <stp>BDP|2475069015355307957</stp>
        <tr r="V94" s="89"/>
        <tr r="V95" s="89"/>
      </tp>
      <tp t="s">
        <v>#N/A Requesting Data...3908460078</v>
        <stp/>
        <stp>BDP|4400740005314471809</stp>
        <tr r="AD7" s="2"/>
      </tp>
      <tp t="s">
        <v>#N/A Requesting Data...3999442250</v>
        <stp/>
        <stp>BDP|9274343827420648768</stp>
        <tr r="G10" s="446"/>
      </tp>
      <tp t="s">
        <v>#N/A Requesting Data...3760916115</v>
        <stp/>
        <stp>BDP|1937197186723171466</stp>
        <tr r="F27" s="2"/>
      </tp>
      <tp t="s">
        <v>#N/A Requesting Data...4262690761</v>
        <stp/>
        <stp>BDP|7385638697900780713</stp>
        <tr r="AB32" s="1"/>
      </tp>
      <tp t="s">
        <v>#N/A Requesting Data...4000251488</v>
        <stp/>
        <stp>BDP|9728149439951510598</stp>
        <tr r="F12" s="2"/>
      </tp>
      <tp t="s">
        <v>#N/A Requesting Data...3702120389</v>
        <stp/>
        <stp>BDP|6317578591636076338</stp>
        <tr r="D54" s="89"/>
      </tp>
      <tp t="s">
        <v>#N/A Requesting Data...3649588159</v>
        <stp/>
        <stp>BDP|7135774786603363450</stp>
        <tr r="D13" s="89"/>
      </tp>
      <tp t="s">
        <v>#N/A Requesting Data...3840328936</v>
        <stp/>
        <stp>BDP|6970093451128790412</stp>
        <tr r="O13" s="89"/>
        <tr r="T11" s="2"/>
      </tp>
      <tp t="s">
        <v>#N/A Requesting Data...3628730560</v>
        <stp/>
        <stp>BDP|7185263421080695874</stp>
        <tr r="AG40" s="1"/>
      </tp>
      <tp t="s">
        <v>#N/A Requesting Data...3963760910</v>
        <stp/>
        <stp>BDP|6160662584120657700</stp>
        <tr r="G12" s="446"/>
      </tp>
      <tp>
        <v>278.12</v>
        <stp/>
        <stp>BDP|8055576064445977008|22</stp>
        <stp>AAPL US Equity</stp>
        <stp>LAST_PRICE</stp>
        <tr r="Z15" s="2"/>
        <tr r="Z14" s="2"/>
      </tp>
      <tp>
        <v>0.37</v>
        <stp/>
        <stp>BDP|17464959306621330433|22</stp>
        <stp>MSFT US 02/20/26 P355 Equity</stp>
        <stp>bid</stp>
        <tr r="K31" s="89"/>
      </tp>
      <tp>
        <v>332.92</v>
        <stp/>
        <stp>BDP|6093066913446547993|22</stp>
        <stp>AVGO Equity</stp>
        <stp>LAST_PRICE</stp>
        <tr r="I34" s="1"/>
      </tp>
      <tp>
        <v>322.51</v>
        <stp/>
        <stp>BDP|18350845475156370580|22</stp>
        <stp>AMAT EQUITY</stp>
        <stp>LAST_PRICE</stp>
        <tr r="H4" s="1"/>
      </tp>
      <tp>
        <v>40</v>
        <stp/>
        <stp>BDP|14476957307763141828|22</stp>
        <stp>TSM US 06/18/26 C340 Equity</stp>
        <stp>bid</stp>
        <tr r="P27" s="2"/>
      </tp>
      <tp>
        <v>-9.3250997364521027E-2</v>
        <stp/>
        <stp>BDP|2641201430782788314|22</stp>
        <stp>MRVL US 03/20/26 P60 Equity</stp>
        <stp>DELTA_MID_RT</stp>
        <tr r="AF13" s="2"/>
      </tp>
      <tp>
        <v>690.62</v>
        <stp/>
        <stp>BDP|11764468863197025710|22</stp>
        <stp>SPY EQUITY</stp>
        <stp>LAST_PRICE</stp>
        <tr r="L4" s="1"/>
      </tp>
      <tp t="s">
        <v>USD</v>
        <stp/>
        <stp>BDP|17656824424800622129|22</stp>
        <stp>AMZN US 04/17/26 C235 Equity</stp>
        <stp>QUOTED_CURRENCY_REALTIME</stp>
        <tr r="F7" s="89"/>
        <tr r="G20" s="2"/>
      </tp>
      <tp t="s">
        <v>#N/A N/A</v>
        <stp/>
        <stp>BDH|9859257460206628306</stp>
        <tr r="AP9" s="338"/>
      </tp>
      <tp t="s">
        <v>#N/A Requesting Data...3612445711</v>
        <stp/>
        <stp>BDP|2898694498747321222</stp>
        <tr r="E3" s="1"/>
      </tp>
      <tp t="s">
        <v>#N/A Requesting Data...3877396811</v>
        <stp/>
        <stp>BDP|5243108903155082997</stp>
        <tr r="T36" s="89"/>
        <tr r="AA22" s="2"/>
      </tp>
      <tp t="s">
        <v>#N/A Requesting Data...4277505837</v>
        <stp/>
        <stp>BDP|8642535078653361179</stp>
        <tr r="T70" s="89"/>
      </tp>
      <tp t="s">
        <v>#N/A Requesting Data...3704513514</v>
        <stp/>
        <stp>BDP|4578912889325038840</stp>
        <tr r="E43" s="89"/>
      </tp>
      <tp t="s">
        <v>#N/A Requesting Data...3647893405</v>
        <stp/>
        <stp>BDP|9881164177403214447</stp>
        <tr r="F20" s="2"/>
      </tp>
      <tp t="s">
        <v>#N/A Requesting Data...3614187396</v>
        <stp/>
        <stp>BDP|8181382277382115633</stp>
        <tr r="AA70" s="89"/>
        <tr r="Z70" s="89"/>
      </tp>
      <tp t="s">
        <v>#N/A Requesting Data...3653998281</v>
        <stp/>
        <stp>BDP|7099656161528162789</stp>
        <tr r="E18" s="2"/>
      </tp>
      <tp t="s">
        <v>#N/A Requesting Data...3632940225</v>
        <stp/>
        <stp>BDP|9541693808182769518</stp>
        <tr r="D29" s="446"/>
      </tp>
      <tp t="s">
        <v>#N/A Requesting Data...4199429189</v>
        <stp/>
        <stp>BDP|4088796183165826605</stp>
        <tr r="J8" s="1"/>
      </tp>
      <tp t="s">
        <v>#N/A Requesting Data...4017180890</v>
        <stp/>
        <stp>BDP|6024155984106720147</stp>
        <tr r="D28" s="2"/>
      </tp>
      <tp t="s">
        <v>#N/A Requesting Data...3713492206</v>
        <stp/>
        <stp>BDP|6839173327418343594</stp>
        <tr r="F7" s="446"/>
      </tp>
      <tp t="s">
        <v>#N/A Requesting Data...3734948821</v>
        <stp/>
        <stp>BDP|4132209046743413934</stp>
        <tr r="AA102" s="89"/>
        <tr r="Z102" s="89"/>
      </tp>
      <tp t="s">
        <v>#N/A Requesting Data...3930999834</v>
        <stp/>
        <stp>BDP|3822409428879241420</stp>
        <tr r="E20" s="2"/>
      </tp>
      <tp t="s">
        <v>#N/A Requesting Data...3845332669</v>
        <stp/>
        <stp>BDP|3746009638598604087</stp>
        <tr r="AA52" s="89"/>
        <tr r="Z52" s="89"/>
      </tp>
      <tp t="s">
        <v>#N/A Requesting Data...4007139757</v>
        <stp/>
        <stp>BDP|7027987678572062314</stp>
        <tr r="D36" s="446"/>
        <tr r="AC37" s="1"/>
      </tp>
      <tp t="s">
        <v>#N/A Requesting Data...4033875547</v>
        <stp/>
        <stp>BDP|2739243071518004749</stp>
        <tr r="E54" s="89"/>
      </tp>
      <tp t="s">
        <v>#N/A N/A</v>
        <stp/>
        <stp>BDP|9400997768466424874</stp>
        <tr r="R111" s="89"/>
        <tr r="R112" s="89"/>
        <tr r="R113" s="89"/>
        <tr r="AV17" s="2"/>
        <tr r="AV18" s="2"/>
        <tr r="AV19" s="2"/>
      </tp>
      <tp t="s">
        <v>#N/A Requesting Data...4030012452</v>
        <stp/>
        <stp>BDP|9700577072422456111</stp>
        <tr r="C13" s="2"/>
      </tp>
      <tp t="s">
        <v>#N/A Requesting Data...3838157434</v>
        <stp/>
        <stp>BDP|7729357933776037950</stp>
        <tr r="F13" s="2"/>
      </tp>
      <tp t="s">
        <v>#N/A Requesting Data...3729368049</v>
        <stp/>
        <stp>BDP|9450040674965070308</stp>
        <tr r="E28" s="2"/>
      </tp>
      <tp>
        <v>1.76</v>
        <stp/>
        <stp>BDP|14015977350406785619|22</stp>
        <stp>AMZN US 04/17/26 C250 Equity</stp>
        <stp>mid</stp>
        <tr r="L21" s="2"/>
      </tp>
      <tp>
        <v>24.85</v>
        <stp/>
        <stp>BDP|10321974960198697342|22</stp>
        <stp>AAPL US 04/17/26 C260 Equity</stp>
        <stp>mid</stp>
        <tr r="L14" s="2"/>
      </tp>
      <tp t="s">
        <v>#N/A Requesting Data...4004396251</v>
        <stp/>
        <stp>BDP|8987440124962161522</stp>
        <tr r="E15" s="2"/>
      </tp>
      <tp t="s">
        <v>#N/A Requesting Data...3811531649</v>
        <stp/>
        <stp>BDP|4478407769949481635</stp>
        <tr r="K25" s="1"/>
      </tp>
      <tp t="s">
        <v>#N/A Requesting Data...3877136514</v>
        <stp/>
        <stp>BDP|9788785317823069539</stp>
        <tr r="C61" s="89"/>
      </tp>
      <tp t="s">
        <v>#N/A N/A</v>
        <stp/>
        <stp>BDP|6439491793934169661</stp>
        <tr r="AQ7" s="2"/>
      </tp>
      <tp t="s">
        <v>#N/A Requesting Data...3974581498</v>
        <stp/>
        <stp>BDP|1510545957440694898</stp>
        <tr r="AB30" s="1"/>
      </tp>
      <tp t="s">
        <v>#N/A Requesting Data...3765924708</v>
        <stp/>
        <stp>BDP|2257884823860585153</stp>
        <tr r="C60" s="89"/>
      </tp>
      <tp t="s">
        <v>#N/A Requesting Data...3562450646</v>
        <stp/>
        <stp>BDP|2463897743725982291</stp>
        <tr r="F20" s="446"/>
      </tp>
      <tp t="s">
        <v>#N/A Requesting Data...3664240676</v>
        <stp/>
        <stp>BDP|3879245702221809986</stp>
        <tr r="D25" s="2"/>
      </tp>
      <tp t="s">
        <v>#N/A Requesting Data...3948854417</v>
        <stp/>
        <stp>BDP|8207706352447744484</stp>
        <tr r="AG33" s="1"/>
      </tp>
      <tp t="s">
        <v>#N/A Requesting Data...4027241948</v>
        <stp/>
        <stp>BDP|1654355529258739113</stp>
        <tr r="E69" s="89"/>
      </tp>
      <tp t="s">
        <v>#N/A Requesting Data...4273253653</v>
        <stp/>
        <stp>BDP|8914050044192113754</stp>
        <tr r="E70" s="89"/>
      </tp>
      <tp t="s">
        <v>#N/A Requesting Data...3727640720</v>
        <stp/>
        <stp>BDP|9887014763094705206</stp>
        <tr r="K42" s="1"/>
      </tp>
      <tp t="s">
        <v>#N/A Requesting Data...4181183743</v>
        <stp/>
        <stp>BDP|3411193788855096676</stp>
        <tr r="AA28" s="2"/>
      </tp>
      <tp t="s">
        <v>#N/A N/A</v>
        <stp/>
        <stp>BDP|5991696502472233803</stp>
        <tr r="R52" s="89"/>
        <tr r="R53" s="89"/>
        <tr r="R54" s="89"/>
      </tp>
      <tp t="s">
        <v>#N/A Requesting Data...4076742409</v>
        <stp/>
        <stp>BDP|2048477006706491956</stp>
        <tr r="X9" s="338"/>
      </tp>
      <tp t="s">
        <v>#N/A Requesting Data...3827788213</v>
        <stp/>
        <stp>BDP|8193756994096264929</stp>
        <tr r="AA69" s="89"/>
        <tr r="Z69" s="89"/>
      </tp>
      <tp t="s">
        <v>#N/A Requesting Data...3717287378</v>
        <stp/>
        <stp>BDP|7156909774566786639</stp>
        <tr r="E24" s="2"/>
      </tp>
      <tp t="s">
        <v>#N/A Requesting Data...3615463314</v>
        <stp/>
        <stp>BDP|8993500628312049404</stp>
        <tr r="E96" s="89"/>
      </tp>
      <tp t="s">
        <v>#N/A Requesting Data...3964139971</v>
        <stp/>
        <stp>BDP|4613553594989765876</stp>
        <tr r="K27" s="1"/>
      </tp>
      <tp t="s">
        <v>#N/A Requesting Data...3598850300</v>
        <stp/>
        <stp>BDP|8690033388548820123</stp>
        <tr r="AJ11" s="338"/>
      </tp>
      <tp t="s">
        <v>#N/A Requesting Data...3824770839</v>
        <stp/>
        <stp>BDP|9280288157897826002</stp>
        <tr r="C54" s="89"/>
      </tp>
      <tp t="s">
        <v>#N/A Requesting Data...3832333210</v>
        <stp/>
        <stp>BDP|6141864573737095712</stp>
        <tr r="T94" s="89"/>
        <tr r="T95" s="89"/>
      </tp>
      <tp t="s">
        <v>#N/A N/A</v>
        <stp/>
        <stp>BDP|8508395004434515685</stp>
        <tr r="AQ10" s="2"/>
        <tr r="AQ9" s="2"/>
      </tp>
      <tp>
        <v>26.3</v>
        <stp/>
        <stp>BDP|14111141271769378618|22</stp>
        <stp>META US 04/17/26 C690 Equity</stp>
        <stp>ask</stp>
        <tr r="L85" s="89"/>
      </tp>
      <tp>
        <v>1.81</v>
        <stp/>
        <stp>BDP|18179672514733826922|22</stp>
        <stp>AMZN US 04/17/26 C250 Equity</stp>
        <stp>ask</stp>
        <tr r="L8" s="89"/>
        <tr r="Q21" s="2"/>
      </tp>
      <tp t="s">
        <v>#N/A Real Time</v>
        <stp/>
        <stp>BDP|11293148887699984855|22</stp>
        <stp>4EM5P    5800 Index</stp>
        <stp>bid</stp>
        <tr r="K54" s="89"/>
      </tp>
      <tp t="s">
        <v>#N/A Requesting Data...3861663433</v>
        <stp/>
        <stp>BDP|7230833674217968563</stp>
        <tr r="S12" s="338"/>
      </tp>
      <tp t="s">
        <v>#N/A N/A</v>
        <stp/>
        <stp>BDP|15372453587272939267|22</stp>
        <stp>1OG6C 26000 INDEX</stp>
        <stp>theta_mid_rt</stp>
        <tr r="AN24" s="2"/>
      </tp>
      <tp t="s">
        <v>#N/A Requesting Data...3674213278</v>
        <stp/>
        <stp>BDP|3603190722478324251</stp>
        <tr r="AI37" s="1"/>
      </tp>
      <tp t="s">
        <v>#N/A Requesting Data...4294236673</v>
        <stp/>
        <stp>BDP|6392840872006556586</stp>
        <tr r="E8" s="1"/>
      </tp>
      <tp t="s">
        <v>#N/A Requesting Data...3656474488</v>
        <stp/>
        <stp>BDP|4888399791135815100</stp>
        <tr r="AD25" s="2"/>
      </tp>
      <tp t="s">
        <v>#N/A Requesting Data...4115362033</v>
        <stp/>
        <stp>BDP|6621986822512375575</stp>
        <tr r="E31" s="89"/>
      </tp>
      <tp t="s">
        <v>#N/A N/A</v>
        <stp/>
        <stp>BDH|3480485283787537231</stp>
        <tr r="AN10" s="338"/>
      </tp>
      <tp t="s">
        <v>#N/A Requesting Data...3837533555</v>
        <stp/>
        <stp>BDP|3146823963096909173</stp>
        <tr r="D15" s="2"/>
      </tp>
      <tp t="s">
        <v>#N/A Requesting Data...4146366734</v>
        <stp/>
        <stp>BDP|2382458668849101304</stp>
        <tr r="K12" s="1"/>
      </tp>
      <tp t="s">
        <v>#N/A Requesting Data...4071180605</v>
        <stp/>
        <stp>BDP|3271990383928035073</stp>
        <tr r="N10" s="1"/>
      </tp>
      <tp t="s">
        <v>#N/A Requesting Data...3897429795</v>
        <stp/>
        <stp>BDP|2322958882768230140</stp>
        <tr r="E94" s="89"/>
        <tr r="E95" s="89"/>
      </tp>
      <tp t="s">
        <v>#N/A N/A</v>
        <stp/>
        <stp>BDP|8471485932241814460</stp>
        <tr r="AB7" s="89"/>
        <tr r="AB8" s="89"/>
        <tr r="AQ20" s="2"/>
        <tr r="AQ21" s="2"/>
      </tp>
      <tp t="s">
        <v>#N/A Requesting Data...4160701812</v>
        <stp/>
        <stp>BDP|6310164690724411011</stp>
        <tr r="J7" s="1"/>
      </tp>
      <tp t="s">
        <v>#N/A Requesting Data...3846541119</v>
        <stp/>
        <stp>BDP|6834122784097772294</stp>
        <tr r="AG16" s="1"/>
      </tp>
      <tp t="s">
        <v>#N/A Requesting Data...3872681310</v>
        <stp/>
        <stp>BDP|8582278211013363216</stp>
        <tr r="AI18" s="1"/>
      </tp>
      <tp t="s">
        <v>#N/A Requesting Data...4001073581</v>
        <stp/>
        <stp>BDP|9965794027725386324</stp>
        <tr r="F26" s="446"/>
        <tr r="AB24" s="1"/>
      </tp>
      <tp t="s">
        <v>#N/A Requesting Data...3898391883</v>
        <stp/>
        <stp>BDP|1317302183469233942</stp>
        <tr r="L30" s="1"/>
      </tp>
      <tp t="s">
        <v>#N/A Requesting Data...3599976695</v>
        <stp/>
        <stp>BDP|3885846074322660492</stp>
        <tr r="AG43" s="1"/>
      </tp>
      <tp t="s">
        <v>#N/A Requesting Data...3942705073</v>
        <stp/>
        <stp>BDP|3355646365529756028</stp>
        <tr r="E7" s="89"/>
      </tp>
      <tp t="s">
        <v>#N/A Requesting Data...4176392101</v>
        <stp/>
        <stp>BDP|3546240833528077058</stp>
        <tr r="F15" s="2"/>
      </tp>
      <tp t="s">
        <v>#N/A Requesting Data...3713895825</v>
        <stp/>
        <stp>BDP|3860095588139768892</stp>
        <tr r="AC17" s="1"/>
      </tp>
      <tp t="s">
        <v>#N/A N/A</v>
        <stp/>
        <stp>BDP|2140911238616808459</stp>
        <tr r="AB13" s="89"/>
        <tr r="AB14" s="89"/>
        <tr r="AB85" s="89"/>
        <tr r="AB86" s="89"/>
        <tr r="AB87" s="89"/>
        <tr r="AB96" s="89"/>
        <tr r="AQ11" s="2"/>
      </tp>
      <tp t="s">
        <v>#N/A Real Time</v>
        <stp/>
        <stp>BDP|11422101846013417478|22</stp>
        <stp>SPXW US 12/31/25 C6950 Index</stp>
        <stp>bid</stp>
        <tr r="K76" s="89"/>
      </tp>
      <tp>
        <v>40.65</v>
        <stp/>
        <stp>BDP|12794319931511644694|22</stp>
        <stp>TSM US 06/18/26 C340 Equity</stp>
        <stp>mid</stp>
        <tr r="L27" s="2"/>
      </tp>
      <tp t="s">
        <v>#N/A Requesting Data...3780163008</v>
        <stp/>
        <stp>BDP|8370638112663958713</stp>
        <tr r="C102" s="89"/>
      </tp>
      <tp t="s">
        <v>#N/A Requesting Data...4263765561</v>
        <stp/>
        <stp>BDP|2503584260199116370</stp>
        <tr r="T31" s="89"/>
      </tp>
      <tp t="s">
        <v>#N/A Requesting Data...4014144732</v>
        <stp/>
        <stp>BDP|4926041887351657654</stp>
        <tr r="D53" s="89"/>
      </tp>
      <tp t="s">
        <v>#N/A Requesting Data...4155674055</v>
        <stp/>
        <stp>BDP|4502789287684003446</stp>
        <tr r="AR11" s="2"/>
      </tp>
      <tp t="s">
        <v>#N/A Requesting Data...3868451549</v>
        <stp/>
        <stp>BDP|9866940913692641877</stp>
        <tr r="AF21" s="1"/>
      </tp>
      <tp t="s">
        <v>#N/A Requesting Data...3786892776</v>
        <stp/>
        <stp>BDP|8737954890503872047</stp>
        <tr r="D33" s="446"/>
      </tp>
      <tp t="s">
        <v>#N/A Requesting Data...3719127012</v>
        <stp/>
        <stp>BDP|2112788937098040510</stp>
        <tr r="AJ9" s="338"/>
        <tr r="AH9" s="338"/>
      </tp>
      <tp t="s">
        <v>#N/A Requesting Data...3753835200</v>
        <stp/>
        <stp>BDP|7001248851652159998</stp>
        <tr r="T10" s="338"/>
      </tp>
      <tp t="s">
        <v>#N/A N/A</v>
        <stp/>
        <stp>BDH|6265644238830388808</stp>
        <tr r="AM11" s="338"/>
      </tp>
      <tp t="s">
        <v>#N/A Requesting Data...4291513473</v>
        <stp/>
        <stp>BDP|9495447526942096644</stp>
        <tr r="AD13" s="2"/>
      </tp>
      <tp t="s">
        <v>#N/A Requesting Data...4173035706</v>
        <stp/>
        <stp>BDP|8877503375972789382</stp>
        <tr r="E9" s="2"/>
      </tp>
      <tp t="s">
        <v>#N/A N/A</v>
        <stp/>
        <stp>BDP|2220703499371845606</stp>
        <tr r="AV8" s="2"/>
      </tp>
      <tp t="s">
        <v>#N/A Requesting Data...4206754670</v>
        <stp/>
        <stp>BDP|9615961074615640914</stp>
        <tr r="AK10" s="338"/>
        <tr r="AK11" s="338"/>
        <tr r="AK12" s="338"/>
      </tp>
      <tp t="s">
        <v>#N/A Requesting Data...3703965538</v>
        <stp/>
        <stp>BDP|6241611932378988086</stp>
        <tr r="G42" s="446"/>
      </tp>
      <tp t="s">
        <v>#N/A Requesting Data...3881611291</v>
        <stp/>
        <stp>BDP|6296263756973290900</stp>
        <tr r="F17" s="2"/>
      </tp>
      <tp t="s">
        <v>#N/A Requesting Data...4290393964</v>
        <stp/>
        <stp>BDP|7985659615982817917</stp>
        <tr r="V12" s="338"/>
      </tp>
      <tp t="s">
        <v>#N/A Requesting Data...3860926558</v>
        <stp/>
        <stp>BDP|7187946337937345111</stp>
        <tr r="E21" s="2"/>
      </tp>
      <tp t="s">
        <v>#N/A N/A</v>
        <stp/>
        <stp>BDH|4488883206504955336</stp>
        <tr r="AR8" s="338"/>
      </tp>
      <tp t="s">
        <v>#N/A Requesting Data...3839566800</v>
        <stp/>
        <stp>BDP|6109721159656246998</stp>
        <tr r="C7" s="89"/>
        <tr r="D20" s="2"/>
      </tp>
      <tp t="s">
        <v>#N/A N/A</v>
        <stp/>
        <stp>BDP|8959047049495095258</stp>
        <tr r="R30" s="89"/>
        <tr r="R31" s="89"/>
      </tp>
      <tp t="s">
        <v>#N/A Requesting Data...3784151324</v>
        <stp/>
        <stp>BDP|2612160096671704068</stp>
        <tr r="D31" s="446"/>
      </tp>
      <tp t="s">
        <v>#N/A Requesting Data...3825592533</v>
        <stp/>
        <stp>BDP|2268545091931148418</stp>
        <tr r="O111" s="89"/>
        <tr r="T17" s="2"/>
      </tp>
      <tp t="s">
        <v>#N/A Requesting Data...4227606156</v>
        <stp/>
        <stp>BDP|6048392586087350188</stp>
        <tr r="F9" s="2"/>
      </tp>
      <tp t="s">
        <v>#N/A Requesting Data...4012356990</v>
        <stp/>
        <stp>BDP|1914152454876976856</stp>
        <tr r="E44" s="89"/>
      </tp>
      <tp t="s">
        <v>#N/A Requesting Data...3965452780</v>
        <stp/>
        <stp>BDP|9318183699928316256</stp>
        <tr r="D43" s="446"/>
      </tp>
      <tp t="s">
        <v>#N/A Requesting Data...3906774112</v>
        <stp/>
        <stp>BDP|2130704157473529871</stp>
        <tr r="C12" s="2"/>
      </tp>
      <tp t="s">
        <v>#N/A Requesting Data...4226191330</v>
        <stp/>
        <stp>BDP|8633363721614159645</stp>
        <tr r="G8" s="446"/>
      </tp>
      <tp>
        <v>0.01</v>
        <stp/>
        <stp>BDP|790348202506851259|22</stp>
        <stp>QQQ US 02/06/26 P585 Equity</stp>
        <stp>ask</stp>
        <tr r="L37" s="89"/>
        <tr r="Q23" s="2"/>
      </tp>
      <tp>
        <v>80.28</v>
        <stp/>
        <stp>BDP|2279876738225149449|22</stp>
        <stp>MRVL US Equity</stp>
        <stp>LAST_PRICE</stp>
        <tr r="Z12" s="2"/>
        <tr r="Z13" s="2"/>
      </tp>
      <tp t="s">
        <v>USD</v>
        <stp/>
        <stp>BDP|12022496232123920905|22</stp>
        <stp>AAPL US 04/17/26 C280 Equity</stp>
        <stp>QUOTED_CURRENCY_REALTIME</stp>
        <tr r="G15" s="2"/>
      </tp>
      <tp t="s">
        <v>#N/A Requesting Data...3905989344</v>
        <stp/>
        <stp>BDP|9669031297401111598</stp>
        <tr r="AG32" s="1"/>
      </tp>
      <tp t="s">
        <v>#N/A N/A</v>
        <stp/>
        <stp>BDP|4449199824360687344</stp>
        <tr r="AC24" s="2"/>
        <tr r="AC25" s="2"/>
        <tr r="AC26" s="2"/>
      </tp>
      <tp t="s">
        <v>#N/A N/A</v>
        <stp/>
        <stp>BDP|4283940605309327082</stp>
        <tr r="AV4" s="2"/>
      </tp>
      <tp t="s">
        <v>#N/A Requesting Data...3683479990</v>
        <stp/>
        <stp>BDP|3958804124584137945</stp>
        <tr r="O112" s="89"/>
        <tr r="T18" s="2"/>
      </tp>
      <tp t="s">
        <v>#N/A Requesting Data...3710583173</v>
        <stp/>
        <stp>BDP|2906346500884364176</stp>
        <tr r="AJ8" s="338"/>
      </tp>
      <tp t="s">
        <v>#N/A Requesting Data...3988927263</v>
        <stp/>
        <stp>BDP|3419727698730200952</stp>
        <tr r="AR4" s="2"/>
      </tp>
      <tp t="s">
        <v>#N/A Requesting Data...4054505814</v>
        <stp/>
        <stp>BDP|1105691956700330633</stp>
        <tr r="AG34" s="1"/>
      </tp>
      <tp t="s">
        <v>#N/A Requesting Data...4015186821</v>
        <stp/>
        <stp>BDP|7494523709231730773</stp>
        <tr r="F31" s="446"/>
      </tp>
      <tp t="s">
        <v>#N/A Requesting Data...3879204061</v>
        <stp/>
        <stp>BDP|2743037479982482367</stp>
        <tr r="AF39" s="1"/>
      </tp>
      <tp t="s">
        <v>#N/A Requesting Data...4187654912</v>
        <stp/>
        <stp>BDP|5592689375484219475</stp>
        <tr r="T102" s="89"/>
      </tp>
      <tp t="s">
        <v>#N/A Requesting Data...3741546165</v>
        <stp/>
        <stp>BDP|9945382899790540700</stp>
        <tr r="AA54" s="89"/>
        <tr r="Z54" s="89"/>
      </tp>
      <tp t="s">
        <v>#N/A Requesting Data...4121939000</v>
        <stp/>
        <stp>BDP|9063402768959888626</stp>
        <tr r="T112" s="89"/>
        <tr r="AA18" s="2"/>
      </tp>
      <tp t="s">
        <v>#N/A Requesting Data...4190842987</v>
        <stp/>
        <stp>BDP|1615244074723761330</stp>
        <tr r="T12" s="338"/>
      </tp>
      <tp t="s">
        <v>#N/A Requesting Data...3754157243</v>
        <stp/>
        <stp>BDP|5790626169004593599</stp>
        <tr r="F40" s="446"/>
      </tp>
      <tp t="s">
        <v>#N/A N/A</v>
        <stp/>
        <stp>BDH|9578089486170812535</stp>
        <tr r="AN8" s="338"/>
      </tp>
      <tp t="s">
        <v>#N/A Requesting Data...3845144239</v>
        <stp/>
        <stp>BDP|4394092918146104723</stp>
        <tr r="AI16" s="1"/>
      </tp>
      <tp t="s">
        <v>#N/A Requesting Data...4031791931</v>
        <stp/>
        <stp>BDP|6940186872470420463</stp>
        <tr r="AI36" s="1"/>
      </tp>
      <tp t="s">
        <v>#N/A Requesting Data...4084673821</v>
        <stp/>
        <stp>BDP|5028796441871860363</stp>
        <tr r="D5" s="2"/>
      </tp>
      <tp t="s">
        <v>#N/A Requesting Data...4206960703</v>
        <stp/>
        <stp>BDP|5440482774885960773</stp>
        <tr r="AH12" s="338"/>
      </tp>
      <tp t="s">
        <v>#N/A Requesting Data...4166308570</v>
        <stp/>
        <stp>BDP|2357040805921494704</stp>
        <tr r="AJ9" s="338"/>
      </tp>
      <tp t="s">
        <v>#N/A Requesting Data...3709105742</v>
        <stp/>
        <stp>BDP|8103428543709687520</stp>
        <tr r="G5" s="446"/>
        <tr r="G6" s="446"/>
      </tp>
      <tp t="s">
        <v>#N/A Requesting Data...4144153321</v>
        <stp/>
        <stp>BDP|5430094244624859152</stp>
        <tr r="D34" s="446"/>
      </tp>
      <tp t="s">
        <v>#N/A Requesting Data...3883519223</v>
        <stp/>
        <stp>BDP|4500964458409639588</stp>
        <tr r="K43" s="1"/>
      </tp>
      <tp t="s">
        <v>#N/A Requesting Data...3684280853</v>
        <stp/>
        <stp>BDP|7007213395359878194</stp>
        <tr r="C11" s="2"/>
      </tp>
      <tp>
        <v>661.46</v>
        <stp/>
        <stp>BDP|3807768373389777345|22</stp>
        <stp>META Equity</stp>
        <stp>LAST_PRICE</stp>
        <tr r="I24" s="1"/>
      </tp>
      <tp>
        <v>97.39</v>
        <stp/>
        <stp>BDP|11512636158714040679|22</stp>
        <stp>GDX EQUITY</stp>
        <stp>LAST_PRICE</stp>
        <tr r="L10" s="1"/>
      </tp>
      <tp t="s">
        <v>#N/A N/A</v>
        <stp/>
        <stp>BDP|9349254149134900553|22</stp>
        <stp>1OG6C 25550 INDEX</stp>
        <stp>bid</stp>
        <tr r="P25" s="2"/>
      </tp>
      <tp t="s">
        <v>USD</v>
        <stp/>
        <stp>BDP|15724339035979194733|22</stp>
        <stp>META US 02/27/26 C660 Equity</stp>
        <stp>QUOTED_CURRENCY_REALTIME</stp>
        <tr r="F96" s="89"/>
      </tp>
      <tp t="s">
        <v>#N/A Requesting Data...4150962639</v>
        <stp/>
        <stp>BDP|9005897765572380053</stp>
        <tr r="E12" s="2"/>
      </tp>
      <tp t="s">
        <v>#N/A N/A</v>
        <stp/>
        <stp>BDP|1163242074811817033</stp>
        <tr r="R7" s="89"/>
        <tr r="R8" s="89"/>
        <tr r="AV20" s="2"/>
        <tr r="AV21" s="2"/>
      </tp>
      <tp t="s">
        <v>#N/A Requesting Data...3845304598</v>
        <stp/>
        <stp>BDP|2935461966306109320</stp>
        <tr r="AC28" s="1"/>
      </tp>
      <tp t="s">
        <v>#N/A Requesting Data...4160705558</v>
        <stp/>
        <stp>BDP|2824666575383672569</stp>
        <tr r="K30" s="1"/>
      </tp>
      <tp t="s">
        <v>#N/A Requesting Data...3946415089</v>
        <stp/>
        <stp>BDP|4780459414043985746</stp>
        <tr r="S9" s="338"/>
      </tp>
      <tp t="s">
        <v>#N/A Requesting Data...3686054403</v>
        <stp/>
        <stp>BDP|3715220583989463590</stp>
        <tr r="F30" s="446"/>
        <tr r="AB26" s="1"/>
      </tp>
      <tp t="s">
        <v>#N/A Requesting Data...3683003415</v>
        <stp/>
        <stp>BDP|3983744460122577503</stp>
        <tr r="AF34" s="1"/>
        <tr r="AF12" s="338"/>
      </tp>
      <tp t="s">
        <v>#N/A Requesting Data...4063920754</v>
        <stp/>
        <stp>BDP|3051431949301095732</stp>
        <tr r="AB39" s="1"/>
      </tp>
      <tp t="s">
        <v>#N/A Requesting Data...4145044745</v>
        <stp/>
        <stp>BDP|9260849128942358439</stp>
        <tr r="V13" s="89"/>
        <tr r="AD11" s="2"/>
      </tp>
      <tp t="s">
        <v>#N/A Requesting Data...4115335260</v>
        <stp/>
        <stp>BDP|1071396022310529501</stp>
        <tr r="AF29" s="1"/>
      </tp>
      <tp t="s">
        <v>#N/A Requesting Data...3800325032</v>
        <stp/>
        <stp>BDP|2636595951407112010</stp>
        <tr r="D41" s="446"/>
      </tp>
      <tp t="s">
        <v>#N/A N/A</v>
        <stp/>
        <stp>BDH|5251123056200020480</stp>
        <tr r="AP8" s="338"/>
      </tp>
      <tp t="s">
        <v>#N/A Requesting Data...4282201858</v>
        <stp/>
        <stp>BDP|6525006869707181227</stp>
        <tr r="AG10" s="338"/>
        <tr r="AG11" s="338"/>
        <tr r="AG12" s="338"/>
      </tp>
      <tp t="s">
        <v>#N/A Requesting Data...4185145690</v>
        <stp/>
        <stp>BDP|3125515205664863726</stp>
        <tr r="C37" s="89"/>
        <tr r="D23" s="2"/>
      </tp>
      <tp t="s">
        <v>#N/A Requesting Data...3878013183</v>
        <stp/>
        <stp>BDP|4500778568482734213</stp>
        <tr r="AA43" s="89"/>
        <tr r="Z43" s="89"/>
      </tp>
      <tp t="s">
        <v>#N/A Requesting Data...4219537511</v>
        <stp/>
        <stp>BDP|5500406408225008111</stp>
        <tr r="AF16" s="1"/>
      </tp>
      <tp t="s">
        <v>#N/A Requesting Data...3919731358</v>
        <stp/>
        <stp>BDP|8161895482119328448</stp>
        <tr r="C111" s="89"/>
        <tr r="D17" s="2"/>
      </tp>
      <tp t="s">
        <v>#N/A Requesting Data...4093403172</v>
        <stp/>
        <stp>BDP|4175505667196201468</stp>
        <tr r="D70" s="89"/>
      </tp>
      <tp t="s">
        <v>#N/A Requesting Data...3933854044</v>
        <stp/>
        <stp>BDP|4927495145270521132</stp>
        <tr r="E16" s="2"/>
      </tp>
      <tp t="s">
        <v>#N/A Requesting Data...3949501251</v>
        <stp/>
        <stp>BDP|5133852355808281539</stp>
        <tr r="AD12" s="2"/>
      </tp>
      <tp t="s">
        <v>#N/A Requesting Data...4193007917</v>
        <stp/>
        <stp>BDP|9525835047501594141</stp>
        <tr r="AG19" s="1"/>
      </tp>
      <tp t="s">
        <v>#N/A Requesting Data...3881571552</v>
        <stp/>
        <stp>BDP|6695752411146080338</stp>
        <tr r="AG31" s="1"/>
      </tp>
      <tp t="s">
        <v>#N/A Requesting Data...4044006414</v>
        <stp/>
        <stp>BDP|3531766210442590208</stp>
        <tr r="AF22" s="1"/>
      </tp>
      <tp t="s">
        <v>#N/A Requesting Data...3924279108</v>
        <stp/>
        <stp>BDP|4147460135970660630</stp>
        <tr r="O103" s="89"/>
      </tp>
      <tp t="s">
        <v>#N/A Requesting Data...3724091681</v>
        <stp/>
        <stp>BDP|8627744419858747384</stp>
        <tr r="K29" s="1"/>
      </tp>
      <tp t="s">
        <v>#N/A Requesting Data...3863059363</v>
        <stp/>
        <stp>BDP|7460910680203620073</stp>
        <tr r="E27" s="2"/>
      </tp>
      <tp>
        <v>61.8</v>
        <stp/>
        <stp>BDP|10509480426370688750|22</stp>
        <stp>META US 07/17/26 C670 Equity</stp>
        <stp>bid</stp>
        <tr r="K86" s="89"/>
      </tp>
      <tp>
        <v>24.7</v>
        <stp/>
        <stp>BDP|11530430480112839969|22</stp>
        <stp>AAPL US 04/17/26 C260 Equity</stp>
        <stp>bid</stp>
        <tr r="P14" s="2"/>
      </tp>
      <tp t="s">
        <v>USD</v>
        <stp/>
        <stp>BDP|397487976034915571|22</stp>
        <stp>TSM US 06/18/26 C380 Equity</stp>
        <stp>QUOTED_CURRENCY_REALTIME</stp>
        <tr r="G28" s="2"/>
      </tp>
      <tp>
        <v>11.5</v>
        <stp/>
        <stp>BDP|17651095983942963831|22</stp>
        <stp>AAPL US 04/17/26 C280 Equity</stp>
        <stp>ask</stp>
        <tr r="Q15" s="2"/>
      </tp>
      <tp t="s">
        <v>#N/A Requesting Data...4262862169</v>
        <stp/>
        <stp>BDP|1952409716362731026</stp>
        <tr r="AC16" s="1"/>
      </tp>
      <tp t="s">
        <v>#N/A Requesting Data...3739404705</v>
        <stp/>
        <stp>BDP|7188757863485888551</stp>
        <tr r="G39" s="446"/>
      </tp>
      <tp t="s">
        <v>#N/A Requesting Data...4135359135</v>
        <stp/>
        <stp>BDP|7422247533576110683</stp>
        <tr r="AI43" s="1"/>
      </tp>
      <tp t="s">
        <v>#N/A Requesting Data...4051205624</v>
        <stp/>
        <stp>BDP|7978267068122812754</stp>
        <tr r="C8" s="2"/>
      </tp>
      <tp t="s">
        <v>#N/A Requesting Data...4028360195</v>
        <stp/>
        <stp>BDP|4646626558147768607</stp>
        <tr r="T60" s="89"/>
      </tp>
      <tp t="s">
        <v>#N/A Requesting Data...3682158982</v>
        <stp/>
        <stp>BDP|1754575979255457051</stp>
        <tr r="G14" s="446"/>
      </tp>
      <tp t="s">
        <v>#N/A Requesting Data...3892213378</v>
        <stp/>
        <stp>BDP|6095484704072209604</stp>
        <tr r="AJ10" s="338"/>
      </tp>
      <tp t="s">
        <v>#N/A Requesting Data...4151209801</v>
        <stp/>
        <stp>BDP|6921540255739678909</stp>
        <tr r="AK8" s="338"/>
      </tp>
      <tp t="s">
        <v>#N/A Requesting Data...4084533431</v>
        <stp/>
        <stp>BDP|6647458260250823259</stp>
        <tr r="AD10" s="2"/>
      </tp>
      <tp t="s">
        <v>#N/A Requesting Data...3986928332</v>
        <stp/>
        <stp>BDP|5836174453674625345</stp>
        <tr r="V10" s="338"/>
      </tp>
      <tp t="s">
        <v>#N/A Requesting Data...4144622242</v>
        <stp/>
        <stp>BDP|6914181187250139988</stp>
        <tr r="AA5" s="2"/>
      </tp>
      <tp t="s">
        <v>#N/A Requesting Data...3705519255</v>
        <stp/>
        <stp>BDP|3930578222146831483</stp>
        <tr r="G43" s="446"/>
      </tp>
      <tp t="s">
        <v>#N/A Requesting Data...4042827383</v>
        <stp/>
        <stp>BDP|6968868093520481149</stp>
        <tr r="E37" s="89"/>
      </tp>
      <tp t="s">
        <v>#N/A Requesting Data...3781086377</v>
        <stp/>
        <stp>BDP|8403728728339567278</stp>
        <tr r="AC44" s="1"/>
      </tp>
      <tp t="s">
        <v>#N/A Requesting Data...4239330225</v>
        <stp/>
        <stp>BDP|3166087990788095446</stp>
        <tr r="G21" s="446"/>
      </tp>
      <tp t="s">
        <v>#N/A Requesting Data...4217924608</v>
        <stp/>
        <stp>BDP|6439251290132958955</stp>
        <tr r="AG42" s="1"/>
      </tp>
      <tp t="s">
        <v>#N/A Requesting Data...3996636113</v>
        <stp/>
        <stp>BDP|1790328446412835262</stp>
        <tr r="AA7" s="2"/>
      </tp>
      <tp t="s">
        <v>#N/A Requesting Data...3917184339</v>
        <stp/>
        <stp>BDP|4148348666006447154</stp>
        <tr r="AF19" s="1"/>
      </tp>
      <tp t="s">
        <v>#N/A Requesting Data...4113812716</v>
        <stp/>
        <stp>BDP|9114674186030624147</stp>
        <tr r="AB17" s="1"/>
      </tp>
      <tp t="s">
        <v>#N/A Requesting Data...4106683083</v>
        <stp/>
        <stp>BDP|3531676896459233342</stp>
        <tr r="G35" s="446"/>
      </tp>
      <tp t="s">
        <v>#N/A Requesting Data...3871079674</v>
        <stp/>
        <stp>BDP|2631124764376490574</stp>
        <tr r="AI17" s="1"/>
      </tp>
      <tp t="s">
        <v>#N/A Requesting Data...3930015870</v>
        <stp/>
        <stp>BDP|5023379335197141408</stp>
        <tr r="O113" s="89"/>
        <tr r="T19" s="2"/>
      </tp>
      <tp t="s">
        <v>#N/A Requesting Data...4176337073</v>
        <stp/>
        <stp>BDP|5681827533229472132</stp>
        <tr r="AB28" s="1"/>
      </tp>
      <tp t="s">
        <v>#N/A Requesting Data...3926097933</v>
        <stp/>
        <stp>BDP|5205861990736541413</stp>
        <tr r="E14" s="2"/>
      </tp>
      <tp t="s">
        <v>#N/A Requesting Data...3707308151</v>
        <stp/>
        <stp>BDP|1183356610207551274</stp>
        <tr r="T28" s="2"/>
      </tp>
      <tp t="s">
        <v>#N/A Requesting Data...3766782900</v>
        <stp/>
        <stp>BDP|6800038917869848824</stp>
        <tr r="E26" s="2"/>
      </tp>
      <tp t="s">
        <v>#N/A Requesting Data...3843343369</v>
        <stp/>
        <stp>BDP|7024465816144052067</stp>
        <tr r="D14" s="2"/>
      </tp>
      <tp t="s">
        <v>#N/A Requesting Data...3856351237</v>
        <stp/>
        <stp>BDP|6973213354120232797</stp>
        <tr r="K17" s="1"/>
      </tp>
      <tp t="s">
        <v>#N/A Requesting Data...3904296997</v>
        <stp/>
        <stp>BDP|5039887386546055596</stp>
        <tr r="AA14" s="2"/>
      </tp>
      <tp t="s">
        <v>#N/A Requesting Data...4144339350</v>
        <stp/>
        <stp>BDP|8099019377399093020</stp>
        <tr r="Z19" s="89"/>
        <tr r="AA19" s="89"/>
      </tp>
      <tp t="s">
        <v>#N/A Requesting Data...4239270592</v>
        <stp/>
        <stp>BDP|8885961869603230210</stp>
        <tr r="AK8" s="338"/>
      </tp>
      <tp t="s">
        <v>#N/A Requesting Data...3729670039</v>
        <stp/>
        <stp>BDP|5018086030232967252</stp>
        <tr r="AA8" s="2"/>
      </tp>
      <tp t="s">
        <v>#N/A Requesting Data...4128697685</v>
        <stp/>
        <stp>BDP|1772751390731486839</stp>
        <tr r="AI33" s="1"/>
      </tp>
      <tp t="s">
        <v>#N/A Requesting Data...3847270255</v>
        <stp/>
        <stp>BDP|3256176262240474260</stp>
        <tr r="E4" s="1"/>
      </tp>
      <tp t="s">
        <v>#N/A Requesting Data...3997824839</v>
        <stp/>
        <stp>BDP|7214956164048318650</stp>
        <tr r="U10" s="338"/>
      </tp>
      <tp>
        <v>661.46</v>
        <stp/>
        <stp>BDP|8831218337912200139|22</stp>
        <stp>META Equity</stp>
        <stp>LAST PRICE</stp>
        <tr r="G9" s="338"/>
      </tp>
      <tp t="s">
        <v>#N/A Real Time</v>
        <stp/>
        <stp>BDP|15837909666438988840|22</stp>
        <stp>4EM5P    5800 Index</stp>
        <stp>ask</stp>
        <tr r="L54" s="89"/>
      </tp>
      <tp t="s">
        <v>USD</v>
        <stp/>
        <stp>BDP|989677972426117411|22</stp>
        <stp>2OG6P 25000 Index</stp>
        <stp>QUOTED_CURRENCY_REALTIME</stp>
        <tr r="F70" s="89"/>
      </tp>
      <tp>
        <v>-0.15582600235939026</v>
        <stp/>
        <stp>BDP|8795046347241444117|22</stp>
        <stp>AVGO US 06/18/26 C350 Equity</stp>
        <stp>theta_mid_rt</stp>
        <tr r="AN5" s="2"/>
      </tp>
      <tp t="s">
        <v>#N/A Requesting Data...4250552604</v>
        <stp/>
        <stp>BDP|4283425441594897730</stp>
        <tr r="AA85" s="89"/>
        <tr r="Z85" s="89"/>
      </tp>
      <tp t="s">
        <v>#N/A Requesting Data...3796918246</v>
        <stp/>
        <stp>BDP|4245799967772009077</stp>
        <tr r="D37" s="446"/>
      </tp>
      <tp t="s">
        <v>#N/A Requesting Data...3883619341</v>
        <stp/>
        <stp>BDP|4758516714777806016</stp>
        <tr r="AR12" s="2"/>
      </tp>
      <tp t="s">
        <v>#N/A Requesting Data...4291774539</v>
        <stp/>
        <stp>BDP|7156185906827354649</stp>
        <tr r="AI13" s="1"/>
      </tp>
      <tp t="s">
        <v>#N/A Requesting Data...4136014928</v>
        <stp/>
        <stp>BDP|6577894425722203925</stp>
        <tr r="AI38" s="1"/>
      </tp>
      <tp t="s">
        <v>#N/A Requesting Data...4109112781</v>
        <stp/>
        <stp>BDP|5947737455944304421</stp>
        <tr r="AB38" s="1"/>
      </tp>
      <tp t="s">
        <v>#N/A Requesting Data...4281041281</v>
        <stp/>
        <stp>BDP|1092378379464484650</stp>
        <tr r="G9" s="446"/>
      </tp>
      <tp t="s">
        <v>#N/A Requesting Data...4048916644</v>
        <stp/>
        <stp>BDP|7675645627431897518</stp>
        <tr r="C27" s="2"/>
      </tp>
      <tp t="s">
        <v>#N/A Requesting Data...4108813259</v>
        <stp/>
        <stp>BDP|3706549500372914371</stp>
        <tr r="E52" s="89"/>
      </tp>
      <tp t="s">
        <v>#N/A Requesting Data...3861615712</v>
        <stp/>
        <stp>BDP|5312075309057886586</stp>
        <tr r="AI41" s="1"/>
      </tp>
      <tp t="s">
        <v>#N/A Requesting Data...4099571341</v>
        <stp/>
        <stp>BDP|1287193847504467758</stp>
        <tr r="D69" s="89"/>
      </tp>
      <tp t="s">
        <v>#N/A Requesting Data...3749868274</v>
        <stp/>
        <stp>BDP|2787535871500884705</stp>
        <tr r="S11" s="338"/>
      </tp>
      <tp t="s">
        <v>#N/A N/A</v>
        <stp/>
        <stp>BDP|7341491708322758684</stp>
        <tr r="AB60" s="89"/>
        <tr r="AB61" s="89"/>
      </tp>
      <tp t="s">
        <v>#N/A Requesting Data...4071389362</v>
        <stp/>
        <stp>BDP|9340297150798850129</stp>
        <tr r="E102" s="89"/>
      </tp>
      <tp t="s">
        <v>#N/A Requesting Data...4110177456</v>
        <stp/>
        <stp>BDP|9683098287681113793</stp>
        <tr r="C14" s="89"/>
        <tr r="C87" s="89"/>
      </tp>
      <tp t="s">
        <v>#N/A Requesting Data...4218481986</v>
        <stp/>
        <stp>BDP|7474449057554053566</stp>
        <tr r="AR24" s="2"/>
      </tp>
      <tp t="s">
        <v>#N/A Requesting Data...4134170709</v>
        <stp/>
        <stp>BDP|6362624963838148922</stp>
        <tr r="AF26" s="1"/>
      </tp>
      <tp t="s">
        <v>#N/A Requesting Data...4038954955</v>
        <stp/>
        <stp>BDP|2907663611126652497</stp>
        <tr r="D52" s="89"/>
      </tp>
      <tp t="s">
        <v>#N/A Requesting Data...3807767630</v>
        <stp/>
        <stp>BDP|4545516306737359105</stp>
        <tr r="O19" s="89"/>
      </tp>
      <tp t="s">
        <v>#N/A Requesting Data...3932824270</v>
        <stp/>
        <stp>BDP|4445164765726738268</stp>
        <tr r="Z86" s="89"/>
        <tr r="AA86" s="89"/>
      </tp>
      <tp t="s">
        <v>#N/A Requesting Data...3757949765</v>
        <stp/>
        <stp>BDP|1776687918603536244</stp>
        <tr r="V112" s="89"/>
        <tr r="AD18" s="2"/>
      </tp>
      <tp t="s">
        <v>#N/A Requesting Data...3787135303</v>
        <stp/>
        <stp>BDP|7057279456164256342</stp>
        <tr r="S8" s="338"/>
      </tp>
      <tp t="s">
        <v>#N/A Requesting Data...3882932070</v>
        <stp/>
        <stp>BDP|7034052966182144450</stp>
        <tr r="G7" s="446"/>
      </tp>
      <tp t="s">
        <v>#N/A Requesting Data...3938298878</v>
        <stp/>
        <stp>BDP|2027401203994540526</stp>
        <tr r="AA104" s="89"/>
        <tr r="Z104" s="89"/>
      </tp>
      <tp t="s">
        <v>#N/A Requesting Data...3808629639</v>
        <stp/>
        <stp>BDP|1685711720524577765</stp>
        <tr r="T13" s="2"/>
      </tp>
      <tp t="s">
        <v>#N/A Requesting Data...3850935626</v>
        <stp/>
        <stp>BDP|6248562901594532047</stp>
        <tr r="AR20" s="2"/>
      </tp>
      <tp t="s">
        <v>#N/A Requesting Data...3855443521</v>
        <stp/>
        <stp>BDP|4375402103807111045</stp>
        <tr r="AR17" s="2"/>
      </tp>
      <tp t="s">
        <v>#N/A Requesting Data...4026236107</v>
        <stp/>
        <stp>BDP|1636158366620394139</stp>
        <tr r="V76" s="89"/>
      </tp>
      <tp t="s">
        <v>#N/A Requesting Data...4005188428</v>
        <stp/>
        <stp>BDP|7130911573469165773</stp>
        <tr r="AD5" s="2"/>
      </tp>
      <tp>
        <v>210.32</v>
        <stp/>
        <stp>BDP|4344863504285541564|22</stp>
        <stp>AMZN Equity</stp>
        <stp>LAST_PRICE</stp>
        <tr r="I21" s="1"/>
      </tp>
      <tp t="s">
        <v>#N/A Requesting Data...4071423236</v>
        <stp/>
        <stp>BDP|9478381283761550308</stp>
        <tr r="AD27" s="2"/>
      </tp>
      <tp t="s">
        <v>#N/A Requesting Data...3840318703</v>
        <stp/>
        <stp>BDP|9045538132518316786</stp>
        <tr r="E7" s="2"/>
      </tp>
      <tp t="s">
        <v>#N/A Requesting Data...3924097350</v>
        <stp/>
        <stp>BDP|3454753217493992655</stp>
        <tr r="F36" s="446"/>
        <tr r="AB37" s="1"/>
      </tp>
      <tp t="s">
        <v>#N/A Requesting Data...4230867158</v>
        <stp/>
        <stp>BDP|8148908707662517398</stp>
        <tr r="AG24" s="1"/>
      </tp>
      <tp t="s">
        <v>#N/A Requesting Data...3987660587</v>
        <stp/>
        <stp>BDP|6955622269271151797</stp>
        <tr r="T4" s="2"/>
      </tp>
      <tp t="s">
        <v>#N/A N/A</v>
        <stp/>
        <stp>BDP|3685516077896874709</stp>
        <tr r="AC20" s="2"/>
        <tr r="AC21" s="2"/>
      </tp>
      <tp t="s">
        <v>#N/A Requesting Data...3918206107</v>
        <stp/>
        <stp>BDP|4719935720519999653</stp>
        <tr r="D7" s="2"/>
      </tp>
      <tp t="s">
        <v>#N/A Requesting Data...4209598814</v>
        <stp/>
        <stp>BDP|5153115361741916306</stp>
        <tr r="D26" s="2"/>
      </tp>
      <tp t="s">
        <v>#N/A Requesting Data...3993569187</v>
        <stp/>
        <stp>BDP|2073373381748750195</stp>
        <tr r="F25" s="446"/>
      </tp>
      <tp t="s">
        <v>#N/A Requesting Data...4070184907</v>
        <stp/>
        <stp>BDP|5508729427063936303</stp>
        <tr r="AB36" s="1"/>
      </tp>
      <tp t="s">
        <v>#N/A Requesting Data...4005241985</v>
        <stp/>
        <stp>BDP|5247577618786009732</stp>
        <tr r="D113" s="89"/>
      </tp>
      <tp t="s">
        <v>#N/A Requesting Data...4141526519</v>
        <stp/>
        <stp>BDP|3814614879190956260</stp>
        <tr r="AI23" s="1"/>
      </tp>
      <tp t="s">
        <v>#N/A Requesting Data...4100585119</v>
        <stp/>
        <stp>BDP|5959149956824211564</stp>
        <tr r="G38" s="446"/>
      </tp>
      <tp t="s">
        <v>#N/A Requesting Data...4211804672</v>
        <stp/>
        <stp>BDP|5381969730908949709</stp>
        <tr r="AD4" s="2"/>
      </tp>
      <tp t="s">
        <v>#N/A Requesting Data...4282388568</v>
        <stp/>
        <stp>BDP|9733097685151622010</stp>
        <tr r="T14" s="2"/>
      </tp>
      <tp t="s">
        <v>#N/A Requesting Data...3986781002</v>
        <stp/>
        <stp>BDP|6809118251995947735</stp>
        <tr r="AG17" s="1"/>
      </tp>
      <tp t="s">
        <v>#N/A Requesting Data...4182149956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B19" s="89"/>
        <tr r="AB20" s="89"/>
        <tr r="AQ5" s="2"/>
        <tr r="AQ6" s="2"/>
      </tp>
      <tp t="s">
        <v>#N/A Requesting Data...3842737422</v>
        <stp/>
        <stp>BDP|2925650370332906175</stp>
        <tr r="AI32" s="1"/>
      </tp>
      <tp t="s">
        <v>#N/A Requesting Data...3983450927</v>
        <stp/>
        <stp>BDP|3960122539301296028</stp>
        <tr r="O86" s="89"/>
      </tp>
      <tp t="s">
        <v>#N/A Requesting Data...3937041396</v>
        <stp/>
        <stp>BDP|2469275853951470473</stp>
        <tr r="F18" s="2"/>
      </tp>
      <tp t="s">
        <v>#N/A Requesting Data...4126033545</v>
        <stp/>
        <stp>BDP|4552037620785435316</stp>
        <tr r="P9" s="338"/>
      </tp>
      <tp t="s">
        <v>#N/A Requesting Data...4034308268</v>
        <stp/>
        <stp>BDP|8177301223040694940</stp>
        <tr r="AB22" s="1"/>
      </tp>
      <tp t="s">
        <v>#N/A Requesting Data...3835238774</v>
        <stp/>
        <stp>BDP|5137251643354744701</stp>
        <tr r="L12" s="338"/>
        <tr r="H12" s="338"/>
      </tp>
      <tp t="s">
        <v>#N/A Requesting Data...4171495300</v>
        <stp/>
        <stp>BDP|6283111272633911397</stp>
        <tr r="AJ11" s="338"/>
      </tp>
      <tp t="s">
        <v>#N/A Requesting Data...4017775739</v>
        <stp/>
        <stp>BDP|9824416267343988868</stp>
        <tr r="AI30" s="1"/>
      </tp>
      <tp t="s">
        <v>#N/A Requesting Data...4252588102</v>
        <stp/>
        <stp>BDP|1181800899621771193</stp>
        <tr r="V36" s="89"/>
        <tr r="AD22" s="2"/>
      </tp>
      <tp t="s">
        <v>#N/A Requesting Data...4195571619</v>
        <stp/>
        <stp>BDP|2847624409581566518</stp>
        <tr r="D10" s="2"/>
      </tp>
      <tp t="s">
        <v>#N/A Requesting Data...4113784654</v>
        <stp/>
        <stp>BDP|3586036471827725377</stp>
        <tr r="AR23" s="2"/>
      </tp>
      <tp t="s">
        <v>#N/A N/A</v>
        <stp/>
        <stp>BDP|1006835115128630075</stp>
        <tr r="AQ24" s="2"/>
        <tr r="AQ25" s="2"/>
        <tr r="AQ26" s="2"/>
      </tp>
      <tp t="s">
        <v>#N/A Requesting Data...3976126955</v>
        <stp/>
        <stp>BDP|7529226150318302830</stp>
        <tr r="O102" s="89"/>
      </tp>
      <tp t="s">
        <v>#N/A N/A</v>
        <stp/>
        <stp>BDP|15412285494780661870|22</stp>
        <stp>1OG6C 26000 Index</stp>
        <stp>DELTA_MID_RT</stp>
        <tr r="W69" s="89"/>
      </tp>
      <tp>
        <v>23.48</v>
        <stp/>
        <stp>BDP|13708122924811862625|22</stp>
        <stp>TSM US 06/18/26 C380 Equity</stp>
        <stp>mid</stp>
        <tr r="L28" s="2"/>
      </tp>
      <tp>
        <v>202.26</v>
        <stp/>
        <stp>BDP|17027429052585223577|22</stp>
        <stp>RSP EQUITY</stp>
        <stp>LAST_PRICE</stp>
        <tr r="L5" s="1"/>
      </tp>
      <tp t="s">
        <v>#N/A Requesting Data...4090852220</v>
        <stp/>
        <stp>BDP|4229187942781259116</stp>
        <tr r="AR22" s="2"/>
      </tp>
      <tp t="s">
        <v>#N/A Requesting Data...4121079809</v>
        <stp/>
        <stp>BDP|2150240593560856868</stp>
        <tr r="C20" s="2"/>
      </tp>
      <tp t="s">
        <v>#N/A Requesting Data...4233928615</v>
        <stp/>
        <stp>BDP|5889104764011396273</stp>
        <tr r="AI35" s="1"/>
      </tp>
      <tp t="s">
        <v>#N/A Requesting Data...4192890341</v>
        <stp/>
        <stp>BDP|8728351878839134440</stp>
        <tr r="AI10" s="338"/>
        <tr r="AI11" s="338"/>
        <tr r="AI12" s="338"/>
      </tp>
      <tp t="s">
        <v>#N/A Requesting Data...3894513933</v>
        <stp/>
        <stp>BDP|4347376869088623847</stp>
        <tr r="AK9" s="338"/>
      </tp>
      <tp t="s">
        <v>#N/A Requesting Data...3956818980</v>
        <stp/>
        <stp>BDP|6241899226908646569</stp>
        <tr r="D42" s="446"/>
      </tp>
      <tp t="s">
        <v>#N/A N/A</v>
        <stp/>
        <stp>BDP|6270526114126903508</stp>
        <tr r="AQ14" s="2"/>
        <tr r="AQ15" s="2"/>
      </tp>
      <tp t="s">
        <v>#N/A Requesting Data...4142452279</v>
        <stp/>
        <stp>BDP|5183368778820171035</stp>
        <tr r="F45" s="446"/>
      </tp>
      <tp t="s">
        <v>#N/A Requesting Data...4118528952</v>
        <stp/>
        <stp>BDP|5678783394829319341</stp>
        <tr r="F28" s="2"/>
      </tp>
      <tp t="s">
        <v>#N/A Requesting Data...3845122672</v>
        <stp/>
        <stp>BDP|7731723300049141892</stp>
        <tr r="T103" s="89"/>
      </tp>
      <tp t="s">
        <v>#N/A Requesting Data...3860179771</v>
        <stp/>
        <stp>BDP|5223714776062803600</stp>
        <tr r="AC13" s="1"/>
      </tp>
      <tp t="s">
        <v>#N/A Requesting Data...3920251990</v>
        <stp/>
        <stp>BDP|3634455751272018107</stp>
        <tr r="G40" s="446"/>
      </tp>
      <tp t="s">
        <v>#N/A N/A</v>
        <stp/>
        <stp>BDP|9299015762239453779</stp>
        <tr r="R60" s="89"/>
        <tr r="R61" s="89"/>
      </tp>
      <tp t="s">
        <v>#N/A N/A</v>
        <stp/>
        <stp>BDH|6087109060109539973</stp>
        <tr r="AM12" s="338"/>
      </tp>
      <tp t="s">
        <v>#N/A Requesting Data...4252153337</v>
        <stp/>
        <stp>BDP|6015276416951622546</stp>
        <tr r="F7" s="2"/>
      </tp>
      <tp t="s">
        <v>#N/A N/A</v>
        <stp/>
        <stp>BDP|9633924773914414208</stp>
        <tr r="AC4" s="2"/>
      </tp>
      <tp t="s">
        <v>#N/A Requesting Data...4251190324</v>
        <stp/>
        <stp>BDP|9739406253298596110</stp>
        <tr r="AI19" s="1"/>
      </tp>
      <tp t="s">
        <v>#N/A Requesting Data...3974393883</v>
        <stp/>
        <stp>BDP|3039568774333242302</stp>
        <tr r="AI15" s="1"/>
      </tp>
      <tp t="s">
        <v>#N/A N/A</v>
        <stp/>
        <stp>BDP|1821230040030393694</stp>
        <tr r="AQ12" s="2"/>
        <tr r="AQ13" s="2"/>
      </tp>
      <tp t="s">
        <v>#N/A Requesting Data...4030939209</v>
        <stp/>
        <stp>BDP|6324014549174281781</stp>
        <tr r="L8" s="338"/>
        <tr r="H8" s="338"/>
      </tp>
      <tp t="s">
        <v>#N/A N/A</v>
        <stp/>
        <stp>BDP|8968284987484412739</stp>
        <tr r="AQ27" s="2"/>
        <tr r="AQ28" s="2"/>
      </tp>
      <tp t="s">
        <v>#N/A Requesting Data...4118302360</v>
        <stp/>
        <stp>BDP|7507667790171466811</stp>
        <tr r="V20" s="89"/>
        <tr r="AD6" s="2"/>
      </tp>
      <tp t="s">
        <v>#N/A Requesting Data...4043353873</v>
        <stp/>
        <stp>BDP|9939228331380883944</stp>
        <tr r="G11" s="446"/>
      </tp>
      <tp t="s">
        <v>#N/A Requesting Data...4265550654</v>
        <stp/>
        <stp>BDP|2267087599569280367</stp>
        <tr r="P10" s="338"/>
      </tp>
      <tp t="s">
        <v>#N/A Requesting Data...4267051057</v>
        <stp/>
        <stp>BDP|6196916285503766559</stp>
        <tr r="K20" s="1"/>
      </tp>
      <tp t="s">
        <v>#N/A Requesting Data...3942534418</v>
        <stp/>
        <stp>BDP|6497440232258298876</stp>
        <tr r="AF13" s="1"/>
      </tp>
      <tp t="s">
        <v>#N/A Requesting Data...3921630533</v>
        <stp/>
        <stp>BDP|2545685418712037619</stp>
        <tr r="V43" s="89"/>
      </tp>
      <tp t="s">
        <v>#N/A Requesting Data...4092336676</v>
        <stp/>
        <stp>BDP|4387077451867676775</stp>
        <tr r="K41" s="1"/>
      </tp>
      <tp t="s">
        <v>#N/A Requesting Data...4244171677</v>
        <stp/>
        <stp>BDP|4309165367065469727</stp>
        <tr r="E19" s="2"/>
      </tp>
      <tp t="s">
        <v>#N/A Requesting Data...4051430019</v>
        <stp/>
        <stp>BDP|7361061810540035705</stp>
        <tr r="AA15" s="2"/>
      </tp>
      <tp>
        <v>3.85</v>
        <stp/>
        <stp>BDP|13137950153950042285|22</stp>
        <stp>AMZN US 04/17/26 C235 Equity</stp>
        <stp>ask</stp>
        <tr r="L7" s="89"/>
        <tr r="Q20" s="2"/>
      </tp>
      <tp>
        <v>5.65</v>
        <stp/>
        <stp>BDP|118569511771704697|22</stp>
        <stp>INTC US 07/17/26 C60 Equity</stp>
        <stp>ask</stp>
        <tr r="Q17" s="2"/>
        <tr r="L111" s="89"/>
      </tp>
      <tp t="s">
        <v>#N/A Requesting Data...3893409676</v>
        <stp/>
        <stp>BDP|7233175603467549387</stp>
        <tr r="V31" s="89"/>
      </tp>
      <tp t="s">
        <v>#N/A Requesting Data...4287796323</v>
        <stp/>
        <stp>BDP|7860310106547363177</stp>
        <tr r="AA96" s="89"/>
        <tr r="Z96" s="89"/>
      </tp>
      <tp t="s">
        <v>#N/A Requesting Data...3858195510</v>
        <stp/>
        <stp>BDP|2721287269476965276</stp>
        <tr r="V11" s="338"/>
      </tp>
      <tp t="s">
        <v>#N/A Requesting Data...3978946077</v>
        <stp/>
        <stp>BDP|1046892890505323720</stp>
        <tr r="D8" s="89"/>
      </tp>
      <tp t="s">
        <v>#N/A Requesting Data...4017197697</v>
        <stp/>
        <stp>BDP|1927755561564288678</stp>
        <tr r="G45" s="446"/>
      </tp>
      <tp t="s">
        <v>#N/A Requesting Data...4161744428</v>
        <stp/>
        <stp>BDP|3284843281913962260</stp>
        <tr r="C5" s="2"/>
      </tp>
      <tp t="s">
        <v>#N/A Requesting Data...4207134547</v>
        <stp/>
        <stp>BDP|5728718823292467081</stp>
        <tr r="S8" s="2"/>
        <tr r="S9" s="2"/>
        <tr r="N37" s="89"/>
        <tr r="S23" s="2"/>
        <tr r="S28" s="2"/>
        <tr r="N96" s="89"/>
        <tr r="S4" s="2"/>
        <tr r="S5" s="2"/>
        <tr r="S10" s="2"/>
        <tr r="S12" s="2"/>
        <tr r="S14" s="2"/>
        <tr r="S15" s="2"/>
        <tr r="S17" s="2"/>
        <tr r="S18" s="2"/>
        <tr r="S19" s="2"/>
        <tr r="S27" s="2"/>
        <tr r="N7" s="89"/>
        <tr r="N8" s="89"/>
        <tr r="N14" s="89"/>
        <tr r="N19" s="89"/>
        <tr r="N20" s="89"/>
        <tr r="N30" s="89"/>
        <tr r="N31" s="89"/>
        <tr r="N36" s="89"/>
        <tr r="N43" s="89"/>
        <tr r="N44" s="89"/>
        <tr r="N70" s="89"/>
        <tr r="N87" s="89"/>
        <tr r="N102" s="89"/>
        <tr r="N103" s="89"/>
        <tr r="N104" s="89"/>
        <tr r="N111" s="89"/>
        <tr r="N112" s="89"/>
        <tr r="N113" s="89"/>
        <tr r="N69" s="89"/>
        <tr r="S24" s="2"/>
        <tr r="S6" s="2"/>
        <tr r="S22" s="2"/>
        <tr r="S7" s="2"/>
        <tr r="S25" s="2"/>
        <tr r="S26" s="2"/>
        <tr r="S20" s="2"/>
        <tr r="S21" s="2"/>
        <tr r="S11" s="2"/>
        <tr r="S13" s="2"/>
        <tr r="N13" s="89"/>
        <tr r="N85" s="89"/>
        <tr r="N86" s="89"/>
        <tr r="S16" s="2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31" s="1"/>
        <tr r="L32" s="1"/>
        <tr r="L33" s="1"/>
        <tr r="L34" s="1"/>
        <tr r="L35" s="1"/>
        <tr r="L36" s="1"/>
        <tr r="L37" s="1"/>
        <tr r="L38" s="1"/>
        <tr r="L39" s="1"/>
        <tr r="L40" s="1"/>
        <tr r="L41" s="1"/>
        <tr r="L42" s="1"/>
        <tr r="L43" s="1"/>
        <tr r="L44" s="1"/>
        <tr r="N76" s="89"/>
      </tp>
      <tp t="s">
        <v>#N/A Requesting Data...3910033203</v>
        <stp/>
        <stp>BDP|6326761665286984308</stp>
        <tr r="AD16" s="2"/>
      </tp>
      <tp t="s">
        <v>#N/A Requesting Data...3909091115</v>
        <stp/>
        <stp>BDP|3004009559840185419</stp>
        <tr r="T10" s="2"/>
      </tp>
      <tp t="s">
        <v>#N/A N/A</v>
        <stp/>
        <stp>BDH|4821602952225232018</stp>
        <tr r="AU10" s="338"/>
        <tr r="AU12" s="338"/>
        <tr r="AU11" s="338"/>
      </tp>
      <tp t="s">
        <v>#N/A Requesting Data...3928095868</v>
        <stp/>
        <stp>BDP|4413248519100279551</stp>
        <tr r="AD8" s="2"/>
      </tp>
      <tp t="s">
        <v>#N/A Requesting Data...3895337727</v>
        <stp/>
        <stp>BDP|9919677548080032985</stp>
        <tr r="G44" s="446"/>
      </tp>
      <tp t="s">
        <v>#N/A Requesting Data...3873281833</v>
        <stp/>
        <stp>BDP|3289149679383755445</stp>
        <tr r="AC33" s="1"/>
      </tp>
      <tp t="s">
        <v>#N/A Requesting Data...3969216520</v>
        <stp/>
        <stp>BDP|6172070853435387447</stp>
        <tr r="AB34" s="1"/>
      </tp>
      <tp t="s">
        <v>#N/A Requesting Data...4261762159</v>
        <stp/>
        <stp>BDP|4636653477250550732</stp>
        <tr r="G31" s="446"/>
      </tp>
      <tp t="s">
        <v>#N/A Requesting Data...4261829916</v>
        <stp/>
        <stp>BDP|5714451203842663158</stp>
        <tr r="N8" s="1"/>
      </tp>
      <tp t="s">
        <v>#N/A Requesting Data...4257565721</v>
        <stp/>
        <stp>BDP|6639649066161548527</stp>
        <tr r="AA13" s="2"/>
      </tp>
      <tp t="s">
        <v>#N/A Requesting Data...3902142824</v>
        <stp/>
        <stp>BDP|2461221557186208139</stp>
        <tr r="C103" s="89"/>
      </tp>
      <tp t="s">
        <v>#N/A Requesting Data...3876281387</v>
        <stp/>
        <stp>BDP|8178471048568738297</stp>
        <tr r="C44" s="89"/>
      </tp>
      <tp t="s">
        <v>#N/A Requesting Data...4102567793</v>
        <stp/>
        <stp>BDP|8063366356299445552</stp>
        <tr r="K33" s="1"/>
      </tp>
      <tp t="s">
        <v>#N/A Requesting Data...3996572445</v>
        <stp/>
        <stp>BDP|3519061147724655148</stp>
        <tr r="AJ8" s="338"/>
      </tp>
      <tp t="s">
        <v>#N/A N/A</v>
        <stp/>
        <stp>BDP|7081821343440342958</stp>
        <tr r="Q9" s="338"/>
      </tp>
      <tp t="s">
        <v>#N/A Requesting Data...3907505682</v>
        <stp/>
        <stp>BDP|5861673948154147128</stp>
        <tr r="F25" s="2"/>
      </tp>
      <tp>
        <v>-1.45489501953125</v>
        <stp/>
        <stp>BDP|13654846654275774178|22</stp>
        <stp>MELI US 02/20/26 C2150 Equity</stp>
        <stp>theta_mid_rt</stp>
        <tr r="AN16" s="2"/>
      </tp>
      <tp t="s">
        <v>#N/A Real Time</v>
        <stp/>
        <stp>BDP|7002617886444187304|22</stp>
        <stp>RUWZ5 Index</stp>
        <stp>LAST_PRICE</stp>
        <tr r="S60" s="89"/>
        <tr r="S61" s="89"/>
      </tp>
      <tp>
        <v>25044.25</v>
        <stp/>
        <stp>BDP|14594273167499033517|22</stp>
        <stp>1OH6 INDEX</stp>
        <stp>LAST_PRICE</stp>
        <tr r="Z24" s="2"/>
        <tr r="Z26" s="2"/>
        <tr r="Z25" s="2"/>
      </tp>
      <tp t="s">
        <v>#N/A Requesting Data...4001971769</v>
        <stp/>
        <stp>BDP|4669365388388290407</stp>
        <tr r="N5" s="1"/>
      </tp>
      <tp t="s">
        <v>#N/A Requesting Data...4260870095</v>
        <stp/>
        <stp>BDP|2591422732557732191</stp>
        <tr r="L10" s="338"/>
        <tr r="H10" s="338"/>
      </tp>
      <tp t="s">
        <v>#N/A Requesting Data...4165152743</v>
        <stp/>
        <stp>BDP|2000559898458006561</stp>
        <tr r="K22" s="1"/>
      </tp>
      <tp t="s">
        <v>#N/A Requesting Data...4083044043</v>
        <stp/>
        <stp>BDP|2712182493701537812</stp>
        <tr r="T20" s="89"/>
        <tr r="AA6" s="2"/>
      </tp>
      <tp t="s">
        <v>#N/A Requesting Data...4104222639</v>
        <stp/>
        <stp>BDP|7115677759757668004</stp>
        <tr r="AC38" s="1"/>
      </tp>
      <tp t="s">
        <v>#N/A Requesting Data...4216924364</v>
        <stp/>
        <stp>BDP|3754293213215371607</stp>
        <tr r="F5" s="446"/>
        <tr r="F6" s="446"/>
      </tp>
      <tp t="s">
        <v>#N/A Requesting Data...4003815493</v>
        <stp/>
        <stp>BDP|9588206623063881918</stp>
        <tr r="AF36" s="1"/>
      </tp>
      <tp t="s">
        <v>#N/A Requesting Data...4008719378</v>
        <stp/>
        <stp>BDP|7961266924697349349</stp>
        <tr r="X12" s="338"/>
      </tp>
      <tp t="s">
        <v>#N/A Requesting Data...4057384954</v>
        <stp/>
        <stp>BDP|7777047645317887721</stp>
        <tr r="V61" s="89"/>
      </tp>
      <tp t="s">
        <v>#N/A Requesting Data...4196142450</v>
        <stp/>
        <stp>BDP|3087659918602596549</stp>
        <tr r="E19" s="89"/>
      </tp>
      <tp t="s">
        <v>#N/A Requesting Data...4060238918</v>
        <stp/>
        <stp>BDP|6845810093986812204</stp>
        <tr r="O7" s="89"/>
        <tr r="T20" s="2"/>
      </tp>
      <tp t="s">
        <v>#N/A Requesting Data...3910636160</v>
        <stp/>
        <stp>BDP|9068544027705070818</stp>
        <tr r="D24" s="2"/>
      </tp>
      <tp t="s">
        <v>#N/A Requesting Data...3915784037</v>
        <stp/>
        <stp>BDP|9309272719909877078</stp>
        <tr r="E36" s="89"/>
      </tp>
      <tp t="s">
        <v>#N/A Requesting Data...4197115143</v>
        <stp/>
        <stp>BDP|8020332285295353568</stp>
        <tr r="P8" s="338"/>
      </tp>
      <tp t="s">
        <v>#N/A Requesting Data...4215682703</v>
        <stp/>
        <stp>BDP|6376778446973934587</stp>
        <tr r="V102" s="89"/>
      </tp>
      <tp t="s">
        <v>#N/A Requesting Data...4108743211</v>
        <stp/>
        <stp>BDP|2434188206592879222</stp>
        <tr r="F11" s="2"/>
      </tp>
      <tp t="s">
        <v>#N/A Requesting Data...3940993966</v>
        <stp/>
        <stp>BDP|5888175656914033689</stp>
        <tr r="AA27" s="2"/>
      </tp>
      <tp t="s">
        <v>#N/A Requesting Data...4006595858</v>
        <stp/>
        <stp>BDP|6109913190467097261</stp>
        <tr r="AF25" s="1"/>
        <tr r="AG8" s="338"/>
      </tp>
      <tp t="s">
        <v>#N/A Requesting Data...3960488360</v>
        <stp/>
        <stp>BDP|6515604110606525460</stp>
        <tr r="AC43" s="1"/>
      </tp>
      <tp t="s">
        <v>#N/A Requesting Data...4292910710</v>
        <stp/>
        <stp>BDP|7972065628667005104</stp>
        <tr r="C104" s="89"/>
      </tp>
      <tp t="s">
        <v>#N/A Requesting Data...4213670159</v>
        <stp/>
        <stp>BDP|6281575064076017068</stp>
        <tr r="AC14" s="1"/>
      </tp>
      <tp t="s">
        <v>#N/A Requesting Data...4255542136</v>
        <stp/>
        <stp>BDP|8245865345547421013</stp>
        <tr r="D30" s="446"/>
        <tr r="AC26" s="1"/>
      </tp>
      <tp>
        <v>62.45</v>
        <stp/>
        <stp>BDP|18176311034118889492|22</stp>
        <stp>META US 07/17/26 C670 Equity</stp>
        <stp>ask</stp>
        <tr r="L86" s="89"/>
      </tp>
      <tp>
        <v>401.14</v>
        <stp/>
        <stp>BDP|9988051122657863096|22</stp>
        <stp>MSFT US Equity</stp>
        <stp>LAST_PRICE</stp>
        <tr r="S31" s="89"/>
        <tr r="S30" s="89"/>
      </tp>
      <tp>
        <v>1.1100000000000001</v>
        <stp/>
        <stp>BDP|17345654414559390667|22</stp>
        <stp>MRVL US 03/20/26 P60 Equity</stp>
        <stp>ask</stp>
        <tr r="Q13" s="2"/>
      </tp>
      <tp>
        <v>-0.12389799952507019</v>
        <stp/>
        <stp>BDP|12098786877158670568|22</stp>
        <stp>TSM US 06/18/26 C340 Equity</stp>
        <stp>theta_mid_rt</stp>
        <tr r="AN27" s="2"/>
      </tp>
      <tp>
        <v>9</v>
        <stp/>
        <stp>BDP|15563065055018194263|22</stp>
        <stp>INTC US 07/17/26 C50 Equity</stp>
        <stp>ask</stp>
        <tr r="Q18" s="2"/>
        <tr r="L112" s="89"/>
      </tp>
      <tp>
        <v>0</v>
        <stp/>
        <stp>BDP|14984077363531151941|22</stp>
        <stp>QQQ US 02/06/26 P585 Equity</stp>
        <stp>theta_mid_rt</stp>
        <tr r="AN23" s="2"/>
      </tp>
      <tp>
        <v>2.75</v>
        <stp/>
        <stp>BDP|16635244585526588457|22</stp>
        <stp>MRVL US 03/20/26 P70 Equity</stp>
        <stp>mid</stp>
        <tr r="L12" s="2"/>
      </tp>
      <tp>
        <v>35.799999999999997</v>
        <stp/>
        <stp>BDP|17652529992752880187|22</stp>
        <stp>AVGO US 06/18/26 C350 Equity</stp>
        <stp>bid</stp>
        <tr r="P5" s="2"/>
      </tp>
      <tp t="s">
        <v>#N/A N/A</v>
        <stp/>
        <stp>BDP|11933838472843012135|22</stp>
        <stp>QQQ US 02/06/26 P585 Equity</stp>
        <stp>bid</stp>
        <tr r="K37" s="89"/>
        <tr r="P23" s="2"/>
      </tp>
      <tp>
        <v>0.11</v>
        <stp/>
        <stp>BDP|15901604230708554053|22</stp>
        <stp>ASHR US 02/20/26 C35 Equity</stp>
        <stp>mid</stp>
        <tr r="L4" s="2"/>
      </tp>
      <tp>
        <v>1970.15</v>
        <stp/>
        <stp>BDP|6616931875212323656|22</stp>
        <stp>MELI US Equity</stp>
        <stp>LAST_PRICE</stp>
        <tr r="Z16" s="2"/>
      </tp>
      <tp>
        <v>5.35</v>
        <stp/>
        <stp>BDP|17598965980347826426|22</stp>
        <stp>QQQ US 02/20/26 P595 Equity</stp>
        <stp>ask</stp>
        <tr r="L43" s="89"/>
      </tp>
      <tp>
        <v>1442.95</v>
        <stp/>
        <stp>BDP|13350676150568078370|22</stp>
        <stp>KLAC EQUITY</stp>
        <stp>LAST_PRICE</stp>
        <tr r="H5" s="1"/>
      </tp>
      <tp>
        <v>-0.17799800634384155</v>
        <stp/>
        <stp>BDP|7815535696147585871|22</stp>
        <stp>META US 07/17/26 C750 Equity</stp>
        <stp>theta_mid_rt</stp>
        <tr r="AN11" s="2"/>
      </tp>
      <tp t="s">
        <v>USD</v>
        <stp/>
        <stp>BDP|17653302790695790496|22</stp>
        <stp>AVGO US 02/06/26 C315 Equity</stp>
        <stp>QUOTED_CURRENCY_REALTIME</stp>
        <tr r="F19" s="89"/>
      </tp>
      <tp t="s">
        <v>USD</v>
        <stp/>
        <stp>BDP|14649358559893085324|22</stp>
        <stp>AVGO US 06/18/26 C350 Equity</stp>
        <stp>QUOTED_CURRENCY_REALTIME</stp>
        <tr r="G5" s="2"/>
      </tp>
      <tp>
        <v>2.85</v>
        <stp/>
        <stp>BDP|15925931344332195569|22</stp>
        <stp>MRVL US 03/20/26 P70 Equity</stp>
        <stp>ask</stp>
        <tr r="Q12" s="2"/>
      </tp>
      <tp>
        <v>82.2</v>
        <stp/>
        <stp>BDP|2401224757541047929|22</stp>
        <stp>NFLX Equity</stp>
        <stp>LAST_PRICE</stp>
        <tr r="I22" s="1"/>
      </tp>
      <tp>
        <v>23.05</v>
        <stp/>
        <stp>BDP|982929759879592273|22</stp>
        <stp>TSM US 06/18/26 C380 Equity</stp>
        <stp>bid</stp>
        <tr r="P28" s="2"/>
      </tp>
      <tp>
        <v>11.1</v>
        <stp/>
        <stp>BDP|15384331310664076701|22</stp>
        <stp>AVGO US 02/13/26 C330 Equity</stp>
        <stp>mid</stp>
        <tr r="L6" s="2"/>
      </tp>
      <tp>
        <v>1413.01</v>
        <stp/>
        <stp>BDP|12845263168978951663|22</stp>
        <stp>ASML EQUITY</stp>
        <stp>LAST_PRICE</stp>
        <tr r="H3" s="1"/>
      </tp>
      <tp>
        <v>12.5</v>
        <stp/>
        <stp>BDP|11917333202169015547|22</stp>
        <stp>QQQ US 02/06/26 P624 Equity</stp>
        <stp>bid</stp>
        <tr r="K104" s="89"/>
      </tp>
      <tp>
        <v>-6.4251996576786041E-2</v>
        <stp/>
        <stp>BDP|3620311044202714360|22</stp>
        <stp>AMZN US 04/17/26 C235 Equity</stp>
        <stp>theta_mid_rt</stp>
        <tr r="AN20" s="2"/>
      </tp>
      <tp>
        <v>323.10000000000002</v>
        <stp/>
        <stp>BDP|2010687940946133293|22</stp>
        <stp>GOOG US Equity</stp>
        <stp>LAST_PRICE</stp>
        <tr r="Z7" s="2"/>
      </tp>
      <tp>
        <v>401.14</v>
        <stp/>
        <stp>BDP|1912830234697829517|22</stp>
        <stp>MSFT Equity</stp>
        <stp>LAST_PRICE</stp>
        <tr r="I26" s="1"/>
      </tp>
      <tp>
        <v>2.8</v>
        <stp/>
        <stp>BDP|16465224484309527790|22</stp>
        <stp>QQQ US 02/20/26 P580 Equity</stp>
        <stp>ask</stp>
        <tr r="L44" s="89"/>
      </tp>
      <tp>
        <v>597.95000000000005</v>
        <stp/>
        <stp>BDP|16456740670778988606|22</stp>
        <stp>SNDK EQUITY</stp>
        <stp>LAST_PRICE</stp>
        <tr r="H1" s="1"/>
      </tp>
      <tp>
        <v>102.55</v>
        <stp/>
        <stp>BDP|11511261369815685982|22</stp>
        <stp>QQQE EQUITY</stp>
        <stp>LAST_PRICE</stp>
        <tr r="L7" s="1"/>
      </tp>
      <tp>
        <v>82.2</v>
        <stp/>
        <stp>BDP|8263106965958046051|22</stp>
        <stp>NFLX US Equity</stp>
        <stp>LAST_PRICE</stp>
        <tr r="Z9" s="2"/>
        <tr r="Z10" s="2"/>
      </tp>
      <tp>
        <v>17.25</v>
        <stp/>
        <stp>BDP|16865955495417033748|22</stp>
        <stp>AVGO US 02/06/26 C315 Equity</stp>
        <stp>bid</stp>
        <tr r="K19" s="89"/>
      </tp>
      <tp>
        <v>3.77</v>
        <stp/>
        <stp>BDP|13120707178130364758|22</stp>
        <stp>NFLX US 05/15/26 C90 Equity</stp>
        <stp>mid</stp>
        <tr r="L9" s="2"/>
      </tp>
      <tp t="s">
        <v>#N/A N/A</v>
        <stp/>
        <stp>BDP|11288185254188444143|22</stp>
        <stp>GOOG US 02/06/26 P300 Equity</stp>
        <stp>bid</stp>
        <tr r="P7" s="2"/>
      </tp>
      <tp>
        <v>278.12</v>
        <stp/>
        <stp>BDP|13852632459561529635|22</stp>
        <stp>AAPL EQUITY</stp>
        <stp>LAST_PRICE</stp>
        <tr r="C6" s="1"/>
      </tp>
      <tp t="s">
        <v>#N/A N/A</v>
        <stp/>
        <stp>BDP|18022641946742694423|22</stp>
        <stp>QQQ US 02/06/26 P600 Equity</stp>
        <stp>bid</stp>
        <tr r="K36" s="89"/>
        <tr r="P22" s="2"/>
      </tp>
      <tp>
        <v>1.95</v>
        <stp/>
        <stp>BDP|11644130666006175934|22</stp>
        <stp>NFLX US 05/15/26 P70 Equity</stp>
        <stp>mid</stp>
        <tr r="L10" s="2"/>
      </tp>
      <tp>
        <v>145.93</v>
        <stp/>
        <stp>BDP|7581686725725045071|22</stp>
        <stp>BIDU Equity</stp>
        <stp>LAST_PRICE</stp>
        <tr r="I13" s="1"/>
      </tp>
      <tp>
        <v>0</v>
        <stp/>
        <stp>BDP|10608519479857460451|22</stp>
        <stp>QQQ US 02/06/26 P600 Equity</stp>
        <stp>theta_mid_rt</stp>
        <tr r="AN22" s="2"/>
      </tp>
      <tp>
        <v>185.41</v>
        <stp/>
        <stp>BDP|2630581548609766860|22</stp>
        <stp>NVDA US Equity</stp>
        <stp>LAST_PRICE</stp>
        <tr r="Z8" s="2"/>
      </tp>
      <tp t="s">
        <v>USD</v>
        <stp/>
        <stp>BDP|16004856901519448852|22</stp>
        <stp>INTC US 07/17/26 C60 Equity</stp>
        <stp>QUOTED_CURRENCY_REALTIME</stp>
        <tr r="G17" s="2"/>
        <tr r="F111" s="89"/>
      </tp>
      <tp>
        <v>322.86</v>
        <stp/>
        <stp>BDP|7379094059985716684|22</stp>
        <stp>GOOGL EQUITY</stp>
        <stp>LAST_PRICE</stp>
        <tr r="C8" s="1"/>
      </tp>
      <tp>
        <v>36.75</v>
        <stp/>
        <stp>BDP|16021407028720881249|22</stp>
        <stp>AVGO US 06/18/26 C350 Equity</stp>
        <stp>ask</stp>
        <tr r="Q5" s="2"/>
      </tp>
      <tp>
        <v>162.91999999999999</v>
        <stp/>
        <stp>BDP|6290765801174780597|22</stp>
        <stp>WDAY Equity</stp>
        <stp>LAST PRICE</stp>
        <tr r="L10" s="446"/>
      </tp>
      <tp>
        <v>6932.3</v>
        <stp/>
        <stp>BDP|2596990609892593565|22</stp>
        <stp>SPX Index</stp>
        <stp>LAST_PRICE</stp>
        <tr r="S76" s="89"/>
      </tp>
      <tp t="s">
        <v>USD</v>
        <stp/>
        <stp>BDP|16116909827799617111|22</stp>
        <stp>MRVL US 03/20/26 P60 Equity</stp>
        <stp>QUOTED_CURRENCY_REALTIME</stp>
        <tr r="G13" s="2"/>
      </tp>
      <tp t="s">
        <v>#N/A N/A</v>
        <stp/>
        <stp>BDP|731019825521593680|22</stp>
        <stp>QQQ US 02/06/26 C640 Equity</stp>
        <stp>bid</stp>
        <tr r="K102" s="89"/>
      </tp>
      <tp>
        <v>8.8000000000000007</v>
        <stp/>
        <stp>BDP|13492411471909401383|22</stp>
        <stp>INTC US 07/17/26 C50 Equity</stp>
        <stp>mid</stp>
        <tr r="L18" s="2"/>
      </tp>
      <tp t="s">
        <v>#N/A N/A</v>
        <stp/>
        <stp>BDP|7958357526269107846|22</stp>
        <stp>1OG6C 25550 INDEX</stp>
        <stp>DELTA_MID_RT</stp>
        <tr r="AF25" s="2"/>
      </tp>
      <tp>
        <v>12.15</v>
        <stp/>
        <stp>BDP|10572433094613538553|22</stp>
        <stp>NVDA US 05/15/26 C200 Equity</stp>
        <stp>mid</stp>
        <tr r="L8" s="2"/>
      </tp>
      <tp>
        <v>210.32</v>
        <stp/>
        <stp>BDP|12911088506019095722|22</stp>
        <stp>AMZN EQUITY</stp>
        <stp>LAST_PRICE</stp>
        <tr r="C5" s="1"/>
      </tp>
      <tp>
        <v>5.29</v>
        <stp/>
        <stp>BDP|14205834118096183107|22</stp>
        <stp>QQQ US 02/20/26 P595 Equity</stp>
        <stp>bid</stp>
        <tr r="K43" s="89"/>
      </tp>
      <tp t="s">
        <v>USD</v>
        <stp/>
        <stp>BDP|14620907254494457852|22</stp>
        <stp>MSFT US 02/20/26 P375 Equity</stp>
        <stp>QUOTED_CURRENCY_REALTIME</stp>
        <tr r="F30" s="89"/>
      </tp>
      <tp>
        <v>12.2</v>
        <stp/>
        <stp>BDP|15097796525407453303|22</stp>
        <stp>NVDA US 05/15/26 C200 Equity</stp>
        <stp>ask</stp>
        <tr r="Q8" s="2"/>
      </tp>
      <tp>
        <v>0.96</v>
        <stp/>
        <stp>BDP|15976575646475181995|22</stp>
        <stp>MRVL US 03/20/26 P60 Equity</stp>
        <stp>mid</stp>
        <tr r="L13" s="2"/>
      </tp>
      <tp>
        <v>16.350000000000001</v>
        <stp/>
        <stp>BDP|12582220470592471290|22</stp>
        <stp>QQQ US 02/06/26 P624 Equity</stp>
        <stp>ask</stp>
        <tr r="L104" s="89"/>
      </tp>
      <tp>
        <v>5.2191000000000001</v>
        <stp/>
        <stp>BDP|10515480241315630363|22</stp>
        <stp>brl Curncy</stp>
        <stp>LAST_PRICE</stp>
        <tr r="AC3" s="1"/>
      </tp>
      <tp>
        <v>0.01</v>
        <stp/>
        <stp>BDP|17680147564778800914|22</stp>
        <stp>QQQ US 02/06/26 P600 Equity</stp>
        <stp>mid</stp>
        <tr r="L22" s="2"/>
      </tp>
      <tp t="s">
        <v>#N/A N/A</v>
        <stp/>
        <stp>BDP|5304029804713288774|22</stp>
        <stp>1OG6P 23500 INDEX</stp>
        <stp>DELTA_MID_RT</stp>
        <tr r="AF26" s="2"/>
      </tp>
      <tp>
        <v>185.41</v>
        <stp/>
        <stp>BDP|12910010818921564731|22</stp>
        <stp>NVDA EQUITY</stp>
        <stp>LAST_PRICE</stp>
        <tr r="C2" s="1"/>
      </tp>
      <tp t="s">
        <v>#N/A Real Time</v>
        <stp/>
        <stp>BDP|2893526367884529171|22</stp>
        <stp>RTYWU5C3 2425 Index</stp>
        <stp>QUOTED_CURRENCY_REALTIME</stp>
        <tr r="F60" s="89"/>
      </tp>
      <tp t="s">
        <v>#N/A Requesting Data...4145659779</v>
        <stp/>
        <stp>BDP|700163601034659087</stp>
        <tr r="E8" s="89"/>
      </tp>
      <tp t="s">
        <v>#N/A N/A</v>
        <stp/>
        <stp>BDP|673479563892563506</stp>
        <tr r="AQ16" s="2"/>
      </tp>
      <tp t="s">
        <v>#N/A Requesting Data...4043478119</v>
        <stp/>
        <stp>BDP|520527012585306457</stp>
        <tr r="G18" s="446"/>
      </tp>
      <tp t="s">
        <v>#N/A N/A</v>
        <stp/>
        <stp>BDP|2672814698828873688|22</stp>
        <stp>QQQ US 02/06/26 C634 Equity</stp>
        <stp>bid</stp>
        <tr r="K103" s="89"/>
      </tp>
      <tp>
        <v>139.83000000000001</v>
        <stp/>
        <stp>BDP|15031025441735979532|22</stp>
        <stp>RDDT Equity</stp>
        <stp>LAST PRICE</stp>
        <tr r="L11" s="446"/>
      </tp>
      <tp t="s">
        <v>#N/A Requesting Data...4134935821</v>
        <stp/>
        <stp>BDP|608595985359488024</stp>
        <tr r="AH10" s="338"/>
        <tr r="AJ10" s="338"/>
      </tp>
      <tp t="s">
        <v>#N/A Real Time</v>
        <stp/>
        <stp>BDP|6895042931085999518|22</stp>
        <stp>4EM5C    6300 Index</stp>
        <stp>QUOTED_CURRENCY_REALTIME</stp>
        <tr r="F52" s="89"/>
      </tp>
      <tp t="s">
        <v>#N/A Real Time</v>
        <stp/>
        <stp>BDP|8620530903588151104|22</stp>
        <stp>4EM5P    6025 Index</stp>
        <stp>bid</stp>
        <tr r="K53" s="89"/>
      </tp>
      <tp>
        <v>429.32</v>
        <stp/>
        <stp>BDP|432481419162495379|22</stp>
        <stp>STX EQUITY</stp>
        <stp>LAST_PRICE</stp>
        <tr r="H8" s="1"/>
      </tp>
      <tp t="s">
        <v>#N/A Requesting Data...4087805929</v>
        <stp/>
        <stp>BDP|686234847331911027</stp>
        <tr r="G17" s="446"/>
      </tp>
      <tp t="s">
        <v>#N/A N/A</v>
        <stp/>
        <stp>BDP|787021501530132710</stp>
        <tr r="Q11" s="338"/>
      </tp>
      <tp t="s">
        <v>#N/A Real Time</v>
        <stp/>
        <stp>BDP|6016398578845527243|22</stp>
        <stp>4EM5P    5800 Index</stp>
        <stp>QUOTED_CURRENCY_REALTIME</stp>
        <tr r="F54" s="89"/>
      </tp>
      <tp>
        <v>25044.25</v>
        <stp/>
        <stp>BDP|15657290940447254358|22</stp>
        <stp>2OH6 index</stp>
        <stp>LAST_PRICE</stp>
        <tr r="I15" s="1"/>
      </tp>
      <tp t="s">
        <v>#N/A Requesting Data...4272616131</v>
        <stp/>
        <stp>BDP|703780504329627859</stp>
        <tr r="AI24" s="1"/>
      </tp>
      <tp t="s">
        <v>#N/A Requesting Data...4096819484</v>
        <stp/>
        <stp>BDP|871712858363288768</stp>
        <tr r="C16" s="2"/>
      </tp>
      <tp t="s">
        <v>#N/A Requesting Data...4263300131</v>
        <stp/>
        <stp>BDP|685429430720763165</stp>
        <tr r="K32" s="1"/>
      </tp>
      <tp t="s">
        <v>#N/A N/A</v>
        <stp/>
        <stp>BDH|185745012313009373</stp>
        <tr r="AU8" s="338"/>
      </tp>
      <tp>
        <v>142.82</v>
        <stp/>
        <stp>BDP|7132801475716187902|22</stp>
        <stp>ORCL EQUITY</stp>
        <stp>LAST_PRICE</stp>
        <tr r="C10" s="1"/>
      </tp>
      <tp>
        <v>0.01</v>
        <stp/>
        <stp>BDP|8181328517322165599|22</stp>
        <stp>QQQ US 02/06/26 C640 Equity</stp>
        <stp>ask</stp>
        <tr r="L102" s="89"/>
      </tp>
      <tp t="s">
        <v>#N/A Requesting Data...4154073071</v>
        <stp/>
        <stp>BDP|930699410161740793</stp>
        <tr r="D27" s="2"/>
      </tp>
      <tp t="s">
        <v>#N/A Requesting Data...4126415248</v>
        <stp/>
        <stp>BDP|952863900688503158</stp>
        <tr r="K15" s="1"/>
      </tp>
      <tp>
        <v>5</v>
        <stp/>
        <stp>BDP|441980956100904834|22</stp>
        <stp>MELI US 02/20/26 C2150 Equity</stp>
        <stp>bid</stp>
        <tr r="P16" s="2"/>
      </tp>
      <tp t="s">
        <v>#N/A Requesting Data...4222099912</v>
        <stp/>
        <stp>BDP|739245098392147969</stp>
        <tr r="AG18" s="1"/>
      </tp>
      <tp t="s">
        <v>#N/A Requesting Data...4210425948</v>
        <stp/>
        <stp>BDP|928729433616349248</stp>
        <tr r="F23" s="2"/>
      </tp>
      <tp t="s">
        <v>#N/A Requesting Data...4196914668</v>
        <stp/>
        <stp>BDP|798980087638306908</stp>
        <tr r="N4" s="1"/>
      </tp>
      <tp>
        <v>288.5</v>
        <stp/>
        <stp>BDP|4039017413295649492|22</stp>
        <stp>2OG6P 25000 Index</stp>
        <stp>ask</stp>
        <tr r="L70" s="89"/>
      </tp>
      <tp>
        <v>25044.25</v>
        <stp/>
        <stp>BDP|12359303092416965079|22</stp>
        <stp>1OH6 index</stp>
        <stp>LAST_PRICE</stp>
        <tr r="I16" s="1"/>
      </tp>
      <tp t="s">
        <v>#N/A Requesting Data...4288976599</v>
        <stp/>
        <stp>BDP|400489739133855744</stp>
        <tr r="AF27" s="1"/>
      </tp>
      <tp t="s">
        <v>#N/A N/A</v>
        <stp/>
        <stp>BDP|128295106685337499</stp>
        <tr r="R70" s="89"/>
      </tp>
      <tp>
        <v>90.6</v>
        <stp/>
        <stp>BDP|6244681688337820540|22</stp>
        <stp>KBWB EQUITY</stp>
        <stp>LAST_PRICE</stp>
        <tr r="L1" s="1"/>
      </tp>
      <tp>
        <v>14.45</v>
        <stp/>
        <stp>BDP|11593899381746563402|22</stp>
        <stp>RIOT Equity</stp>
        <stp>LAST_PRICE</stp>
        <tr r="I39" s="1"/>
      </tp>
      <tp>
        <v>23.9</v>
        <stp/>
        <stp>BDP|7303697284640564666|22</stp>
        <stp>TSM US 06/18/26 C380 Equity</stp>
        <stp>ask</stp>
        <tr r="Q28" s="2"/>
      </tp>
      <tp t="s">
        <v>#N/A Requesting Data...4237180839</v>
        <stp/>
        <stp>BDP|450712038053400567</stp>
        <tr r="AG12" s="1"/>
      </tp>
      <tp>
        <v>609.65</v>
        <stp/>
        <stp>BDP|13846945124532688911|22</stp>
        <stp>QQQ Equity</stp>
        <stp>LAST_PRICE</stp>
        <tr r="I18" s="1"/>
      </tp>
      <tp t="s">
        <v>#N/A Requesting Data...4070266966</v>
        <stp/>
        <stp>BDP|310378113498032857</stp>
        <tr r="F9" s="446"/>
        <tr r="AB25" s="1"/>
      </tp>
      <tp>
        <v>0.96536600589752197</v>
        <stp/>
        <stp>BDP|5244703239517212980|22</stp>
        <stp>AVGO US 02/06/26 C315 Equity</stp>
        <stp>DELTA_MID_RT</stp>
        <tr r="W19" s="89"/>
      </tp>
      <tp>
        <v>6.9234999999999998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53" s="89"/>
      </tp>
      <tp t="s">
        <v>#N/A N/A</v>
        <stp/>
        <stp>BDP|894652130481491978</stp>
        <tr r="AC11" s="2"/>
      </tp>
      <tp t="s">
        <v>#N/A Requesting Data...4097317511</v>
        <stp/>
        <stp>BDP|433801043382591349</stp>
        <tr r="AC23" s="1"/>
      </tp>
      <tp>
        <v>690.62</v>
        <stp/>
        <stp>BDP|13189918054944550299|22</stp>
        <stp>SPY Equity</stp>
        <stp>LAST_PRICE</stp>
        <tr r="X3" s="1"/>
      </tp>
      <tp t="s">
        <v>#N/A Requesting Data...4256456625</v>
        <stp/>
        <stp>BDP|127253274771311898</stp>
        <tr r="AF20" s="1"/>
      </tp>
      <tp t="s">
        <v>#N/A Requesting Data...4055981300</v>
        <stp/>
        <stp>BDP|569421094581221000</stp>
        <tr r="AF23" s="1"/>
      </tp>
      <tp>
        <v>-4.2895998805761337E-2</v>
        <stp/>
        <stp>BDP|2593116385733635798|22</stp>
        <stp>MSFT US 02/20/26 P355 Equity</stp>
        <stp>DELTA_MID_RT</stp>
        <tr r="W31" s="89"/>
      </tp>
      <tp>
        <v>203.34</v>
        <stp/>
        <stp>BDP|200703832930302358|22</stp>
        <stp>SAP EQUITY</stp>
        <stp>LAST_PRICE</stp>
        <tr r="H9" s="1"/>
      </tp>
      <tp t="s">
        <v>#N/A N/A</v>
        <stp/>
        <stp>BDP|15919770887224714801|22</stp>
        <stp>1OG6C 26000 INDEX</stp>
        <stp>DELTA_MID_RT</stp>
        <tr r="AF24" s="2"/>
      </tp>
      <tp t="s">
        <v>#N/A N/A</v>
        <stp/>
        <stp>BDP|552146156569919211</stp>
        <tr r="Q8" s="338"/>
      </tp>
      <tp t="s">
        <v>#N/A Requesting Data...4086013073</v>
        <stp/>
        <stp>BDP|987924063845804559</stp>
        <tr r="J2" s="1"/>
      </tp>
      <tp>
        <v>661.46</v>
        <stp/>
        <stp>BDP|3305523752982270676|22</stp>
        <stp>META EQUITY</stp>
        <stp>LAST_PRICE</stp>
        <tr r="C9" s="1"/>
      </tp>
      <tp>
        <v>-0.13570700585842133</v>
        <stp/>
        <stp>BDP|6966830540829211858|22</stp>
        <stp>MSFT US 02/20/26 P375 Equity</stp>
        <stp>DELTA_MID_RT</stp>
        <tr r="W30" s="89"/>
      </tp>
      <tp t="s">
        <v>USD</v>
        <stp/>
        <stp>BDP|7410468017423328155|22</stp>
        <stp>QQQ US 02/06/26 P624 Equity</stp>
        <stp>QUOTED_CURRENCY_REALTIME</stp>
        <tr r="F104" s="89"/>
      </tp>
      <tp t="s">
        <v>#N/A Requesting Data...4242388944</v>
        <stp/>
        <stp>BDP|887987616640012698</stp>
        <tr r="AB12" s="1"/>
      </tp>
      <tp t="s">
        <v>#N/A N/A</v>
        <stp/>
        <stp>BDP|590385077963145929</stp>
        <tr r="AC16" s="2"/>
      </tp>
      <tp t="s">
        <v>#N/A Requesting Data...4143400476</v>
        <stp/>
        <stp>BDP|305146922705307837</stp>
        <tr r="C10" s="2"/>
      </tp>
      <tp>
        <v>33.68</v>
        <stp/>
        <stp>BDP|18329643987132492211|22</stp>
        <stp>ASHR Equity</stp>
        <stp>LAST_PRICE</stp>
        <tr r="I14" s="1"/>
      </tp>
      <tp>
        <v>0.15631599724292755</v>
        <stp/>
        <stp>BDP|12235820342709269713|22</stp>
        <stp>MELI US 02/20/26 C2150 Equity</stp>
        <stp>DELTA_MID_RT</stp>
        <tr r="AF16" s="2"/>
      </tp>
      <tp t="s">
        <v>#N/A Requesting Data...4072783372</v>
        <stp/>
        <stp>BDP|587467001215046880</stp>
        <tr r="AR7" s="2"/>
      </tp>
      <tp t="s">
        <v>#N/A Requesting Data...4096886378</v>
        <stp/>
        <stp>BDP|757266498405781787</stp>
        <tr r="X3" s="1"/>
      </tp>
      <tp t="s">
        <v>#N/A Requesting Data...4249379548</v>
        <stp/>
        <stp>BDP|321567796020124549</stp>
        <tr r="F43" s="446"/>
      </tp>
      <tp t="s">
        <v>#N/A Requesting Data...4288161926</v>
        <stp/>
        <stp>BDP|748281786590893378</stp>
        <tr r="AA76" s="89"/>
        <tr r="Z76" s="89"/>
      </tp>
      <tp t="s">
        <v>USD</v>
        <stp/>
        <stp>BDP|9164508951049581510|22</stp>
        <stp>QQQ US 02/06/26 P585 Equity</stp>
        <stp>QUOTED_CURRENCY_REALTIME</stp>
        <tr r="F37" s="89"/>
        <tr r="G23" s="2"/>
      </tp>
      <tp t="s">
        <v>#N/A Requesting Data...4234684488</v>
        <stp/>
        <stp>BDP|345620769730348823</stp>
        <tr r="G20" s="446"/>
      </tp>
      <tp t="s">
        <v>#N/A Requesting Data...4134835243</v>
        <stp/>
        <stp>BDP|493910466490440711</stp>
        <tr r="T12" s="2"/>
      </tp>
      <tp t="s">
        <v>#N/A Requesting Data...4177783993</v>
        <stp/>
        <stp>BDP|771655587750732627</stp>
        <tr r="AI21" s="1"/>
      </tp>
      <tp t="s">
        <v>USD</v>
        <stp/>
        <stp>BDP|5876029209403858680|22</stp>
        <stp>TSM US 06/18/26 C340 Equity</stp>
        <stp>QUOTED_CURRENCY_REALTIME</stp>
        <tr r="G27" s="2"/>
      </tp>
      <tp>
        <v>82.46</v>
        <stp/>
        <stp>BDP|17908492883037311012|22</stp>
        <stp>IGV Equity</stp>
        <stp>LAST PRICE</stp>
        <tr r="I8" s="338"/>
      </tp>
      <tp t="s">
        <v>#N/A Requesting Data...4062587086</v>
        <stp/>
        <stp>BDP|410104351027872819</stp>
        <tr r="AB27" s="1"/>
      </tp>
      <tp t="s">
        <v>#N/A Requesting Data...4113310256</v>
        <stp/>
        <stp>BDP|237201852408926413</stp>
        <tr r="U11" s="338"/>
      </tp>
      <tp t="s">
        <v>#N/A Requesting Data...4097272484</v>
        <stp/>
        <stp>BDP|158907810677526447</stp>
        <tr r="C113" s="89"/>
        <tr r="D19" s="2"/>
      </tp>
      <tp t="s">
        <v>#N/A Requesting Data...4159252960</v>
        <stp/>
        <stp>BDP|315966408504131726</stp>
        <tr r="K18" s="1"/>
      </tp>
      <tp t="s">
        <v>#N/A Requesting Data...4230095257</v>
        <stp/>
        <stp>BDP|721330484650791132</stp>
        <tr r="D13" s="2"/>
      </tp>
      <tp t="s">
        <v>#N/A Requesting Data...4220220154</v>
        <stp/>
        <stp>BDP|568047330031520830</stp>
        <tr r="C20" s="89"/>
        <tr r="D6" s="2"/>
      </tp>
      <tp>
        <v>332.92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52" s="89"/>
      </tp>
      <tp>
        <v>80.28</v>
        <stp/>
        <stp>BDP|14735743812855208855|22</stp>
        <stp>MRVL Equity</stp>
        <stp>LAST_PRICE</stp>
        <tr r="I38" s="1"/>
      </tp>
      <tp>
        <v>3.15</v>
        <stp/>
        <stp>BDP|2655392201055061554|22</stp>
        <stp>INTC US 07/17/26 P40 Equity</stp>
        <stp>ask</stp>
        <tr r="Q19" s="2"/>
        <tr r="L113" s="89"/>
      </tp>
      <tp>
        <v>185.41</v>
        <stp/>
        <stp>BDP|18083567340910719726|22</stp>
        <stp>NVDA Equity</stp>
        <stp>LAST PRICE</stp>
        <tr r="G11" s="338"/>
      </tp>
      <tp>
        <v>17810</v>
        <stp/>
        <stp>BDP|942965762162618437|22</stp>
        <stp>3110 JT Equity</stp>
        <stp>LAST_PRICE</stp>
        <tr r="I30" s="1"/>
      </tp>
      <tp>
        <v>2.2090000566095114E-3</v>
        <stp/>
        <stp>BDP|11228334689169165730|22</stp>
        <stp>QQQ US 02/06/26 C634 Equity</stp>
        <stp>DELTA_MID_RT</stp>
        <tr r="W103" s="89"/>
      </tp>
      <tp>
        <v>1970.15</v>
        <stp/>
        <stp>BDP|16172479540595127650|22</stp>
        <stp>MELI Equity</stp>
        <stp>LAST_PRICE</stp>
        <tr r="I23" s="1"/>
      </tp>
      <tp>
        <v>1.88</v>
        <stp/>
        <stp>BDP|4198991794791802947|22</stp>
        <stp>NFLX US 05/15/26 P70 Equity</stp>
        <stp>bid</stp>
        <tr r="P10" s="2"/>
      </tp>
      <tp>
        <v>4</v>
        <stp/>
        <stp>BDP|8949169944132404204|22</stp>
        <stp>NFLX US 05/15/26 C90 Equity</stp>
        <stp>ask</stp>
        <tr r="Q9" s="2"/>
      </tp>
      <tp>
        <v>5.45</v>
        <stp/>
        <stp>BDP|3366296364494691481|22</stp>
        <stp>INTC US 07/17/26 C60 Equity</stp>
        <stp>mid</stp>
        <tr r="L17" s="2"/>
      </tp>
      <tp>
        <v>185.41</v>
        <stp/>
        <stp>BDP|10556089213855348182|22</stp>
        <stp>NVDA Equity</stp>
        <stp>LAST_PRICE</stp>
        <tr r="I37" s="1"/>
      </tp>
      <tp t="s">
        <v>#N/A Real Time</v>
        <stp/>
        <stp>BDP|6503747290856300180|22</stp>
        <stp>4EM5C    6300 Index</stp>
        <stp>ask</stp>
        <tr r="L52" s="89"/>
      </tp>
      <tp>
        <v>66.92</v>
        <stp/>
        <stp>BDP|12824948095476956285|22</stp>
        <stp>WMB Equity</stp>
        <stp>LAST_PRICE</stp>
        <tr r="I40" s="1"/>
      </tp>
      <tp>
        <v>54.26</v>
        <stp/>
        <stp>BDP|11210988692762470107|22</stp>
        <stp>XLF Equity</stp>
        <stp>LAST_PRICE</stp>
        <tr r="I41" s="1"/>
      </tp>
      <tp>
        <v>278.12</v>
        <stp/>
        <stp>BDP|17831911536214693857|22</stp>
        <stp>AAPL Equity</stp>
        <stp>LAST_PRICE</stp>
        <tr r="I20" s="1"/>
      </tp>
      <tp>
        <v>50.59</v>
        <stp/>
        <stp>BDP|10275830506276374754|22</stp>
        <stp>INTC Equity</stp>
        <stp>LAST_PRICE</stp>
        <tr r="I36" s="1"/>
      </tp>
      <tp>
        <v>-1.1683999560773373E-2</v>
        <stp/>
        <stp>BDP|5598166511208398697|22</stp>
        <stp>ASHR US 02/20/26 C35 Equity</stp>
        <stp>theta_mid_rt</stp>
        <tr r="AN4" s="2"/>
      </tp>
      <tp>
        <v>90.6</v>
        <stp/>
        <stp>BDP|16647003187596374852|22</stp>
        <stp>KBWB Equity</stp>
        <stp>LAST_PRICE</stp>
        <tr r="I42" s="1"/>
      </tp>
      <tp>
        <v>162.51</v>
        <stp/>
        <stp>BDP|16076910053857732698|22</stp>
        <stp>BABA Equity</stp>
        <stp>LAST_PRICE</stp>
        <tr r="I12" s="1"/>
      </tp>
      <tp>
        <v>3.06</v>
        <stp/>
        <stp>BDP|2917703585590040909|22</stp>
        <stp>INTC US 07/17/26 P40 Equity</stp>
        <stp>mid</stp>
        <tr r="L19" s="2"/>
      </tp>
      <tp>
        <v>2.97</v>
        <stp/>
        <stp>BDP|6431933654204043778|22</stp>
        <stp>INTC US 07/17/26 P40 Equity</stp>
        <stp>bid</stp>
        <tr r="P19" s="2"/>
        <tr r="K113" s="89"/>
      </tp>
      <tp t="s">
        <v>#N/A Real Time</v>
        <stp/>
        <stp>BDP|16732714406053690944|22</stp>
        <stp>KMU5 Index</stp>
        <stp>LAST PRICE</stp>
        <tr r="L13" s="446"/>
      </tp>
      <tp>
        <v>0.60639500617980957</v>
        <stp/>
        <stp>BDP|16687792746206833445|22</stp>
        <stp>TSM US 06/18/26 C340 Equity</stp>
        <stp>DELTA_MID_RT</stp>
        <tr r="AF27" s="2"/>
      </tp>
      <tp>
        <v>82.82</v>
        <stp/>
        <stp>BDP|11576966289528241643|22</stp>
        <stp>HOOD Equity</stp>
        <stp>LAST PRICE</stp>
        <tr r="L5" s="446"/>
        <tr r="L6" s="446"/>
      </tp>
      <tp>
        <v>0.01</v>
        <stp/>
        <stp>BDP|3441532621868103781|22</stp>
        <stp>QQQ US 02/06/26 P600 Equity</stp>
        <stp>ask</stp>
        <tr r="L36" s="89"/>
        <tr r="Q22" s="2"/>
      </tp>
      <tp>
        <v>551.99</v>
        <stp/>
        <stp>BDP|13530810646219131800|22</stp>
        <stp>LITE Equity</stp>
        <stp>LAST_PRICE</stp>
        <tr r="I32" s="1"/>
      </tp>
      <tp>
        <v>0.2415429949760437</v>
        <stp/>
        <stp>BDP|8604101300707281588|22</stp>
        <stp>AMZN US 04/17/26 C235 Equity</stp>
        <stp>DELTA_MID_RT</stp>
        <tr r="W7" s="89"/>
        <tr r="AF20" s="2"/>
      </tp>
      <tp>
        <v>240.62</v>
        <stp/>
        <stp>BDP|13659659385475398852|22</stp>
        <stp>ACN Equity</stp>
        <stp>LAST PRICE</stp>
        <tr r="L8" s="446"/>
      </tp>
      <tp>
        <v>-0.15967999398708344</v>
        <stp/>
        <stp>BDP|11654767435823649747|22</stp>
        <stp>QQQ US 02/20/26 P580 Equity</stp>
        <stp>DELTA_MID_RT</stp>
        <tr r="W44" s="89"/>
      </tp>
      <tp>
        <v>332.92</v>
        <stp/>
        <stp>BDP|17391786708796275229|22</stp>
        <stp>AVGO Equity</stp>
        <stp>LAST PRICE</stp>
        <tr r="G12" s="338"/>
      </tp>
      <tp>
        <v>231.01</v>
        <stp/>
        <stp>BDP|4463437285265374374|22</stp>
        <stp>LRCX EQUITY</stp>
        <stp>LAST_PRICE</stp>
        <tr r="H6" s="1"/>
      </tp>
      <tp>
        <v>-2.3816000670194626E-2</v>
        <stp/>
        <stp>BDP|1880248133672197461|22</stp>
        <stp>NFLX US 05/15/26 P70 Equity</stp>
        <stp>theta_mid_rt</stp>
        <tr r="AN10" s="2"/>
      </tp>
      <tp>
        <v>8.6</v>
        <stp/>
        <stp>BDP|9317551536395983431|22</stp>
        <stp>INTC US 07/17/26 C50 Equity</stp>
        <stp>bid</stp>
        <tr r="P18" s="2"/>
        <tr r="K112" s="89"/>
      </tp>
      <tp>
        <v>0.81</v>
        <stp/>
        <stp>BDP|6215650409594363711|22</stp>
        <stp>MRVL US 03/20/26 P60 Equity</stp>
        <stp>bid</stp>
        <tr r="P13" s="2"/>
      </tp>
      <tp>
        <v>2.02</v>
        <stp/>
        <stp>BDP|8826778433184054251|22</stp>
        <stp>NFLX US 05/15/26 P70 Equity</stp>
        <stp>ask</stp>
        <tr r="Q10" s="2"/>
      </tp>
      <tp>
        <v>84.68</v>
        <stp/>
        <stp>BDP|3517880411788471110|22</stp>
        <stp>COPX EQUITY</stp>
        <stp>LAST_PRICE</stp>
        <tr r="L9" s="1"/>
      </tp>
      <tp>
        <v>5.25</v>
        <stp/>
        <stp>BDP|8500678922565396001|22</stp>
        <stp>INTC US 07/17/26 C60 Equity</stp>
        <stp>bid</stp>
        <tr r="P17" s="2"/>
        <tr r="K111" s="89"/>
      </tp>
      <tp>
        <v>0.55095201730728149</v>
        <stp/>
        <stp>BDP|1115882164603689622|22</stp>
        <stp>META US 07/17/26 C670 Equity</stp>
        <stp>DELTA_MID_RT</stp>
        <tr r="W86" s="89"/>
      </tp>
      <tp t="s">
        <v>#N/A N/A</v>
        <stp/>
        <stp>BDP|1360131114886818194|22</stp>
        <stp>1OG6P 23500 INDEX</stp>
        <stp>theta_mid_rt</stp>
        <tr r="AN26" s="2"/>
      </tp>
      <tp t="s">
        <v>#N/A N/A</v>
        <stp/>
        <stp>BDP|8491398344192348688|22</stp>
        <stp>1OG6C 25550 INDEX</stp>
        <stp>theta_mid_rt</stp>
        <tr r="AN25" s="2"/>
      </tp>
      <tp>
        <v>0.01</v>
        <stp/>
        <stp>BDP|5504312635076076780|22</stp>
        <stp>QQQ US 02/06/26 P585 Equity</stp>
        <stp>mid</stp>
        <tr r="L23" s="2"/>
      </tp>
      <tp>
        <v>0.42868500947952271</v>
        <stp/>
        <stp>BDP|17478839230977938286|22</stp>
        <stp>TSM US 06/18/26 C380 Equity</stp>
        <stp>DELTA_MID_RT</stp>
        <tr r="AF28" s="2"/>
      </tp>
      <tp>
        <v>0.35239699482917786</v>
        <stp/>
        <stp>BDP|7125100259003145731|22</stp>
        <stp>META US 07/17/26 C750 Equity</stp>
        <stp>DELTA_MID_RT</stp>
        <tr r="AF11" s="2"/>
        <tr r="W13" s="89"/>
      </tp>
      <tp>
        <v>0.51885801553726196</v>
        <stp/>
        <stp>BDP|9423536240340943551|22</stp>
        <stp>AAPL US 04/17/26 C280 Equity</stp>
        <stp>DELTA_MID_RT</stp>
        <tr r="AF15" s="2"/>
      </tp>
      <tp>
        <v>191.35</v>
        <stp/>
        <stp>BDP|18434337130911834676|22</stp>
        <stp>CRM Equity</stp>
        <stp>LAST PRICE</stp>
        <tr r="G8" s="338"/>
        <tr r="L9" s="446"/>
      </tp>
      <tp>
        <v>348.85</v>
        <stp/>
        <stp>BDP|13113113388917834281|22</stp>
        <stp>TSM Equity</stp>
        <stp>LAST_PRICE</stp>
        <tr r="I35" s="1"/>
      </tp>
      <tp>
        <v>323.10000000000002</v>
        <stp/>
        <stp>BDP|16760158171648826820|22</stp>
        <stp>GOOG Equity</stp>
        <stp>LAST_PRICE</stp>
        <tr r="I19" s="1"/>
      </tp>
      <tp>
        <v>0.06</v>
        <stp/>
        <stp>BDP|9704315770915911503|22</stp>
        <stp>ASHR US 02/20/26 C35 Equity</stp>
        <stp>bid</stp>
        <tr r="P4" s="2"/>
      </tp>
      <tp>
        <v>2.75</v>
        <stp/>
        <stp>BDP|6827564801235286276|22</stp>
        <stp>QQQ US 02/20/26 P580 Equity</stp>
        <stp>bid</stp>
        <tr r="K44" s="89"/>
      </tp>
      <tp>
        <v>24.64</v>
        <stp/>
        <stp>BDP|12167170999494993919|22</stp>
        <stp>KHC Equity</stp>
        <stp>LAST_PRICE</stp>
        <tr r="I43" s="1"/>
      </tp>
      <tp>
        <v>5421</v>
        <stp/>
        <stp>BDP|18259571086573127790|22</stp>
        <stp>HCTA Index</stp>
        <stp>LAST PRICE</stp>
        <tr r="L12" s="446"/>
      </tp>
      <tp>
        <v>2.66</v>
        <stp/>
        <stp>BDP|5295851568697877083|22</stp>
        <stp>MRVL US 03/20/26 P70 Equity</stp>
        <stp>bid</stp>
        <tr r="P12" s="2"/>
      </tp>
      <tp>
        <v>-0.47135624289512634</v>
        <stp/>
        <stp>BDP|9405630070157806304|22</stp>
        <stp>2OG6P 25000 Index</stp>
        <stp>DELTA_MID_RT</stp>
        <tr r="W70" s="89"/>
      </tp>
      <tp>
        <v>3.55</v>
        <stp/>
        <stp>BDP|5541024631542138350|22</stp>
        <stp>NFLX US 05/15/26 C90 Equity</stp>
        <stp>bid</stp>
        <tr r="P9" s="2"/>
      </tp>
      <tp>
        <v>0.15</v>
        <stp/>
        <stp>BDP|8465872380432047250|22</stp>
        <stp>ASHR US 02/20/26 C35 Equity</stp>
        <stp>ask</stp>
        <tr r="Q4" s="2"/>
      </tp>
      <tp>
        <v>348.85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P&amp;L'!$B$12:$B$44</c:f>
              <c:strCache>
                <c:ptCount val="33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2OH6</c:v>
                </c:pt>
                <c:pt idx="4">
                  <c:v>1OH6</c:v>
                </c:pt>
                <c:pt idx="5">
                  <c:v>NQA</c:v>
                </c:pt>
                <c:pt idx="6">
                  <c:v>QQQ</c:v>
                </c:pt>
                <c:pt idx="7">
                  <c:v>GOOG</c:v>
                </c:pt>
                <c:pt idx="8">
                  <c:v>AAPL</c:v>
                </c:pt>
                <c:pt idx="9">
                  <c:v>AMZN</c:v>
                </c:pt>
                <c:pt idx="10">
                  <c:v>NFLX</c:v>
                </c:pt>
                <c:pt idx="11">
                  <c:v>MELI</c:v>
                </c:pt>
                <c:pt idx="12">
                  <c:v>META</c:v>
                </c:pt>
                <c:pt idx="13">
                  <c:v>IGV</c:v>
                </c:pt>
                <c:pt idx="14">
                  <c:v>MSFT</c:v>
                </c:pt>
                <c:pt idx="15">
                  <c:v>000660 KP</c:v>
                </c:pt>
                <c:pt idx="16">
                  <c:v>402340 KS</c:v>
                </c:pt>
                <c:pt idx="17">
                  <c:v>005930 KS</c:v>
                </c:pt>
                <c:pt idx="18">
                  <c:v>3110 JT</c:v>
                </c:pt>
                <c:pt idx="19">
                  <c:v>EWY</c:v>
                </c:pt>
                <c:pt idx="20">
                  <c:v>LITE</c:v>
                </c:pt>
                <c:pt idx="21">
                  <c:v>CSCO</c:v>
                </c:pt>
                <c:pt idx="22">
                  <c:v>AVGO</c:v>
                </c:pt>
                <c:pt idx="23">
                  <c:v>TSM</c:v>
                </c:pt>
                <c:pt idx="24">
                  <c:v>INTC</c:v>
                </c:pt>
                <c:pt idx="25">
                  <c:v>NVDA</c:v>
                </c:pt>
                <c:pt idx="26">
                  <c:v>MRVL</c:v>
                </c:pt>
                <c:pt idx="27">
                  <c:v>RIOT</c:v>
                </c:pt>
                <c:pt idx="28">
                  <c:v>WMB</c:v>
                </c:pt>
                <c:pt idx="29">
                  <c:v>XLF</c:v>
                </c:pt>
                <c:pt idx="30">
                  <c:v>KBWB</c:v>
                </c:pt>
                <c:pt idx="31">
                  <c:v>KHC</c:v>
                </c:pt>
                <c:pt idx="32">
                  <c:v>XLP</c:v>
                </c:pt>
              </c:strCache>
            </c:strRef>
          </c:cat>
          <c:val>
            <c:numRef>
              <c:f>'Master P&amp;L'!$J$12:$J$44</c:f>
              <c:numCache>
                <c:formatCode>0.00%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-4.7291188538841622E-3</c:v>
                </c:pt>
                <c:pt idx="4">
                  <c:v>-4.7291188538841622E-3</c:v>
                </c:pt>
                <c:pt idx="5">
                  <c:v>-4.7291188538841622E-3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-6.5628660725718935E-2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5.7210965435041672E-2</c:v>
                </c:pt>
                <c:pt idx="16">
                  <c:v>4.5540796963946972E-2</c:v>
                </c:pt>
                <c:pt idx="17">
                  <c:v>1.552795031055898E-2</c:v>
                </c:pt>
                <c:pt idx="18">
                  <c:v>5.3846153846153877E-2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29</xdr:col>
      <xdr:colOff>279239</xdr:colOff>
      <xdr:row>11</xdr:row>
      <xdr:rowOff>90489</xdr:rowOff>
    </xdr:from>
    <xdr:to>
      <xdr:col>36</xdr:col>
      <xdr:colOff>586857</xdr:colOff>
      <xdr:row>52</xdr:row>
      <xdr:rowOff>139376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910139" y="2351089"/>
          <a:ext cx="4587518" cy="8773787"/>
        </a:xfrm>
        <a:prstGeom prst="rect">
          <a:avLst/>
        </a:prstGeom>
      </xdr:spPr>
    </xdr:pic>
    <xdr:clientData/>
  </xdr:twoCellAnchor>
  <xdr:twoCellAnchor editAs="oneCell">
    <xdr:from>
      <xdr:col>20</xdr:col>
      <xdr:colOff>273051</xdr:colOff>
      <xdr:row>10</xdr:row>
      <xdr:rowOff>177799</xdr:rowOff>
    </xdr:from>
    <xdr:to>
      <xdr:col>28</xdr:col>
      <xdr:colOff>371979</xdr:colOff>
      <xdr:row>53</xdr:row>
      <xdr:rowOff>19589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DC706A-1C2A-6D76-FEAE-58081DCDC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2251" y="2235199"/>
          <a:ext cx="4289928" cy="8973090"/>
        </a:xfrm>
        <a:prstGeom prst="rect">
          <a:avLst/>
        </a:prstGeom>
      </xdr:spPr>
    </xdr:pic>
    <xdr:clientData/>
  </xdr:twoCellAnchor>
  <xdr:twoCellAnchor editAs="oneCell">
    <xdr:from>
      <xdr:col>13</xdr:col>
      <xdr:colOff>292100</xdr:colOff>
      <xdr:row>10</xdr:row>
      <xdr:rowOff>0</xdr:rowOff>
    </xdr:from>
    <xdr:to>
      <xdr:col>19</xdr:col>
      <xdr:colOff>781526</xdr:colOff>
      <xdr:row>53</xdr:row>
      <xdr:rowOff>182780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EEC206-98FF-672E-46D5-0623204E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88500" y="2057400"/>
          <a:ext cx="4324826" cy="9314080"/>
        </a:xfrm>
        <a:prstGeom prst="rect">
          <a:avLst/>
        </a:prstGeom>
      </xdr:spPr>
    </xdr:pic>
    <xdr:clientData/>
  </xdr:twoCellAnchor>
  <xdr:twoCellAnchor editAs="oneCell">
    <xdr:from>
      <xdr:col>12</xdr:col>
      <xdr:colOff>711200</xdr:colOff>
      <xdr:row>13</xdr:row>
      <xdr:rowOff>50800</xdr:rowOff>
    </xdr:from>
    <xdr:to>
      <xdr:col>18</xdr:col>
      <xdr:colOff>736600</xdr:colOff>
      <xdr:row>56</xdr:row>
      <xdr:rowOff>108329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C736DB8-E442-461C-A046-9799EAF4F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991600" y="3111500"/>
          <a:ext cx="4051300" cy="87951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8.765191319442" createdVersion="8" refreshedVersion="8" minRefreshableVersion="3" recordCount="49" xr:uid="{C35D4399-4CEF-409A-AF8E-A02DC4C552E4}">
  <cacheSource type="worksheet">
    <worksheetSource name="Tabelad"/>
  </cacheSource>
  <cacheFields count="34">
    <cacheField name="Ticker" numFmtId="172">
      <sharedItems containsBlank="1" count="194">
        <s v="BABA"/>
        <s v="BIDU"/>
        <s v="ASHR"/>
        <s v="2OH6"/>
        <s v="1OH6"/>
        <s v="NQA"/>
        <s v="QQQ"/>
        <s v="GOOG"/>
        <s v="AAPL"/>
        <s v="AMZN"/>
        <s v="NFLX"/>
        <s v="MELI"/>
        <s v="META"/>
        <s v="IGV"/>
        <s v="MSFT"/>
        <s v="000660 KP"/>
        <s v="402340 KS"/>
        <s v="005930 KS"/>
        <s v="3110 JT"/>
        <s v="EWY"/>
        <s v="LITE"/>
        <s v="CSCO"/>
        <s v="AVGO"/>
        <s v="TSM"/>
        <s v="INTC"/>
        <s v="NVDA"/>
        <s v="MRVL"/>
        <s v="AMD"/>
        <s v="RIOT"/>
        <s v="WMB"/>
        <s v="XLF"/>
        <s v="KBWB"/>
        <s v="KHC"/>
        <s v="XLP"/>
        <s v="RSP" u="1"/>
        <s v="AKAM" u="1"/>
        <s v="402340 KP" u="1"/>
        <s v="005930 KP" u="1"/>
        <s v="GDX" u="1"/>
        <s v="300502 CH" u="1"/>
        <s v="NET" u="1"/>
        <s v="SNDK" u="1"/>
        <s v="COPX" u="1"/>
        <s v="000660 KS" u="1"/>
        <s v="KMH6" u="1"/>
        <s v="AMAT" u="1"/>
        <s v="GDX " u="1"/>
        <s v="QQQE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Networking"/>
        <s v="Semis"/>
        <s v="Power "/>
        <s v="Pairs"/>
        <s v="Metal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4721"/>
    </cacheField>
    <cacheField name="Price Today" numFmtId="43">
      <sharedItems containsSemiMixedTypes="0" containsString="0" containsNumber="1" minValue="12.06" maxValue="842000"/>
    </cacheField>
    <cacheField name="% Chg" numFmtId="10">
      <sharedItems containsSemiMixedTypes="0" containsString="0" containsNumber="1" minValue="-0.14710042432814707" maxValue="8.351591699961336E-2"/>
    </cacheField>
    <cacheField name="Price Yest" numFmtId="43">
      <sharedItems containsSemiMixedTypes="0" containsString="0" containsNumber="1" minValue="14.14" maxValue="900000"/>
    </cacheField>
    <cacheField name="FX" numFmtId="168">
      <sharedItems containsSemiMixedTypes="0" containsString="0" containsNumber="1" minValue="1" maxValue="1463.6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98174000" maxValue="41723950"/>
    </cacheField>
    <cacheField name="D1 Exp %" numFmtId="196">
      <sharedItems containsSemiMixedTypes="0" containsString="0" containsNumber="1" minValue="-4.0971317345991493E-2" maxValue="1.7412809872046384E-2"/>
    </cacheField>
    <cacheField name="D1 P&amp;L bps" numFmtId="170">
      <sharedItems containsSemiMixedTypes="0" containsString="0" containsNumber="1" minValue="-1.6424167235230258" maxValue="3.4972562935136464"/>
    </cacheField>
    <cacheField name="Options Exp USD (delta adj)" numFmtId="166">
      <sharedItems containsString="0" containsBlank="1" containsNumber="1" minValue="-4902857.9455643892" maxValue="12223429.126980156"/>
    </cacheField>
    <cacheField name="Option Exp %" numFmtId="10">
      <sharedItems containsString="0" containsBlank="1" containsNumber="1" minValue="-2.0461277811847788E-3" maxValue="5.1012487401729551E-3"/>
    </cacheField>
    <cacheField name="Options P&amp;L bps" numFmtId="170">
      <sharedItems containsString="0" containsBlank="1" containsNumber="1" minValue="-0.49729482092492372" maxValue="0.49970492296490376"/>
    </cacheField>
    <cacheField name="Exp" numFmtId="166">
      <sharedItems containsSemiMixedTypes="0" containsString="0" containsNumber="1" minValue="-98174000" maxValue="41723950"/>
    </cacheField>
    <cacheField name="Exp %" numFmtId="173">
      <sharedItems containsSemiMixedTypes="0" containsString="0" containsNumber="1" minValue="-4.0971317345991493E-2" maxValue="1.7412809872046384E-2"/>
    </cacheField>
    <cacheField name="P&amp;L bps" numFmtId="170">
      <sharedItems containsSemiMixedTypes="0" containsString="0" containsNumber="1" minValue="-1.6424167235230258" maxValue="3.4972562935136464"/>
    </cacheField>
    <cacheField name="xx" numFmtId="166">
      <sharedItems containsSemiMixedTypes="0" containsString="0" containsNumber="1" minValue="1.2203659349725997" maxValue="49671.726907131015"/>
    </cacheField>
    <cacheField name="Ticker2" numFmtId="0">
      <sharedItems containsNonDate="0" containsString="0" containsBlank="1"/>
    </cacheField>
    <cacheField name="xx2" numFmtId="3">
      <sharedItems containsSemiMixedTypes="0" containsString="0" containsNumber="1" minValue="-9625" maxValue="15652.35"/>
    </cacheField>
    <cacheField name="Beta Adj" numFmtId="170">
      <sharedItems containsSemiMixedTypes="0" containsString="0" containsNumber="1" minValue="-4.2199498398492423" maxValue="1.7934786819359279"/>
    </cacheField>
    <cacheField name="Expo Beta Adj" numFmtId="10">
      <sharedItems containsMixedTypes="1" containsNumber="1" minValue="-2.0479666747583434E-3" maxValue="8.1898586546577338E-3"/>
    </cacheField>
    <cacheField name="Vol 10d" numFmtId="43">
      <sharedItems containsSemiMixedTypes="0" containsString="0" containsNumber="1" minValue="13.346819496486164" maxValue="109.8098"/>
    </cacheField>
    <cacheField name="Beta Adj2" numFmtId="43">
      <sharedItems containsMixedTypes="1" containsNumber="1" minValue="0.37148067355155945" maxValue="2.0447275638580322"/>
    </cacheField>
    <cacheField name="Daily P&amp;L" numFmtId="166">
      <sharedItems containsSemiMixedTypes="0" containsString="0" containsNumber="1" minValue="-368892.55573023763" maxValue="785496.02770153503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6.1468740000000001E-2" maxValue="2.0970699999999998E-2"/>
    </cacheField>
    <cacheField name="Column4" numFmtId="170">
      <sharedItems containsMixedTypes="1" containsNumber="1" minValue="-1.2246305530774717" maxValue="0.44838998577545663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m/>
    <s v="USD"/>
    <s v="Long"/>
    <m/>
    <n v="3378"/>
    <n v="157.76"/>
    <n v="-8.6716099032297933E-3"/>
    <n v="159.13999999999999"/>
    <n v="1"/>
    <n v="1"/>
    <n v="532913.27999999991"/>
    <n v="2.224026637681384E-4"/>
    <n v="-1.9454594066939022E-2"/>
    <n v="0"/>
    <n v="0"/>
    <n v="0"/>
    <n v="532913.27999999991"/>
    <n v="2.224026637681384E-4"/>
    <n v="-1.9454594066939022E-2"/>
    <n v="3797.1667501267752"/>
    <m/>
    <n v="1182.3"/>
    <n v="3.5593649847202771E-2"/>
    <n v="1.9105874120125608E-4"/>
    <n v="25.606635635846697"/>
    <n v="0.85906678438186646"/>
    <n v="-4369.5700508049786"/>
    <m/>
    <s v="20/02/2026"/>
    <e v="#VALUE!"/>
    <e v="#VALUE!"/>
    <s v="12/06/2025"/>
  </r>
  <r>
    <x v="1"/>
    <x v="0"/>
    <m/>
    <s v="USD"/>
    <s v="Long"/>
    <m/>
    <n v="3910"/>
    <n v="138.96"/>
    <n v="7.3214932946721323E-3"/>
    <n v="137.94999999999999"/>
    <n v="1"/>
    <n v="1"/>
    <n v="543333.6"/>
    <n v="2.2675141432904844E-4"/>
    <n v="1.6480924616605018E-2"/>
    <n v="0"/>
    <n v="0"/>
    <n v="0"/>
    <n v="543333.6"/>
    <n v="2.2675141432904844E-4"/>
    <n v="1.6480924616605018E-2"/>
    <n v="4310.8882160333906"/>
    <m/>
    <n v="1368.4999999999998"/>
    <n v="4.8981073733030969E-2"/>
    <n v="2.3456852713401514E-4"/>
    <n v="34.561953320001777"/>
    <n v="1.0344743728637695"/>
    <n v="3701.6734641959324"/>
    <m/>
    <s v="26/02/2026"/>
    <e v="#VALUE!"/>
    <e v="#VALUE!"/>
    <s v="#N/A Field Not Applicable"/>
  </r>
  <r>
    <x v="2"/>
    <x v="0"/>
    <m/>
    <s v="USD"/>
    <s v="Long"/>
    <m/>
    <m/>
    <n v="33.200000000000003"/>
    <n v="-8.3632019115887912E-3"/>
    <n v="33.479999999999997"/>
    <n v="1"/>
    <n v="1"/>
    <n v="0"/>
    <n v="0"/>
    <n v="0"/>
    <n v="406751.23602151871"/>
    <n v="1.6975099284853351E-4"/>
    <n v="-2.09781514349687E-2"/>
    <n v="406751.23602151871"/>
    <n v="1.6975099284853351E-4"/>
    <n v="-2.09781514349687E-2"/>
    <n v="18043.404412650601"/>
    <m/>
    <n v="4288.0401387810707"/>
    <n v="1.4160224130616817E-2"/>
    <n v="1.9417288539961958E-4"/>
    <n v="13.346819496486164"/>
    <n v="1.1438689231872559"/>
    <n v="0"/>
    <m/>
    <s v="#N/A N/A"/>
    <n v="-2.9868119999999997E-3"/>
    <n v="-5.0701430245191411E-3"/>
    <s v="19/12/2025"/>
  </r>
  <r>
    <x v="3"/>
    <x v="1"/>
    <m/>
    <s v="USD"/>
    <s v="Long"/>
    <m/>
    <m/>
    <n v="24543.5"/>
    <n v="-1.8230546916407464E-2"/>
    <n v="24999.25"/>
    <n v="1"/>
    <n v="20"/>
    <n v="0"/>
    <n v="0"/>
    <n v="0"/>
    <n v="0"/>
    <n v="0"/>
    <n v="0"/>
    <n v="0"/>
    <n v="0"/>
    <n v="0"/>
    <n v="1.2203659349725997"/>
    <m/>
    <n v="0"/>
    <n v="0"/>
    <e v="#VALUE!"/>
    <n v="16.479625701904297"/>
    <s v="#N/A Field Not Applicable"/>
    <n v="0"/>
    <m/>
    <s v="#N/A Field Not Applicable"/>
    <e v="#VALUE!"/>
    <e v="#VALUE!"/>
    <s v="#N/A Field Not Applicable"/>
  </r>
  <r>
    <x v="4"/>
    <x v="1"/>
    <m/>
    <s v="USD"/>
    <s v="Long"/>
    <m/>
    <m/>
    <n v="24543.5"/>
    <n v="-1.8230546916407464E-2"/>
    <n v="24999.25"/>
    <n v="1"/>
    <n v="20"/>
    <n v="0"/>
    <n v="0"/>
    <n v="0"/>
    <n v="-57858.685159729794"/>
    <n v="-2.4146378378196853E-5"/>
    <n v="-0.13875510411305694"/>
    <n v="-57858.685159729794"/>
    <n v="-2.4146378378196853E-5"/>
    <n v="-0.13875510411305694"/>
    <n v="1.2203659349725997"/>
    <m/>
    <n v="-0.82508769351989031"/>
    <n v="-2.4870204858077438E-3"/>
    <e v="#VALUE!"/>
    <n v="16.479625701904297"/>
    <s v="#N/A Field Not Applicable"/>
    <n v="0"/>
    <m/>
    <s v="#N/A Field Not Applicable"/>
    <e v="#VALUE!"/>
    <e v="#VALUE!"/>
    <s v="#N/A Field Not Applicable"/>
  </r>
  <r>
    <x v="5"/>
    <x v="1"/>
    <m/>
    <s v="USD"/>
    <s v="Short"/>
    <m/>
    <n v="-200"/>
    <n v="24543.5"/>
    <n v="-8.463620571243835E-3"/>
    <n v="24753"/>
    <n v="1"/>
    <n v="20"/>
    <n v="-98174000"/>
    <n v="-4.0971317345991493E-2"/>
    <n v="3.4972562935136464"/>
    <n v="0"/>
    <n v="0"/>
    <n v="0"/>
    <n v="-98174000"/>
    <n v="-4.0971317345991493E-2"/>
    <n v="3.4972562935136464"/>
    <n v="1.2203659349725997"/>
    <m/>
    <n v="-1399.9999999999998"/>
    <n v="-4.2199498398492423"/>
    <e v="#VALUE!"/>
    <n v="16.479625701904297"/>
    <s v="#N/A Field Not Applicable"/>
    <n v="785496.02770153503"/>
    <m/>
    <s v="#N/A Field Not Applicable"/>
    <e v="#VALUE!"/>
    <e v="#VALUE!"/>
    <s v="#N/A Field Not Applicable"/>
  </r>
  <r>
    <x v="5"/>
    <x v="1"/>
    <m/>
    <s v="USD"/>
    <s v="Short"/>
    <m/>
    <n v="85"/>
    <n v="24543.5"/>
    <n v="-9.3440968718466744E-3"/>
    <n v="24775"/>
    <n v="1"/>
    <n v="20"/>
    <n v="41723950"/>
    <n v="1.7412809872046384E-2"/>
    <n v="-1.6424167235230258"/>
    <n v="0"/>
    <n v="0"/>
    <n v="0"/>
    <n v="41723950"/>
    <n v="1.7412809872046384E-2"/>
    <n v="-1.6424167235230258"/>
    <n v="1.2203659349725997"/>
    <m/>
    <n v="594.99999999999989"/>
    <n v="1.7934786819359279"/>
    <e v="#VALUE!"/>
    <n v="16.479625701904297"/>
    <s v="#N/A Field Not Applicable"/>
    <n v="-368892.55573023763"/>
    <m/>
    <s v="#N/A Field Not Applicable"/>
    <e v="#VALUE!"/>
    <e v="#VALUE!"/>
    <s v="#N/A Field Not Applicable"/>
  </r>
  <r>
    <x v="5"/>
    <x v="1"/>
    <m/>
    <s v="USD"/>
    <s v="Short"/>
    <m/>
    <n v="-5"/>
    <n v="24543.5"/>
    <n v="-1.8230546916407464E-2"/>
    <n v="24999.25"/>
    <n v="1"/>
    <n v="20"/>
    <n v="-2454350"/>
    <n v="-1.0242829336497873E-3"/>
    <n v="0.19019982765738"/>
    <n v="0"/>
    <n v="0"/>
    <n v="0"/>
    <n v="-2454350"/>
    <n v="-1.0242829336497873E-3"/>
    <n v="0.19019982765738"/>
    <n v="1.2203659349725997"/>
    <m/>
    <n v="-34.999999999999993"/>
    <n v="-0.10549874599623105"/>
    <e v="#VALUE!"/>
    <n v="16.479625701904297"/>
    <s v="#N/A Field Not Applicable"/>
    <n v="42719.548284603181"/>
    <m/>
    <s v="#N/A Field Not Applicable"/>
    <e v="#VALUE!"/>
    <e v="#VALUE!"/>
    <s v="#N/A Field Not Applicable"/>
  </r>
  <r>
    <x v="6"/>
    <x v="1"/>
    <m/>
    <s v="USD"/>
    <s v="Short"/>
    <m/>
    <m/>
    <n v="597.03"/>
    <n v="-1.4395377631035933E-2"/>
    <n v="605.75"/>
    <n v="1"/>
    <n v="1"/>
    <n v="0"/>
    <n v="0"/>
    <n v="0"/>
    <n v="-4902857.9455643892"/>
    <n v="-2.0461277811847788E-3"/>
    <n v="0.35431629990370972"/>
    <n v="-4902857.9455643892"/>
    <n v="-2.0461277811847788E-3"/>
    <n v="0.35431629990370972"/>
    <n v="1003.3683843357957"/>
    <m/>
    <n v="-2874.2278963327403"/>
    <n v="-0.20946532174735813"/>
    <n v="-2.0479666747583434E-3"/>
    <n v="16.379451854258718"/>
    <n v="1.0008987188339233"/>
    <n v="0"/>
    <m/>
    <s v="#N/A N/A"/>
    <n v="-9.3437450000000005E-3"/>
    <n v="0.19118496224806372"/>
    <s v="22/12/2025"/>
  </r>
  <r>
    <x v="7"/>
    <x v="2"/>
    <m/>
    <s v="USD"/>
    <s v="Long"/>
    <m/>
    <n v="14500"/>
    <n v="331.33"/>
    <n v="-6.0298794024119529E-3"/>
    <n v="333.34"/>
    <n v="1"/>
    <n v="1"/>
    <n v="4804285"/>
    <n v="2.0049899704156575E-3"/>
    <n v="-0.12163190295280998"/>
    <n v="-30450.731727760285"/>
    <n v="-1.2708116130907556E-5"/>
    <n v="-4.736737342646765E-2"/>
    <n v="4773834.2682722397"/>
    <n v="1.99228185428475E-3"/>
    <n v="-0.16899927637927764"/>
    <n v="1807.9890939546679"/>
    <m/>
    <n v="5042.8334104828537"/>
    <n v="0.25528204664831866"/>
    <n v="2.0497935421245179E-3"/>
    <n v="20.501681213371697"/>
    <n v="1.028867244720459"/>
    <n v="-27318.951941958399"/>
    <m/>
    <s v="24/04/2026"/>
    <n v="-6.1468740000000001E-2"/>
    <n v="-1.2246305530774717"/>
    <s v="09/03/2026"/>
  </r>
  <r>
    <x v="7"/>
    <x v="2"/>
    <m/>
    <s v="USD"/>
    <s v="Long"/>
    <m/>
    <n v="3700"/>
    <n v="331.33"/>
    <n v="2.1047765793528406E-2"/>
    <n v="324.5"/>
    <n v="1"/>
    <n v="1"/>
    <n v="1225921"/>
    <n v="5.1161813038192632E-4"/>
    <n v="0.10546439593482478"/>
    <m/>
    <m/>
    <m/>
    <n v="1225921"/>
    <n v="5.1161813038192632E-4"/>
    <n v="0.10546439593482478"/>
    <n v="1807.9890939546679"/>
    <m/>
    <n v="1295"/>
    <n v="6.5556448825446811E-2"/>
    <n v="5.2638713615508505E-4"/>
    <n v="20.501681213371697"/>
    <n v="1.028867244720459"/>
    <n v="23687.673169505309"/>
    <m/>
    <s v="24/04/2026"/>
    <n v="-6.1468740000000001E-2"/>
    <n v="-0.31448521835732735"/>
    <s v="09/03/2026"/>
  </r>
  <r>
    <x v="7"/>
    <x v="2"/>
    <m/>
    <s v="USD"/>
    <s v="Long"/>
    <m/>
    <n v="-3700"/>
    <n v="331.33"/>
    <n v="2.966550628121567E-3"/>
    <n v="330.35"/>
    <n v="1"/>
    <n v="1"/>
    <n v="-1225921"/>
    <n v="-5.1161813038192632E-4"/>
    <n v="-1.5132519475274444E-2"/>
    <m/>
    <m/>
    <m/>
    <n v="-1225921"/>
    <n v="-5.1161813038192632E-4"/>
    <n v="-1.5132519475274444E-2"/>
    <n v="1807.9890939546679"/>
    <m/>
    <n v="-1295"/>
    <n v="-6.5556448825446811E-2"/>
    <n v="-5.2638713615508505E-4"/>
    <n v="20.501681213371697"/>
    <n v="1.028867244720459"/>
    <n v="-3398.816940865936"/>
    <m/>
    <s v="24/04/2026"/>
    <n v="-6.1468740000000001E-2"/>
    <n v="0.31448521835732735"/>
    <s v="09/03/2026"/>
  </r>
  <r>
    <x v="8"/>
    <x v="2"/>
    <m/>
    <s v="USD"/>
    <s v="Long"/>
    <m/>
    <n v="4105"/>
    <n v="275.91000000000003"/>
    <n v="-2.0977250533472658E-3"/>
    <n v="276.49"/>
    <n v="1"/>
    <n v="1"/>
    <n v="1132610.55"/>
    <n v="4.7267653628728552E-4"/>
    <n v="-9.9362977437069348E-3"/>
    <n v="2211345.2825993309"/>
    <n v="9.2286887908141083E-4"/>
    <n v="-1.5337012981697477E-2"/>
    <n v="3343955.8325993307"/>
    <n v="1.3955454153686962E-3"/>
    <n v="-2.527331072540441E-2"/>
    <n v="2171.1464843608424"/>
    <m/>
    <n v="4241.9069312810898"/>
    <n v="0.2225969239229999"/>
    <n v="1.4944105122726239E-3"/>
    <n v="25.520851873008048"/>
    <n v="1.0708433389663696"/>
    <n v="-2231.7273178455052"/>
    <m/>
    <s v="01/05/2026"/>
    <n v="5.3528560000000005E-3"/>
    <n v="7.4701536499288179E-2"/>
    <s v="09/02/2026"/>
  </r>
  <r>
    <x v="8"/>
    <x v="2"/>
    <m/>
    <s v="USD"/>
    <s v="Long"/>
    <m/>
    <n v="-4105"/>
    <n v="275.91000000000003"/>
    <n v="-3.2608695652169839E-4"/>
    <n v="276"/>
    <n v="1"/>
    <n v="1"/>
    <n v="-1132610.55"/>
    <n v="-4.7267653628728552E-4"/>
    <n v="1.5418393050575868E-3"/>
    <m/>
    <m/>
    <m/>
    <n v="-1132610.55"/>
    <n v="-4.7267653628728552E-4"/>
    <n v="1.5418393050575868E-3"/>
    <n v="2171.1464843608424"/>
    <m/>
    <n v="-1436.75"/>
    <n v="-7.5394424165214538E-2"/>
    <n v="-5.0616252036893522E-4"/>
    <n v="25.520851873008048"/>
    <n v="1.0708433389663696"/>
    <n v="346.30251483800896"/>
    <m/>
    <s v="01/05/2026"/>
    <n v="5.3528560000000005E-3"/>
    <n v="-2.5301694333246142E-2"/>
    <s v="09/02/2026"/>
  </r>
  <r>
    <x v="9"/>
    <x v="2"/>
    <m/>
    <s v="USD"/>
    <s v="Long"/>
    <m/>
    <n v="12200"/>
    <n v="222.69"/>
    <n v="-4.4207905918709045E-2"/>
    <n v="232.99"/>
    <n v="1"/>
    <n v="1"/>
    <n v="2716818"/>
    <n v="1.1338196716982288E-3"/>
    <n v="-0.52442151055241681"/>
    <n v="1171949.3569917972"/>
    <n v="4.8909394563470575E-4"/>
    <n v="-7.8250066233151103E-3"/>
    <n v="3888767.3569917972"/>
    <n v="1.6229136173329345E-3"/>
    <n v="-0.5322465171757319"/>
    <n v="2690.0221226817553"/>
    <m/>
    <n v="6111.9429473578921"/>
    <n v="0.33263296908000756"/>
    <n v="2.0604148116762592E-3"/>
    <n v="32.793658568386434"/>
    <n v="1.2695776224136353"/>
    <n v="-117786.91031142602"/>
    <m/>
    <s v="05/02/2026"/>
    <n v="-3.3992870000000001E-2"/>
    <n v="-0.55167491615228192"/>
    <s v="#N/A Field Not Applicable"/>
  </r>
  <r>
    <x v="9"/>
    <x v="2"/>
    <m/>
    <s v="USD"/>
    <s v="Long"/>
    <m/>
    <n v="-12200"/>
    <n v="222.69"/>
    <n v="-1.9936625297068966E-2"/>
    <n v="227.22"/>
    <n v="1"/>
    <n v="1"/>
    <n v="-2716818"/>
    <n v="-1.1338196716982288E-3"/>
    <n v="0.23064363522353845"/>
    <m/>
    <m/>
    <m/>
    <n v="-2716818"/>
    <n v="-1.1338196716982288E-3"/>
    <n v="0.23064363522353845"/>
    <n v="2690.0221226817553"/>
    <m/>
    <n v="-4270"/>
    <n v="-0.23238809494869819"/>
    <n v="-1.4394720830404458E-3"/>
    <n v="32.793658568386434"/>
    <n v="1.2695776224136353"/>
    <n v="51803.369292306736"/>
    <m/>
    <s v="05/02/2026"/>
    <n v="-3.3992870000000001E-2"/>
    <n v="0.38541784703480575"/>
    <s v="#N/A Field Not Applicable"/>
  </r>
  <r>
    <x v="10"/>
    <x v="2"/>
    <m/>
    <s v="USD"/>
    <s v="Short"/>
    <m/>
    <m/>
    <n v="80.87"/>
    <n v="8.8572854291417702E-3"/>
    <n v="80.16"/>
    <n v="1"/>
    <n v="1"/>
    <n v="0"/>
    <n v="0"/>
    <n v="0"/>
    <n v="-251675.41173100466"/>
    <n v="-1.0503262739843607E-4"/>
    <n v="-4.0064033911373476E-2"/>
    <n v="-251675.41173100466"/>
    <n v="-1.0503262739843607E-4"/>
    <n v="-4.0064033911373476E-2"/>
    <n v="7407.4567392110794"/>
    <m/>
    <n v="-1089.2345011234281"/>
    <n v="-1.4826934568807322E-2"/>
    <n v="-1.1596691089548864E-4"/>
    <n v="22.586405670020355"/>
    <n v="1.104103684425354"/>
    <n v="0"/>
    <m/>
    <s v="17/04/2026"/>
    <n v="1.3972E-2"/>
    <n v="-1.4675158700109487E-2"/>
    <s v="#N/A Field Not Applicable"/>
  </r>
  <r>
    <x v="11"/>
    <x v="2"/>
    <m/>
    <s v="USD"/>
    <s v="Long"/>
    <m/>
    <n v="585"/>
    <n v="2034.76"/>
    <n v="-3.4986459761065847E-2"/>
    <n v="2108.5300000000002"/>
    <n v="1"/>
    <n v="1"/>
    <n v="1190334.6000000001"/>
    <n v="4.9676672687792953E-4"/>
    <n v="-0.18010223044381132"/>
    <n v="1796190.0994312763"/>
    <n v="7.4961063598841682E-4"/>
    <n v="-0.15842394640072871"/>
    <n v="2986524.6994312764"/>
    <n v="1.2463773628663465E-3"/>
    <n v="-0.33852617684454001"/>
    <n v="294.40377562955831"/>
    <m/>
    <n v="513.71348208189011"/>
    <n v="0.31475024608600466"/>
    <n v="1.1868143372524105E-3"/>
    <n v="40.405129998466634"/>
    <n v="0.95221108198165894"/>
    <n v="-40451.592540181744"/>
    <m/>
    <s v="24/02/2026"/>
    <n v="6.1039319999999994E-3"/>
    <n v="7.6078026692755027E-2"/>
    <s v="29/03/2018"/>
  </r>
  <r>
    <x v="11"/>
    <x v="2"/>
    <m/>
    <s v="USD"/>
    <s v="Long"/>
    <m/>
    <n v="-885"/>
    <n v="2034.76"/>
    <n v="-1.0330739299610925E-2"/>
    <n v="2056"/>
    <n v="1"/>
    <n v="1"/>
    <n v="-1800762.6"/>
    <n v="-7.5151889450763686E-4"/>
    <n v="7.8447882400588836E-2"/>
    <m/>
    <m/>
    <m/>
    <n v="-1800762.6"/>
    <n v="-7.5151889450763686E-4"/>
    <n v="7.8447882400588836E-2"/>
    <n v="294.40377562955831"/>
    <m/>
    <n v="-309.74999999999994"/>
    <n v="-0.18978261643053124"/>
    <n v="-7.1560461966877712E-4"/>
    <n v="40.405129998466634"/>
    <n v="0.95221108198165894"/>
    <n v="17619.669488206255"/>
    <m/>
    <s v="24/02/2026"/>
    <n v="6.1039319999999994E-3"/>
    <n v="-4.5872202287897887E-2"/>
    <s v="29/03/2018"/>
  </r>
  <r>
    <x v="12"/>
    <x v="2"/>
    <m/>
    <s v="USD"/>
    <s v="Long"/>
    <m/>
    <n v="4450"/>
    <n v="670.21"/>
    <n v="1.8236445985739813E-3"/>
    <n v="668.99"/>
    <n v="1"/>
    <n v="1"/>
    <n v="2982434.5"/>
    <n v="1.2446703848588575E-3"/>
    <n v="2.2657045844255385E-2"/>
    <n v="3427840.6280949712"/>
    <n v="1.4305533663206335E-3"/>
    <n v="0.11803239990608551"/>
    <n v="6410275.1280949712"/>
    <n v="2.675223751179491E-3"/>
    <n v="0.1406894457503409"/>
    <n v="893.8109346324286"/>
    <m/>
    <n v="3347.6019379496574"/>
    <n v="1.0881079322203966"/>
    <n v="3.1658413836547828E-3"/>
    <n v="65.077647833570907"/>
    <n v="1.183393120765686"/>
    <n v="5088.8519503481266"/>
    <m/>
    <s v="30/04/2026"/>
    <e v="#VALUE!"/>
    <e v="#VALUE!"/>
    <s v="15/12/2025"/>
  </r>
  <r>
    <x v="13"/>
    <x v="2"/>
    <m/>
    <s v="USD"/>
    <s v="Long"/>
    <m/>
    <n v="-11500"/>
    <n v="79.67"/>
    <n v="-4.9737595419847347E-2"/>
    <n v="83.84"/>
    <n v="1"/>
    <n v="1"/>
    <n v="-916205"/>
    <n v="-3.8236321031010384E-4"/>
    <n v="0.2001323693979081"/>
    <n v="0"/>
    <n v="0"/>
    <n v="0"/>
    <n v="-916205"/>
    <n v="-3.8236321031010384E-4"/>
    <n v="0.2001323693979081"/>
    <n v="7519.0288251537595"/>
    <m/>
    <n v="-4025"/>
    <n v="-8.1238931055730795E-2"/>
    <n v="-3.8194399958465071E-4"/>
    <n v="33.994455058516529"/>
    <n v="0.99890363216400146"/>
    <n v="44950.431990963159"/>
    <m/>
    <s v="#N/A N/A"/>
    <n v="-7.6335810000000004E-3"/>
    <n v="2.918800537322213E-2"/>
    <s v="21/03/2024"/>
  </r>
  <r>
    <x v="14"/>
    <x v="2"/>
    <m/>
    <s v="USD"/>
    <s v="Long"/>
    <m/>
    <n v="1880"/>
    <n v="393.67"/>
    <n v="-4.9542480504116471E-2"/>
    <n v="414.19"/>
    <n v="1"/>
    <n v="1"/>
    <n v="740099.6"/>
    <n v="3.0886849450202056E-4"/>
    <n v="-0.16099732027285429"/>
    <n v="0"/>
    <n v="0"/>
    <n v="0"/>
    <n v="740099.6"/>
    <n v="3.0886849450202056E-4"/>
    <n v="-0.16099732027285429"/>
    <n v="1521.6832029364696"/>
    <m/>
    <n v="657.99999999999989"/>
    <n v="0.12072108860033846"/>
    <n v="3.1442776126503863E-4"/>
    <n v="62.535915834328634"/>
    <n v="1.0179988145828247"/>
    <n v="-36160.562718685804"/>
    <m/>
    <s v="30/04/2026"/>
    <e v="#VALUE!"/>
    <e v="#VALUE!"/>
    <s v="19/02/2026"/>
  </r>
  <r>
    <x v="14"/>
    <x v="2"/>
    <m/>
    <s v="USD"/>
    <s v="Long"/>
    <m/>
    <n v="1100"/>
    <n v="393.67"/>
    <n v="-2.5569306930693037E-2"/>
    <n v="404"/>
    <n v="1"/>
    <n v="1"/>
    <n v="433037"/>
    <n v="1.8072092763416096E-4"/>
    <n v="-4.742162680572256E-2"/>
    <m/>
    <m/>
    <m/>
    <n v="433037"/>
    <n v="1.8072092763416096E-4"/>
    <n v="-4.742162680572256E-2"/>
    <n v="1521.6832029364696"/>
    <m/>
    <n v="385"/>
    <n v="7.0634679500198028E-2"/>
    <n v="1.8397369010188431E-4"/>
    <n v="62.535915834328634"/>
    <n v="1.0179988145828247"/>
    <n v="-10651.06367872617"/>
    <m/>
    <s v="30/04/2026"/>
    <e v="#VALUE!"/>
    <e v="#VALUE!"/>
    <s v="19/02/2026"/>
  </r>
  <r>
    <x v="15"/>
    <x v="3"/>
    <m/>
    <s v="KRW"/>
    <s v="Long"/>
    <m/>
    <n v="1393"/>
    <n v="842000"/>
    <n v="-6.4444444444444415E-2"/>
    <n v="900000"/>
    <n v="1463.6"/>
    <n v="1"/>
    <n v="801384.25799398753"/>
    <n v="3.3444464675325017E-4"/>
    <n v="-0.23037754764475663"/>
    <n v="0"/>
    <n v="0"/>
    <n v="0"/>
    <n v="801384.25799398753"/>
    <n v="3.3444464675325017E-4"/>
    <n v="-0.23037754764475663"/>
    <n v="1041.2784398876483"/>
    <m/>
    <n v="0.33311697185023231"/>
    <n v="0.22074538144768568"/>
    <n v="5.5852055341004724E-4"/>
    <n v="105.6057"/>
    <n v="1.669994"/>
    <n v="-51743.605088996417"/>
    <m/>
    <s v="23/04/2026"/>
    <e v="#VALUE!"/>
    <e v="#VALUE!"/>
    <s v="26/02/2026"/>
  </r>
  <r>
    <x v="16"/>
    <x v="3"/>
    <m/>
    <s v="KRW"/>
    <s v="Long"/>
    <m/>
    <n v="910"/>
    <n v="540000"/>
    <n v="-4.4247787610619427E-2"/>
    <n v="565000"/>
    <n v="1463.6"/>
    <n v="1"/>
    <n v="335747.47198688169"/>
    <n v="1.4011873024312872E-4"/>
    <n v="-6.4869782519966987E-2"/>
    <n v="0"/>
    <n v="0"/>
    <n v="0"/>
    <n v="335747.47198688169"/>
    <n v="1.4011873024312872E-4"/>
    <n v="-6.4869782519966987E-2"/>
    <n v="1623.6230488618517"/>
    <m/>
    <n v="0.2176141022137196"/>
    <n v="9.6165060901574478E-2"/>
    <n v="2.7807893144686204E-4"/>
    <n v="109.8098"/>
    <n v="1.9845950000000001"/>
    <n v="-14569.980639337928"/>
    <m/>
    <s v="11/03/2026"/>
    <e v="#VALUE!"/>
    <e v="#VALUE!"/>
    <s v="#N/A N/A"/>
  </r>
  <r>
    <x v="17"/>
    <x v="3"/>
    <m/>
    <s v="KRW"/>
    <s v="Long"/>
    <m/>
    <n v="6180"/>
    <n v="161100"/>
    <n v="-4.1641879833432482E-2"/>
    <n v="168100"/>
    <n v="1463.6"/>
    <n v="1"/>
    <n v="680239.13637605903"/>
    <n v="2.8388670653764438E-4"/>
    <n v="-0.12335238645335264"/>
    <n v="0"/>
    <n v="0"/>
    <n v="0"/>
    <n v="680239.13637605903"/>
    <n v="2.8388670653764438E-4"/>
    <n v="-0.12335238645335264"/>
    <n v="5442.3118956263188"/>
    <m/>
    <n v="1.4778628040448207"/>
    <n v="0.13996627752989824"/>
    <n v="3.3104028849354709E-4"/>
    <n v="78.885710000000003"/>
    <n v="1.1660999999999999"/>
    <n v="-27705.378569571818"/>
    <m/>
    <s v="07/04/2026"/>
    <e v="#VALUE!"/>
    <e v="#VALUE!"/>
    <s v="29/12/2025"/>
  </r>
  <r>
    <x v="15"/>
    <x v="3"/>
    <m/>
    <s v="KRW"/>
    <s v="Long"/>
    <m/>
    <n v="170"/>
    <n v="842000"/>
    <n v="-3.1784602661419359E-2"/>
    <n v="869641.2"/>
    <n v="1463.6"/>
    <n v="1"/>
    <n v="97799.945340256905"/>
    <n v="4.0815211735859675E-5"/>
    <n v="-1.339882934243756E-2"/>
    <n v="0"/>
    <n v="0"/>
    <n v="0"/>
    <n v="97799.945340256905"/>
    <n v="4.0815211735859675E-5"/>
    <n v="-1.339882934243756E-2"/>
    <n v="1041.2784398876483"/>
    <m/>
    <n v="4.065318393003553E-2"/>
    <n v="2.6939493787585471E-2"/>
    <n v="6.8161158707615247E-5"/>
    <n v="105.6057"/>
    <n v="1.669994"/>
    <n v="-3009.4240573262141"/>
    <m/>
    <s v="23/04/2026"/>
    <e v="#VALUE!"/>
    <e v="#VALUE!"/>
    <s v="26/02/2026"/>
  </r>
  <r>
    <x v="16"/>
    <x v="3"/>
    <m/>
    <s v="KRW"/>
    <s v="Long"/>
    <m/>
    <n v="270"/>
    <n v="540000"/>
    <n v="-2.5609508318949037E-2"/>
    <n v="554192.6"/>
    <n v="1463.6"/>
    <n v="1"/>
    <n v="99617.381798305563"/>
    <n v="4.1573689193016218E-5"/>
    <n v="-1.0926643356311128E-2"/>
    <n v="0"/>
    <n v="0"/>
    <n v="0"/>
    <n v="99617.381798305563"/>
    <n v="4.1573689193016218E-5"/>
    <n v="-1.0926643356311128E-2"/>
    <n v="1623.6230488618517"/>
    <m/>
    <n v="6.456682153593879E-2"/>
    <n v="2.8532490597170449E-2"/>
    <n v="8.2506935704014026E-5"/>
    <n v="109.8098"/>
    <n v="1.9845950000000001"/>
    <n v="-2454.1624153804009"/>
    <m/>
    <s v="11/03/2026"/>
    <e v="#VALUE!"/>
    <e v="#VALUE!"/>
    <s v="#N/A N/A"/>
  </r>
  <r>
    <x v="17"/>
    <x v="3"/>
    <m/>
    <s v="KRW"/>
    <s v="Long"/>
    <m/>
    <n v="900"/>
    <n v="161100"/>
    <n v="-9.8303988828477573E-3"/>
    <n v="162699.4"/>
    <n v="1463.6"/>
    <n v="1"/>
    <n v="99063.951899426072"/>
    <n v="4.1342724253055008E-5"/>
    <n v="-4.104503610821598E-3"/>
    <n v="0"/>
    <n v="0"/>
    <n v="0"/>
    <n v="99063.951899426072"/>
    <n v="4.1342724253055008E-5"/>
    <n v="-4.104503610821598E-3"/>
    <n v="5442.3118956263188"/>
    <m/>
    <n v="0.21522273845312925"/>
    <n v="2.0383438475227902E-2"/>
    <n v="4.8209750751487445E-5"/>
    <n v="78.885710000000003"/>
    <n v="1.1660999999999999"/>
    <n v="-921.88590466379333"/>
    <m/>
    <s v="07/04/2026"/>
    <e v="#VALUE!"/>
    <e v="#VALUE!"/>
    <s v="29/12/2025"/>
  </r>
  <r>
    <x v="18"/>
    <x v="3"/>
    <m/>
    <s v="JPY"/>
    <s v="Long"/>
    <m/>
    <n v="400"/>
    <n v="17180"/>
    <n v="8.8079859072225375E-3"/>
    <n v="17030"/>
    <n v="156.94999999999999"/>
    <n v="1"/>
    <n v="43784.644791334824"/>
    <n v="1.8272807226223772E-5"/>
    <n v="1.5954139021732048E-3"/>
    <n v="0"/>
    <n v="0"/>
    <n v="0"/>
    <n v="43784.644791334824"/>
    <n v="1.8272807226223772E-5"/>
    <n v="1.5954139021732048E-3"/>
    <n v="5472.6128701498837"/>
    <m/>
    <n v="0.89200382287352664"/>
    <n v="9.3980485136328298E-3"/>
    <n v="2.4021066923449247E-5"/>
    <n v="82.29101"/>
    <n v="1.3145800000000001"/>
    <n v="358.33555722557395"/>
    <m/>
    <s v="05/02/2026"/>
    <e v="#VALUE!"/>
    <e v="#VALUE!"/>
    <s v="30/03/2026"/>
  </r>
  <r>
    <x v="18"/>
    <x v="3"/>
    <m/>
    <s v="JPY"/>
    <s v="Long"/>
    <m/>
    <n v="1000"/>
    <n v="17180"/>
    <n v="4.8200122025625403E-2"/>
    <n v="16390"/>
    <n v="156.94999999999999"/>
    <n v="1"/>
    <n v="109461.61197833707"/>
    <n v="4.5682018065559432E-5"/>
    <n v="2.100628304528053E-2"/>
    <n v="0"/>
    <n v="0"/>
    <n v="0"/>
    <n v="109461.61197833707"/>
    <n v="4.5682018065559432E-5"/>
    <n v="2.100628304528053E-2"/>
    <n v="5472.6128701498837"/>
    <m/>
    <n v="2.2300095571838168"/>
    <n v="2.3495121284082075E-2"/>
    <n v="6.005266730862312E-5"/>
    <n v="82.29101"/>
    <n v="1.3145800000000001"/>
    <n v="4718.0848368033903"/>
    <m/>
    <s v="05/02/2026"/>
    <e v="#VALUE!"/>
    <e v="#VALUE!"/>
    <s v="30/03/2026"/>
  </r>
  <r>
    <x v="19"/>
    <x v="3"/>
    <m/>
    <s v="USD"/>
    <s v="Long"/>
    <m/>
    <n v="34700"/>
    <n v="120.21"/>
    <n v="-4.1576584067859468E-4"/>
    <n v="120.26"/>
    <n v="1"/>
    <n v="1"/>
    <n v="4171287"/>
    <n v="1.7408185814799114E-3"/>
    <n v="-7.2407394621092549E-3"/>
    <n v="0"/>
    <n v="0"/>
    <n v="0"/>
    <n v="4171287"/>
    <n v="1.7408185814799114E-3"/>
    <n v="-7.2407394621092549E-3"/>
    <n v="4983.2878005157645"/>
    <m/>
    <n v="12145"/>
    <n v="0.43431560833277638"/>
    <n v="1.6084773983636503E-3"/>
    <n v="39.918287909225263"/>
    <n v="0.92397761344909668"/>
    <n v="-1626.2954750148845"/>
    <m/>
    <s v="#N/A N/A"/>
    <n v="-1.122566E-2"/>
    <n v="-0.19541837517375782"/>
    <s v="16/12/2025"/>
  </r>
  <r>
    <x v="20"/>
    <x v="4"/>
    <m/>
    <s v="USD"/>
    <s v="Long"/>
    <m/>
    <n v="4450"/>
    <n v="504.42"/>
    <n v="8.351591699961336E-2"/>
    <n v="465.54"/>
    <n v="1"/>
    <n v="1"/>
    <n v="2244669"/>
    <n v="9.3677598891467578E-4"/>
    <n v="0.72205405116772914"/>
    <n v="0"/>
    <n v="0"/>
    <n v="0"/>
    <n v="2244669"/>
    <n v="9.3677598891467578E-4"/>
    <n v="0.72205405116772914"/>
    <n v="1187.583812101027"/>
    <m/>
    <n v="1557.5"/>
    <n v="0.40332869002484134"/>
    <n v="1.915451685694204E-3"/>
    <n v="68.887963790297817"/>
    <n v="2.0447275638580322"/>
    <n v="162175.87199141859"/>
    <m/>
    <s v="06/05/2026"/>
    <e v="#VALUE!"/>
    <e v="#VALUE!"/>
    <s v="#N/A N/A"/>
  </r>
  <r>
    <x v="21"/>
    <x v="4"/>
    <m/>
    <s v="USD"/>
    <s v="Long"/>
    <m/>
    <n v="44721"/>
    <n v="82.36"/>
    <n v="1.4785608674223738E-2"/>
    <n v="81.16"/>
    <n v="1"/>
    <n v="1"/>
    <n v="3683221.56"/>
    <n v="1.5371324321139799E-3"/>
    <n v="0.2239629575688174"/>
    <n v="0"/>
    <n v="0"/>
    <n v="0"/>
    <n v="3683221.56"/>
    <n v="1.5371324321139799E-3"/>
    <n v="0.2239629575688174"/>
    <n v="7273.4461692569212"/>
    <m/>
    <n v="15652.35"/>
    <n v="0.30783523721903155"/>
    <n v="1.4357608749301935E-3"/>
    <n v="32.042546839837186"/>
    <n v="0.934051513671875"/>
    <n v="50302.865663255987"/>
    <m/>
    <s v="11/02/2026"/>
    <n v="-3.326814E-3"/>
    <n v="-5.1137536950108378E-2"/>
    <s v="02/01/2026"/>
  </r>
  <r>
    <x v="22"/>
    <x v="5"/>
    <m/>
    <s v="USD"/>
    <s v="Long"/>
    <m/>
    <m/>
    <n v="310.51"/>
    <n v="7.9857166044472461E-3"/>
    <n v="308.05"/>
    <n v="1"/>
    <n v="1"/>
    <n v="0"/>
    <n v="0"/>
    <n v="0"/>
    <n v="-1747080.7056427002"/>
    <n v="-7.2911563163307821E-4"/>
    <n v="-0.49729482092492372"/>
    <n v="-1747080.7056427002"/>
    <n v="-7.2911563163307821E-4"/>
    <n v="-0.49729482092492372"/>
    <n v="1929.2165356993335"/>
    <m/>
    <n v="-1969.2707061767576"/>
    <n v="-0.15825754120611579"/>
    <n v="-1.4799832008906698E-3"/>
    <n v="34.728656874718091"/>
    <n v="2.0298333168029785"/>
    <n v="0"/>
    <m/>
    <s v="04/03/2026"/>
    <n v="2.0970699999999998E-2"/>
    <n v="-0.15290065176287793"/>
    <s v="22/12/2025"/>
  </r>
  <r>
    <x v="22"/>
    <x v="5"/>
    <m/>
    <s v="USD"/>
    <s v="Long"/>
    <m/>
    <n v="16500"/>
    <n v="310.51"/>
    <n v="-2.8684934934934958E-2"/>
    <n v="319.68"/>
    <n v="1"/>
    <n v="1"/>
    <n v="5123415"/>
    <n v="2.1381736698129141E-3"/>
    <n v="-0.63144673447503952"/>
    <m/>
    <m/>
    <m/>
    <n v="5123415"/>
    <n v="2.1381736698129141E-3"/>
    <n v="-0.63144673447503952"/>
    <n v="1929.2165356993335"/>
    <m/>
    <n v="5775"/>
    <n v="0.46409937323430916"/>
    <n v="4.3401361520971436E-3"/>
    <n v="34.728656874718091"/>
    <n v="2.0298333168029785"/>
    <n v="-141825.15092050232"/>
    <m/>
    <s v="04/03/2026"/>
    <n v="2.0970699999999998E-2"/>
    <n v="0.44838998577545663"/>
    <s v="22/12/2025"/>
  </r>
  <r>
    <x v="23"/>
    <x v="5"/>
    <m/>
    <s v="USD"/>
    <s v="Long"/>
    <m/>
    <n v="3638"/>
    <n v="330.73"/>
    <n v="1.5318966046540261E-2"/>
    <n v="325.74"/>
    <n v="1"/>
    <n v="1"/>
    <n v="1203195.74"/>
    <n v="5.0213411384770991E-4"/>
    <n v="7.5761171593144772E-2"/>
    <n v="12223429.126980156"/>
    <n v="5.1012487401729551E-3"/>
    <n v="0.49970492296490376"/>
    <n v="13426624.866980156"/>
    <n v="5.6033828540206655E-3"/>
    <n v="0.57546609455804854"/>
    <n v="1811.2690911015027"/>
    <m/>
    <n v="14208.927836734058"/>
    <n v="1.2033974396213676"/>
    <n v="8.1898586546577338E-3"/>
    <n v="34.362026539246841"/>
    <n v="1.4615918397903442"/>
    <n v="17016.224819096857"/>
    <m/>
    <s v="17/04/2026"/>
    <e v="#VALUE!"/>
    <e v="#VALUE!"/>
    <s v="17/03/2026"/>
  </r>
  <r>
    <x v="23"/>
    <x v="5"/>
    <m/>
    <s v="USD"/>
    <s v="Long"/>
    <m/>
    <n v="-3638"/>
    <n v="330.73"/>
    <n v="5.6476601181919772E-2"/>
    <n v="313.05"/>
    <n v="1"/>
    <n v="1"/>
    <n v="-1203195.74"/>
    <n v="-5.0213411384770991E-4"/>
    <n v="-0.26842835947230409"/>
    <m/>
    <m/>
    <m/>
    <n v="-1203195.74"/>
    <n v="-5.0213411384770991E-4"/>
    <n v="-0.26842835947230409"/>
    <n v="1811.2690911015027"/>
    <m/>
    <n v="-1273.3"/>
    <n v="-0.10783966091435127"/>
    <n v="-7.3391512328016854E-4"/>
    <n v="34.362026539246841"/>
    <n v="1.4615918397903442"/>
    <n v="-60289.9508620505"/>
    <m/>
    <s v="17/04/2026"/>
    <e v="#VALUE!"/>
    <e v="#VALUE!"/>
    <s v="17/03/2026"/>
  </r>
  <r>
    <x v="24"/>
    <x v="5"/>
    <m/>
    <s v="USD"/>
    <s v="Long"/>
    <m/>
    <n v="1500"/>
    <n v="48.24"/>
    <n v="-7.4074074074074181E-3"/>
    <n v="48.6"/>
    <n v="1"/>
    <n v="1"/>
    <n v="72360"/>
    <n v="3.0198265560697786E-5"/>
    <n v="-2.2536019075147565E-3"/>
    <n v="519379.14496064186"/>
    <n v="2.1675441329753475E-4"/>
    <n v="-5.0236542521683164E-2"/>
    <n v="591739.14496064186"/>
    <n v="2.4695267885823253E-4"/>
    <n v="-5.2490144429197923E-2"/>
    <n v="12417.931726782754"/>
    <m/>
    <n v="4293.2981081306925"/>
    <n v="0.1234457559452052"/>
    <n v="3.6367920268489193E-4"/>
    <n v="79.980185040112161"/>
    <n v="1.4726675748825073"/>
    <n v="-506.16689135898361"/>
    <m/>
    <s v="24/04/2026"/>
    <e v="#VALUE!"/>
    <e v="#VALUE!"/>
    <s v="03/09/2024"/>
  </r>
  <r>
    <x v="25"/>
    <x v="5"/>
    <m/>
    <s v="USD"/>
    <s v="Long"/>
    <m/>
    <n v="25027"/>
    <n v="171.88"/>
    <n v="-1.3261381250358806E-2"/>
    <n v="174.19"/>
    <n v="1"/>
    <n v="1"/>
    <n v="4301640.76"/>
    <n v="1.7952195966998597E-3"/>
    <n v="-0.24127049501842449"/>
    <n v="820752.87950634956"/>
    <n v="3.4252782497291509E-4"/>
    <n v="-3.2552027552991004E-2"/>
    <n v="5122393.6395063493"/>
    <n v="2.1377474216727746E-3"/>
    <n v="-0.27382252257141548"/>
    <n v="3485.2282202699562"/>
    <m/>
    <n v="10430.752698552606"/>
    <n v="0.39745160682119046"/>
    <n v="3.9362748698165547E-3"/>
    <n v="29.747320215046692"/>
    <n v="1.8413189649581909"/>
    <n v="-54190.19926851007"/>
    <m/>
    <s v="25/02/2026"/>
    <n v="4.5352389999999999E-3"/>
    <n v="9.695195478919813E-2"/>
    <s v="04/12/2025"/>
  </r>
  <r>
    <x v="26"/>
    <x v="5"/>
    <m/>
    <s v="USD"/>
    <s v="Short"/>
    <m/>
    <m/>
    <n v="74.209999999999994"/>
    <n v="6.5102400651022574E-3"/>
    <n v="73.73"/>
    <n v="1"/>
    <n v="1"/>
    <n v="0"/>
    <n v="0"/>
    <n v="0"/>
    <n v="-657004.8408977685"/>
    <n v="-2.7419025235067454E-4"/>
    <n v="-2.0658017485551947E-2"/>
    <n v="-657004.8408977685"/>
    <n v="-2.7419025235067454E-4"/>
    <n v="-2.0658017485551947E-2"/>
    <n v="8072.2412949737245"/>
    <m/>
    <n v="-3098.6618287861334"/>
    <n v="-6.2696282706610415E-2"/>
    <n v="-5.4424258465709553E-4"/>
    <n v="36.585564756795364"/>
    <n v="1.9849085807800293"/>
    <n v="0"/>
    <m/>
    <s v="05/03/2026"/>
    <n v="-1.0036689999999999E-2"/>
    <n v="2.7519625638654913E-2"/>
    <s v="09/01/2026"/>
  </r>
  <r>
    <x v="26"/>
    <x v="5"/>
    <m/>
    <s v="USD"/>
    <s v="Short"/>
    <m/>
    <n v="3500"/>
    <n v="74.209999999999994"/>
    <n v="2.0208963431399551E-2"/>
    <n v="72.739999999999995"/>
    <n v="1"/>
    <n v="1"/>
    <n v="259734.99999999997"/>
    <n v="1.0839616508302707E-4"/>
    <n v="2.1471818174376728E-2"/>
    <m/>
    <m/>
    <m/>
    <n v="259734.99999999997"/>
    <n v="1.0839616508302707E-4"/>
    <n v="2.1471818174376728E-2"/>
    <n v="8072.2412949737245"/>
    <m/>
    <n v="1225"/>
    <n v="2.4785843231458545E-2"/>
    <n v="2.1515647819694901E-4"/>
    <n v="36.585564756795364"/>
    <n v="1.9849085807800293"/>
    <n v="4822.6456593369876"/>
    <m/>
    <s v="05/03/2026"/>
    <n v="-1.0036689999999999E-2"/>
    <n v="-1.0879387061271669E-2"/>
    <s v="09/01/2026"/>
  </r>
  <r>
    <x v="27"/>
    <x v="5"/>
    <m/>
    <s v="USD"/>
    <s v="Short"/>
    <m/>
    <n v="-2750"/>
    <n v="192.5"/>
    <n v="-3.8294348996067429E-3"/>
    <n v="193.24"/>
    <n v="1"/>
    <n v="1"/>
    <n v="-529375"/>
    <n v="-2.2092602033159744E-4"/>
    <n v="8.4927405218381356E-3"/>
    <m/>
    <m/>
    <m/>
    <n v="-529375"/>
    <n v="-2.2092602033159744E-4"/>
    <n v="8.4927405218381356E-3"/>
    <n v="3111.9014363636365"/>
    <m/>
    <n v="-962.5"/>
    <n v="-0.14652698524012431"/>
    <n v="-3.4606479761175175E-4"/>
    <n v="106.11840833972973"/>
    <n v="1.5664284229278564"/>
    <n v="1907.4993035473071"/>
    <m/>
    <s v="06/05/2026"/>
    <e v="#VALUE!"/>
    <e v="#VALUE!"/>
    <s v="27/04/1995"/>
  </r>
  <r>
    <x v="28"/>
    <x v="6"/>
    <m/>
    <s v="USD"/>
    <s v="Long"/>
    <m/>
    <n v="39000"/>
    <n v="12.06"/>
    <n v="-0.14710042432814707"/>
    <n v="14.14"/>
    <n v="1"/>
    <n v="1"/>
    <n v="470340"/>
    <n v="1.9628872614453562E-4"/>
    <n v="-0.33854108655110615"/>
    <n v="0"/>
    <n v="0"/>
    <n v="0"/>
    <n v="470340"/>
    <n v="1.9628872614453562E-4"/>
    <n v="-0.33854108655110615"/>
    <n v="49671.726907131015"/>
    <m/>
    <n v="13650"/>
    <n v="0.12348433612710365"/>
    <n v="3.9859396299546439E-4"/>
    <n v="100.65526517191982"/>
    <n v="2.030651330947876"/>
    <n v="-76037.515235260755"/>
    <m/>
    <s v="24/02/2026"/>
    <n v="-3.6067910000000002E-2"/>
    <n v="-7.0797241085957585E-2"/>
    <s v="12/10/2017"/>
  </r>
  <r>
    <x v="29"/>
    <x v="6"/>
    <m/>
    <s v="USD"/>
    <s v="Long"/>
    <m/>
    <n v="31500"/>
    <n v="67.42"/>
    <n v="1.4444778814324488E-2"/>
    <n v="66.459999999999994"/>
    <n v="1"/>
    <n v="1"/>
    <n v="2123730"/>
    <n v="8.8630407019376321E-4"/>
    <n v="0.12620170682082762"/>
    <n v="0"/>
    <n v="0"/>
    <n v="0"/>
    <n v="2123730"/>
    <n v="8.8630407019376321E-4"/>
    <n v="0.12620170682082762"/>
    <n v="8885.2124962919024"/>
    <m/>
    <n v="11024.999999999998"/>
    <n v="0.17522823816607025"/>
    <n v="6.1243646877483845E-4"/>
    <n v="31.633069337526472"/>
    <n v="0.69100040197372437"/>
    <n v="28345.345916103364"/>
    <m/>
    <s v="10/02/2026"/>
    <n v="0"/>
    <n v="0"/>
    <s v="13/03/2026"/>
  </r>
  <r>
    <x v="30"/>
    <x v="7"/>
    <m/>
    <s v="USD"/>
    <s v="Long"/>
    <m/>
    <n v="23500"/>
    <n v="53.29"/>
    <n v="-1.241660489251295E-2"/>
    <n v="53.96"/>
    <n v="1"/>
    <n v="1"/>
    <n v="1252315"/>
    <n v="5.2263323570543466E-4"/>
    <n v="-6.5709188951518505E-2"/>
    <n v="0"/>
    <n v="0"/>
    <n v="0"/>
    <n v="1252315"/>
    <n v="5.2263323570543466E-4"/>
    <n v="-6.5709188951518505E-2"/>
    <n v="11241.152683430288"/>
    <m/>
    <n v="8225"/>
    <n v="4.5014419695796212E-2"/>
    <n v="5.2255778709126184E-4"/>
    <n v="13.78080584868648"/>
    <n v="0.999855637550354"/>
    <n v="-14758.514267494873"/>
    <m/>
    <s v="#N/A N/A"/>
    <n v="-3.706534E-4"/>
    <n v="-1.9371578576722075E-3"/>
    <s v="22/12/2025"/>
  </r>
  <r>
    <x v="31"/>
    <x v="7"/>
    <m/>
    <s v="USD"/>
    <s v="Long"/>
    <m/>
    <n v="15000"/>
    <n v="88.13"/>
    <n v="-1.0886644219977537E-2"/>
    <n v="89.1"/>
    <n v="1"/>
    <n v="1"/>
    <n v="1321950"/>
    <n v="5.5169426697021062E-4"/>
    <n v="-6.0722051396925408E-2"/>
    <n v="0"/>
    <n v="0"/>
    <n v="0"/>
    <n v="1321950"/>
    <n v="5.5169426697021062E-4"/>
    <n v="-6.0722051396925408E-2"/>
    <n v="6797.2430103256556"/>
    <m/>
    <n v="5250"/>
    <n v="4.6220721385001939E-2"/>
    <n v="5.495593359668324E-4"/>
    <n v="13.404734948966995"/>
    <n v="0.99613022804260254"/>
    <n v="-13638.385683839286"/>
    <m/>
    <s v="#N/A N/A"/>
    <n v="-7.070677E-3"/>
    <n v="-3.9008519644981282E-2"/>
    <s v="22/12/2025"/>
  </r>
  <r>
    <x v="32"/>
    <x v="7"/>
    <m/>
    <s v="USD"/>
    <s v="Short"/>
    <m/>
    <n v="-13470"/>
    <n v="24.445"/>
    <n v="-1.4297385620914982E-3"/>
    <n v="24.48"/>
    <n v="1"/>
    <n v="1"/>
    <n v="-329274.15000000002"/>
    <n v="-1.3741719491394469E-4"/>
    <n v="1.9675196653663666E-3"/>
    <n v="0"/>
    <n v="0"/>
    <n v="0"/>
    <n v="-329274.15000000002"/>
    <n v="-1.3741719491394469E-4"/>
    <n v="1.9675196653663666E-3"/>
    <n v="24505.666864389448"/>
    <m/>
    <n v="-4714.5"/>
    <n v="-2.2352240565036135E-2"/>
    <n v="-5.10478321241981E-5"/>
    <n v="26.025553007725261"/>
    <n v="0.37148067355155945"/>
    <n v="441.91181653924843"/>
    <m/>
    <s v="11/02/2026"/>
    <e v="#VALUE!"/>
    <e v="#VALUE!"/>
    <s v="28/11/2025"/>
  </r>
  <r>
    <x v="33"/>
    <x v="7"/>
    <m/>
    <s v="USD"/>
    <s v="Short"/>
    <m/>
    <n v="-27500"/>
    <n v="86.92"/>
    <n v="-8.0469019427509281E-4"/>
    <n v="86.99"/>
    <n v="1"/>
    <n v="1"/>
    <n v="-2390300"/>
    <n v="-9.9755271102454292E-4"/>
    <n v="8.0336734666027615E-3"/>
    <n v="0"/>
    <n v="0"/>
    <n v="0"/>
    <n v="-2390300"/>
    <n v="-9.9755271102454292E-4"/>
    <n v="8.0336734666027615E-3"/>
    <n v="6891.8663886332261"/>
    <m/>
    <n v="-9625"/>
    <n v="-9.5793768316655314E-2"/>
    <n v="-1.0004064943887395E-3"/>
    <n v="15.36460455801193"/>
    <n v="1.0028607845306396"/>
    <n v="1804.3912330850928"/>
    <m/>
    <s v="#N/A N/A"/>
    <n v="6.0926409999999993E-3"/>
    <n v="-6.0777305468492811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5" firstHeaderRow="0" firstDataRow="1" firstDataCol="1"/>
  <pivotFields count="34">
    <pivotField axis="axisRow" showAll="0">
      <items count="195">
        <item m="1" x="191"/>
        <item m="1" x="187"/>
        <item m="1" x="167"/>
        <item x="8"/>
        <item m="1" x="148"/>
        <item x="2"/>
        <item m="1" x="111"/>
        <item m="1" x="77"/>
        <item m="1" x="113"/>
        <item m="1" x="95"/>
        <item m="1" x="124"/>
        <item m="1" x="38"/>
        <item m="1" x="192"/>
        <item m="1" x="185"/>
        <item m="1" x="190"/>
        <item x="13"/>
        <item m="1" x="163"/>
        <item m="1" x="65"/>
        <item m="1" x="52"/>
        <item x="12"/>
        <item m="1" x="66"/>
        <item x="14"/>
        <item m="1" x="105"/>
        <item m="1" x="132"/>
        <item x="25"/>
        <item m="1" x="193"/>
        <item m="1" x="34"/>
        <item m="1" x="53"/>
        <item m="1" x="88"/>
        <item x="23"/>
        <item m="1" x="63"/>
        <item m="1" x="62"/>
        <item m="1" x="51"/>
        <item x="30"/>
        <item x="33"/>
        <item m="1" x="189"/>
        <item m="1" x="188"/>
        <item m="1" x="61"/>
        <item x="31"/>
        <item m="1" x="179"/>
        <item m="1" x="55"/>
        <item x="6"/>
        <item m="1" x="70"/>
        <item m="1" x="71"/>
        <item m="1" x="72"/>
        <item m="1" x="80"/>
        <item m="1" x="76"/>
        <item m="1" x="89"/>
        <item m="1" x="186"/>
        <item m="1" x="102"/>
        <item m="1" x="145"/>
        <item m="1" x="129"/>
        <item m="1" x="73"/>
        <item m="1" x="177"/>
        <item m="1" x="127"/>
        <item m="1" x="183"/>
        <item m="1" x="122"/>
        <item m="1" x="184"/>
        <item m="1" x="173"/>
        <item m="1" x="182"/>
        <item m="1" x="178"/>
        <item x="9"/>
        <item m="1" x="180"/>
        <item m="1" x="181"/>
        <item m="1" x="165"/>
        <item m="1" x="176"/>
        <item m="1" x="108"/>
        <item m="1" x="153"/>
        <item x="22"/>
        <item m="1" x="151"/>
        <item m="1" x="160"/>
        <item m="1" x="85"/>
        <item m="1" x="100"/>
        <item m="1" x="166"/>
        <item m="1" x="68"/>
        <item m="1" x="159"/>
        <item m="1" x="175"/>
        <item m="1" x="174"/>
        <item m="1" x="119"/>
        <item m="1" x="120"/>
        <item x="19"/>
        <item x="27"/>
        <item m="1" x="172"/>
        <item m="1" x="43"/>
        <item m="1" x="170"/>
        <item m="1" x="169"/>
        <item m="1" x="135"/>
        <item m="1" x="107"/>
        <item m="1" x="168"/>
        <item m="1" x="171"/>
        <item x="26"/>
        <item m="1" x="161"/>
        <item m="1" x="118"/>
        <item x="5"/>
        <item m="1" x="103"/>
        <item m="1" x="164"/>
        <item m="1" x="78"/>
        <item m="1" x="128"/>
        <item m="1" x="162"/>
        <item m="1" x="74"/>
        <item m="1" x="146"/>
        <item m="1" x="147"/>
        <item m="1" x="133"/>
        <item m="1" x="79"/>
        <item m="1" x="158"/>
        <item m="1" x="114"/>
        <item m="1" x="157"/>
        <item m="1" x="155"/>
        <item m="1" x="156"/>
        <item m="1" x="154"/>
        <item m="1" x="150"/>
        <item m="1" x="92"/>
        <item m="1" x="45"/>
        <item m="1" x="152"/>
        <item m="1" x="149"/>
        <item m="1" x="131"/>
        <item x="10"/>
        <item m="1" x="138"/>
        <item m="1" x="139"/>
        <item m="1" x="82"/>
        <item m="1" x="142"/>
        <item m="1" x="134"/>
        <item m="1" x="123"/>
        <item m="1" x="136"/>
        <item m="1" x="144"/>
        <item m="1" x="141"/>
        <item m="1" x="143"/>
        <item m="1" x="109"/>
        <item m="1" x="87"/>
        <item m="1" x="140"/>
        <item m="1" x="99"/>
        <item m="1" x="137"/>
        <item m="1" x="115"/>
        <item m="1" x="116"/>
        <item x="16"/>
        <item m="1" x="83"/>
        <item m="1" x="125"/>
        <item m="1" x="69"/>
        <item m="1" x="110"/>
        <item m="1" x="101"/>
        <item m="1" x="104"/>
        <item m="1" x="106"/>
        <item m="1" x="84"/>
        <item m="1" x="126"/>
        <item m="1" x="130"/>
        <item m="1" x="121"/>
        <item m="1" x="112"/>
        <item m="1" x="47"/>
        <item m="1" x="117"/>
        <item m="1" x="93"/>
        <item m="1" x="98"/>
        <item m="1" x="81"/>
        <item m="1" x="42"/>
        <item m="1" x="91"/>
        <item m="1" x="97"/>
        <item m="1" x="96"/>
        <item m="1" x="94"/>
        <item m="1" x="90"/>
        <item m="1" x="86"/>
        <item m="1" x="75"/>
        <item m="1" x="67"/>
        <item m="1" x="64"/>
        <item m="1" x="56"/>
        <item x="20"/>
        <item m="1" x="54"/>
        <item m="1" x="57"/>
        <item m="1" x="48"/>
        <item m="1" x="60"/>
        <item m="1" x="58"/>
        <item x="28"/>
        <item m="1" x="59"/>
        <item m="1" x="46"/>
        <item x="1"/>
        <item x="0"/>
        <item x="7"/>
        <item m="1" x="50"/>
        <item x="4"/>
        <item m="1" x="44"/>
        <item m="1" x="49"/>
        <item x="15"/>
        <item x="32"/>
        <item m="1" x="41"/>
        <item x="24"/>
        <item x="21"/>
        <item m="1" x="35"/>
        <item m="1" x="40"/>
        <item m="1" x="39"/>
        <item x="17"/>
        <item m="1" x="36"/>
        <item m="1" x="37"/>
        <item x="3"/>
        <item x="29"/>
        <item x="18"/>
        <item x="11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m="1" x="8"/>
        <item m="1" x="13"/>
        <item m="1" x="22"/>
        <item m="1" x="26"/>
        <item m="1" x="11"/>
        <item m="1" x="12"/>
        <item m="1" x="25"/>
        <item m="1" x="23"/>
        <item x="5"/>
        <item x="3"/>
        <item m="1" x="17"/>
        <item m="1" x="20"/>
        <item m="1" x="21"/>
        <item m="1" x="16"/>
        <item m="1" x="15"/>
        <item m="1" x="19"/>
        <item x="4"/>
        <item m="1" x="14"/>
        <item x="6"/>
        <item m="1" x="9"/>
        <item x="2"/>
        <item x="7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3">
    <i>
      <x/>
    </i>
    <i r="1">
      <x v="5"/>
    </i>
    <i r="1">
      <x v="172"/>
    </i>
    <i r="1">
      <x v="173"/>
    </i>
    <i>
      <x v="2"/>
    </i>
    <i r="1">
      <x v="41"/>
    </i>
    <i r="1">
      <x v="93"/>
    </i>
    <i r="1">
      <x v="176"/>
    </i>
    <i r="1">
      <x v="190"/>
    </i>
    <i>
      <x v="13"/>
    </i>
    <i r="1">
      <x v="24"/>
    </i>
    <i r="1">
      <x v="29"/>
    </i>
    <i r="1">
      <x v="68"/>
    </i>
    <i r="1">
      <x v="81"/>
    </i>
    <i r="1">
      <x v="90"/>
    </i>
    <i r="1">
      <x v="182"/>
    </i>
    <i>
      <x v="14"/>
    </i>
    <i r="1">
      <x v="80"/>
    </i>
    <i r="1">
      <x v="134"/>
    </i>
    <i r="1">
      <x v="179"/>
    </i>
    <i r="1">
      <x v="187"/>
    </i>
    <i r="1">
      <x v="192"/>
    </i>
    <i>
      <x v="21"/>
    </i>
    <i r="1">
      <x v="163"/>
    </i>
    <i r="1">
      <x v="183"/>
    </i>
    <i>
      <x v="23"/>
    </i>
    <i r="1">
      <x v="169"/>
    </i>
    <i r="1">
      <x v="191"/>
    </i>
    <i>
      <x v="25"/>
    </i>
    <i r="1">
      <x v="3"/>
    </i>
    <i r="1">
      <x v="15"/>
    </i>
    <i r="1">
      <x v="19"/>
    </i>
    <i r="1">
      <x v="21"/>
    </i>
    <i r="1">
      <x v="61"/>
    </i>
    <i r="1">
      <x v="116"/>
    </i>
    <i r="1">
      <x v="174"/>
    </i>
    <i r="1">
      <x v="193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50">
      <pivotArea outline="0" collapsedLevelsAreSubtotals="1" fieldPosition="0"/>
    </format>
    <format dxfId="14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7">
      <pivotArea outline="0" collapsedLevelsAreSubtotals="1" fieldPosition="0"/>
    </format>
    <format dxfId="146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5">
      <pivotArea outline="0" collapsedLevelsAreSubtotals="1" fieldPosition="0"/>
    </format>
    <format dxfId="14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3">
      <pivotArea outline="0" collapsedLevelsAreSubtotals="1" fieldPosition="0"/>
    </format>
    <format dxfId="142">
      <pivotArea type="all" dataOnly="0" outline="0" fieldPosition="0"/>
    </format>
    <format dxfId="141">
      <pivotArea dataOnly="0" labelOnly="1" grandRow="1" outline="0" fieldPosition="0"/>
    </format>
    <format dxfId="14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9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5">
      <pivotArea dataOnly="0" labelOnly="1" grandRow="1" outline="0" fieldPosition="0"/>
    </format>
    <format dxfId="134">
      <pivotArea type="all" dataOnly="0" outline="0" fieldPosition="0"/>
    </format>
    <format dxfId="13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2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dataOnly="0" labelOnly="1" grandRow="1" outline="0" fieldPosition="0"/>
    </format>
    <format dxfId="12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dataOnly="0" labelOnly="1" grandRow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4">
      <pivotArea field="1" type="button" dataOnly="0" labelOnly="1" outline="0" axis="axisRow" fieldPosition="0"/>
    </format>
    <format dxfId="1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2">
      <pivotArea field="1" type="button" dataOnly="0" labelOnly="1" outline="0" axis="axisRow" fieldPosition="0"/>
    </format>
    <format dxfId="1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0">
      <pivotArea field="1" type="button" dataOnly="0" labelOnly="1" outline="0" axis="axisRow" fieldPosition="0"/>
    </format>
    <format dxfId="10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733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4" totalsRowShown="0" headerRowDxfId="108" dataDxfId="106" headerRowBorderDxfId="107" tableBorderDxfId="105">
  <autoFilter ref="B11:AI44" xr:uid="{488A667B-27C2-4003-A53C-C52DE885F6F5}"/>
  <sortState xmlns:xlrd2="http://schemas.microsoft.com/office/spreadsheetml/2017/richdata2" ref="B12:AI44">
    <sortCondition ref="C11:C44"/>
  </sortState>
  <tableColumns count="34">
    <tableColumn id="1" xr3:uid="{C4869650-AB2A-4E52-A8FD-8FC4A1E9B450}" name="Ticker" dataDxfId="104" totalsRowDxfId="103"/>
    <tableColumn id="2" xr3:uid="{3392DCC0-4423-44FF-B70A-0E06289D8EEE}" name="Sector" dataDxfId="102"/>
    <tableColumn id="29" xr3:uid="{7A835F51-8D98-481A-BCE1-CD91D7445A8F}" name="Diretoria" dataDxfId="101"/>
    <tableColumn id="3" xr3:uid="{B1589ED3-B8E2-4F6B-B66F-D68F68C1ABA6}" name="Crncy" dataDxfId="100"/>
    <tableColumn id="4" xr3:uid="{616D46BC-AC49-4393-8BDA-875BFB778D29}" name="Long / Short" dataDxfId="99" totalsRowDxfId="98">
      <calculatedColumnFormula>IF(T12&gt;0,"Long","Short")</calculatedColumnFormula>
    </tableColumn>
    <tableColumn id="33" xr3:uid="{F6985B5B-9203-43DA-8157-CAE6E92D0561}" name="Qtdd " dataDxfId="97"/>
    <tableColumn id="5" xr3:uid="{9A4DCF38-5D0D-4646-8CF9-69904711743E}" name="Qtt Shs" dataDxfId="96"/>
    <tableColumn id="6" xr3:uid="{BC11B5F3-DE4D-477B-AAED-C5AB103E9DA0}" name="Price Today" dataDxfId="95" totalsRowDxfId="94">
      <calculatedColumnFormula array="1">_xll.BDP(B12&amp;" Equity","LAST_PRICE")</calculatedColumnFormula>
    </tableColumn>
    <tableColumn id="7" xr3:uid="{704FFD7D-1208-4AA6-81A9-0E257F085F19}" name="% Chg" dataDxfId="93" totalsRowDxfId="92">
      <calculatedColumnFormula>I12/K12-1</calculatedColumnFormula>
    </tableColumn>
    <tableColumn id="8" xr3:uid="{E069BEAC-4A43-4F60-BD21-C3F1FDA777D4}" name="Price Yest" dataDxfId="91" dataCellStyle="Comma">
      <calculatedColumnFormula>_xll.BDP(B12&amp;" equity","PX_YEST_CLOSE")</calculatedColumnFormula>
    </tableColumn>
    <tableColumn id="9" xr3:uid="{A2F51CF4-C965-4A1F-975F-FCDA401F7124}" name="FX" dataDxfId="90">
      <calculatedColumnFormula>_xll.BDP(E12&amp;" Curncy","PX_LAST")</calculatedColumnFormula>
    </tableColumn>
    <tableColumn id="10" xr3:uid="{0525E66F-8EF5-4CCF-835F-559F3DAE7E58}" name="Mult" dataDxfId="89" totalsRowDxfId="88" dataCellStyle="Comma"/>
    <tableColumn id="11" xr3:uid="{8FC681CE-75F1-4027-AD99-551C42A97619}" name="D1 Exp USD" dataDxfId="87">
      <calculatedColumnFormula>IFERROR(IF(((I12/L12)*H12*M12)&lt;&gt;0,((I12/L12)*H12*M12),0),"-")</calculatedColumnFormula>
    </tableColumn>
    <tableColumn id="12" xr3:uid="{BE55CED1-1EEB-46EA-A2E5-D244B7925B83}" name="D1 Exp %" dataDxfId="86">
      <calculatedColumnFormula>IFERROR(IF(Tabelad[[#This Row],[D1 Exp USD]]&lt;&gt;0,N12/$AE$7,0),"-")</calculatedColumnFormula>
    </tableColumn>
    <tableColumn id="13" xr3:uid="{622A85AF-E726-48C1-A6C0-2A26A6E13A5C}" name="D1 P&amp;L bps" dataDxfId="85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84" totalsRowDxfId="83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82" totalsRowDxfId="81" dataCellStyle="Percent">
      <calculatedColumnFormula>Q12/$AE$7</calculatedColumnFormula>
    </tableColumn>
    <tableColumn id="16" xr3:uid="{48C8F341-ED13-4859-B6ED-AB346A494BEF}" name="Options P&amp;L bps" dataDxfId="80" totalsRowDxfId="79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78" totalsRowDxfId="77">
      <calculatedColumnFormula>N12+Q12</calculatedColumnFormula>
    </tableColumn>
    <tableColumn id="18" xr3:uid="{56683745-C1CE-4341-A873-C851B97E4432}" name="Exp %" dataDxfId="76" totalsRowDxfId="75">
      <calculatedColumnFormula>T12/$AE$7</calculatedColumnFormula>
    </tableColumn>
    <tableColumn id="19" xr3:uid="{AD790890-4299-4C9E-A460-9342E2B4BE92}" name="P&amp;L bps" dataDxfId="74" totalsRowDxfId="73">
      <calculatedColumnFormula>P12+S12</calculatedColumnFormula>
    </tableColumn>
    <tableColumn id="20" xr3:uid="{A3132FF2-B491-42D2-B6D5-98FB024D0411}" name="xx" dataDxfId="72" totalsRowDxfId="71">
      <calculatedColumnFormula>$W$10/(I12/L12*M12)</calculatedColumnFormula>
    </tableColumn>
    <tableColumn id="21" xr3:uid="{68119C5E-24ED-4841-8DFC-985A70CC957B}" name="Ticker2" dataDxfId="70" totalsRowDxfId="69"/>
    <tableColumn id="22" xr3:uid="{EAB0ADAA-AF64-4574-AD5E-BAD2211681D1}" name="xx2" dataDxfId="68" totalsRowDxfId="67">
      <calculatedColumnFormula>Tabelad[[#This Row],[Exp %]]*$Y$10*$AD$7/Tabelad[[#This Row],[Price Today]]</calculatedColumnFormula>
    </tableColumn>
    <tableColumn id="23" xr3:uid="{160D9866-3FEF-4C23-ADDC-0615A4FD8D8A}" name="Beta Adj" dataDxfId="66">
      <calculatedColumnFormula>Tabelad[[#This Row],[Vol 10d]]/16*Tabelad[[#This Row],[Exp %]]*100</calculatedColumnFormula>
    </tableColumn>
    <tableColumn id="27" xr3:uid="{5FC9F15D-E683-4C75-83A6-A027ED24C573}" name="Expo Beta Adj" dataDxfId="65" totalsRowDxfId="64">
      <calculatedColumnFormula>Tabelad[[#This Row],[Exp %]]*Tabelad[[#This Row],[Beta Adj2]]</calculatedColumnFormula>
    </tableColumn>
    <tableColumn id="24" xr3:uid="{02F0D998-EE72-4509-80A1-181D260811AE}" name="Vol 10d" dataDxfId="63">
      <calculatedColumnFormula>_xll.BDP($B12&amp;" Equity","volatility_10d")</calculatedColumnFormula>
    </tableColumn>
    <tableColumn id="25" xr3:uid="{06753197-209B-42CE-8324-F5BF4E6BBC8C}" name="Beta Adj2" dataDxfId="62" totalsRowDxfId="61">
      <calculatedColumnFormula>_xll.BDP(B12&amp;" EQUITY","eqy_beta")</calculatedColumnFormula>
    </tableColumn>
    <tableColumn id="26" xr3:uid="{E0099784-2515-472D-A708-E950C7C1F961}" name="Daily P&amp;L" dataDxfId="60" totalsRowDxfId="59">
      <calculatedColumnFormula>Tabelad[[#This Row],[D1 P&amp;L bps]]*$AD$5/10000</calculatedColumnFormula>
    </tableColumn>
    <tableColumn id="28" xr3:uid="{E8C15306-AE60-46ED-BE32-1873B2B613BE}" name="VALUE" dataDxfId="58" totalsRowDxfId="57"/>
    <tableColumn id="30" xr3:uid="{3553EED7-0690-4464-BFF1-737C1D716FE2}" name="Report Date2" dataDxfId="56" totalsRowDxfId="55">
      <calculatedColumnFormula>_xll.BDP(B12&amp;" Equity","EXPECTED_REPORT_DT")</calculatedColumnFormula>
    </tableColumn>
    <tableColumn id="31" xr3:uid="{5102101F-2C4E-4C70-B272-6AB453BA1BFE}" name="Column3" dataDxfId="54" totalsRowDxfId="53">
      <calculatedColumnFormula>_xll.BDP(B12&amp;" Index","CHG_PCT_1D_PRE_FROM_REGULAR")/100</calculatedColumnFormula>
    </tableColumn>
    <tableColumn id="32" xr3:uid="{78144925-541C-4BB9-B1CE-5128912D0AEA}" name="Column4" dataDxfId="52">
      <calculatedColumnFormula>(T12*AG12)/$AD$7*10000</calculatedColumnFormula>
    </tableColumn>
    <tableColumn id="34" xr3:uid="{F48AA587-E15F-424C-9278-DC54512DF635}" name="Column5" dataDxfId="51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46" dataDxfId="45" totalsRowBorderDxfId="44">
  <autoFilter ref="F3:G136" xr:uid="{50594F44-C7EB-4454-89DA-F08A9C91DB54}"/>
  <tableColumns count="2">
    <tableColumn id="1" xr3:uid="{C2C1762E-B58F-491C-8249-F5F204F351C6}" name="De (Lote)" totalsRowFunction="count" dataDxfId="43"/>
    <tableColumn id="2" xr3:uid="{2A11C67E-26BC-4BE0-826C-B31A77595F54}" name="Para (Ticker Daniel)" totalsRowFunction="count" dataDxfId="4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686</v>
      </c>
    </row>
    <row r="3" spans="2:12">
      <c r="B3" t="s">
        <v>685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674</v>
      </c>
      <c r="D5" t="s">
        <v>673</v>
      </c>
    </row>
    <row r="6" spans="2:12">
      <c r="B6" t="s">
        <v>667</v>
      </c>
      <c r="C6" s="325">
        <v>0.41</v>
      </c>
      <c r="D6" s="322">
        <f>C6^2</f>
        <v>0.16809999999999997</v>
      </c>
    </row>
    <row r="7" spans="2:12">
      <c r="B7" t="s">
        <v>665</v>
      </c>
      <c r="C7" s="325">
        <v>0.25</v>
      </c>
      <c r="D7" s="322">
        <f>C7^2</f>
        <v>6.25E-2</v>
      </c>
    </row>
    <row r="8" spans="2:12">
      <c r="B8" t="s">
        <v>663</v>
      </c>
      <c r="C8" s="320">
        <f>SQRT(D6+D7+2*C10)</f>
        <v>0.35791060336346558</v>
      </c>
    </row>
    <row r="9" spans="2:12">
      <c r="B9" t="s">
        <v>661</v>
      </c>
      <c r="C9" s="324">
        <v>-0.5</v>
      </c>
    </row>
    <row r="10" spans="2:12">
      <c r="B10" t="s">
        <v>659</v>
      </c>
      <c r="C10">
        <f>C9*C6*C7</f>
        <v>-5.1249999999999997E-2</v>
      </c>
    </row>
    <row r="12" spans="2:12">
      <c r="F12" s="331">
        <f>59/300</f>
        <v>0.19666666666666666</v>
      </c>
    </row>
    <row r="13" spans="2:12">
      <c r="C13" s="326"/>
    </row>
    <row r="14" spans="2:12">
      <c r="G14">
        <f>3500000/14.4</f>
        <v>243055.55555555556</v>
      </c>
      <c r="J14" s="330">
        <f>3%*9200000000</f>
        <v>276000000</v>
      </c>
    </row>
    <row r="15" spans="2:12">
      <c r="C15" t="s">
        <v>674</v>
      </c>
      <c r="D15" t="s">
        <v>673</v>
      </c>
      <c r="J15" s="329">
        <f>J14/5.19</f>
        <v>53179190.751445085</v>
      </c>
    </row>
    <row r="16" spans="2:12">
      <c r="B16" t="s">
        <v>684</v>
      </c>
      <c r="C16" s="325">
        <v>0.2</v>
      </c>
      <c r="D16" s="322">
        <f>C16^2</f>
        <v>4.0000000000000008E-2</v>
      </c>
      <c r="F16" s="326"/>
      <c r="J16" s="329">
        <f>J15/31.22</f>
        <v>1703369.3386113096</v>
      </c>
      <c r="K16" s="329">
        <f>J16/100</f>
        <v>17033.693386113096</v>
      </c>
      <c r="L16" s="329">
        <f>J16*1.65</f>
        <v>2810559.4087086609</v>
      </c>
    </row>
    <row r="17" spans="1:21">
      <c r="B17" t="s">
        <v>683</v>
      </c>
      <c r="C17" s="325">
        <v>0.11700000000000001</v>
      </c>
      <c r="D17" s="322">
        <f>C17^2</f>
        <v>1.3689000000000002E-2</v>
      </c>
      <c r="F17" s="193"/>
    </row>
    <row r="18" spans="1:21">
      <c r="B18" t="s">
        <v>663</v>
      </c>
      <c r="C18" s="320">
        <f>SQRT(D16+D17+2*C20)</f>
        <v>0.27932955446926844</v>
      </c>
      <c r="J18">
        <v>17000</v>
      </c>
      <c r="K18">
        <v>1.65</v>
      </c>
      <c r="L18" s="330">
        <f>J18*K18*100</f>
        <v>2805000</v>
      </c>
    </row>
    <row r="19" spans="1:21">
      <c r="B19" t="s">
        <v>661</v>
      </c>
      <c r="C19" s="324">
        <v>0.52</v>
      </c>
      <c r="J19">
        <f>J18*1.6</f>
        <v>27200</v>
      </c>
      <c r="K19">
        <v>0.59599999999999997</v>
      </c>
      <c r="L19" s="330">
        <f>J19*K19*100</f>
        <v>1621120</v>
      </c>
    </row>
    <row r="20" spans="1:21">
      <c r="B20" t="s">
        <v>659</v>
      </c>
      <c r="C20">
        <f>C19*C16*C17</f>
        <v>1.2168000000000002E-2</v>
      </c>
      <c r="L20" s="329">
        <f>L18-L19</f>
        <v>1183880</v>
      </c>
      <c r="M20" s="329">
        <f>L20*5.2</f>
        <v>6156176</v>
      </c>
      <c r="N20" s="328"/>
    </row>
    <row r="21" spans="1:21">
      <c r="C21" s="326"/>
    </row>
    <row r="23" spans="1:21">
      <c r="B23" t="s">
        <v>682</v>
      </c>
      <c r="U23">
        <f>0.89-0.24</f>
        <v>0.65</v>
      </c>
    </row>
    <row r="24" spans="1:21">
      <c r="C24" t="s">
        <v>674</v>
      </c>
      <c r="D24" t="s">
        <v>673</v>
      </c>
      <c r="U24">
        <f>U23/2</f>
        <v>0.32500000000000001</v>
      </c>
    </row>
    <row r="25" spans="1:21">
      <c r="A25" s="327">
        <v>0.82</v>
      </c>
      <c r="B25" t="s">
        <v>681</v>
      </c>
      <c r="C25" s="325">
        <v>0.3</v>
      </c>
      <c r="D25" s="322">
        <f>C25^2</f>
        <v>0.09</v>
      </c>
      <c r="I25" t="s">
        <v>680</v>
      </c>
      <c r="J25">
        <v>21</v>
      </c>
    </row>
    <row r="26" spans="1:21">
      <c r="A26">
        <f>1-A25</f>
        <v>0.18000000000000005</v>
      </c>
      <c r="B26" t="s">
        <v>679</v>
      </c>
      <c r="C26" s="325">
        <v>0.4</v>
      </c>
      <c r="D26" s="322">
        <f>C26^2</f>
        <v>0.16000000000000003</v>
      </c>
      <c r="I26" t="s">
        <v>678</v>
      </c>
      <c r="J26">
        <v>1</v>
      </c>
      <c r="R26" s="326"/>
    </row>
    <row r="27" spans="1:21">
      <c r="B27" t="s">
        <v>677</v>
      </c>
      <c r="C27" s="320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676</v>
      </c>
      <c r="C28" s="324">
        <v>0.3</v>
      </c>
    </row>
    <row r="29" spans="1:21">
      <c r="B29" t="s">
        <v>675</v>
      </c>
      <c r="C29">
        <f>C28*C25*C26</f>
        <v>3.5999999999999997E-2</v>
      </c>
    </row>
    <row r="31" spans="1:21">
      <c r="C31" t="s">
        <v>674</v>
      </c>
      <c r="D31" t="s">
        <v>673</v>
      </c>
      <c r="F31" t="s">
        <v>672</v>
      </c>
      <c r="G31" t="s">
        <v>671</v>
      </c>
      <c r="H31" t="s">
        <v>670</v>
      </c>
      <c r="I31" t="s">
        <v>669</v>
      </c>
      <c r="J31" t="s">
        <v>668</v>
      </c>
    </row>
    <row r="32" spans="1:21">
      <c r="B32" t="s">
        <v>667</v>
      </c>
      <c r="C32" s="325">
        <v>0.25</v>
      </c>
      <c r="D32" s="322">
        <f>C32^2</f>
        <v>6.25E-2</v>
      </c>
      <c r="F32" s="323">
        <v>0.41370000000000001</v>
      </c>
      <c r="G32" s="323">
        <v>0.43680000000000002</v>
      </c>
      <c r="H32" s="323">
        <v>0.4698</v>
      </c>
      <c r="I32" s="323">
        <v>0.36620000000000003</v>
      </c>
      <c r="J32" s="323">
        <v>0.41830000000000001</v>
      </c>
      <c r="K32" t="s">
        <v>666</v>
      </c>
      <c r="Q32" s="42">
        <v>0.36620000000000003</v>
      </c>
    </row>
    <row r="33" spans="2:17">
      <c r="B33" t="s">
        <v>665</v>
      </c>
      <c r="C33" s="325">
        <v>0.122</v>
      </c>
      <c r="D33" s="322">
        <f>C33^2</f>
        <v>1.4884E-2</v>
      </c>
      <c r="E33">
        <f>200*1400</f>
        <v>280000</v>
      </c>
      <c r="F33" s="322">
        <f>F32*SQRT(22/252)</f>
        <v>0.12223528541300993</v>
      </c>
      <c r="G33" s="322">
        <f>G32*SQRT(22/252)</f>
        <v>0.1290606059183049</v>
      </c>
      <c r="H33" s="322">
        <f>H32*SQRT(22/252)</f>
        <v>0.138811063783012</v>
      </c>
      <c r="I33" s="322">
        <f>I32*SQRT(22/252)</f>
        <v>0.10820053545623456</v>
      </c>
      <c r="J33" s="322">
        <f>J32*SQRT(22/252)</f>
        <v>0.12359444014566606</v>
      </c>
      <c r="K33" t="s">
        <v>664</v>
      </c>
    </row>
    <row r="34" spans="2:17">
      <c r="B34" t="s">
        <v>663</v>
      </c>
      <c r="C34" s="320">
        <f>SQRT(D32+D33+2*C36)</f>
        <v>0.32780634527110669</v>
      </c>
      <c r="F34" s="322">
        <f>F33^2</f>
        <v>1.4941464999999998E-2</v>
      </c>
      <c r="G34" s="322">
        <f>G33^2</f>
        <v>1.6656639999999997E-2</v>
      </c>
      <c r="H34" s="322">
        <f>H33^2</f>
        <v>1.9268511428571427E-2</v>
      </c>
      <c r="I34" s="322">
        <f>I33^2</f>
        <v>1.1707355873015872E-2</v>
      </c>
      <c r="J34" s="322">
        <f>J33^2</f>
        <v>1.5275585634920631E-2</v>
      </c>
      <c r="K34" t="s">
        <v>662</v>
      </c>
    </row>
    <row r="35" spans="2:17">
      <c r="B35" t="s">
        <v>661</v>
      </c>
      <c r="C35" s="324">
        <v>0.49299999999999999</v>
      </c>
      <c r="F35" s="323">
        <v>0.32600000000000001</v>
      </c>
      <c r="G35" s="323">
        <v>0.30270000000000002</v>
      </c>
      <c r="H35" s="323">
        <v>0.35310000000000002</v>
      </c>
      <c r="I35" s="323">
        <v>0.27179999999999999</v>
      </c>
      <c r="J35" s="323">
        <v>0.36080000000000001</v>
      </c>
      <c r="K35" t="s">
        <v>660</v>
      </c>
      <c r="Q35" s="42">
        <v>0.27179999999999999</v>
      </c>
    </row>
    <row r="36" spans="2:17">
      <c r="B36" t="s">
        <v>659</v>
      </c>
      <c r="C36">
        <f>C35*C32*C33</f>
        <v>1.50365E-2</v>
      </c>
      <c r="F36" s="322">
        <f>F35*SQRT(1/252)</f>
        <v>2.0536069700168014E-2</v>
      </c>
      <c r="G36" s="322">
        <f>G35*SQRT(1/252)</f>
        <v>1.9068307663315517E-2</v>
      </c>
      <c r="H36" s="322">
        <f>H35*SQRT(1/252)</f>
        <v>2.2243209236593026E-2</v>
      </c>
      <c r="I36" s="322">
        <f>I35*SQRT(1/252)</f>
        <v>1.7121790627317994E-2</v>
      </c>
      <c r="J36" s="322">
        <f>J35*SQRT(1/252)</f>
        <v>2.2728263643621533E-2</v>
      </c>
      <c r="K36" t="s">
        <v>658</v>
      </c>
    </row>
    <row r="37" spans="2:17">
      <c r="F37" s="322">
        <f>F36*SQRT(21/1)</f>
        <v>9.4108093877908999E-2</v>
      </c>
      <c r="G37" s="322">
        <f>G36*SQRT(21/1)</f>
        <v>8.7381963241849867E-2</v>
      </c>
      <c r="H37" s="322">
        <f>H36*SQRT(21/1)</f>
        <v>0.10193119002542844</v>
      </c>
      <c r="I37" s="322">
        <f>I36*SQRT(21/1)</f>
        <v>7.8461901582870142E-2</v>
      </c>
      <c r="J37" s="322">
        <f>J36*SQRT(21/1)</f>
        <v>0.10415398856180849</v>
      </c>
      <c r="K37" t="s">
        <v>657</v>
      </c>
    </row>
    <row r="38" spans="2:17">
      <c r="F38" s="322">
        <f>F37^2</f>
        <v>8.8563333333333341E-3</v>
      </c>
      <c r="G38" s="322">
        <f>G37^2</f>
        <v>7.6356075000000015E-3</v>
      </c>
      <c r="H38" s="322">
        <f>H37^2</f>
        <v>1.0389967500000003E-2</v>
      </c>
      <c r="I38" s="322">
        <f>I37^2</f>
        <v>6.1562700000000001E-3</v>
      </c>
      <c r="J38" s="322">
        <f>J37^2</f>
        <v>1.0848053333333335E-2</v>
      </c>
      <c r="K38" t="s">
        <v>656</v>
      </c>
    </row>
    <row r="39" spans="2:17">
      <c r="F39" s="322">
        <f>F34-F38</f>
        <v>6.0851316666666634E-3</v>
      </c>
      <c r="G39" s="322">
        <f>G34-G38</f>
        <v>9.0210324999999945E-3</v>
      </c>
      <c r="H39" s="322">
        <f>H34-H38</f>
        <v>8.8785439285714238E-3</v>
      </c>
      <c r="I39" s="322">
        <f>I34-I38</f>
        <v>5.5510858730158721E-3</v>
      </c>
      <c r="J39" s="322">
        <f>J34-J38</f>
        <v>4.4275323015872965E-3</v>
      </c>
      <c r="K39" t="s">
        <v>655</v>
      </c>
    </row>
    <row r="40" spans="2:17">
      <c r="F40" s="321">
        <f>F39^0.5</f>
        <v>7.8007253936199186E-2</v>
      </c>
      <c r="G40" s="321">
        <f>G39^0.5</f>
        <v>9.4979116125598867E-2</v>
      </c>
      <c r="H40" s="321">
        <f>H39^0.5</f>
        <v>9.4226025749637898E-2</v>
      </c>
      <c r="I40" s="321">
        <f>I39^0.5</f>
        <v>7.4505609674814899E-2</v>
      </c>
      <c r="J40" s="321">
        <f>J39^0.5</f>
        <v>6.6539704700181057E-2</v>
      </c>
      <c r="K40" t="s">
        <v>654</v>
      </c>
    </row>
    <row r="41" spans="2:17">
      <c r="F41" s="320">
        <f>F40*SQRT(252)</f>
        <v>1.2383267662454847</v>
      </c>
      <c r="G41" s="320">
        <f>G40*SQRT(252)</f>
        <v>1.5077467260783552</v>
      </c>
      <c r="H41" s="320">
        <f>H40*SQRT(252)</f>
        <v>1.4957917869810622</v>
      </c>
      <c r="I41" s="320">
        <f>I40*SQRT(252)</f>
        <v>1.1827398868728491</v>
      </c>
      <c r="J41" s="320">
        <f>J40*SQRT(252)</f>
        <v>1.0562850656901284</v>
      </c>
      <c r="K41" t="s">
        <v>653</v>
      </c>
    </row>
    <row r="42" spans="2:17">
      <c r="F42" s="319">
        <f>F40/F36</f>
        <v>3.7985483627162102</v>
      </c>
      <c r="G42" s="319">
        <f>G40/G36</f>
        <v>4.9809934789506274</v>
      </c>
      <c r="H42" s="319">
        <f>H40/H36</f>
        <v>4.2361704530757907</v>
      </c>
      <c r="I42" s="319">
        <f>I40/I36</f>
        <v>4.3515080458898048</v>
      </c>
      <c r="J42" s="319">
        <f>J40/J36</f>
        <v>2.9276193616688699</v>
      </c>
      <c r="K42" s="58" t="s">
        <v>652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5" t="e">
        <f>D4-E4</f>
        <v>#REF!</v>
      </c>
      <c r="AP1" s="22"/>
    </row>
    <row r="2" spans="1:47" outlineLevel="1">
      <c r="D2" s="7" t="s">
        <v>14</v>
      </c>
      <c r="E2" s="195" t="e">
        <f>D4+E4</f>
        <v>#REF!</v>
      </c>
      <c r="Q2" s="142">
        <f ca="1">WORKDAY(Q3,-126)</f>
        <v>45884</v>
      </c>
      <c r="X2" s="142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2">
        <f ca="1">TODAY()</f>
        <v>46062</v>
      </c>
      <c r="R3"/>
      <c r="S3"/>
      <c r="T3"/>
      <c r="U3"/>
      <c r="V3"/>
      <c r="W3"/>
      <c r="X3" s="142"/>
      <c r="Y3"/>
      <c r="Z3" s="126"/>
      <c r="AA3"/>
      <c r="AB3" s="126"/>
      <c r="AC3"/>
      <c r="AD3"/>
      <c r="AE3"/>
      <c r="AF3"/>
      <c r="AG3"/>
      <c r="AM3" s="143">
        <f ca="1">WORKDAY($Q$3,-22)</f>
        <v>46030</v>
      </c>
      <c r="AN3" s="143">
        <f ca="1">WORKDAY($Q$3,-66)</f>
        <v>45968</v>
      </c>
      <c r="AO3" s="143"/>
      <c r="AR3" s="143"/>
      <c r="AS3" s="143"/>
      <c r="AT3" s="143"/>
    </row>
    <row r="4" spans="1:47" outlineLevel="1">
      <c r="C4" s="7" t="s">
        <v>18</v>
      </c>
      <c r="D4" s="195" t="e">
        <f>SUM(#REF!)</f>
        <v>#REF!</v>
      </c>
      <c r="E4" s="195" t="e">
        <f>SUM(#REF!)</f>
        <v>#REF!</v>
      </c>
      <c r="Q4" s="144" t="str">
        <f ca="1">YEAR($Q$2)&amp;TEXT(MONTH($Q$2),"00")&amp;TEXT(DAY($Q$2),"00")</f>
        <v>20250815</v>
      </c>
      <c r="X4" s="145"/>
    </row>
    <row r="5" spans="1:47" outlineLevel="1">
      <c r="C5" s="7" t="s">
        <v>39</v>
      </c>
      <c r="D5" s="195" t="e">
        <f>SUM(#REF!)</f>
        <v>#REF!</v>
      </c>
      <c r="Q5" s="144" t="str">
        <f ca="1">YEAR(TODAY())&amp;TEXT(MONTH(TODAY()),"00")&amp;TEXT(DAY(TODAY()),"00")</f>
        <v>20260209</v>
      </c>
      <c r="X5" s="145"/>
    </row>
    <row r="6" spans="1:47">
      <c r="AD6" s="146" t="s">
        <v>46</v>
      </c>
      <c r="AM6" t="s">
        <v>47</v>
      </c>
      <c r="AR6" t="s">
        <v>48</v>
      </c>
    </row>
    <row r="7" spans="1:47" s="148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7" t="s">
        <v>51</v>
      </c>
      <c r="AA7" s="11" t="s">
        <v>63</v>
      </c>
      <c r="AB7" s="147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 t="shared" ref="A8:A12" si="0">"."&amp;B8&amp;C8</f>
        <v>.CRMIGV</v>
      </c>
      <c r="B8" s="149" t="s">
        <v>81</v>
      </c>
      <c r="C8" s="149" t="s">
        <v>37</v>
      </c>
      <c r="D8" s="149"/>
      <c r="E8" s="149"/>
      <c r="F8" s="149"/>
      <c r="G8" s="150" cm="1">
        <f t="array" ref="G8">_xll.BDP(B8&amp;" Equity","LAST PRICE")</f>
        <v>191.35</v>
      </c>
      <c r="H8" s="151" cm="1">
        <f t="array" ref="H8">G8/_xll.BDP(B8&amp;" Equity", "PREV_CLOSE_VAL")-1</f>
        <v>0</v>
      </c>
      <c r="I8" s="150" cm="1">
        <f t="array" ref="I8">_xll.BDP(C8&amp;" Equity","LAST PRICE")</f>
        <v>82.46</v>
      </c>
      <c r="J8" s="151" cm="1">
        <f t="array" ref="J8">I8/_xll.BDP(C8&amp;" Equity", "PREV_CLOSE_VAL")-1</f>
        <v>0</v>
      </c>
      <c r="K8" s="152">
        <f t="shared" ref="K8:K12" si="1">G8/I8</f>
        <v>2.3205190395343198</v>
      </c>
      <c r="L8" s="151" cm="1">
        <f t="array" ref="L8">K8/(_xll.BDP(B8&amp;" Equity", "PREV_CLOSE_VAL")/_xll.BDP(C8&amp;" Equity", "PREV_CLOSE_VAL"))-1</f>
        <v>0</v>
      </c>
      <c r="M8" s="151"/>
      <c r="N8" s="153">
        <f t="shared" ref="N8:N12" si="2">ABS(L8/O8)</f>
        <v>0</v>
      </c>
      <c r="O8" s="154">
        <f t="shared" ref="O8:O12" si="3">P8/15.87/100</f>
        <v>1.6457731568998112E-2</v>
      </c>
      <c r="P8" s="155" cm="1">
        <f t="array" ref="P8">_xll.BDP($A8&amp;" Index","VOLATILITY_30D")</f>
        <v>26.11842</v>
      </c>
      <c r="Q8" s="155" cm="1">
        <f t="array" aca="1" ref="Q8" ca="1">(_xll.BDP(($B8&amp; " Equity"),"CORR_COEF", "BETA_OVERRIDE_REL_INDEX",($C8&amp; " Equity"),"BETA_OVERRIDE_END_DT",$Q$5,"BETA_OVERRIDE_START_DT",$Q$4))*100</f>
        <v>81.571325647791383</v>
      </c>
      <c r="R8" s="151"/>
      <c r="S8" s="151" cm="1">
        <f t="array" ref="S8">_xll.BDP($A8&amp;" Index","CHG_PCT_2D")/100</f>
        <v>-2.6815699999999998E-2</v>
      </c>
      <c r="T8" s="151" cm="1">
        <f t="array" ref="T8">_xll.BDP($A8&amp;" Index","CHG_PCT_5D")/100</f>
        <v>-1.4596420000000001E-2</v>
      </c>
      <c r="U8" s="151" cm="1">
        <f t="array" ref="U8">K8/_xll.BDP($A8&amp;" Index","HIGH_52WEEK")-1</f>
        <v>-0.25964667536568464</v>
      </c>
      <c r="V8" s="151" cm="1">
        <f t="array" ref="V8">K8/_xll.BDP($A8&amp;" Index","LOW_52WEEK")-1</f>
        <v>0.13293870294562593</v>
      </c>
      <c r="W8" s="151"/>
      <c r="X8" s="155" cm="1">
        <f t="array" ref="X8">_xll.BDP($A8&amp;" Index","RSI_14D")</f>
        <v>44.738160000000001</v>
      </c>
      <c r="Y8" s="156"/>
      <c r="Z8" s="157">
        <f t="shared" ref="Z8:Z12" si="4">Y8/K8-1</f>
        <v>-1</v>
      </c>
      <c r="AA8" s="156"/>
      <c r="AB8" s="157">
        <f t="shared" ref="AB8:AB12" si="5">AA8/K8-1</f>
        <v>-1</v>
      </c>
      <c r="AC8" s="156"/>
      <c r="AD8" s="151" t="e">
        <f t="shared" ref="AD8:AD12" si="6">K8/AC8-1</f>
        <v>#DIV/0!</v>
      </c>
      <c r="AE8" s="151"/>
      <c r="AF8" s="158">
        <f>IF(ISTEXT(B8),_xll.BDP(B8 &amp; " Equity","EXPECTED_REPORT_DT")*1,"")</f>
        <v>46078</v>
      </c>
      <c r="AG8" s="158" t="e">
        <f>IF(ISTEXT(C8),_xll.BDP(C8 &amp; " Equity","EXPECTED_REPORT_DT")*1,"")</f>
        <v>#VALUE!</v>
      </c>
      <c r="AH8" s="159" cm="1">
        <f t="array" ref="AH8">(_xll.BDP(B8&amp;" Equity","SHORT_INT")/_xll.BDP(B8&amp;" Equity","VOLUME_AVG_90D"))</f>
        <v>2.003554506035599</v>
      </c>
      <c r="AI8" s="159" t="e" cm="1">
        <f t="array" ref="AI8">(_xll.BDP(C8&amp;" Equity","SHORT_INT")/_xll.BDP(C8&amp;" Equity","VOLUME_AVG_90D"))</f>
        <v>#VALUE!</v>
      </c>
      <c r="AJ8" s="159" cm="1">
        <f t="array" ref="AJ8">(_xll.BDP(B8&amp;" Equity","SHORT_INT"))/((_xll.BDP(B8&amp;" Equity","EQY_FREE_FLOAT_PCT"))*(_xll.BDP(B8&amp;" Equity","EQY_SH_OUT_TOT_MULT_SH")))/100</f>
        <v>1.9956927649943825</v>
      </c>
      <c r="AK8" s="159" t="e" cm="1">
        <f t="array" ref="AK8">(_xll.BDP(C8&amp;" Equity","SHORT_INT"))/((_xll.BDP(C8&amp;" Equity","EQY_FREE_FLOAT_PCT"))*(_xll.BDP(C8&amp;" Equity","EQY_SH_OUT_TOT_MULT_SH")))/100</f>
        <v>#VALUE!</v>
      </c>
      <c r="AM8" s="157">
        <f ca="1">IF(ISTEXT(B8),AP8/_xll.BDH(B8 &amp;  " Equity","BEST_EPS",$AM$3,$AM$3,"BEST_FPERIOD_OVERRIDE=1BF","CDR=US","Fill=p")-1,"")</f>
        <v>1.0457217006335284E-2</v>
      </c>
      <c r="AN8" s="157">
        <f ca="1">IF(ISTEXT(B8),AP8/_xll.BDH(B8 &amp;  " Equity","BEST_EPS",$AN$3,$AN$3,"BEST_FPERIOD_OVERRIDE=1BF","CDR=US","Fill=p")-1,"")</f>
        <v>6.6033177645353547E-2</v>
      </c>
      <c r="AO8" s="159">
        <f t="shared" ref="AO8:AO12" ca="1" si="7">G8/AP8</f>
        <v>14.454600392808581</v>
      </c>
      <c r="AP8" s="159" cm="1">
        <f t="array" aca="1" ref="AP8" ca="1">IF(ISTEXT(B8),_xll.BDH(B8 &amp;  " Equity","BEST_EPS",$Q$3,$Q$3,"BEST_FPERIOD_OVERRIDE=1BF","CDR=US","Fill=p"),"")</f>
        <v>13.238</v>
      </c>
      <c r="AR8" s="157" t="e">
        <f ca="1">IF(ISTEXT(C8),AU8/_xll.BDH(C8 &amp;  " Equity","BEST_EPS",$AM$3,$AM$3,"BEST_FPERIOD_OVERRIDE=1BF","CDR=US","Fill=p")-1,"")</f>
        <v>#VALUE!</v>
      </c>
      <c r="AS8" s="157" t="e">
        <f ca="1">IF(ISTEXT(C8),AU8/_xll.BDH(C8 &amp;  " Equity","BEST_EPS",$AN$3,$AN$3,"BEST_FPERIOD_OVERRIDE=1BF","CDR=US","Fill=p")-1,"")</f>
        <v>#VALUE!</v>
      </c>
      <c r="AT8" s="159" t="e">
        <f t="shared" ref="AT8:AT12" ca="1" si="8">I8/AU8</f>
        <v>#VALUE!</v>
      </c>
      <c r="AU8" s="159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.METAQQQ</v>
      </c>
      <c r="B9" s="149" t="s">
        <v>29</v>
      </c>
      <c r="C9" s="149" t="s">
        <v>82</v>
      </c>
      <c r="D9" s="149"/>
      <c r="E9" s="149"/>
      <c r="F9" s="149"/>
      <c r="G9" s="150" cm="1">
        <f t="array" ref="G9">_xll.BDP(B9&amp;" Equity","LAST PRICE")</f>
        <v>661.46</v>
      </c>
      <c r="H9" s="151" cm="1">
        <f t="array" ref="H9">G9/_xll.BDP(B9&amp;" Equity", "PREV_CLOSE_VAL")-1</f>
        <v>0</v>
      </c>
      <c r="I9" s="150" cm="1">
        <f t="array" ref="I9">_xll.BDP(C9&amp;" Equity","LAST PRICE")</f>
        <v>609.65</v>
      </c>
      <c r="J9" s="151" cm="1">
        <f t="array" ref="J9">I9/_xll.BDP(C9&amp;" Equity", "PREV_CLOSE_VAL")-1</f>
        <v>0</v>
      </c>
      <c r="K9" s="152">
        <f t="shared" si="1"/>
        <v>1.084983187074551</v>
      </c>
      <c r="L9" s="151" cm="1">
        <f t="array" ref="L9">K9/(_xll.BDP(B9&amp;" Equity", "PREV_CLOSE_VAL")/_xll.BDP(C9&amp;" Equity", "PREV_CLOSE_VAL"))-1</f>
        <v>0</v>
      </c>
      <c r="M9" s="151"/>
      <c r="N9" s="153">
        <f t="shared" si="2"/>
        <v>0</v>
      </c>
      <c r="O9" s="154">
        <f t="shared" si="3"/>
        <v>2.5768928796471333E-2</v>
      </c>
      <c r="P9" s="155" cm="1">
        <f t="array" ref="P9">_xll.BDP($A9&amp;" Index","VOLATILITY_30D")</f>
        <v>40.895290000000003</v>
      </c>
      <c r="Q9" s="155" cm="1">
        <f t="array" aca="1" ref="Q9" ca="1">(_xll.BDP(($B9&amp; " Equity"),"CORR_COEF", "BETA_OVERRIDE_REL_INDEX",($C9&amp; " Equity"),"BETA_OVERRIDE_END_DT",$Q$5,"BETA_OVERRIDE_START_DT",$Q$4))*100</f>
        <v>45.894774139287151</v>
      </c>
      <c r="R9" s="151"/>
      <c r="S9" s="151" cm="1">
        <f t="array" ref="S9">_xll.BDP($A9&amp;" Index","CHG_PCT_2D")/100</f>
        <v>-3.3488250000000004E-2</v>
      </c>
      <c r="T9" s="151" cm="1">
        <f t="array" ref="T9">_xll.BDP($A9&amp;" Index","CHG_PCT_5D")/100</f>
        <v>-3.8307109999999998E-2</v>
      </c>
      <c r="U9" s="151" cm="1">
        <f t="array" ref="U9">K9/_xll.BDP($A9&amp;" Index","HIGH_52WEEK")-1</f>
        <v>-0.21166665183858835</v>
      </c>
      <c r="V9" s="151" cm="1">
        <f t="array" ref="V9">K9/_xll.BDP($A9&amp;" Index","LOW_52WEEK")-1</f>
        <v>0.10648213495676084</v>
      </c>
      <c r="W9" s="151"/>
      <c r="X9" s="155" cm="1">
        <f t="array" ref="X9">_xll.BDP($A9&amp;" Index","RSI_14D")</f>
        <v>51.863370000000003</v>
      </c>
      <c r="Y9" s="156"/>
      <c r="Z9" s="157">
        <f t="shared" si="4"/>
        <v>-1</v>
      </c>
      <c r="AA9" s="156"/>
      <c r="AB9" s="157">
        <f t="shared" si="5"/>
        <v>-1</v>
      </c>
      <c r="AC9" s="156"/>
      <c r="AD9" s="151" t="e">
        <f t="shared" si="6"/>
        <v>#DIV/0!</v>
      </c>
      <c r="AE9" s="151"/>
      <c r="AF9" s="158">
        <f>IF(ISTEXT(B9),_xll.BDP(B9 &amp; " Equity","EXPECTED_REPORT_DT")*1,"")</f>
        <v>46142</v>
      </c>
      <c r="AG9" s="158" t="e">
        <f>IF(ISTEXT(C9),_xll.BDP(C9 &amp; " Equity","EXPECTED_REPORT_DT")*1,"")</f>
        <v>#VALUE!</v>
      </c>
      <c r="AH9" s="159" cm="1">
        <f t="array" ref="AH9">(_xll.BDP(B9&amp;" Equity","SHORT_INT")/_xll.BDP(B9&amp;" Equity","VOLUME_AVG_90D"))</f>
        <v>1.8039313093143963</v>
      </c>
      <c r="AI9" s="159" cm="1">
        <f t="array" ref="AI9">(_xll.BDP(C9&amp;" Equity","SHORT_INT")/_xll.BDP(C9&amp;" Equity","VOLUME_AVG_90D"))</f>
        <v>0.79170864176592981</v>
      </c>
      <c r="AJ9" s="159" cm="1">
        <f t="array" ref="AJ9">(_xll.BDP(B9&amp;" Equity","SHORT_INT"))/((_xll.BDP(B9&amp;" Equity","EQY_FREE_FLOAT_PCT"))*(_xll.BDP(B9&amp;" Equity","EQY_SH_OUT_TOT_MULT_SH")))/100</f>
        <v>1.28866942365332</v>
      </c>
      <c r="AK9" s="159" t="e" cm="1">
        <f t="array" ref="AK9">(_xll.BDP(C9&amp;" Equity","SHORT_INT"))/((_xll.BDP(C9&amp;" Equity","EQY_FREE_FLOAT_PCT"))*(_xll.BDP(C9&amp;" Equity","EQY_SH_OUT_TOT_MULT_SH")))/100</f>
        <v>#VALUE!</v>
      </c>
      <c r="AM9" s="157">
        <f ca="1">IF(ISTEXT(B9),AP9/_xll.BDH(B9 &amp;  " Equity","BEST_EPS",$AM$3,$AM$3,"BEST_FPERIOD_OVERRIDE=1BF","CDR=US","Fill=p")-1,"")</f>
        <v>-2.1562305894880063E-2</v>
      </c>
      <c r="AN9" s="157">
        <f ca="1">IF(ISTEXT(B9),AP9/_xll.BDH(B9 &amp;  " Equity","BEST_EPS",$AN$3,$AN$3,"BEST_FPERIOD_OVERRIDE=1BF","CDR=US","Fill=p")-1,"")</f>
        <v>2.6065345214281166E-3</v>
      </c>
      <c r="AO9" s="159">
        <f t="shared" ca="1" si="7"/>
        <v>19.995767835550183</v>
      </c>
      <c r="AP9" s="159" cm="1">
        <f t="array" aca="1" ref="AP9" ca="1">IF(ISTEXT(B9),_xll.BDH(B9 &amp;  " Equity","BEST_EPS",$Q$3,$Q$3,"BEST_FPERIOD_OVERRIDE=1BF","CDR=US","Fill=p"),"")</f>
        <v>33.08</v>
      </c>
      <c r="AR9" s="157" t="e">
        <f ca="1">IF(ISTEXT(C9),AU9/_xll.BDH(C9 &amp;  " Equity","BEST_EPS",$AM$3,$AM$3,"BEST_FPERIOD_OVERRIDE=1BF","CDR=US","Fill=p")-1,"")</f>
        <v>#VALUE!</v>
      </c>
      <c r="AS9" s="157" t="e">
        <f ca="1">IF(ISTEXT(C9),AU9/_xll.BDH(C9 &amp;  " Equity","BEST_EPS",$AN$3,$AN$3,"BEST_FPERIOD_OVERRIDE=1BF","CDR=US","Fill=p")-1,"")</f>
        <v>#VALUE!</v>
      </c>
      <c r="AT9" s="159" t="e">
        <f t="shared" ca="1" si="8"/>
        <v>#VALUE!</v>
      </c>
      <c r="AU9" s="159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.TSMSMH</v>
      </c>
      <c r="B10" s="149" t="s">
        <v>44</v>
      </c>
      <c r="C10" s="149" t="s">
        <v>83</v>
      </c>
      <c r="D10" s="149"/>
      <c r="E10" s="149"/>
      <c r="F10" s="149"/>
      <c r="G10" s="150" cm="1">
        <f t="array" ref="G10">_xll.BDP(B10&amp;" Equity","LAST PRICE")</f>
        <v>348.85</v>
      </c>
      <c r="H10" s="151" cm="1">
        <f t="array" ref="H10">G10/_xll.BDP(B10&amp;" Equity", "PREV_CLOSE_VAL")-1</f>
        <v>0</v>
      </c>
      <c r="I10" s="150" cm="1">
        <f t="array" ref="I10">_xll.BDP(C10&amp;" Equity","LAST PRICE")</f>
        <v>401.65</v>
      </c>
      <c r="J10" s="151" cm="1">
        <f t="array" ref="J10">I10/_xll.BDP(C10&amp;" Equity", "PREV_CLOSE_VAL")-1</f>
        <v>0</v>
      </c>
      <c r="K10" s="152">
        <f t="shared" si="1"/>
        <v>0.86854226316444672</v>
      </c>
      <c r="L10" s="151" cm="1">
        <f t="array" ref="L10">K10/(_xll.BDP(B10&amp;" Equity", "PREV_CLOSE_VAL")/_xll.BDP(C10&amp;" Equity", "PREV_CLOSE_VAL"))-1</f>
        <v>0</v>
      </c>
      <c r="M10" s="151"/>
      <c r="N10" s="153">
        <f t="shared" si="2"/>
        <v>0</v>
      </c>
      <c r="O10" s="154">
        <f t="shared" si="3"/>
        <v>1.5063257718966605E-2</v>
      </c>
      <c r="P10" s="155" cm="1">
        <f t="array" ref="P10">_xll.BDP($A10&amp;" Index","VOLATILITY_30D")</f>
        <v>23.905390000000001</v>
      </c>
      <c r="Q10" s="155" cm="1">
        <f t="array" aca="1" ref="Q10" ca="1">(_xll.BDP(($B10&amp; " Equity"),"CORR_COEF", "BETA_OVERRIDE_REL_INDEX",($C10&amp; " Equity"),"BETA_OVERRIDE_END_DT",$Q$5,"BETA_OVERRIDE_START_DT",$Q$4))*100</f>
        <v>74.950202138859609</v>
      </c>
      <c r="R10" s="151"/>
      <c r="S10" s="151" cm="1">
        <f t="array" ref="S10">_xll.BDP($A10&amp;" Index","CHG_PCT_2D")/100</f>
        <v>7.3937230000000007E-4</v>
      </c>
      <c r="T10" s="151" cm="1">
        <f t="array" ref="T10">_xll.BDP($A10&amp;" Index","CHG_PCT_5D")/100</f>
        <v>3.8019280000000003E-2</v>
      </c>
      <c r="U10" s="151" cm="1">
        <f t="array" ref="U10">K10/_xll.BDP($A10&amp;" Index","HIGH_52WEEK")-1</f>
        <v>-2.5795518805161066E-2</v>
      </c>
      <c r="V10" s="151" cm="1">
        <f t="array" ref="V10">K10/_xll.BDP($A10&amp;" Index","LOW_52WEEK")-1</f>
        <v>0.15347321730251373</v>
      </c>
      <c r="W10" s="151"/>
      <c r="X10" s="155" cm="1">
        <f t="array" ref="X10">_xll.BDP($A10&amp;" Index","RSI_14D")</f>
        <v>62.652670000000001</v>
      </c>
      <c r="Y10" s="156"/>
      <c r="Z10" s="157">
        <f t="shared" si="4"/>
        <v>-1</v>
      </c>
      <c r="AA10" s="156"/>
      <c r="AB10" s="157">
        <f t="shared" si="5"/>
        <v>-1</v>
      </c>
      <c r="AC10" s="156"/>
      <c r="AD10" s="151" t="e">
        <f t="shared" si="6"/>
        <v>#DIV/0!</v>
      </c>
      <c r="AE10" s="151"/>
      <c r="AF10" s="158">
        <f>IF(ISTEXT(B10),_xll.BDP(B10 &amp; " Equity","EXPECTED_REPORT_DT")*1,"")</f>
        <v>46129</v>
      </c>
      <c r="AG10" s="158" t="e">
        <f>IF(ISTEXT(C10),_xll.BDP(C10 &amp; " Equity","EXPECTED_REPORT_DT")*1,"")</f>
        <v>#VALUE!</v>
      </c>
      <c r="AH10" s="159" cm="1">
        <f t="array" ref="AH10">(_xll.BDP(B10&amp;" Equity","SHORT_INT")/_xll.BDP(B10&amp;" Equity","VOLUME_AVG_90D"))</f>
        <v>1.7301303165802291</v>
      </c>
      <c r="AI10" s="159" cm="1">
        <f t="array" ref="AI10">(_xll.BDP(C10&amp;" Equity","SHORT_INT")/_xll.BDP(C10&amp;" Equity","VOLUME_AVG_90D"))</f>
        <v>1.123199102028835</v>
      </c>
      <c r="AJ10" s="159" t="e" cm="1">
        <f t="array" ref="AJ10">(_xll.BDP(B10&amp;" Equity","SHORT_INT"))/((_xll.BDP(B10&amp;" Equity","EQY_FREE_FLOAT_PCT"))*(_xll.BDP(B10&amp;" Equity","EQY_SH_OUT_TOT_MULT_SH")))/100</f>
        <v>#VALUE!</v>
      </c>
      <c r="AK10" s="159" t="e" cm="1">
        <f t="array" ref="AK10">(_xll.BDP(C10&amp;" Equity","SHORT_INT"))/((_xll.BDP(C10&amp;" Equity","EQY_FREE_FLOAT_PCT"))*(_xll.BDP(C10&amp;" Equity","EQY_SH_OUT_TOT_MULT_SH")))/100</f>
        <v>#VALUE!</v>
      </c>
      <c r="AM10" s="157">
        <f ca="1">IF(ISTEXT(B10),AP10/_xll.BDH(B10 &amp;  " Equity","BEST_EPS",$AM$3,$AM$3,"BEST_FPERIOD_OVERRIDE=1BF","CDR=US","Fill=p")-1,"")</f>
        <v>7.5482967370041676E-2</v>
      </c>
      <c r="AN10" s="157">
        <f ca="1">IF(ISTEXT(B10),AP10/_xll.BDH(B10 &amp;  " Equity","BEST_EPS",$AN$3,$AN$3,"BEST_FPERIOD_OVERRIDE=1BF","CDR=US","Fill=p")-1,"")</f>
        <v>0.27212111918596693</v>
      </c>
      <c r="AO10" s="159">
        <f t="shared" ca="1" si="7"/>
        <v>0.75090782679073809</v>
      </c>
      <c r="AP10" s="159" cm="1">
        <f t="array" aca="1" ref="AP10" ca="1">IF(ISTEXT(B10),_xll.BDH(B10 &amp;  " Equity","BEST_EPS",$Q$3,$Q$3,"BEST_FPERIOD_OVERRIDE=1BF","CDR=US","Fill=p"),"")</f>
        <v>464.57100000000003</v>
      </c>
      <c r="AR10" s="157" t="e">
        <f ca="1">IF(ISTEXT(C10),AU10/_xll.BDH(C10 &amp;  " Equity","BEST_EPS",$AM$3,$AM$3,"BEST_FPERIOD_OVERRIDE=1BF","CDR=US","Fill=p")-1,"")</f>
        <v>#VALUE!</v>
      </c>
      <c r="AS10" s="157" t="e">
        <f ca="1">IF(ISTEXT(C10),AU10/_xll.BDH(C10 &amp;  " Equity","BEST_EPS",$AN$3,$AN$3,"BEST_FPERIOD_OVERRIDE=1BF","CDR=US","Fill=p")-1,"")</f>
        <v>#VALUE!</v>
      </c>
      <c r="AT10" s="159" t="e">
        <f t="shared" ca="1" si="8"/>
        <v>#VALUE!</v>
      </c>
      <c r="AU10" s="159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.NVDASMH</v>
      </c>
      <c r="B11" s="149" t="s">
        <v>42</v>
      </c>
      <c r="C11" s="149" t="s">
        <v>83</v>
      </c>
      <c r="D11" s="149"/>
      <c r="E11" s="149"/>
      <c r="F11" s="149"/>
      <c r="G11" s="150" cm="1">
        <f t="array" ref="G11">_xll.BDP(B11&amp;" Equity","LAST PRICE")</f>
        <v>185.41</v>
      </c>
      <c r="H11" s="151" cm="1">
        <f t="array" ref="H11">G11/_xll.BDP(B11&amp;" Equity", "PREV_CLOSE_VAL")-1</f>
        <v>0</v>
      </c>
      <c r="I11" s="150" cm="1">
        <f t="array" ref="I11">_xll.BDP(C11&amp;" Equity","LAST PRICE")</f>
        <v>401.65</v>
      </c>
      <c r="J11" s="151" cm="1">
        <f t="array" ref="J11">I11/_xll.BDP(C11&amp;" Equity", "PREV_CLOSE_VAL")-1</f>
        <v>0</v>
      </c>
      <c r="K11" s="152">
        <f t="shared" si="1"/>
        <v>0.46162081414166567</v>
      </c>
      <c r="L11" s="151" cm="1">
        <f t="array" ref="L11">K11/(_xll.BDP(B11&amp;" Equity", "PREV_CLOSE_VAL")/_xll.BDP(C11&amp;" Equity", "PREV_CLOSE_VAL"))-1</f>
        <v>0</v>
      </c>
      <c r="M11" s="151"/>
      <c r="N11" s="153">
        <f t="shared" si="2"/>
        <v>0</v>
      </c>
      <c r="O11" s="154">
        <f t="shared" si="3"/>
        <v>1.5894921235034658E-2</v>
      </c>
      <c r="P11" s="155" cm="1">
        <f t="array" ref="P11">_xll.BDP($A11&amp;" Index","VOLATILITY_30D")</f>
        <v>25.225239999999999</v>
      </c>
      <c r="Q11" s="155" cm="1">
        <f t="array" aca="1" ref="Q11" ca="1">(_xll.BDP(($B11&amp; " Equity"),"CORR_COEF", "BETA_OVERRIDE_REL_INDEX",($C11&amp; " Equity"),"BETA_OVERRIDE_END_DT",$Q$5,"BETA_OVERRIDE_START_DT",$Q$4))*100</f>
        <v>57.497030623170176</v>
      </c>
      <c r="R11" s="151"/>
      <c r="S11" s="151" cm="1">
        <f t="array" ref="S11">_xll.BDP($A11&amp;" Index","CHG_PCT_2D")/100</f>
        <v>2.3443969999999998E-2</v>
      </c>
      <c r="T11" s="151" cm="1">
        <f t="array" ref="T11">_xll.BDP($A11&amp;" Index","CHG_PCT_5D")/100</f>
        <v>1.463887E-2</v>
      </c>
      <c r="U11" s="151" cm="1">
        <f t="array" ref="U11">K11/_xll.BDP($A11&amp;" Index","HIGH_52WEEK")-1</f>
        <v>-0.2625747789235201</v>
      </c>
      <c r="V11" s="151" cm="1">
        <f t="array" ref="V11">K11/_xll.BDP($A11&amp;" Index","LOW_52WEEK")-1</f>
        <v>2.3436014059784238E-2</v>
      </c>
      <c r="W11" s="151"/>
      <c r="X11" s="155" cm="1">
        <f t="array" ref="X11">_xll.BDP($A11&amp;" Index","RSI_14D")</f>
        <v>43.194949999999999</v>
      </c>
      <c r="Y11" s="156"/>
      <c r="Z11" s="157">
        <f t="shared" si="4"/>
        <v>-1</v>
      </c>
      <c r="AA11" s="156"/>
      <c r="AB11" s="157">
        <f t="shared" si="5"/>
        <v>-1</v>
      </c>
      <c r="AC11" s="156"/>
      <c r="AD11" s="151" t="e">
        <f t="shared" si="6"/>
        <v>#DIV/0!</v>
      </c>
      <c r="AE11" s="151"/>
      <c r="AF11" s="158">
        <f>IF(ISTEXT(B11),_xll.BDP(B11 &amp; " Equity","EXPECTED_REPORT_DT")*1,"")</f>
        <v>46078</v>
      </c>
      <c r="AG11" s="158" t="e">
        <f>IF(ISTEXT(C11),_xll.BDP(C11 &amp; " Equity","EXPECTED_REPORT_DT")*1,"")</f>
        <v>#VALUE!</v>
      </c>
      <c r="AH11" s="159" cm="1">
        <f t="array" ref="AH11">(_xll.BDP(B11&amp;" Equity","SHORT_INT")/_xll.BDP(B11&amp;" Equity","VOLUME_AVG_90D"))</f>
        <v>1.4400317717144298</v>
      </c>
      <c r="AI11" s="159" cm="1">
        <f t="array" ref="AI11">(_xll.BDP(C11&amp;" Equity","SHORT_INT")/_xll.BDP(C11&amp;" Equity","VOLUME_AVG_90D"))</f>
        <v>1.123199102028835</v>
      </c>
      <c r="AJ11" s="159" cm="1">
        <f t="array" ref="AJ11">(_xll.BDP(B11&amp;" Equity","SHORT_INT"))/((_xll.BDP(B11&amp;" Equity","EQY_FREE_FLOAT_PCT"))*(_xll.BDP(B11&amp;" Equity","EQY_SH_OUT_TOT_MULT_SH")))/100</f>
        <v>1.1202656669927207</v>
      </c>
      <c r="AK11" s="159" t="e" cm="1">
        <f t="array" ref="AK11">(_xll.BDP(C11&amp;" Equity","SHORT_INT"))/((_xll.BDP(C11&amp;" Equity","EQY_FREE_FLOAT_PCT"))*(_xll.BDP(C11&amp;" Equity","EQY_SH_OUT_TOT_MULT_SH")))/100</f>
        <v>#VALUE!</v>
      </c>
      <c r="AM11" s="157">
        <f ca="1">IF(ISTEXT(B11),AP11/_xll.BDH(B11 &amp;  " Equity","BEST_EPS",$AM$3,$AM$3,"BEST_FPERIOD_OVERRIDE=1BF","CDR=US","Fill=p")-1,"")</f>
        <v>3.7816245006657701E-2</v>
      </c>
      <c r="AN11" s="157">
        <f ca="1">IF(ISTEXT(B11),AP11/_xll.BDH(B11 &amp;  " Equity","BEST_EPS",$AN$3,$AN$3,"BEST_FPERIOD_OVERRIDE=1BF","CDR=US","Fill=p")-1,"")</f>
        <v>0.26628757108042223</v>
      </c>
      <c r="AO11" s="159">
        <f t="shared" ca="1" si="7"/>
        <v>23.788811906594816</v>
      </c>
      <c r="AP11" s="159" cm="1">
        <f t="array" aca="1" ref="AP11" ca="1">IF(ISTEXT(B11),_xll.BDH(B11 &amp;  " Equity","BEST_EPS",$Q$3,$Q$3,"BEST_FPERIOD_OVERRIDE=1BF","CDR=US","Fill=p"),"")</f>
        <v>7.7939999999999996</v>
      </c>
      <c r="AR11" s="157" t="e">
        <f ca="1">IF(ISTEXT(C11),AU11/_xll.BDH(C11 &amp;  " Equity","BEST_EPS",$AM$3,$AM$3,"BEST_FPERIOD_OVERRIDE=1BF","CDR=US","Fill=p")-1,"")</f>
        <v>#VALUE!</v>
      </c>
      <c r="AS11" s="157" t="e">
        <f ca="1">IF(ISTEXT(C11),AU11/_xll.BDH(C11 &amp;  " Equity","BEST_EPS",$AN$3,$AN$3,"BEST_FPERIOD_OVERRIDE=1BF","CDR=US","Fill=p")-1,"")</f>
        <v>#VALUE!</v>
      </c>
      <c r="AT11" s="159" t="e">
        <f t="shared" ca="1" si="8"/>
        <v>#VALUE!</v>
      </c>
      <c r="AU11" s="159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 t="shared" si="0"/>
        <v>.AVGOSMH</v>
      </c>
      <c r="B12" s="149" t="s">
        <v>84</v>
      </c>
      <c r="C12" s="149" t="s">
        <v>83</v>
      </c>
      <c r="D12" s="149"/>
      <c r="E12" s="149"/>
      <c r="F12" s="149"/>
      <c r="G12" s="150" cm="1">
        <f t="array" ref="G12">_xll.BDP(B12&amp;" Equity","LAST PRICE")</f>
        <v>332.92</v>
      </c>
      <c r="H12" s="151" cm="1">
        <f t="array" ref="H12">G12/_xll.BDP(B12&amp;" Equity", "PREV_CLOSE_VAL")-1</f>
        <v>0</v>
      </c>
      <c r="I12" s="150" cm="1">
        <f t="array" ref="I12">_xll.BDP(C12&amp;" Equity","LAST PRICE")</f>
        <v>401.65</v>
      </c>
      <c r="J12" s="151" cm="1">
        <f t="array" ref="J12">I12/_xll.BDP(C12&amp;" Equity", "PREV_CLOSE_VAL")-1</f>
        <v>0</v>
      </c>
      <c r="K12" s="152">
        <f t="shared" si="1"/>
        <v>0.8288808664259929</v>
      </c>
      <c r="L12" s="151" cm="1">
        <f t="array" ref="L12">K12/(_xll.BDP(B12&amp;" Equity", "PREV_CLOSE_VAL")/_xll.BDP(C12&amp;" Equity", "PREV_CLOSE_VAL"))-1</f>
        <v>0</v>
      </c>
      <c r="M12" s="151"/>
      <c r="N12" s="153">
        <f t="shared" si="2"/>
        <v>0</v>
      </c>
      <c r="O12" s="154">
        <f t="shared" si="3"/>
        <v>1.8550535601764336E-2</v>
      </c>
      <c r="P12" s="155" cm="1">
        <f t="array" ref="P12">_xll.BDP($A12&amp;" Index","VOLATILITY_30D")</f>
        <v>29.439699999999998</v>
      </c>
      <c r="Q12" s="155" cm="1">
        <f t="array" aca="1" ref="Q12" ca="1">(_xll.BDP(($B12&amp; " Equity"),"CORR_COEF", "BETA_OVERRIDE_REL_INDEX",($C12&amp; " Equity"),"BETA_OVERRIDE_END_DT",$Q$5,"BETA_OVERRIDE_START_DT",$Q$4))*100</f>
        <v>58.456071824055741</v>
      </c>
      <c r="R12" s="151"/>
      <c r="S12" s="151" cm="1">
        <f t="array" ref="S12">_xll.BDP($A12&amp;" Index","CHG_PCT_2D")/100</f>
        <v>1.7233869999999998E-2</v>
      </c>
      <c r="T12" s="151" cm="1">
        <f t="array" ref="T12">_xll.BDP($A12&amp;" Index","CHG_PCT_5D")/100</f>
        <v>2.1286489999999998E-2</v>
      </c>
      <c r="U12" s="151" cm="1">
        <f t="array" ref="U12">K12/_xll.BDP($A12&amp;" Index","HIGH_52WEEK")-1</f>
        <v>-0.32529030001954173</v>
      </c>
      <c r="V12" s="151" cm="1">
        <f t="array" ref="V12">K12/_xll.BDP($A12&amp;" Index","LOW_52WEEK")-1</f>
        <v>5.2560497817106144E-2</v>
      </c>
      <c r="W12" s="151"/>
      <c r="X12" s="155" cm="1">
        <f t="array" ref="X12">_xll.BDP($A12&amp;" Index","RSI_14D")</f>
        <v>41.50029</v>
      </c>
      <c r="Y12" s="156"/>
      <c r="Z12" s="157">
        <f t="shared" si="4"/>
        <v>-1</v>
      </c>
      <c r="AA12" s="156"/>
      <c r="AB12" s="157">
        <f t="shared" si="5"/>
        <v>-1</v>
      </c>
      <c r="AC12" s="156"/>
      <c r="AD12" s="151" t="e">
        <f t="shared" si="6"/>
        <v>#DIV/0!</v>
      </c>
      <c r="AE12" s="151"/>
      <c r="AF12" s="158">
        <f>IF(ISTEXT(B12),_xll.BDP(B12 &amp; " Equity","EXPECTED_REPORT_DT")*1,"")</f>
        <v>46085</v>
      </c>
      <c r="AG12" s="158" t="e">
        <f>IF(ISTEXT(C12),_xll.BDP(C12 &amp; " Equity","EXPECTED_REPORT_DT")*1,"")</f>
        <v>#VALUE!</v>
      </c>
      <c r="AH12" s="159" cm="1">
        <f t="array" ref="AH12">(_xll.BDP(B12&amp;" Equity","SHORT_INT")/_xll.BDP(B12&amp;" Equity","VOLUME_AVG_90D"))</f>
        <v>2.0864496853616519</v>
      </c>
      <c r="AI12" s="159" cm="1">
        <f t="array" ref="AI12">(_xll.BDP(C12&amp;" Equity","SHORT_INT")/_xll.BDP(C12&amp;" Equity","VOLUME_AVG_90D"))</f>
        <v>1.123199102028835</v>
      </c>
      <c r="AJ12" s="159" cm="1">
        <f t="array" ref="AJ12">(_xll.BDP(B12&amp;" Equity","SHORT_INT"))/((_xll.BDP(B12&amp;" Equity","EQY_FREE_FLOAT_PCT"))*(_xll.BDP(B12&amp;" Equity","EQY_SH_OUT_TOT_MULT_SH")))/100</f>
        <v>1.2477590154715748</v>
      </c>
      <c r="AK12" s="159" t="e" cm="1">
        <f t="array" ref="AK12">(_xll.BDP(C12&amp;" Equity","SHORT_INT"))/((_xll.BDP(C12&amp;" Equity","EQY_FREE_FLOAT_PCT"))*(_xll.BDP(C12&amp;" Equity","EQY_SH_OUT_TOT_MULT_SH")))/100</f>
        <v>#VALUE!</v>
      </c>
      <c r="AM12" s="157">
        <f ca="1">IF(ISTEXT(B12),AP12/_xll.BDH(B12 &amp;  " Equity","BEST_EPS",$AM$3,$AM$3,"BEST_FPERIOD_OVERRIDE=1BF","CDR=US","Fill=p")-1,"")</f>
        <v>5.0574496138632519E-2</v>
      </c>
      <c r="AN12" s="157">
        <f ca="1">IF(ISTEXT(B12),AP12/_xll.BDH(B12 &amp;  " Equity","BEST_EPS",$AN$3,$AN$3,"BEST_FPERIOD_OVERRIDE=1BF","CDR=US","Fill=p")-1,"")</f>
        <v>0.18923240938166286</v>
      </c>
      <c r="AO12" s="159">
        <f t="shared" ca="1" si="7"/>
        <v>29.844912595248772</v>
      </c>
      <c r="AP12" s="159" cm="1">
        <f t="array" aca="1" ref="AP12" ca="1">IF(ISTEXT(B12),_xll.BDH(B12 &amp;  " Equity","BEST_EPS",$Q$3,$Q$3,"BEST_FPERIOD_OVERRIDE=1BF","CDR=US","Fill=p"),"")</f>
        <v>11.154999999999999</v>
      </c>
      <c r="AR12" s="157" t="e">
        <f ca="1">IF(ISTEXT(C12),AU12/_xll.BDH(C12 &amp;  " Equity","BEST_EPS",$AM$3,$AM$3,"BEST_FPERIOD_OVERRIDE=1BF","CDR=US","Fill=p")-1,"")</f>
        <v>#VALUE!</v>
      </c>
      <c r="AS12" s="157" t="e">
        <f ca="1">IF(ISTEXT(C12),AU12/_xll.BDH(C12 &amp;  " Equity","BEST_EPS",$AN$3,$AN$3,"BEST_FPERIOD_OVERRIDE=1BF","CDR=US","Fill=p")-1,"")</f>
        <v>#VALUE!</v>
      </c>
      <c r="AT12" s="159" t="e">
        <f t="shared" ca="1" si="8"/>
        <v>#VALUE!</v>
      </c>
      <c r="AU12" s="159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333</v>
      </c>
      <c r="Z2" s="125">
        <v>0.02</v>
      </c>
      <c r="AA2" s="125">
        <v>1.2500000000000001E-2</v>
      </c>
      <c r="AB2" s="125">
        <f>Z2+AA2</f>
        <v>3.2500000000000001E-2</v>
      </c>
      <c r="AG2" t="s">
        <v>333</v>
      </c>
      <c r="AH2" t="s">
        <v>563</v>
      </c>
      <c r="AI2" t="s">
        <v>564</v>
      </c>
    </row>
    <row r="3" spans="3:37">
      <c r="T3" s="39"/>
      <c r="U3" s="39"/>
      <c r="V3" t="s">
        <v>560</v>
      </c>
      <c r="W3" t="s">
        <v>561</v>
      </c>
      <c r="X3" t="s">
        <v>113</v>
      </c>
      <c r="Z3" t="s">
        <v>560</v>
      </c>
      <c r="AA3" t="s">
        <v>561</v>
      </c>
      <c r="AB3" t="s">
        <v>113</v>
      </c>
      <c r="AD3" t="s">
        <v>562</v>
      </c>
      <c r="AE3" t="s">
        <v>577</v>
      </c>
    </row>
    <row r="4" spans="3:37">
      <c r="D4" t="s">
        <v>374</v>
      </c>
      <c r="F4" s="141" t="s">
        <v>94</v>
      </c>
      <c r="G4" s="141" t="s">
        <v>92</v>
      </c>
      <c r="K4" t="s">
        <v>91</v>
      </c>
      <c r="S4" s="35" t="s">
        <v>448</v>
      </c>
      <c r="T4" t="s">
        <v>38</v>
      </c>
      <c r="U4" t="s">
        <v>565</v>
      </c>
      <c r="V4" s="288">
        <v>0.27500000000000002</v>
      </c>
      <c r="W4" s="288">
        <v>0.5</v>
      </c>
      <c r="X4" s="288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448</v>
      </c>
      <c r="AD4" s="70">
        <v>1.34E-2</v>
      </c>
      <c r="AE4" s="206">
        <f>(AB4-AD4)*10000</f>
        <v>-16.500000000000004</v>
      </c>
      <c r="AG4" s="287">
        <f>X4</f>
        <v>0.36153846153846153</v>
      </c>
      <c r="AH4" s="286">
        <v>0.2</v>
      </c>
      <c r="AI4" s="286">
        <v>0.15</v>
      </c>
      <c r="AK4" s="20"/>
    </row>
    <row r="5" spans="3:37">
      <c r="C5" t="s">
        <v>78</v>
      </c>
      <c r="D5" s="206">
        <v>2.4</v>
      </c>
      <c r="F5" s="131" cm="1">
        <f t="array" ref="F5">_xll.BDP($C5&amp;" Equity","volatility_10d")/100</f>
        <v>0.96657143131958856</v>
      </c>
      <c r="G5" s="131" cm="1">
        <f t="array" ref="G5">_xll.BDP($C5&amp;" Equity","volatility_30d")/100</f>
        <v>0.6328372309779271</v>
      </c>
      <c r="J5" t="s">
        <v>418</v>
      </c>
      <c r="K5" s="206">
        <v>70</v>
      </c>
      <c r="L5" cm="1">
        <f t="array" ref="L5">_xll.BDP(J5&amp;" Equity","LAST PRICE")</f>
        <v>82.82</v>
      </c>
      <c r="M5" s="208">
        <f>L5/K5-1</f>
        <v>0.18314285714285705</v>
      </c>
      <c r="S5" s="35" t="s">
        <v>448</v>
      </c>
      <c r="T5" t="s">
        <v>559</v>
      </c>
      <c r="U5" t="s">
        <v>565</v>
      </c>
      <c r="V5" s="288"/>
      <c r="W5" s="288">
        <v>0.1</v>
      </c>
      <c r="X5" s="288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448</v>
      </c>
      <c r="AD5" s="70">
        <v>1.1999999999999999E-3</v>
      </c>
      <c r="AE5" s="206">
        <f t="shared" ref="AE5:AE13" si="4">(AB5-AD5)*10000</f>
        <v>0.50000000000000344</v>
      </c>
      <c r="AG5" s="287">
        <f t="shared" ref="AG5:AG13" si="5">X5</f>
        <v>3.8461538461538471E-2</v>
      </c>
      <c r="AH5" s="286"/>
      <c r="AI5" s="286"/>
      <c r="AK5" s="20"/>
    </row>
    <row r="6" spans="3:37">
      <c r="C6" t="s">
        <v>78</v>
      </c>
      <c r="D6" s="206">
        <v>2.4</v>
      </c>
      <c r="F6" s="131" cm="1">
        <f t="array" ref="F6">_xll.BDP($C6&amp;" Equity","volatility_10d")/100</f>
        <v>0.96657143131958856</v>
      </c>
      <c r="G6" s="131" cm="1">
        <f t="array" ref="G6">_xll.BDP($C6&amp;" Equity","volatility_30d")/100</f>
        <v>0.6328372309779271</v>
      </c>
      <c r="J6" t="s">
        <v>418</v>
      </c>
      <c r="K6" s="206">
        <v>70</v>
      </c>
      <c r="L6" cm="1">
        <f t="array" ref="L6">_xll.BDP(J6&amp;" Equity","LAST PRICE")</f>
        <v>82.82</v>
      </c>
      <c r="M6" s="208">
        <f>L6/K6-1</f>
        <v>0.18314285714285705</v>
      </c>
      <c r="S6" s="35" t="s">
        <v>448</v>
      </c>
      <c r="T6" t="s">
        <v>575</v>
      </c>
      <c r="U6" t="s">
        <v>572</v>
      </c>
      <c r="V6" s="288"/>
      <c r="W6" s="288"/>
      <c r="X6" s="288"/>
      <c r="Z6" s="70">
        <f>V6*$Z$2</f>
        <v>0</v>
      </c>
      <c r="AA6" s="70">
        <f>W6*$AA$2</f>
        <v>0</v>
      </c>
      <c r="AB6" s="70">
        <f>Z6+AA6</f>
        <v>0</v>
      </c>
      <c r="AD6" s="70"/>
      <c r="AE6" s="206"/>
      <c r="AG6" s="287">
        <f>X6</f>
        <v>0</v>
      </c>
      <c r="AH6" s="286"/>
      <c r="AI6" s="286"/>
      <c r="AK6" s="20"/>
    </row>
    <row r="7" spans="3:37">
      <c r="C7" t="s">
        <v>373</v>
      </c>
      <c r="D7" s="206">
        <v>1.2</v>
      </c>
      <c r="F7" s="131" cm="1">
        <f t="array" ref="F7">_xll.BDP($C7&amp;" Equity","volatility_10d")/100</f>
        <v>0.82350738418979785</v>
      </c>
      <c r="G7" s="131" cm="1">
        <f t="array" ref="G7">_xll.BDP($C7&amp;" Equity","volatility_30d")/100</f>
        <v>0.4964492714367113</v>
      </c>
      <c r="J7" t="s">
        <v>421</v>
      </c>
      <c r="K7" s="206">
        <v>28.5</v>
      </c>
      <c r="L7" cm="1">
        <f t="array" ref="L7">_xll.BDP(J7&amp;" Equity","LAST PRICE")</f>
        <v>17.72</v>
      </c>
      <c r="M7" s="208">
        <f t="shared" ref="M7:M13" si="6">L7/K7-1</f>
        <v>-0.37824561403508772</v>
      </c>
      <c r="S7" s="35" t="s">
        <v>448</v>
      </c>
      <c r="T7" t="s">
        <v>29</v>
      </c>
      <c r="U7" t="s">
        <v>551</v>
      </c>
      <c r="V7" s="288">
        <v>0.2</v>
      </c>
      <c r="W7" s="288"/>
      <c r="X7" s="288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6">
        <f t="shared" si="4"/>
        <v>9.0000000000000018</v>
      </c>
      <c r="AG7" s="287">
        <f t="shared" si="5"/>
        <v>0.12307692307692307</v>
      </c>
      <c r="AH7" s="286">
        <v>0.3</v>
      </c>
      <c r="AI7" s="286">
        <v>0.25</v>
      </c>
      <c r="AK7" s="20"/>
    </row>
    <row r="8" spans="3:37">
      <c r="C8" t="s">
        <v>79</v>
      </c>
      <c r="D8" s="206">
        <v>2</v>
      </c>
      <c r="F8" s="131" cm="1">
        <f t="array" ref="F8">_xll.BDP($C8&amp;" Equity","volatility_10d")/100</f>
        <v>0.94752505594525482</v>
      </c>
      <c r="G8" s="131" cm="1">
        <f t="array" ref="G8">_xll.BDP($C8&amp;" Equity","volatility_30d")/100</f>
        <v>0.61681535698874856</v>
      </c>
      <c r="J8" t="s">
        <v>319</v>
      </c>
      <c r="K8" s="206">
        <v>318.75</v>
      </c>
      <c r="L8" cm="1">
        <f t="array" ref="L8">_xll.BDP(J8&amp;" Equity","LAST PRICE")</f>
        <v>240.62</v>
      </c>
      <c r="M8" s="208">
        <f t="shared" si="6"/>
        <v>-0.24511372549019605</v>
      </c>
      <c r="S8" s="35" t="s">
        <v>448</v>
      </c>
      <c r="T8" t="s">
        <v>31</v>
      </c>
      <c r="U8" t="s">
        <v>551</v>
      </c>
      <c r="V8" s="288">
        <v>0.05</v>
      </c>
      <c r="W8" s="288">
        <v>0.05</v>
      </c>
      <c r="X8" s="288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6">
        <f t="shared" si="4"/>
        <v>3.2500000000000022</v>
      </c>
      <c r="AG8" s="287">
        <f t="shared" si="5"/>
        <v>0.05</v>
      </c>
      <c r="AH8" s="286">
        <v>0.05</v>
      </c>
      <c r="AI8" s="286">
        <v>0.05</v>
      </c>
      <c r="AK8" s="20"/>
    </row>
    <row r="9" spans="3:37">
      <c r="C9" t="s">
        <v>37</v>
      </c>
      <c r="D9" s="206">
        <v>1.2</v>
      </c>
      <c r="E9" s="206">
        <v>1.35</v>
      </c>
      <c r="F9" s="131" cm="1">
        <f t="array" ref="F9">_xll.BDP($C9&amp;" Equity","volatility_10d")/100</f>
        <v>0.44099520087849187</v>
      </c>
      <c r="G9" s="131" cm="1">
        <f t="array" ref="G9">_xll.BDP($C9&amp;" Equity","volatility_30d")/100</f>
        <v>0.32262462635408906</v>
      </c>
      <c r="J9" t="s">
        <v>81</v>
      </c>
      <c r="K9" s="206">
        <v>265.95999999999998</v>
      </c>
      <c r="L9" cm="1">
        <f t="array" ref="L9">_xll.BDP(J9&amp;" Equity","LAST PRICE")</f>
        <v>191.35</v>
      </c>
      <c r="M9" s="208">
        <f t="shared" si="6"/>
        <v>-0.28053090690329374</v>
      </c>
      <c r="S9" s="35" t="s">
        <v>448</v>
      </c>
      <c r="T9" t="s">
        <v>318</v>
      </c>
      <c r="U9" t="s">
        <v>551</v>
      </c>
      <c r="V9" s="288">
        <v>0.1</v>
      </c>
      <c r="W9" s="288">
        <v>0.05</v>
      </c>
      <c r="X9" s="288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6">
        <f t="shared" si="4"/>
        <v>0.25000000000000283</v>
      </c>
      <c r="AG9" s="287">
        <f t="shared" si="5"/>
        <v>8.0769230769230774E-2</v>
      </c>
      <c r="AH9" s="286">
        <v>0.15</v>
      </c>
      <c r="AI9" s="286">
        <v>0.15</v>
      </c>
      <c r="AJ9" t="s">
        <v>448</v>
      </c>
      <c r="AK9" s="20"/>
    </row>
    <row r="10" spans="3:37">
      <c r="C10" t="s">
        <v>276</v>
      </c>
      <c r="D10" s="206">
        <v>1.2</v>
      </c>
      <c r="E10" s="206">
        <v>1.35</v>
      </c>
      <c r="F10" s="131" cm="1">
        <f t="array" ref="F10">_xll.BDP($C10&amp;" Equity","volatility_10d")/100</f>
        <v>0.51721260000000002</v>
      </c>
      <c r="G10" s="131" cm="1">
        <f t="array" ref="G10">_xll.BDP($C10&amp;" Equity","volatility_30d")/100</f>
        <v>0.38726799999999995</v>
      </c>
      <c r="J10" t="s">
        <v>431</v>
      </c>
      <c r="K10" s="206">
        <v>251.52</v>
      </c>
      <c r="L10" cm="1">
        <f t="array" ref="L10">_xll.BDP(J10&amp;" Equity","LAST PRICE")</f>
        <v>162.91999999999999</v>
      </c>
      <c r="M10" s="208">
        <f t="shared" si="6"/>
        <v>-0.35225826972010188</v>
      </c>
      <c r="S10" s="35" t="s">
        <v>448</v>
      </c>
      <c r="T10" t="s">
        <v>576</v>
      </c>
      <c r="U10" t="s">
        <v>566</v>
      </c>
      <c r="V10" s="288"/>
      <c r="W10" s="288">
        <v>7.4999999999999997E-2</v>
      </c>
      <c r="X10" s="288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6">
        <f t="shared" si="4"/>
        <v>-0.62500000000000056</v>
      </c>
      <c r="AG10" s="287">
        <f t="shared" si="5"/>
        <v>2.8846153846153844E-2</v>
      </c>
      <c r="AH10" s="286"/>
      <c r="AI10" s="286"/>
      <c r="AK10" s="20"/>
    </row>
    <row r="11" spans="3:37">
      <c r="C11" t="s">
        <v>320</v>
      </c>
      <c r="D11" s="206">
        <v>1.5</v>
      </c>
      <c r="E11" s="206">
        <v>0.94</v>
      </c>
      <c r="F11" s="131" cm="1">
        <f t="array" ref="F11">_xll.BDP($C11&amp;" Equity","volatility_10d")/100</f>
        <v>0.26709612265261556</v>
      </c>
      <c r="G11" s="131" cm="1">
        <f t="array" ref="G11">_xll.BDP($C11&amp;" Equity","volatility_30d")/100</f>
        <v>0.20592441322987154</v>
      </c>
      <c r="J11" t="s">
        <v>279</v>
      </c>
      <c r="K11" s="206">
        <v>117.4</v>
      </c>
      <c r="L11" cm="1">
        <f t="array" ref="L11">_xll.BDP(J11&amp;" Equity","LAST PRICE")</f>
        <v>139.83000000000001</v>
      </c>
      <c r="M11" s="208">
        <f t="shared" si="6"/>
        <v>0.19105621805792161</v>
      </c>
      <c r="S11" s="35" t="s">
        <v>448</v>
      </c>
      <c r="T11" t="s">
        <v>42</v>
      </c>
      <c r="U11" t="s">
        <v>552</v>
      </c>
      <c r="V11" s="288">
        <v>0.05</v>
      </c>
      <c r="W11" s="288">
        <v>0.1</v>
      </c>
      <c r="X11" s="288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6">
        <f t="shared" si="4"/>
        <v>0.50000000000000133</v>
      </c>
      <c r="AG11" s="287">
        <f t="shared" si="5"/>
        <v>6.9230769230769235E-2</v>
      </c>
      <c r="AH11" s="286">
        <v>0.05</v>
      </c>
      <c r="AI11" s="286">
        <v>0.05</v>
      </c>
      <c r="AK11" s="20"/>
    </row>
    <row r="12" spans="3:37">
      <c r="C12" t="s">
        <v>365</v>
      </c>
      <c r="D12" s="206">
        <v>1.5</v>
      </c>
      <c r="E12" s="206">
        <v>1.07</v>
      </c>
      <c r="F12" s="131" cm="1">
        <f t="array" ref="F12">_xll.BDP($C12&amp;" Equity","volatility_10d")/100</f>
        <v>0.26652572356513349</v>
      </c>
      <c r="G12" s="131" cm="1">
        <f t="array" ref="G12">_xll.BDP($C12&amp;" Equity","volatility_30d")/100</f>
        <v>0.2875168804937846</v>
      </c>
      <c r="J12" t="s">
        <v>420</v>
      </c>
      <c r="K12" s="206">
        <v>5420</v>
      </c>
      <c r="L12" cm="1">
        <f t="array" ref="L12">_xll.BDP(J12&amp;" Index","LAST PRICE")</f>
        <v>5421</v>
      </c>
      <c r="M12" s="208">
        <f t="shared" si="6"/>
        <v>1.8450184501839217E-4</v>
      </c>
      <c r="S12" s="35" t="s">
        <v>448</v>
      </c>
      <c r="T12" t="s">
        <v>84</v>
      </c>
      <c r="U12" t="s">
        <v>566</v>
      </c>
      <c r="V12" s="288">
        <v>0.05</v>
      </c>
      <c r="W12" s="288">
        <v>0.125</v>
      </c>
      <c r="X12" s="288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6">
        <f t="shared" si="4"/>
        <v>0.62500000000000056</v>
      </c>
      <c r="AG12" s="287">
        <f t="shared" si="5"/>
        <v>7.8846153846153844E-2</v>
      </c>
      <c r="AH12" s="286">
        <v>0.1</v>
      </c>
      <c r="AI12" s="286">
        <v>0.1</v>
      </c>
      <c r="AK12" s="20"/>
    </row>
    <row r="13" spans="3:37">
      <c r="C13" t="s">
        <v>369</v>
      </c>
      <c r="D13" s="206">
        <v>1.5</v>
      </c>
      <c r="E13" s="206">
        <v>0.97</v>
      </c>
      <c r="F13" s="131" cm="1">
        <f t="array" ref="F13">_xll.BDP($C13&amp;" Equity","volatility_10d")/100</f>
        <v>0.25568669129793314</v>
      </c>
      <c r="G13" s="131" cm="1">
        <f t="array" ref="G13">_xll.BDP($C13&amp;" Equity","volatility_30d")/100</f>
        <v>0.31136342018643454</v>
      </c>
      <c r="J13" t="s">
        <v>422</v>
      </c>
      <c r="K13" s="206">
        <v>386.5</v>
      </c>
      <c r="L13" t="str" cm="1">
        <f t="array" ref="L13">_xll.BDP(J13&amp;" Index","LAST PRICE")</f>
        <v>#N/A Real Time</v>
      </c>
      <c r="M13" s="208" t="e">
        <f t="shared" si="6"/>
        <v>#VALUE!</v>
      </c>
      <c r="S13" s="35" t="s">
        <v>448</v>
      </c>
      <c r="T13" t="s">
        <v>44</v>
      </c>
      <c r="U13" t="s">
        <v>552</v>
      </c>
      <c r="V13" s="288">
        <v>0.27500000000000002</v>
      </c>
      <c r="W13" s="288"/>
      <c r="X13" s="288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448</v>
      </c>
      <c r="AD13" s="70">
        <v>5.3E-3</v>
      </c>
      <c r="AE13" s="206">
        <f t="shared" si="4"/>
        <v>2.0000000000000053</v>
      </c>
      <c r="AG13" s="287">
        <f t="shared" si="5"/>
        <v>0.16923076923076924</v>
      </c>
      <c r="AH13" s="286">
        <v>0.15</v>
      </c>
      <c r="AI13" s="286">
        <v>0.25</v>
      </c>
      <c r="AK13" s="20"/>
    </row>
    <row r="14" spans="3:37">
      <c r="C14" t="s">
        <v>36</v>
      </c>
      <c r="D14" s="206">
        <v>1</v>
      </c>
      <c r="E14" s="206">
        <v>0.9</v>
      </c>
      <c r="F14" s="131" cm="1">
        <f t="array" ref="F14">_xll.BDP($C14&amp;" Equity","volatility_10d")/100</f>
        <v>0.17092848654704407</v>
      </c>
      <c r="G14" s="131" cm="1">
        <f t="array" ref="G14">_xll.BDP($C14&amp;" Equity","volatility_30d")/100</f>
        <v>0.1674239455667042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6">
        <v>1.2</v>
      </c>
      <c r="E15" s="206">
        <v>1.21</v>
      </c>
      <c r="F15" s="131" cm="1">
        <f t="array" ref="F15">_xll.BDP($C15&amp;" Equity","volatility_10d")/100</f>
        <v>0.18716710136441481</v>
      </c>
      <c r="G15" s="131" cm="1">
        <f t="array" ref="G15">_xll.BDP($C15&amp;" Equity","volatility_30d")/100</f>
        <v>0.20789481997720483</v>
      </c>
      <c r="S15" s="35"/>
    </row>
    <row r="16" spans="3:37">
      <c r="C16" t="s">
        <v>19</v>
      </c>
      <c r="D16" s="206">
        <v>1.3</v>
      </c>
      <c r="E16" s="206">
        <v>1.1599999999999999</v>
      </c>
      <c r="F16" s="131" cm="1">
        <f t="array" ref="F16">_xll.BDP($C16&amp;" Equity","volatility_10d")/100</f>
        <v>0.1681845868912758</v>
      </c>
      <c r="G16" s="131" cm="1">
        <f t="array" ref="G16">_xll.BDP($C16&amp;" Equity","volatility_30d")/100</f>
        <v>0.24874762167297676</v>
      </c>
    </row>
    <row r="17" spans="3:42">
      <c r="C17" t="s">
        <v>43</v>
      </c>
      <c r="D17" s="206">
        <v>1.9</v>
      </c>
      <c r="E17" s="206">
        <v>1.9</v>
      </c>
      <c r="F17" s="131" cm="1">
        <f t="array" ref="F17">_xll.BDP($C17&amp;" Equity","volatility_10d")/100</f>
        <v>0.52421476195521466</v>
      </c>
      <c r="G17" s="131" cm="1">
        <f t="array" ref="G17">_xll.BDP($C17&amp;" Equity","volatility_30d")/100</f>
        <v>0.3619577893303999</v>
      </c>
      <c r="AP17" t="s">
        <v>448</v>
      </c>
    </row>
    <row r="18" spans="3:42">
      <c r="C18" t="s">
        <v>83</v>
      </c>
      <c r="D18" s="206">
        <v>1.9</v>
      </c>
      <c r="E18" s="206">
        <v>1.9</v>
      </c>
      <c r="F18" s="131" cm="1">
        <f t="array" ref="F18">_xll.BDP($C18&amp;" Equity","volatility_10d")/100</f>
        <v>0.4867957328874184</v>
      </c>
      <c r="G18" s="131" cm="1">
        <f t="array" ref="G18">_xll.BDP($C18&amp;" Equity","volatility_30d")/100</f>
        <v>0.33880500142414965</v>
      </c>
      <c r="AP18" t="s">
        <v>448</v>
      </c>
    </row>
    <row r="19" spans="3:42">
      <c r="C19" t="s">
        <v>4</v>
      </c>
      <c r="D19" s="206">
        <v>0.75</v>
      </c>
      <c r="E19" s="206">
        <v>0.54</v>
      </c>
      <c r="F19" s="131" cm="1">
        <f t="array" ref="F19">_xll.BDP($C19&amp;" Equity","volatility_10d")/100</f>
        <v>0.15115511372586815</v>
      </c>
      <c r="G19" s="131" cm="1">
        <f t="array" ref="G19">_xll.BDP($C19&amp;" Equity","volatility_30d")/100</f>
        <v>0.13676686846160238</v>
      </c>
      <c r="AP19" t="s">
        <v>448</v>
      </c>
    </row>
    <row r="20" spans="3:42">
      <c r="C20" t="s">
        <v>524</v>
      </c>
      <c r="D20" s="206">
        <v>1</v>
      </c>
      <c r="F20" s="131" cm="1">
        <f t="array" ref="F20">_xll.BDP($C20&amp;" Equity","volatility_10d")/100</f>
        <v>0.17347921107748202</v>
      </c>
      <c r="G20" s="131" cm="1">
        <f t="array" ref="G20">_xll.BDP($C20&amp;" Equity","volatility_30d")/100</f>
        <v>0.17263387707347111</v>
      </c>
    </row>
    <row r="21" spans="3:42">
      <c r="C21" t="s">
        <v>3</v>
      </c>
      <c r="D21" s="206">
        <v>1</v>
      </c>
      <c r="E21" s="206">
        <v>0.9</v>
      </c>
      <c r="F21" s="131" cm="1">
        <f t="array" ref="F21">_xll.BDP($C21&amp;" Equity","volatility_10d")/100</f>
        <v>0.13012861688919666</v>
      </c>
      <c r="G21" s="131" cm="1">
        <f t="array" ref="G21">_xll.BDP($C21&amp;" Equity","volatility_30d")/100</f>
        <v>0.12390729209666079</v>
      </c>
    </row>
    <row r="22" spans="3:42">
      <c r="C22" t="s">
        <v>0</v>
      </c>
      <c r="D22" s="206">
        <v>1</v>
      </c>
      <c r="E22" s="206">
        <v>1</v>
      </c>
      <c r="F22" s="131" cm="1">
        <f t="array" ref="F22">_xll.BDP($C22&amp;" Equity","volatility_10d")/100</f>
        <v>0.14723250061045581</v>
      </c>
      <c r="G22" s="131" cm="1">
        <f t="array" ref="G22">_xll.BDP($C22&amp;" Equity","volatility_30d")/100</f>
        <v>0.11882246942108683</v>
      </c>
    </row>
    <row r="23" spans="3:42" ht="15.75">
      <c r="C23" t="s">
        <v>82</v>
      </c>
      <c r="D23" s="206">
        <v>1.2</v>
      </c>
      <c r="E23" s="206">
        <v>1.2</v>
      </c>
      <c r="F23" s="131" cm="1">
        <f t="array" ref="F23">_xll.BDP($C23&amp;" Equity","volatility_10d")/100</f>
        <v>0.21682308003094963</v>
      </c>
      <c r="G23" s="131" cm="1">
        <f t="array" ref="G23">_xll.BDP($C23&amp;" Equity","volatility_30d")/100</f>
        <v>0.15916877037788388</v>
      </c>
      <c r="K23" s="304" t="s">
        <v>579</v>
      </c>
      <c r="L23" s="305">
        <v>-1.0963377653370632E-2</v>
      </c>
      <c r="M23" s="306">
        <v>-0.37836540865925272</v>
      </c>
      <c r="N23" s="307">
        <v>3.4133390057770963E-3</v>
      </c>
      <c r="O23" s="307">
        <v>0</v>
      </c>
      <c r="P23" s="307">
        <v>3.4133390057770963E-3</v>
      </c>
      <c r="R23" s="307"/>
    </row>
    <row r="24" spans="3:42" ht="15.75">
      <c r="C24" t="s">
        <v>89</v>
      </c>
      <c r="D24" s="206">
        <v>1.3</v>
      </c>
      <c r="E24" s="206">
        <v>1.1000000000000001</v>
      </c>
      <c r="F24" s="131" cm="1">
        <f t="array" ref="F24">_xll.BDP($C24&amp;" Equity","volatility_10d")/100</f>
        <v>0.25415383605119396</v>
      </c>
      <c r="G24" s="131" cm="1">
        <f t="array" ref="G24">_xll.BDP($C24&amp;" Equity","volatility_30d")/100</f>
        <v>0.19021172538322884</v>
      </c>
      <c r="K24" s="301" t="s">
        <v>9</v>
      </c>
      <c r="L24" s="299">
        <v>-1.0963377653370632E-2</v>
      </c>
      <c r="M24" s="302">
        <v>-0.37836540865925272</v>
      </c>
      <c r="N24" s="300">
        <v>3.4133390057770963E-3</v>
      </c>
      <c r="O24" s="300">
        <v>0</v>
      </c>
      <c r="P24" s="300">
        <v>3.4133390057770963E-3</v>
      </c>
      <c r="R24" s="300"/>
    </row>
    <row r="25" spans="3:42" ht="15.75">
      <c r="C25" t="s">
        <v>341</v>
      </c>
      <c r="D25" s="206">
        <v>0.9</v>
      </c>
      <c r="F25" s="131" cm="1">
        <f t="array" ref="F25">_xll.BDP($C25&amp;" Equity","volatility_10d")/100</f>
        <v>0.29673316535886701</v>
      </c>
      <c r="G25" s="131" cm="1">
        <f t="array" ref="G25">_xll.BDP($C25&amp;" Equity","volatility_30d")/100</f>
        <v>0.1985150185114441</v>
      </c>
      <c r="K25" s="304" t="s">
        <v>32</v>
      </c>
      <c r="L25" s="305">
        <v>-5.9553798585880949E-3</v>
      </c>
      <c r="M25" s="306">
        <v>-0.63972487206523787</v>
      </c>
      <c r="N25" s="307">
        <v>1.1232261185275198E-2</v>
      </c>
      <c r="O25" s="307">
        <v>0</v>
      </c>
      <c r="P25" s="307">
        <v>1.1232261185275198E-2</v>
      </c>
      <c r="R25" s="307"/>
    </row>
    <row r="26" spans="3:42" ht="15.75">
      <c r="C26" t="s">
        <v>29</v>
      </c>
      <c r="D26" s="206" cm="1">
        <f t="array" ref="D26">_xll.BDP(C26&amp;" EQUITY","eqy_beta")</f>
        <v>1.1883665323257446</v>
      </c>
      <c r="F26" s="131" cm="1">
        <f t="array" ref="F26">_xll.BDP($C26&amp;" Equity","volatility_10d")/100</f>
        <v>0.64099672288421272</v>
      </c>
      <c r="G26" s="131" cm="1">
        <f t="array" ref="G26">_xll.BDP($C26&amp;" Equity","volatility_30d")/100</f>
        <v>0.42808333343068516</v>
      </c>
      <c r="K26" s="301" t="s">
        <v>33</v>
      </c>
      <c r="L26" s="299">
        <v>4.7598096076157947E-3</v>
      </c>
      <c r="M26" s="302">
        <v>-4.6604870922836092E-2</v>
      </c>
      <c r="N26" s="300">
        <v>-9.837935777997017E-4</v>
      </c>
      <c r="O26" s="300">
        <v>0</v>
      </c>
      <c r="P26" s="300">
        <v>-9.837935777997017E-4</v>
      </c>
      <c r="R26" s="300"/>
    </row>
    <row r="27" spans="3:42" ht="15.75">
      <c r="C27" t="s">
        <v>27</v>
      </c>
      <c r="D27" s="206" cm="1">
        <f t="array" ref="D27">_xll.BDP(C27&amp;" EQUITY","eqy_beta")</f>
        <v>1.066115140914917</v>
      </c>
      <c r="F27" s="131" cm="1">
        <f t="array" ref="F27">_xll.BDP($C27&amp;" Equity","volatility_10d")/100</f>
        <v>0.23880738928501033</v>
      </c>
      <c r="G27" s="131" cm="1">
        <f t="array" ref="G27">_xll.BDP($C27&amp;" Equity","volatility_30d")/100</f>
        <v>0.22654333525044962</v>
      </c>
      <c r="K27" s="301" t="s">
        <v>6</v>
      </c>
      <c r="L27" s="299">
        <v>-2.9742661321608965E-3</v>
      </c>
      <c r="M27" s="302">
        <v>-0.27022992383829852</v>
      </c>
      <c r="N27" s="300">
        <v>9.0585770121445457E-3</v>
      </c>
      <c r="O27" s="300">
        <v>0</v>
      </c>
      <c r="P27" s="300">
        <v>9.0585770121445457E-3</v>
      </c>
      <c r="R27" s="300"/>
    </row>
    <row r="28" spans="3:42" ht="15.75">
      <c r="C28" t="s">
        <v>31</v>
      </c>
      <c r="D28" s="206" cm="1">
        <f t="array" ref="D28">_xll.BDP(C28&amp;" EQUITY","eqy_beta")</f>
        <v>1.1977251768112183</v>
      </c>
      <c r="F28" s="131" cm="1">
        <f t="array" ref="F28">_xll.BDP($C28&amp;" Equity","volatility_10d")/100</f>
        <v>0.40376616542495214</v>
      </c>
      <c r="G28" s="131" cm="1">
        <f t="array" ref="G28">_xll.BDP($C28&amp;" Equity","volatility_30d")/100</f>
        <v>0.33237176925337913</v>
      </c>
      <c r="K28" s="301" t="s">
        <v>361</v>
      </c>
      <c r="L28" s="299">
        <v>-3.3200841711480411E-3</v>
      </c>
      <c r="M28" s="302">
        <v>-3.8619816007486069E-2</v>
      </c>
      <c r="N28" s="300">
        <v>1.1593559977233082E-3</v>
      </c>
      <c r="O28" s="300">
        <v>0</v>
      </c>
      <c r="P28" s="300">
        <v>1.1593559977233082E-3</v>
      </c>
      <c r="R28" s="300"/>
    </row>
    <row r="29" spans="3:42" ht="15.75">
      <c r="C29" t="s">
        <v>30</v>
      </c>
      <c r="D29" s="206" cm="1">
        <f t="array" ref="D29">_xll.BDP(C29&amp;" EQUITY","eqy_beta")</f>
        <v>0.8619377613067627</v>
      </c>
      <c r="F29" s="131" cm="1">
        <f t="array" ref="F29">_xll.BDP($C29&amp;" Equity","volatility_10d")/100</f>
        <v>0.51285307735549013</v>
      </c>
      <c r="G29" s="131" cm="1">
        <f t="array" ref="G29">_xll.BDP($C29&amp;" Equity","volatility_30d")/100</f>
        <v>0.36754351256924445</v>
      </c>
      <c r="K29" s="301" t="s">
        <v>478</v>
      </c>
      <c r="L29" s="299">
        <v>-1.9074643335697972E-2</v>
      </c>
      <c r="M29" s="302">
        <v>-0.18961576845233849</v>
      </c>
      <c r="N29" s="300">
        <v>9.7511084230964917E-4</v>
      </c>
      <c r="O29" s="300">
        <v>0</v>
      </c>
      <c r="P29" s="300">
        <v>9.7511084230964917E-4</v>
      </c>
      <c r="R29" s="300"/>
    </row>
    <row r="30" spans="3:42" ht="15.75">
      <c r="C30" t="s">
        <v>38</v>
      </c>
      <c r="D30" s="206" cm="1">
        <f t="array" ref="D30">_xll.BDP(C30&amp;" EQUITY","eqy_beta")</f>
        <v>1.0221575498580933</v>
      </c>
      <c r="F30" s="131" cm="1">
        <f t="array" ref="F30">_xll.BDP($C30&amp;" Equity","volatility_10d")/100</f>
        <v>0.64759648088106525</v>
      </c>
      <c r="G30" s="131" cm="1">
        <f t="array" ref="G30">_xll.BDP($C30&amp;" Equity","volatility_30d")/100</f>
        <v>0.41178819404809519</v>
      </c>
      <c r="K30" s="301" t="s">
        <v>573</v>
      </c>
      <c r="L30" s="299">
        <v>-9.1677152615493585E-3</v>
      </c>
      <c r="M30" s="302">
        <v>-9.4654492844278598E-2</v>
      </c>
      <c r="N30" s="300">
        <v>1.0230109108973979E-3</v>
      </c>
      <c r="O30" s="300">
        <v>0</v>
      </c>
      <c r="P30" s="300">
        <v>1.0230109108973979E-3</v>
      </c>
      <c r="R30" s="300"/>
    </row>
    <row r="31" spans="3:42" ht="15.75">
      <c r="C31" t="s">
        <v>361</v>
      </c>
      <c r="D31" s="206" cm="1">
        <f t="array" ref="D31">_xll.BDP(C31&amp;" EQUITY","eqy_beta")</f>
        <v>1.2228292226791382</v>
      </c>
      <c r="F31" s="131" cm="1">
        <f t="array" ref="F31">_xll.BDP($C31&amp;" Equity","volatility_10d")/100</f>
        <v>0.31160141918049888</v>
      </c>
      <c r="G31" s="131" cm="1">
        <f t="array" ref="G31">_xll.BDP($C31&amp;" Equity","volatility_30d")/100</f>
        <v>0.4206465351393377</v>
      </c>
      <c r="K31" s="304" t="s">
        <v>26</v>
      </c>
      <c r="L31" s="305">
        <v>-4.2479506412567702E-3</v>
      </c>
      <c r="M31" s="306">
        <v>1.0338056955883257</v>
      </c>
      <c r="N31" s="307">
        <v>-2.396608490698357E-2</v>
      </c>
      <c r="O31" s="307">
        <v>0</v>
      </c>
      <c r="P31" s="307">
        <v>-2.396608490698357E-2</v>
      </c>
      <c r="R31" s="307"/>
    </row>
    <row r="32" spans="3:42" ht="15.75">
      <c r="C32" t="s">
        <v>34</v>
      </c>
      <c r="D32" s="206" cm="1">
        <f t="array" ref="D32">_xll.BDP(C32&amp;" EQUITY","eqy_beta")</f>
        <v>0.84744644165039063</v>
      </c>
      <c r="F32" s="131" cm="1">
        <f t="array" ref="F32">_xll.BDP($C32&amp;" Equity","volatility_10d")/100</f>
        <v>0.30737723168940945</v>
      </c>
      <c r="G32" s="131" cm="1">
        <f t="array" ref="G32">_xll.BDP($C32&amp;" Equity","volatility_30d")/100</f>
        <v>0.24278112438751318</v>
      </c>
      <c r="K32" s="301" t="s">
        <v>3</v>
      </c>
      <c r="L32" s="299">
        <v>-3.7397353418066048E-3</v>
      </c>
      <c r="M32" s="302">
        <v>0.16241210060252317</v>
      </c>
      <c r="N32" s="300">
        <v>-4.3266356450720909E-3</v>
      </c>
      <c r="O32" s="300">
        <v>0</v>
      </c>
      <c r="P32" s="300">
        <v>-4.3266356450720909E-3</v>
      </c>
      <c r="R32" s="300"/>
    </row>
    <row r="33" spans="3:18" ht="15.75">
      <c r="C33" t="s">
        <v>35</v>
      </c>
      <c r="D33" s="206" cm="1">
        <f t="array" ref="D33">_xll.BDP(C33&amp;" EQUITY","eqy_beta")</f>
        <v>0.8304983377456665</v>
      </c>
      <c r="F33" s="131" cm="1">
        <f t="array" ref="F33">_xll.BDP($C33&amp;" Equity","volatility_10d")/100</f>
        <v>0.30664896997838037</v>
      </c>
      <c r="G33" s="131" cm="1">
        <f t="array" ref="G33">_xll.BDP($C33&amp;" Equity","volatility_30d")/100</f>
        <v>0.24177032857189162</v>
      </c>
      <c r="K33" s="301" t="s">
        <v>580</v>
      </c>
      <c r="L33" s="299">
        <v>-4.417355741073492E-3</v>
      </c>
      <c r="M33" s="302">
        <v>0.8713935949858026</v>
      </c>
      <c r="N33" s="300">
        <v>-1.9639449261911478E-2</v>
      </c>
      <c r="O33" s="300"/>
      <c r="P33" s="300">
        <v>-1.9639449261911478E-2</v>
      </c>
      <c r="R33" s="300"/>
    </row>
    <row r="34" spans="3:18" ht="15.75">
      <c r="C34" t="s">
        <v>33</v>
      </c>
      <c r="D34" s="206" cm="1">
        <f t="array" ref="D34">_xll.BDP(C34&amp;" EQUITY","eqy_beta")</f>
        <v>0.62258225679397583</v>
      </c>
      <c r="F34" s="131" cm="1">
        <f t="array" ref="F34">_xll.BDP($C34&amp;" Equity","volatility_10d")/100</f>
        <v>0.18252005589294906</v>
      </c>
      <c r="G34" s="131" cm="1">
        <f t="array" ref="G34">_xll.BDP($C34&amp;" Equity","volatility_30d")/100</f>
        <v>0.14263318840312425</v>
      </c>
      <c r="K34" s="304" t="s">
        <v>551</v>
      </c>
      <c r="L34" s="305">
        <v>-1.068463658385139E-2</v>
      </c>
      <c r="M34" s="306">
        <v>-0.90024740598245501</v>
      </c>
      <c r="N34" s="307">
        <v>4.8096776346909318E-3</v>
      </c>
      <c r="O34" s="307">
        <v>5.1572351618506054E-3</v>
      </c>
      <c r="P34" s="307">
        <v>9.9669127965415355E-3</v>
      </c>
      <c r="R34" s="307"/>
    </row>
    <row r="35" spans="3:18" ht="15.75">
      <c r="C35" t="s">
        <v>44</v>
      </c>
      <c r="D35" s="206" cm="1">
        <f t="array" ref="D35">_xll.BDP(C35&amp;" EQUITY","eqy_beta")</f>
        <v>1.4581781625747681</v>
      </c>
      <c r="F35" s="131" cm="1">
        <f t="array" ref="F35">_xll.BDP($C35&amp;" Equity","volatility_10d")/100</f>
        <v>0.45081127869266019</v>
      </c>
      <c r="G35" s="131" cm="1">
        <f t="array" ref="G35">_xll.BDP($C35&amp;" Equity","volatility_30d")/100</f>
        <v>0.37757219033666173</v>
      </c>
      <c r="K35" s="301" t="s">
        <v>29</v>
      </c>
      <c r="L35" s="299">
        <v>-6.4136601179329844E-3</v>
      </c>
      <c r="M35" s="302">
        <v>-0.19767788893855778</v>
      </c>
      <c r="N35" s="300">
        <v>3.0623707295760953E-3</v>
      </c>
      <c r="O35" s="300">
        <v>0</v>
      </c>
      <c r="P35" s="300">
        <v>3.0623707295760953E-3</v>
      </c>
      <c r="R35" s="300"/>
    </row>
    <row r="36" spans="3:18" ht="15.75">
      <c r="C36" t="s">
        <v>42</v>
      </c>
      <c r="D36" s="206" cm="1">
        <f t="array" ref="D36">_xll.BDP(C36&amp;" EQUITY","eqy_beta")</f>
        <v>1.8433843851089478</v>
      </c>
      <c r="F36" s="131" cm="1">
        <f t="array" ref="F36">_xll.BDP($C36&amp;" Equity","volatility_10d")/100</f>
        <v>0.54846247662095138</v>
      </c>
      <c r="G36" s="131" cm="1">
        <f t="array" ref="G36">_xll.BDP($C36&amp;" Equity","volatility_30d")/100</f>
        <v>0.36313163353730782</v>
      </c>
      <c r="K36" s="301" t="s">
        <v>30</v>
      </c>
      <c r="L36" s="299">
        <v>4.6735154486730046E-3</v>
      </c>
      <c r="M36" s="302">
        <v>1.3065464514081379E-2</v>
      </c>
      <c r="N36" s="300">
        <v>2.8087049905996193E-4</v>
      </c>
      <c r="O36" s="300">
        <v>0</v>
      </c>
      <c r="P36" s="300">
        <v>2.8087049905996193E-4</v>
      </c>
      <c r="R36" s="300"/>
    </row>
    <row r="37" spans="3:18" ht="15.75">
      <c r="C37" t="s">
        <v>282</v>
      </c>
      <c r="D37" s="206" cm="1">
        <f t="array" ref="D37">_xll.BDP(C37&amp;" EQUITY","eqy_beta")</f>
        <v>1.6578428745269775</v>
      </c>
      <c r="F37" s="131" cm="1">
        <f t="array" ref="F37">_xll.BDP($C37&amp;" Equity","volatility_10d")/100</f>
        <v>1.2613351131965482</v>
      </c>
      <c r="G37" s="131" cm="1">
        <f t="array" ref="G37">_xll.BDP($C37&amp;" Equity","volatility_30d")/100</f>
        <v>0.91929420148181873</v>
      </c>
      <c r="K37" s="301" t="s">
        <v>31</v>
      </c>
      <c r="L37" s="299">
        <v>-1.9930069930069849E-2</v>
      </c>
      <c r="M37" s="302">
        <v>-0.4000142632662666</v>
      </c>
      <c r="N37" s="300">
        <v>0</v>
      </c>
      <c r="O37" s="300">
        <v>1.6318254484903006E-3</v>
      </c>
      <c r="P37" s="300">
        <v>1.6318254484903006E-3</v>
      </c>
      <c r="R37" s="300"/>
    </row>
    <row r="38" spans="3:18" ht="15.75">
      <c r="C38" t="s">
        <v>77</v>
      </c>
      <c r="D38" s="206" cm="1">
        <f t="array" ref="D38">_xll.BDP(C38&amp;" EQUITY","eqy_beta")</f>
        <v>1.1805256605148315</v>
      </c>
      <c r="F38" s="131" cm="1">
        <f t="array" ref="F38">_xll.BDP($C38&amp;" Equity","volatility_10d")/100</f>
        <v>0.45407271682827077</v>
      </c>
      <c r="G38" s="131" cm="1">
        <f t="array" ref="G38">_xll.BDP($C38&amp;" Equity","volatility_30d")/100</f>
        <v>0.33510757891150544</v>
      </c>
      <c r="K38" s="301" t="s">
        <v>318</v>
      </c>
      <c r="L38" s="299">
        <v>1.3128112267994929E-3</v>
      </c>
      <c r="M38" s="302">
        <v>7.9154304583226778E-3</v>
      </c>
      <c r="N38" s="300">
        <v>8.2776255868375693E-4</v>
      </c>
      <c r="O38" s="300">
        <v>5.6416207697500146E-4</v>
      </c>
      <c r="P38" s="300">
        <v>1.3919246356587584E-3</v>
      </c>
      <c r="R38" s="300"/>
    </row>
    <row r="39" spans="3:18" ht="15.75">
      <c r="C39" t="s">
        <v>76</v>
      </c>
      <c r="D39" s="206" cm="1">
        <f t="array" ref="D39">_xll.BDP(C39&amp;" EQUITY","eqy_beta")</f>
        <v>1.0844998359680176</v>
      </c>
      <c r="F39" s="131" cm="1">
        <f t="array" ref="F39">_xll.BDP($C39&amp;" Equity","volatility_10d")/100</f>
        <v>0.57704313199468316</v>
      </c>
      <c r="G39" s="131" cm="1">
        <f t="array" ref="G39">_xll.BDP($C39&amp;" Equity","volatility_30d")/100</f>
        <v>0.36217453449321463</v>
      </c>
      <c r="K39" s="301" t="s">
        <v>340</v>
      </c>
      <c r="L39" s="299">
        <v>-2.3083787755390939E-2</v>
      </c>
      <c r="M39" s="302">
        <v>-0.25663139707509386</v>
      </c>
      <c r="N39" s="300">
        <v>6.3867384737111737E-4</v>
      </c>
      <c r="O39" s="300">
        <v>2.1555720957797475E-3</v>
      </c>
      <c r="P39" s="300">
        <v>2.794245943150865E-3</v>
      </c>
      <c r="Q39" s="300">
        <f>R39-P39</f>
        <v>-7.9424594315086498E-4</v>
      </c>
      <c r="R39" s="300">
        <v>2E-3</v>
      </c>
    </row>
    <row r="40" spans="3:18" ht="15.75">
      <c r="C40" t="s">
        <v>358</v>
      </c>
      <c r="D40" s="206" cm="1">
        <f t="array" ref="D40">_xll.BDP(C40&amp;" EQUITY","eqy_beta")</f>
        <v>0.59474402666091919</v>
      </c>
      <c r="F40" s="131" cm="1">
        <f t="array" ref="F40">_xll.BDP($C40&amp;" Equity","volatility_10d")/100</f>
        <v>0.27945982497437372</v>
      </c>
      <c r="G40" s="131" cm="1">
        <f t="array" ref="G40">_xll.BDP($C40&amp;" Equity","volatility_30d")/100</f>
        <v>0.29663820534830815</v>
      </c>
      <c r="K40" s="301" t="s">
        <v>583</v>
      </c>
      <c r="L40" s="299">
        <v>-8.2674772036475108E-3</v>
      </c>
      <c r="M40" s="302">
        <v>-6.6904751674940866E-2</v>
      </c>
      <c r="N40" s="300">
        <v>0</v>
      </c>
      <c r="O40" s="300">
        <v>8.0567554060555571E-4</v>
      </c>
      <c r="P40" s="300">
        <v>8.0567554060555571E-4</v>
      </c>
      <c r="R40" s="300"/>
    </row>
    <row r="41" spans="3:18" ht="15.75">
      <c r="C41" t="s">
        <v>359</v>
      </c>
      <c r="D41" s="206" cm="1">
        <f t="array" ref="D41">_xll.BDP(C41&amp;" EQUITY","eqy_beta")</f>
        <v>0.53802293539047241</v>
      </c>
      <c r="F41" s="131" cm="1">
        <f t="array" ref="F41">_xll.BDP($C41&amp;" Equity","volatility_10d")/100</f>
        <v>0.42158681509778118</v>
      </c>
      <c r="G41" s="131" cm="1">
        <f t="array" ref="G41">_xll.BDP($C41&amp;" Equity","volatility_30d")/100</f>
        <v>0.30613285577715349</v>
      </c>
      <c r="K41" s="304" t="s">
        <v>550</v>
      </c>
      <c r="L41" s="305">
        <v>-2.171898868541829E-2</v>
      </c>
      <c r="M41" s="306">
        <v>-2.1659089402196168</v>
      </c>
      <c r="N41" s="307">
        <v>7.426914807117521E-3</v>
      </c>
      <c r="O41" s="307">
        <v>1.0473448302227259E-2</v>
      </c>
      <c r="P41" s="307">
        <v>1.790069034429281E-2</v>
      </c>
      <c r="R41" s="307"/>
    </row>
    <row r="42" spans="3:18" ht="15.75">
      <c r="C42" t="s">
        <v>360</v>
      </c>
      <c r="D42" s="206" cm="1">
        <f t="array" ref="D42">_xll.BDP(C42&amp;" EQUITY","eqy_beta")</f>
        <v>0.54403078556060791</v>
      </c>
      <c r="F42" s="131" cm="1">
        <f t="array" ref="F42">_xll.BDP($C42&amp;" Equity","volatility_10d")/100</f>
        <v>0.26859636017702904</v>
      </c>
      <c r="G42" s="131" cm="1">
        <f t="array" ref="G42">_xll.BDP($C42&amp;" Equity","volatility_30d")/100</f>
        <v>0.25679286496227927</v>
      </c>
      <c r="K42" s="301" t="s">
        <v>38</v>
      </c>
      <c r="L42" s="299">
        <v>-6.2572785972485057E-3</v>
      </c>
      <c r="M42" s="302">
        <v>-1.1994344461055253</v>
      </c>
      <c r="N42" s="300">
        <v>7.426914807117521E-3</v>
      </c>
      <c r="O42" s="300">
        <v>8.792129380292845E-3</v>
      </c>
      <c r="P42" s="300">
        <v>1.6219371422358395E-2</v>
      </c>
      <c r="Q42" s="300">
        <f>R42-P42</f>
        <v>-3.7193714223583939E-3</v>
      </c>
      <c r="R42" s="300">
        <v>1.2500000000000001E-2</v>
      </c>
    </row>
    <row r="43" spans="3:18" ht="15.75">
      <c r="C43" t="s">
        <v>366</v>
      </c>
      <c r="D43" s="206" cm="1">
        <f t="array" ref="D43">_xll.BDP(C43&amp;" EQUITY","eqy_beta")</f>
        <v>0.75261378288269043</v>
      </c>
      <c r="F43" s="131" cm="1">
        <f t="array" ref="F43">_xll.BDP($C43&amp;" Equity","volatility_10d")/100</f>
        <v>0.3746696510433401</v>
      </c>
      <c r="G43" s="131" cm="1">
        <f t="array" ref="G43">_xll.BDP($C43&amp;" Equity","volatility_30d")/100</f>
        <v>0.2727324025171895</v>
      </c>
      <c r="K43" s="301" t="s">
        <v>559</v>
      </c>
      <c r="L43" s="299">
        <v>-5.2642408861757861E-2</v>
      </c>
      <c r="M43" s="302">
        <v>-0.96647449411409159</v>
      </c>
      <c r="N43" s="300">
        <v>0</v>
      </c>
      <c r="O43" s="300">
        <v>1.6813189219344138E-3</v>
      </c>
      <c r="P43" s="300">
        <v>1.6813189219344138E-3</v>
      </c>
      <c r="Q43" s="300">
        <f>R43-P43</f>
        <v>-6.8131892193441378E-4</v>
      </c>
      <c r="R43" s="300">
        <v>1E-3</v>
      </c>
    </row>
    <row r="44" spans="3:18" ht="15.75">
      <c r="C44" t="s">
        <v>41</v>
      </c>
      <c r="D44" s="206" cm="1">
        <f t="array" ref="D44">_xll.BDP(C44&amp;" EQUITY","eqy_beta")</f>
        <v>0.66542273759841919</v>
      </c>
      <c r="F44" s="131" cm="1">
        <f t="array" ref="F44">_xll.BDP($C44&amp;" Equity","volatility_10d")/100</f>
        <v>1.0582694161284856</v>
      </c>
      <c r="G44" s="131" cm="1">
        <f t="array" ref="G44">_xll.BDP($C44&amp;" Equity","volatility_30d")/100</f>
        <v>0.85349194016818397</v>
      </c>
      <c r="K44" s="304" t="s">
        <v>552</v>
      </c>
      <c r="L44" s="305">
        <v>-1.5317902816898016E-2</v>
      </c>
      <c r="M44" s="306">
        <v>-1.4805052895405777</v>
      </c>
      <c r="N44" s="307">
        <v>2.2698465837621799E-3</v>
      </c>
      <c r="O44" s="307">
        <v>9.6786193156367471E-3</v>
      </c>
      <c r="P44" s="307">
        <v>1.1948465899398925E-2</v>
      </c>
      <c r="R44" s="307"/>
    </row>
    <row r="45" spans="3:18" ht="15.75">
      <c r="C45" t="s">
        <v>40</v>
      </c>
      <c r="D45" s="206" cm="1">
        <f t="array" ref="D45">_xll.BDP(C45&amp;" EQUITY","eqy_beta")</f>
        <v>0.56178832054138184</v>
      </c>
      <c r="F45" s="131" cm="1">
        <f t="array" ref="F45">_xll.BDP($C45&amp;" Equity","volatility_10d")/100</f>
        <v>0.80060950782266038</v>
      </c>
      <c r="G45" s="131" cm="1">
        <f t="array" ref="G45">_xll.BDP($C45&amp;" Equity","volatility_30d")/100</f>
        <v>0.73453082161380068</v>
      </c>
      <c r="K45" s="301" t="s">
        <v>42</v>
      </c>
      <c r="L45" s="299">
        <v>-1.4552118141639703E-3</v>
      </c>
      <c r="M45" s="302">
        <v>-0.12432534684415254</v>
      </c>
      <c r="N45" s="300">
        <v>1.543887739934495E-3</v>
      </c>
      <c r="O45" s="300">
        <v>2.9553410385488818E-3</v>
      </c>
      <c r="P45" s="300">
        <v>4.4992287784833768E-3</v>
      </c>
      <c r="Q45" s="300">
        <f>R45-P45</f>
        <v>-9.9922877848337673E-4</v>
      </c>
      <c r="R45" s="300">
        <v>3.5000000000000001E-3</v>
      </c>
    </row>
    <row r="46" spans="3:18" ht="15.75">
      <c r="K46" s="301" t="s">
        <v>44</v>
      </c>
      <c r="L46" s="299">
        <v>-1.6534391534391513E-2</v>
      </c>
      <c r="M46" s="302">
        <v>-0.9982406526329215</v>
      </c>
      <c r="N46" s="300">
        <v>0</v>
      </c>
      <c r="O46" s="300">
        <v>5.1455045378578784E-3</v>
      </c>
      <c r="P46" s="300">
        <v>5.1455045378578784E-3</v>
      </c>
      <c r="Q46" s="300">
        <f>R46-P46</f>
        <v>-1.1455045378578783E-3</v>
      </c>
      <c r="R46" s="300">
        <v>4.0000000000000001E-3</v>
      </c>
    </row>
    <row r="47" spans="3:18" ht="15.75">
      <c r="K47" s="301" t="s">
        <v>525</v>
      </c>
      <c r="L47" s="299">
        <v>-2.6798655211057065E-2</v>
      </c>
      <c r="M47" s="302">
        <v>1.5852618559466514E-2</v>
      </c>
      <c r="N47" s="300">
        <v>-7.9358043150606667E-4</v>
      </c>
      <c r="O47" s="300">
        <v>9.8607657949751791E-4</v>
      </c>
      <c r="P47" s="300">
        <v>1.9249614799145119E-4</v>
      </c>
      <c r="Q47" s="300">
        <f>R47-P47</f>
        <v>-1.9249614799145119E-4</v>
      </c>
      <c r="R47" s="300">
        <v>0</v>
      </c>
    </row>
    <row r="48" spans="3:18" ht="15.75">
      <c r="K48" s="301" t="s">
        <v>84</v>
      </c>
      <c r="L48" s="299">
        <v>-1.6483352707979515E-2</v>
      </c>
      <c r="M48" s="302">
        <v>-0.37379190862297018</v>
      </c>
      <c r="N48" s="300">
        <v>1.5195392753337515E-3</v>
      </c>
      <c r="O48" s="300">
        <v>5.9169715973246908E-4</v>
      </c>
      <c r="P48" s="300">
        <v>2.1112364350662207E-3</v>
      </c>
      <c r="Q48" s="300">
        <f>R48-P48</f>
        <v>-6.1123643506622071E-4</v>
      </c>
      <c r="R48" s="300">
        <v>1.5E-3</v>
      </c>
    </row>
    <row r="49" spans="11:18" ht="15.75">
      <c r="K49" s="304" t="s">
        <v>357</v>
      </c>
      <c r="L49" s="305">
        <v>-8.4026174193907455E-4</v>
      </c>
      <c r="M49" s="306">
        <v>-1.7578782910323221E-2</v>
      </c>
      <c r="N49" s="307">
        <v>-1.5669404759838411E-3</v>
      </c>
      <c r="O49" s="307">
        <v>2.4004823085147778E-3</v>
      </c>
      <c r="P49" s="307">
        <v>8.3354183253093669E-4</v>
      </c>
      <c r="R49" s="307"/>
    </row>
    <row r="50" spans="11:18" ht="15.75">
      <c r="K50" s="301" t="s">
        <v>358</v>
      </c>
      <c r="L50" s="299">
        <v>-1.2919896640827266E-3</v>
      </c>
      <c r="M50" s="302">
        <v>-7.1821978952513466E-2</v>
      </c>
      <c r="N50" s="300">
        <v>1.3471744978480506E-3</v>
      </c>
      <c r="O50" s="300">
        <v>2.4004823085147778E-3</v>
      </c>
      <c r="P50" s="300">
        <v>3.7476568063628283E-3</v>
      </c>
      <c r="R50" s="300"/>
    </row>
    <row r="51" spans="11:18" ht="15.75">
      <c r="K51" s="301" t="s">
        <v>359</v>
      </c>
      <c r="L51" s="299">
        <v>7.8093442843678584E-3</v>
      </c>
      <c r="M51" s="302">
        <v>-9.7169632839115672E-2</v>
      </c>
      <c r="N51" s="300">
        <v>-1.2539908651737638E-3</v>
      </c>
      <c r="O51" s="300">
        <v>0</v>
      </c>
      <c r="P51" s="300">
        <v>-1.2539908651737638E-3</v>
      </c>
      <c r="R51" s="300"/>
    </row>
    <row r="52" spans="11:18" ht="15.75">
      <c r="K52" s="301" t="s">
        <v>360</v>
      </c>
      <c r="L52" s="299">
        <v>-9.0381398461023554E-3</v>
      </c>
      <c r="M52" s="302">
        <v>0.15141282888130592</v>
      </c>
      <c r="N52" s="300">
        <v>-1.6601241086581279E-3</v>
      </c>
      <c r="O52" s="300">
        <v>0</v>
      </c>
      <c r="P52" s="300">
        <v>-1.6601241086581279E-3</v>
      </c>
      <c r="R52" s="300"/>
    </row>
    <row r="53" spans="11:18" ht="15.75">
      <c r="K53" s="304" t="s">
        <v>567</v>
      </c>
      <c r="L53" s="305">
        <v>8.5655571165981219E-4</v>
      </c>
      <c r="M53" s="306">
        <v>0.30047010447379285</v>
      </c>
      <c r="N53" s="307">
        <v>2.4558330120338706E-3</v>
      </c>
      <c r="O53" s="307">
        <v>4.083701484987501E-3</v>
      </c>
      <c r="P53" s="307">
        <v>6.5395344970213716E-3</v>
      </c>
      <c r="R53" s="307"/>
    </row>
    <row r="54" spans="11:18" ht="15.75">
      <c r="K54" s="301" t="s">
        <v>40</v>
      </c>
      <c r="L54" s="299">
        <v>-2.0689655172413945E-2</v>
      </c>
      <c r="M54" s="302">
        <v>-0.14686408904255172</v>
      </c>
      <c r="N54" s="300">
        <v>6.9515668813474141E-4</v>
      </c>
      <c r="O54" s="300">
        <v>0</v>
      </c>
      <c r="P54" s="300">
        <v>6.9515668813474141E-4</v>
      </c>
      <c r="R54" s="300"/>
    </row>
    <row r="55" spans="11:18" ht="15.75">
      <c r="K55" s="301" t="s">
        <v>41</v>
      </c>
      <c r="L55" s="299">
        <v>-2.6907036189963707E-3</v>
      </c>
      <c r="M55" s="302">
        <v>-1.8493996397951615E-2</v>
      </c>
      <c r="N55" s="300">
        <v>4.83868218698858E-4</v>
      </c>
      <c r="O55" s="300">
        <v>2.5123589968408243E-4</v>
      </c>
      <c r="P55" s="300">
        <v>7.3510411838294048E-4</v>
      </c>
      <c r="R55" s="300"/>
    </row>
    <row r="56" spans="11:18" ht="15.75">
      <c r="K56" s="301" t="s">
        <v>373</v>
      </c>
      <c r="L56" s="299">
        <v>6.5590866677642801E-3</v>
      </c>
      <c r="M56" s="302">
        <v>0.11670799609248043</v>
      </c>
      <c r="N56" s="300">
        <v>1.276808105200271E-3</v>
      </c>
      <c r="O56" s="300">
        <v>6.7729666444606672E-4</v>
      </c>
      <c r="P56" s="300">
        <v>1.9541047696463375E-3</v>
      </c>
      <c r="R56" s="300"/>
    </row>
    <row r="57" spans="11:18" ht="15.75">
      <c r="K57" s="301" t="s">
        <v>339</v>
      </c>
      <c r="L57" s="299">
        <v>8.594130047024473E-3</v>
      </c>
      <c r="M57" s="302">
        <v>0.16635599412441882</v>
      </c>
      <c r="N57" s="300">
        <v>0</v>
      </c>
      <c r="O57" s="300">
        <v>1.544348871542936E-3</v>
      </c>
      <c r="P57" s="300">
        <v>1.544348871542936E-3</v>
      </c>
      <c r="R57" s="300"/>
    </row>
    <row r="58" spans="11:18" ht="15.75">
      <c r="K58" s="301" t="s">
        <v>582</v>
      </c>
      <c r="L58" s="299">
        <v>1.2509920634920624E-2</v>
      </c>
      <c r="M58" s="302">
        <v>0.18276419969739696</v>
      </c>
      <c r="N58" s="300">
        <v>0</v>
      </c>
      <c r="O58" s="300">
        <v>1.6108200493144163E-3</v>
      </c>
      <c r="P58" s="300">
        <v>1.6108200493144163E-3</v>
      </c>
      <c r="R58" s="300"/>
    </row>
    <row r="59" spans="11:18" ht="15.75">
      <c r="K59" s="308" t="s">
        <v>45</v>
      </c>
      <c r="L59" s="309">
        <v>-8.037222487176969E-3</v>
      </c>
      <c r="M59" s="310">
        <v>-4.2480548993153455</v>
      </c>
      <c r="N59" s="311">
        <v>6.0748468456893858E-3</v>
      </c>
      <c r="O59" s="311">
        <v>3.17934865732169E-2</v>
      </c>
      <c r="P59" s="311">
        <v>3.7868660653854309E-2</v>
      </c>
      <c r="R59" s="311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767" priority="6" operator="lessThan">
      <formula>0</formula>
    </cfRule>
  </conditionalFormatting>
  <conditionalFormatting sqref="L23:O59">
    <cfRule type="cellIs" dxfId="1766" priority="5" operator="lessThan">
      <formula>0</formula>
    </cfRule>
  </conditionalFormatting>
  <conditionalFormatting sqref="R23:R59">
    <cfRule type="cellIs" dxfId="1765" priority="4" operator="lessThan">
      <formula>0</formula>
    </cfRule>
  </conditionalFormatting>
  <conditionalFormatting sqref="Q45:Q48">
    <cfRule type="cellIs" dxfId="1764" priority="3" operator="lessThan">
      <formula>0</formula>
    </cfRule>
  </conditionalFormatting>
  <conditionalFormatting sqref="Q42:Q43">
    <cfRule type="cellIs" dxfId="1763" priority="2" operator="lessThan">
      <formula>0</formula>
    </cfRule>
  </conditionalFormatting>
  <conditionalFormatting sqref="Q39">
    <cfRule type="cellIs" dxfId="1762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9" customWidth="1"/>
  </cols>
  <sheetData>
    <row r="5" spans="3:30" s="6" customFormat="1">
      <c r="I5" s="6" t="s">
        <v>1049</v>
      </c>
      <c r="J5" s="6" t="s">
        <v>1046</v>
      </c>
      <c r="K5" s="6" t="s">
        <v>1048</v>
      </c>
      <c r="L5" s="6" t="s">
        <v>1047</v>
      </c>
      <c r="O5" s="6" t="s">
        <v>5</v>
      </c>
      <c r="P5" s="6" t="s">
        <v>1053</v>
      </c>
      <c r="Q5" s="6" t="s">
        <v>1053</v>
      </c>
      <c r="R5" s="6" t="s">
        <v>1054</v>
      </c>
      <c r="S5" s="6" t="s">
        <v>1052</v>
      </c>
      <c r="T5" s="6" t="s">
        <v>1052</v>
      </c>
      <c r="V5" s="371" t="s">
        <v>630</v>
      </c>
      <c r="W5" s="371" t="s">
        <v>630</v>
      </c>
      <c r="X5" s="371" t="s">
        <v>627</v>
      </c>
      <c r="Y5" s="371" t="s">
        <v>627</v>
      </c>
      <c r="Z5" s="371" t="s">
        <v>628</v>
      </c>
      <c r="AA5" s="371" t="s">
        <v>628</v>
      </c>
      <c r="AB5" s="371" t="s">
        <v>629</v>
      </c>
      <c r="AC5" s="371" t="s">
        <v>629</v>
      </c>
      <c r="AD5" s="371" t="s">
        <v>630</v>
      </c>
    </row>
    <row r="6" spans="3:30" s="6" customFormat="1">
      <c r="V6" s="371" t="s">
        <v>1050</v>
      </c>
      <c r="W6" s="371" t="s">
        <v>1051</v>
      </c>
      <c r="X6" s="371" t="s">
        <v>1050</v>
      </c>
      <c r="Y6" s="371" t="s">
        <v>1051</v>
      </c>
      <c r="Z6" s="371" t="s">
        <v>1050</v>
      </c>
      <c r="AA6" s="371" t="s">
        <v>1051</v>
      </c>
      <c r="AB6" s="371" t="s">
        <v>1050</v>
      </c>
      <c r="AC6" s="371" t="s">
        <v>1051</v>
      </c>
      <c r="AD6" s="371" t="s">
        <v>1050</v>
      </c>
    </row>
    <row r="7" spans="3:30">
      <c r="P7" s="372"/>
      <c r="Q7" s="372"/>
      <c r="R7" s="372"/>
      <c r="T7" s="372"/>
    </row>
    <row r="8" spans="3:30">
      <c r="C8" t="s">
        <v>318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6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6"/>
      <c r="J9" s="42"/>
      <c r="K9" s="42"/>
      <c r="L9" s="42"/>
      <c r="V9" s="209">
        <v>31.5</v>
      </c>
      <c r="W9" s="209">
        <v>29.6</v>
      </c>
      <c r="X9" s="209">
        <v>34.72</v>
      </c>
      <c r="Y9" s="209">
        <v>33.4</v>
      </c>
      <c r="Z9" s="209">
        <v>29.3</v>
      </c>
      <c r="AA9" s="209">
        <v>28.9</v>
      </c>
      <c r="AB9" s="209">
        <v>36.9</v>
      </c>
      <c r="AC9" s="209">
        <v>35.4</v>
      </c>
      <c r="AD9" s="209">
        <v>34.299999999999997</v>
      </c>
    </row>
    <row r="10" spans="3:30">
      <c r="D10" s="42"/>
      <c r="E10" s="42"/>
      <c r="F10" s="42"/>
      <c r="I10" s="206"/>
      <c r="J10" s="42"/>
      <c r="K10" s="42"/>
      <c r="L10" s="42"/>
      <c r="V10" s="371"/>
      <c r="W10" s="371">
        <f>W9-V9</f>
        <v>-1.8999999999999986</v>
      </c>
      <c r="X10" s="371"/>
      <c r="Y10" s="371">
        <f>Y9-X9</f>
        <v>-1.3200000000000003</v>
      </c>
      <c r="Z10" s="371"/>
      <c r="AA10" s="371">
        <f>AA9-Z9</f>
        <v>-0.40000000000000213</v>
      </c>
      <c r="AB10" s="371"/>
      <c r="AC10" s="371">
        <f>AC9-AB9</f>
        <v>-1.5</v>
      </c>
      <c r="AD10" s="371"/>
    </row>
    <row r="11" spans="3:30">
      <c r="D11" s="42"/>
      <c r="E11" s="42"/>
      <c r="F11" s="42"/>
      <c r="I11" s="206"/>
      <c r="J11" s="42"/>
      <c r="K11" s="42"/>
      <c r="L11" s="42"/>
    </row>
    <row r="12" spans="3:30">
      <c r="D12" s="42"/>
      <c r="E12" s="42"/>
      <c r="F12" s="42"/>
      <c r="I12" s="206"/>
      <c r="J12" s="42"/>
      <c r="K12" s="42"/>
      <c r="L12" s="42"/>
    </row>
    <row r="13" spans="3:30" s="6" customFormat="1">
      <c r="C13" s="378" t="s">
        <v>29</v>
      </c>
      <c r="D13" s="379">
        <v>-2.0000000000000001E-4</v>
      </c>
      <c r="E13" s="370"/>
      <c r="F13" s="370"/>
      <c r="H13" s="378"/>
      <c r="I13" s="378"/>
      <c r="J13" s="378"/>
      <c r="K13" s="378"/>
      <c r="L13" s="378"/>
      <c r="M13" s="378"/>
      <c r="N13" s="378"/>
      <c r="O13" s="385">
        <v>672</v>
      </c>
      <c r="P13" s="385">
        <v>750</v>
      </c>
      <c r="Q13" s="385">
        <v>710</v>
      </c>
      <c r="R13" s="385">
        <v>672</v>
      </c>
      <c r="S13" s="385">
        <v>630</v>
      </c>
      <c r="T13" s="385">
        <v>600</v>
      </c>
      <c r="U13" s="378"/>
      <c r="V13" s="381"/>
      <c r="W13" s="381"/>
      <c r="X13" s="381"/>
      <c r="Y13" s="381"/>
      <c r="Z13" s="381"/>
      <c r="AA13" s="381"/>
      <c r="AB13" s="381"/>
      <c r="AC13" s="381"/>
      <c r="AD13" s="381"/>
    </row>
    <row r="14" spans="3:30" s="6" customFormat="1">
      <c r="C14" s="378"/>
      <c r="D14" s="379"/>
      <c r="E14" s="370"/>
      <c r="F14" s="370"/>
      <c r="H14" s="378"/>
      <c r="I14" s="378"/>
      <c r="J14" s="378"/>
      <c r="K14" s="378"/>
      <c r="L14" s="378"/>
      <c r="M14" s="378"/>
      <c r="N14" s="378"/>
      <c r="O14" s="378"/>
      <c r="P14" s="386">
        <f>P13/$O13-1</f>
        <v>0.1160714285714286</v>
      </c>
      <c r="Q14" s="386">
        <f>Q13/$O13-1</f>
        <v>5.6547619047619069E-2</v>
      </c>
      <c r="R14" s="386">
        <f>R13/$O13-1</f>
        <v>0</v>
      </c>
      <c r="S14" s="386">
        <f>S13/$O13-1</f>
        <v>-6.25E-2</v>
      </c>
      <c r="T14" s="386">
        <f>T13/$O13-1</f>
        <v>-0.1071428571428571</v>
      </c>
      <c r="U14" s="378"/>
      <c r="V14" s="381"/>
      <c r="W14" s="381"/>
      <c r="X14" s="381"/>
      <c r="Y14" s="381"/>
      <c r="Z14" s="381"/>
      <c r="AA14" s="381"/>
      <c r="AB14" s="381"/>
      <c r="AC14" s="381"/>
      <c r="AD14" s="381"/>
    </row>
    <row r="15" spans="3:30" s="6" customFormat="1">
      <c r="C15" s="378"/>
      <c r="D15" s="379"/>
      <c r="E15" s="42"/>
      <c r="F15" s="42"/>
      <c r="G15"/>
      <c r="H15" s="378"/>
      <c r="I15" s="378"/>
      <c r="J15" s="378"/>
      <c r="K15" s="378"/>
      <c r="L15" s="378"/>
      <c r="M15" s="378"/>
      <c r="N15" s="378"/>
      <c r="O15" s="378"/>
      <c r="P15" s="378"/>
      <c r="Q15" s="378"/>
      <c r="R15" s="378"/>
      <c r="S15" s="378"/>
      <c r="T15" s="378"/>
      <c r="U15" s="378"/>
      <c r="V15" s="376"/>
      <c r="W15" s="376"/>
      <c r="X15" s="376"/>
      <c r="Y15" s="376"/>
      <c r="Z15" s="376"/>
      <c r="AA15" s="376"/>
      <c r="AB15" s="376"/>
      <c r="AC15" s="376"/>
      <c r="AD15" s="376"/>
    </row>
    <row r="16" spans="3:30">
      <c r="C16" s="373"/>
      <c r="D16" s="374"/>
      <c r="E16" s="42"/>
      <c r="F16" s="42"/>
      <c r="H16" s="373"/>
      <c r="I16" s="375"/>
      <c r="J16" s="374"/>
      <c r="K16" s="374"/>
      <c r="L16" s="374" t="e">
        <f>L17*Q18/100</f>
        <v>#REF!</v>
      </c>
      <c r="M16" s="373"/>
      <c r="N16" s="373"/>
      <c r="O16" s="373"/>
      <c r="P16" s="373"/>
      <c r="Q16" s="373"/>
      <c r="R16" s="373"/>
      <c r="S16" s="373"/>
      <c r="T16" s="373"/>
      <c r="U16" s="373"/>
      <c r="V16" s="376"/>
      <c r="W16" s="376"/>
      <c r="X16" s="376"/>
      <c r="Y16" s="376"/>
      <c r="Z16" s="376"/>
      <c r="AA16" s="376"/>
      <c r="AB16" s="376"/>
      <c r="AC16" s="376"/>
      <c r="AD16" s="376"/>
    </row>
    <row r="17" spans="3:30">
      <c r="C17" s="373"/>
      <c r="D17" s="374"/>
      <c r="E17" s="42"/>
      <c r="F17" s="42"/>
      <c r="H17" s="378" t="str">
        <f>'Options Price'!B87</f>
        <v>META US 07/17/26 C700</v>
      </c>
      <c r="I17" s="380" t="e">
        <f>Options!#REF!</f>
        <v>#REF!</v>
      </c>
      <c r="J17" s="379" t="e">
        <f>Options!#REF!</f>
        <v>#REF!</v>
      </c>
      <c r="K17" s="379" t="e">
        <f>Options!#REF!</f>
        <v>#REF!</v>
      </c>
      <c r="L17" s="379" t="e">
        <f>Options!#REF!</f>
        <v>#REF!</v>
      </c>
      <c r="M17" s="373"/>
      <c r="N17" s="373" t="s">
        <v>1</v>
      </c>
      <c r="O17" s="373">
        <v>37</v>
      </c>
      <c r="P17" s="373">
        <v>34</v>
      </c>
      <c r="Q17" s="373">
        <v>34</v>
      </c>
      <c r="R17" s="373">
        <v>34</v>
      </c>
      <c r="S17" s="373">
        <v>34</v>
      </c>
      <c r="T17" s="373">
        <v>34</v>
      </c>
      <c r="U17" s="373"/>
      <c r="V17" s="376">
        <v>36.299999999999997</v>
      </c>
      <c r="W17" s="376">
        <v>34.119999999999997</v>
      </c>
      <c r="X17" s="376">
        <v>39.200000000000003</v>
      </c>
      <c r="Y17" s="376">
        <v>37.200000000000003</v>
      </c>
      <c r="Z17" s="376">
        <v>32</v>
      </c>
      <c r="AA17" s="376">
        <v>31.7</v>
      </c>
      <c r="AB17" s="376">
        <v>37</v>
      </c>
      <c r="AC17" s="376">
        <v>38.5</v>
      </c>
      <c r="AD17" s="376">
        <v>36.5</v>
      </c>
    </row>
    <row r="18" spans="3:30">
      <c r="C18" s="373"/>
      <c r="D18" s="374"/>
      <c r="E18" s="42"/>
      <c r="F18" s="42"/>
      <c r="H18" s="373"/>
      <c r="I18" s="375"/>
      <c r="J18" s="374"/>
      <c r="K18" s="374"/>
      <c r="L18" s="374"/>
      <c r="M18" s="373"/>
      <c r="N18" s="373" t="s">
        <v>164</v>
      </c>
      <c r="O18" s="373">
        <v>53</v>
      </c>
      <c r="P18" s="373">
        <v>71</v>
      </c>
      <c r="Q18" s="373">
        <v>62</v>
      </c>
      <c r="R18" s="373">
        <v>52</v>
      </c>
      <c r="S18" s="373">
        <v>52</v>
      </c>
      <c r="T18" s="373">
        <v>34</v>
      </c>
      <c r="U18" s="373"/>
      <c r="V18" s="381"/>
      <c r="W18" s="381">
        <f>W17-V17</f>
        <v>-2.1799999999999997</v>
      </c>
      <c r="X18" s="381"/>
      <c r="Y18" s="381">
        <f>Y17-X17</f>
        <v>-2</v>
      </c>
      <c r="Z18" s="381"/>
      <c r="AA18" s="381">
        <f>AA17-Z17</f>
        <v>-0.30000000000000071</v>
      </c>
      <c r="AB18" s="381"/>
      <c r="AC18" s="381">
        <f>AC17-AB17</f>
        <v>1.5</v>
      </c>
      <c r="AD18" s="381"/>
    </row>
    <row r="19" spans="3:30">
      <c r="C19" s="373"/>
      <c r="D19" s="374"/>
      <c r="E19" s="42"/>
      <c r="F19" s="42"/>
      <c r="H19" s="373"/>
      <c r="I19" s="375"/>
      <c r="J19" s="374"/>
      <c r="K19" s="374"/>
      <c r="L19" s="374"/>
      <c r="M19" s="373"/>
      <c r="N19" s="373" t="s">
        <v>5</v>
      </c>
      <c r="O19" s="373">
        <v>64</v>
      </c>
      <c r="P19" s="373">
        <v>106</v>
      </c>
      <c r="Q19" s="373">
        <v>80</v>
      </c>
      <c r="R19" s="373">
        <v>58</v>
      </c>
      <c r="S19" s="373">
        <v>38</v>
      </c>
      <c r="T19" s="373">
        <v>27</v>
      </c>
      <c r="U19" s="373"/>
      <c r="V19" s="376"/>
      <c r="W19" s="376"/>
      <c r="X19" s="376"/>
      <c r="Y19" s="376"/>
      <c r="Z19" s="376"/>
      <c r="AA19" s="376"/>
      <c r="AB19" s="376"/>
      <c r="AC19" s="376"/>
      <c r="AD19" s="376"/>
    </row>
    <row r="20" spans="3:30">
      <c r="C20" s="373"/>
      <c r="D20" s="374"/>
      <c r="E20" s="42"/>
      <c r="F20" s="42"/>
      <c r="H20" s="373"/>
      <c r="I20" s="375"/>
      <c r="J20" s="374"/>
      <c r="K20" s="374"/>
      <c r="L20" s="374"/>
      <c r="M20" s="373"/>
      <c r="N20" s="373" t="s">
        <v>51</v>
      </c>
      <c r="O20" s="373"/>
      <c r="P20" s="377">
        <f>P19/$O19-1</f>
        <v>0.65625</v>
      </c>
      <c r="Q20" s="377">
        <f>Q19/$O19-1</f>
        <v>0.25</v>
      </c>
      <c r="R20" s="377">
        <f>R19/$O19-1</f>
        <v>-9.375E-2</v>
      </c>
      <c r="S20" s="377">
        <f>S19/$O19-1</f>
        <v>-0.40625</v>
      </c>
      <c r="T20" s="377">
        <f>T19/$O19-1</f>
        <v>-0.578125</v>
      </c>
      <c r="U20" s="373"/>
      <c r="V20" s="376"/>
      <c r="W20" s="376"/>
      <c r="X20" s="376"/>
      <c r="Y20" s="376"/>
      <c r="Z20" s="376"/>
      <c r="AA20" s="376"/>
      <c r="AB20" s="376"/>
      <c r="AC20" s="376"/>
      <c r="AD20" s="376"/>
    </row>
    <row r="21" spans="3:30">
      <c r="C21" s="373"/>
      <c r="D21" s="374"/>
      <c r="E21" s="42"/>
      <c r="F21" s="42"/>
      <c r="H21" s="373"/>
      <c r="I21" s="375"/>
      <c r="J21" s="374"/>
      <c r="K21" s="374"/>
      <c r="L21" s="374"/>
      <c r="M21" s="373"/>
      <c r="N21" s="373" t="s">
        <v>980</v>
      </c>
      <c r="O21" s="373"/>
      <c r="P21" s="375" t="e">
        <f>$I$17*(1+P20)</f>
        <v>#REF!</v>
      </c>
      <c r="Q21" s="375" t="e">
        <f>$I$17*(1+Q20)</f>
        <v>#REF!</v>
      </c>
      <c r="R21" s="375" t="e">
        <f>$I$17*(1+R20)</f>
        <v>#REF!</v>
      </c>
      <c r="S21" s="375" t="e">
        <f>$I$17*(1+S20)</f>
        <v>#REF!</v>
      </c>
      <c r="T21" s="375" t="e">
        <f>$I$17*(1+T20)</f>
        <v>#REF!</v>
      </c>
      <c r="U21" s="373"/>
      <c r="V21" s="376"/>
      <c r="W21" s="376"/>
      <c r="X21" s="376"/>
      <c r="Y21" s="376"/>
      <c r="Z21" s="376"/>
      <c r="AA21" s="376"/>
      <c r="AB21" s="376"/>
      <c r="AC21" s="376"/>
      <c r="AD21" s="376"/>
    </row>
    <row r="22" spans="3:30">
      <c r="C22" s="373"/>
      <c r="D22" s="374"/>
      <c r="E22" s="42"/>
      <c r="F22" s="42"/>
      <c r="H22" s="373"/>
      <c r="I22" s="375"/>
      <c r="J22" s="374"/>
      <c r="K22" s="374"/>
      <c r="L22" s="374"/>
      <c r="M22" s="373"/>
      <c r="N22" s="373" t="s">
        <v>1055</v>
      </c>
      <c r="O22" s="373"/>
      <c r="P22" s="375" t="e">
        <f>P21-$I$17</f>
        <v>#REF!</v>
      </c>
      <c r="Q22" s="375" t="e">
        <f>Q21-$I$17</f>
        <v>#REF!</v>
      </c>
      <c r="R22" s="375" t="e">
        <f>R21-$I$17</f>
        <v>#REF!</v>
      </c>
      <c r="S22" s="375" t="e">
        <f>S21-$I$17</f>
        <v>#REF!</v>
      </c>
      <c r="T22" s="375" t="e">
        <f>T21-$I$17</f>
        <v>#REF!</v>
      </c>
      <c r="U22" s="373"/>
      <c r="V22" s="376"/>
      <c r="W22" s="376"/>
      <c r="X22" s="376"/>
      <c r="Y22" s="376"/>
      <c r="Z22" s="376"/>
      <c r="AA22" s="376"/>
      <c r="AB22" s="376"/>
      <c r="AC22" s="376"/>
      <c r="AD22" s="376"/>
    </row>
    <row r="23" spans="3:30" ht="15.75" thickBot="1">
      <c r="C23" s="373"/>
      <c r="D23" s="374"/>
      <c r="E23" s="42"/>
      <c r="F23" s="42"/>
      <c r="H23" s="373"/>
      <c r="I23" s="375"/>
      <c r="J23" s="374"/>
      <c r="K23" s="374"/>
      <c r="L23" s="374"/>
      <c r="M23" s="373"/>
      <c r="N23" s="373"/>
      <c r="O23" s="373"/>
      <c r="P23" s="373"/>
      <c r="Q23" s="373"/>
      <c r="R23" s="373"/>
      <c r="S23" s="373"/>
      <c r="T23" s="373"/>
      <c r="U23" s="373"/>
      <c r="V23" s="376"/>
      <c r="W23" s="376"/>
      <c r="X23" s="376"/>
      <c r="Y23" s="376"/>
      <c r="Z23" s="376"/>
      <c r="AA23" s="376"/>
      <c r="AB23" s="376"/>
      <c r="AC23" s="376"/>
      <c r="AD23" s="376"/>
    </row>
    <row r="24" spans="3:30" ht="15.75" thickBot="1">
      <c r="C24" s="373"/>
      <c r="D24" s="374"/>
      <c r="E24" s="42"/>
      <c r="F24" s="42"/>
      <c r="H24" s="383" t="s">
        <v>164</v>
      </c>
      <c r="I24" s="384" t="e">
        <f>K17*10000</f>
        <v>#REF!</v>
      </c>
      <c r="J24" s="374"/>
      <c r="K24" s="374"/>
      <c r="L24" s="374"/>
      <c r="M24" s="373"/>
      <c r="N24" s="373"/>
      <c r="O24" s="373"/>
      <c r="P24" s="382" t="e">
        <f>P22/$I$24</f>
        <v>#REF!</v>
      </c>
      <c r="Q24" s="382" t="e">
        <f>Q22/$I$24</f>
        <v>#REF!</v>
      </c>
      <c r="R24" s="382" t="e">
        <f>R22/$I$24</f>
        <v>#REF!</v>
      </c>
      <c r="S24" s="382" t="e">
        <f>S22/$I$24</f>
        <v>#REF!</v>
      </c>
      <c r="T24" s="382" t="e">
        <f>T22/$I$24</f>
        <v>#REF!</v>
      </c>
      <c r="U24" s="373"/>
      <c r="V24" s="376"/>
      <c r="W24" s="376"/>
      <c r="X24" s="376"/>
      <c r="Y24" s="376"/>
      <c r="Z24" s="376"/>
      <c r="AA24" s="376"/>
      <c r="AB24" s="376"/>
      <c r="AC24" s="376"/>
      <c r="AD24" s="376"/>
    </row>
    <row r="25" spans="3:30">
      <c r="D25" s="42"/>
      <c r="E25" s="42"/>
      <c r="F25" s="42"/>
      <c r="H25" s="373"/>
      <c r="I25" s="375"/>
      <c r="J25" s="374"/>
      <c r="K25" s="374"/>
      <c r="L25" s="374"/>
      <c r="M25" s="373"/>
      <c r="N25" s="373"/>
      <c r="O25" s="373"/>
      <c r="P25" s="373"/>
      <c r="Q25" s="373"/>
      <c r="R25" s="373"/>
      <c r="S25" s="373"/>
      <c r="T25" s="373"/>
      <c r="U25" s="373"/>
      <c r="V25" s="376"/>
      <c r="W25" s="376"/>
      <c r="X25" s="376"/>
      <c r="Y25" s="376"/>
      <c r="Z25" s="376"/>
      <c r="AA25" s="376"/>
      <c r="AB25" s="376"/>
      <c r="AC25" s="376"/>
      <c r="AD25" s="376"/>
    </row>
    <row r="26" spans="3:30">
      <c r="D26" s="42"/>
      <c r="E26" s="42"/>
      <c r="F26" s="42"/>
      <c r="H26" s="373"/>
      <c r="I26" s="375"/>
      <c r="J26" s="374"/>
      <c r="K26" s="374"/>
      <c r="L26" s="374" t="e">
        <f>L27*Q28/100</f>
        <v>#REF!</v>
      </c>
      <c r="M26" s="373"/>
      <c r="N26" s="373"/>
      <c r="O26" s="373"/>
      <c r="P26" s="373"/>
      <c r="Q26" s="373"/>
      <c r="R26" s="373"/>
      <c r="S26" s="373"/>
      <c r="T26" s="373"/>
      <c r="U26" s="373"/>
      <c r="V26" s="376"/>
      <c r="W26" s="376"/>
      <c r="X26" s="376"/>
      <c r="Y26" s="376"/>
      <c r="Z26" s="376"/>
      <c r="AA26" s="376"/>
      <c r="AB26" s="376"/>
      <c r="AC26" s="376"/>
      <c r="AD26" s="376"/>
    </row>
    <row r="27" spans="3:30">
      <c r="D27" s="42"/>
      <c r="E27" s="42"/>
      <c r="F27" s="42"/>
      <c r="H27" s="378" t="e">
        <f>Options!#REF!</f>
        <v>#REF!</v>
      </c>
      <c r="I27" s="380" t="e">
        <f>Options!#REF!</f>
        <v>#REF!</v>
      </c>
      <c r="J27" s="379" t="e">
        <f>Options!#REF!</f>
        <v>#REF!</v>
      </c>
      <c r="K27" s="379" t="e">
        <f>Options!#REF!</f>
        <v>#REF!</v>
      </c>
      <c r="L27" s="379" t="e">
        <f>Options!#REF!</f>
        <v>#REF!</v>
      </c>
      <c r="M27" s="373"/>
      <c r="N27" s="373" t="s">
        <v>1</v>
      </c>
      <c r="O27" s="373">
        <v>37</v>
      </c>
      <c r="P27" s="373">
        <v>32.5</v>
      </c>
      <c r="Q27" s="373">
        <v>32.5</v>
      </c>
      <c r="R27" s="373">
        <v>32.5</v>
      </c>
      <c r="S27" s="373">
        <v>32.5</v>
      </c>
      <c r="T27" s="373">
        <v>32.5</v>
      </c>
      <c r="U27" s="373"/>
      <c r="V27" s="376">
        <v>37.5</v>
      </c>
      <c r="W27" s="376">
        <v>33.200000000000003</v>
      </c>
      <c r="X27" s="376">
        <v>40.299999999999997</v>
      </c>
      <c r="Y27" s="376">
        <v>36.700000000000003</v>
      </c>
      <c r="Z27" s="376">
        <v>32</v>
      </c>
      <c r="AA27" s="376">
        <v>30</v>
      </c>
      <c r="AB27" s="376">
        <v>37.1</v>
      </c>
      <c r="AC27" s="376">
        <v>37.4</v>
      </c>
      <c r="AD27" s="376">
        <v>36.799999999999997</v>
      </c>
    </row>
    <row r="28" spans="3:30">
      <c r="D28" s="42"/>
      <c r="E28" s="42"/>
      <c r="F28" s="42"/>
      <c r="H28" s="373"/>
      <c r="I28" s="375"/>
      <c r="J28" s="374"/>
      <c r="K28" s="374"/>
      <c r="L28" s="374"/>
      <c r="M28" s="373"/>
      <c r="N28" s="373" t="s">
        <v>164</v>
      </c>
      <c r="O28" s="373">
        <v>48</v>
      </c>
      <c r="P28" s="373">
        <v>75</v>
      </c>
      <c r="Q28" s="373">
        <v>62</v>
      </c>
      <c r="R28" s="373">
        <v>48</v>
      </c>
      <c r="S28" s="373">
        <v>31</v>
      </c>
      <c r="T28" s="373">
        <v>21</v>
      </c>
      <c r="U28" s="373"/>
      <c r="V28" s="381"/>
      <c r="W28" s="381">
        <f>W27-V27</f>
        <v>-4.2999999999999972</v>
      </c>
      <c r="X28" s="381"/>
      <c r="Y28" s="381">
        <f>Y27-X27</f>
        <v>-3.5999999999999943</v>
      </c>
      <c r="Z28" s="381"/>
      <c r="AA28" s="381">
        <f>AA27-Z27</f>
        <v>-2</v>
      </c>
      <c r="AB28" s="381"/>
      <c r="AC28" s="381">
        <f>AC27-AB27</f>
        <v>0.29999999999999716</v>
      </c>
      <c r="AD28" s="381"/>
    </row>
    <row r="29" spans="3:30">
      <c r="D29" s="42"/>
      <c r="E29" s="42"/>
      <c r="F29" s="42"/>
      <c r="H29" s="373"/>
      <c r="I29" s="375"/>
      <c r="J29" s="374"/>
      <c r="K29" s="374"/>
      <c r="L29" s="374"/>
      <c r="M29" s="373"/>
      <c r="N29" s="373" t="s">
        <v>5</v>
      </c>
      <c r="O29" s="373">
        <v>40</v>
      </c>
      <c r="P29" s="373">
        <v>82.9</v>
      </c>
      <c r="Q29" s="373">
        <v>55</v>
      </c>
      <c r="R29" s="373">
        <v>34</v>
      </c>
      <c r="S29" s="373">
        <v>18</v>
      </c>
      <c r="T29" s="373">
        <v>10</v>
      </c>
      <c r="U29" s="373"/>
      <c r="V29" s="376"/>
      <c r="W29" s="376"/>
      <c r="X29" s="376"/>
      <c r="Y29" s="376"/>
      <c r="Z29" s="376"/>
      <c r="AA29" s="376"/>
      <c r="AB29" s="376"/>
      <c r="AC29" s="376"/>
      <c r="AD29" s="376"/>
    </row>
    <row r="30" spans="3:30">
      <c r="D30" s="42"/>
      <c r="E30" s="42"/>
      <c r="F30" s="42"/>
      <c r="H30" s="373"/>
      <c r="I30" s="375"/>
      <c r="J30" s="374"/>
      <c r="K30" s="374"/>
      <c r="L30" s="374"/>
      <c r="M30" s="373"/>
      <c r="N30" s="373" t="s">
        <v>51</v>
      </c>
      <c r="O30" s="373"/>
      <c r="P30" s="377">
        <f>P29/$O29-1</f>
        <v>1.0725000000000002</v>
      </c>
      <c r="Q30" s="377">
        <f>Q29/$O29-1</f>
        <v>0.375</v>
      </c>
      <c r="R30" s="377">
        <f>R29/$O29-1</f>
        <v>-0.15000000000000002</v>
      </c>
      <c r="S30" s="377">
        <f>S29/$O29-1</f>
        <v>-0.55000000000000004</v>
      </c>
      <c r="T30" s="377">
        <f>T29/$O29-1</f>
        <v>-0.75</v>
      </c>
      <c r="U30" s="373"/>
      <c r="V30" s="376"/>
      <c r="W30" s="376"/>
      <c r="X30" s="376"/>
      <c r="Y30" s="376"/>
      <c r="Z30" s="376"/>
      <c r="AA30" s="376"/>
      <c r="AB30" s="376"/>
      <c r="AC30" s="376"/>
      <c r="AD30" s="376"/>
    </row>
    <row r="31" spans="3:30">
      <c r="D31" s="42"/>
      <c r="E31" s="42"/>
      <c r="F31" s="42"/>
      <c r="H31" s="373"/>
      <c r="I31" s="375"/>
      <c r="J31" s="374"/>
      <c r="K31" s="374"/>
      <c r="L31" s="374"/>
      <c r="M31" s="373"/>
      <c r="N31" s="373" t="s">
        <v>980</v>
      </c>
      <c r="O31" s="373"/>
      <c r="P31" s="375" t="e">
        <f>$I$27*(1+P30)</f>
        <v>#REF!</v>
      </c>
      <c r="Q31" s="375" t="e">
        <f>$I$27*(1+Q30)</f>
        <v>#REF!</v>
      </c>
      <c r="R31" s="375" t="e">
        <f>$I$27*(1+R30)</f>
        <v>#REF!</v>
      </c>
      <c r="S31" s="375" t="e">
        <f>$I$27*(1+S30)</f>
        <v>#REF!</v>
      </c>
      <c r="T31" s="375" t="e">
        <f>$I$27*(1+T30)</f>
        <v>#REF!</v>
      </c>
      <c r="U31" s="373"/>
      <c r="V31" s="376"/>
      <c r="W31" s="376"/>
      <c r="X31" s="376"/>
      <c r="Y31" s="376"/>
      <c r="Z31" s="376"/>
      <c r="AA31" s="376"/>
      <c r="AB31" s="376"/>
      <c r="AC31" s="376"/>
      <c r="AD31" s="376"/>
    </row>
    <row r="32" spans="3:30">
      <c r="D32" s="42"/>
      <c r="E32" s="42"/>
      <c r="F32" s="42"/>
      <c r="H32" s="373"/>
      <c r="I32" s="375"/>
      <c r="J32" s="374"/>
      <c r="K32" s="374"/>
      <c r="L32" s="374"/>
      <c r="M32" s="373"/>
      <c r="N32" s="373" t="s">
        <v>1055</v>
      </c>
      <c r="O32" s="373"/>
      <c r="P32" s="375" t="e">
        <f>P31-$I$27</f>
        <v>#REF!</v>
      </c>
      <c r="Q32" s="375" t="e">
        <f>Q31-$I$27</f>
        <v>#REF!</v>
      </c>
      <c r="R32" s="375" t="e">
        <f>R31-$I$27</f>
        <v>#REF!</v>
      </c>
      <c r="S32" s="375" t="e">
        <f>S31-$I$27</f>
        <v>#REF!</v>
      </c>
      <c r="T32" s="375" t="e">
        <f>T31-$I$27</f>
        <v>#REF!</v>
      </c>
      <c r="U32" s="373"/>
      <c r="V32" s="376"/>
      <c r="W32" s="376"/>
      <c r="X32" s="376"/>
      <c r="Y32" s="376"/>
      <c r="Z32" s="376"/>
      <c r="AA32" s="376"/>
      <c r="AB32" s="376"/>
      <c r="AC32" s="376"/>
      <c r="AD32" s="376"/>
    </row>
    <row r="33" spans="3:30" ht="15.75" thickBot="1">
      <c r="D33" s="42"/>
      <c r="E33" s="42"/>
      <c r="F33" s="42"/>
      <c r="H33" s="373"/>
      <c r="I33" s="375"/>
      <c r="J33" s="374"/>
      <c r="K33" s="374"/>
      <c r="L33" s="374"/>
      <c r="M33" s="373"/>
      <c r="N33" s="373"/>
      <c r="O33" s="373"/>
      <c r="P33" s="373"/>
      <c r="Q33" s="373"/>
      <c r="R33" s="373"/>
      <c r="S33" s="373"/>
      <c r="T33" s="373"/>
      <c r="U33" s="373"/>
      <c r="V33" s="376"/>
      <c r="W33" s="376"/>
      <c r="X33" s="376"/>
      <c r="Y33" s="376"/>
      <c r="Z33" s="376"/>
      <c r="AA33" s="376"/>
      <c r="AB33" s="376"/>
      <c r="AC33" s="376"/>
      <c r="AD33" s="376"/>
    </row>
    <row r="34" spans="3:30" ht="15.75" thickBot="1">
      <c r="D34" s="42"/>
      <c r="E34" s="42"/>
      <c r="F34" s="42"/>
      <c r="H34" s="383" t="s">
        <v>164</v>
      </c>
      <c r="I34" s="384" t="e">
        <f>K27*10000</f>
        <v>#REF!</v>
      </c>
      <c r="J34" s="374"/>
      <c r="K34" s="374"/>
      <c r="L34" s="374"/>
      <c r="M34" s="373"/>
      <c r="N34" s="373"/>
      <c r="O34" s="373"/>
      <c r="P34" s="382" t="e">
        <f>P32/$I$34</f>
        <v>#REF!</v>
      </c>
      <c r="Q34" s="382" t="e">
        <f>Q32/$I$34</f>
        <v>#REF!</v>
      </c>
      <c r="R34" s="382" t="e">
        <f>R32/$I$34</f>
        <v>#REF!</v>
      </c>
      <c r="S34" s="382" t="e">
        <f>S32/$I$34</f>
        <v>#REF!</v>
      </c>
      <c r="T34" s="382" t="e">
        <f>T32/$I$34</f>
        <v>#REF!</v>
      </c>
      <c r="U34" s="373"/>
      <c r="V34" s="376"/>
      <c r="W34" s="376"/>
      <c r="X34" s="376"/>
      <c r="Y34" s="376"/>
      <c r="Z34" s="376"/>
      <c r="AA34" s="376"/>
      <c r="AB34" s="376"/>
      <c r="AC34" s="376"/>
      <c r="AD34" s="376"/>
    </row>
    <row r="35" spans="3:30" ht="15.75" thickBot="1">
      <c r="D35" s="42"/>
      <c r="E35" s="42"/>
      <c r="F35" s="42"/>
      <c r="H35" s="373"/>
      <c r="I35" s="373"/>
      <c r="J35" s="373"/>
      <c r="K35" s="373"/>
      <c r="L35" s="373"/>
      <c r="M35" s="373"/>
      <c r="N35" s="373"/>
      <c r="O35" s="373"/>
      <c r="P35" s="373"/>
      <c r="Q35" s="373"/>
      <c r="R35" s="373"/>
      <c r="S35" s="373"/>
      <c r="T35" s="373"/>
      <c r="U35" s="373"/>
      <c r="V35" s="376"/>
      <c r="W35" s="376"/>
      <c r="X35" s="376"/>
      <c r="Y35" s="376"/>
      <c r="Z35" s="376"/>
      <c r="AA35" s="376"/>
      <c r="AB35" s="376"/>
      <c r="AC35" s="376"/>
      <c r="AD35" s="376"/>
    </row>
    <row r="36" spans="3:30" s="6" customFormat="1" ht="15.75" thickBot="1">
      <c r="D36" s="370"/>
      <c r="E36" s="370"/>
      <c r="F36" s="370"/>
      <c r="H36" s="378"/>
      <c r="I36" s="380"/>
      <c r="J36" s="379"/>
      <c r="K36" s="379"/>
      <c r="L36" s="379"/>
      <c r="M36" s="378"/>
      <c r="N36" s="387" t="s">
        <v>1057</v>
      </c>
      <c r="O36" s="388"/>
      <c r="P36" s="389" t="e">
        <f>P22+P32</f>
        <v>#REF!</v>
      </c>
      <c r="Q36" s="389" t="e">
        <f>Q22+Q32</f>
        <v>#REF!</v>
      </c>
      <c r="R36" s="389" t="e">
        <f>R22+R32</f>
        <v>#REF!</v>
      </c>
      <c r="S36" s="389" t="e">
        <f>S22+S32</f>
        <v>#REF!</v>
      </c>
      <c r="T36" s="390" t="e">
        <f>T22+T32</f>
        <v>#REF!</v>
      </c>
      <c r="U36" s="378"/>
      <c r="V36" s="381"/>
      <c r="W36" s="381"/>
      <c r="X36" s="381"/>
      <c r="Y36" s="381"/>
      <c r="Z36" s="381"/>
      <c r="AA36" s="381"/>
      <c r="AB36" s="381"/>
      <c r="AC36" s="381"/>
      <c r="AD36" s="381"/>
    </row>
    <row r="37" spans="3:30">
      <c r="D37" s="42"/>
      <c r="E37" s="42"/>
      <c r="F37" s="42"/>
      <c r="H37" s="373"/>
      <c r="I37" s="380"/>
      <c r="J37" s="379"/>
      <c r="K37" s="379"/>
      <c r="L37" s="379"/>
      <c r="M37" s="373"/>
      <c r="N37" s="373"/>
      <c r="O37" s="373"/>
      <c r="P37" s="373"/>
      <c r="Q37" s="373"/>
      <c r="R37" s="373"/>
      <c r="S37" s="373"/>
      <c r="T37" s="373"/>
      <c r="U37" s="373"/>
      <c r="V37" s="376"/>
      <c r="W37" s="376"/>
      <c r="X37" s="376"/>
      <c r="Y37" s="376"/>
      <c r="Z37" s="376"/>
      <c r="AA37" s="376"/>
      <c r="AB37" s="376"/>
      <c r="AC37" s="376"/>
      <c r="AD37" s="376"/>
    </row>
    <row r="38" spans="3:30">
      <c r="D38" s="42"/>
      <c r="E38" s="42"/>
      <c r="F38" s="42"/>
      <c r="I38" s="206"/>
      <c r="J38" s="42"/>
      <c r="K38" s="42"/>
      <c r="L38" s="42"/>
    </row>
    <row r="39" spans="3:30">
      <c r="D39" s="42"/>
      <c r="E39" s="42"/>
      <c r="F39" s="42"/>
      <c r="H39" s="58"/>
      <c r="I39" s="266"/>
      <c r="J39" s="391"/>
      <c r="K39" s="391"/>
      <c r="L39" s="391"/>
      <c r="M39" s="58"/>
      <c r="N39" s="58"/>
      <c r="O39" s="136">
        <v>481</v>
      </c>
      <c r="P39" s="136">
        <v>515</v>
      </c>
      <c r="Q39" s="136">
        <v>505</v>
      </c>
      <c r="R39" s="136">
        <v>481</v>
      </c>
      <c r="S39" s="136">
        <v>455</v>
      </c>
      <c r="T39" s="136">
        <v>445</v>
      </c>
      <c r="U39" s="58"/>
      <c r="V39" s="353"/>
      <c r="W39" s="353"/>
      <c r="X39" s="353"/>
      <c r="Y39" s="353"/>
      <c r="Z39" s="353"/>
      <c r="AA39" s="353"/>
      <c r="AB39" s="353"/>
      <c r="AC39" s="353"/>
      <c r="AD39" s="353"/>
    </row>
    <row r="40" spans="3:30">
      <c r="D40" s="42"/>
      <c r="E40" s="42"/>
      <c r="F40" s="42"/>
      <c r="H40" s="58"/>
      <c r="I40" s="266"/>
      <c r="J40" s="391"/>
      <c r="K40" s="391"/>
      <c r="L40" s="391"/>
      <c r="M40" s="58"/>
      <c r="N40" s="58"/>
      <c r="O40" s="92"/>
      <c r="P40" s="392">
        <f>P39/$O39-1</f>
        <v>7.0686070686070579E-2</v>
      </c>
      <c r="Q40" s="392">
        <f>Q39/$O39-1</f>
        <v>4.9896049896049899E-2</v>
      </c>
      <c r="R40" s="392">
        <f>R39/$O39-1</f>
        <v>0</v>
      </c>
      <c r="S40" s="392">
        <f>S39/$O39-1</f>
        <v>-5.4054054054054057E-2</v>
      </c>
      <c r="T40" s="392">
        <f>T39/$O39-1</f>
        <v>-7.4844074844074848E-2</v>
      </c>
      <c r="U40" s="58"/>
      <c r="V40" s="353"/>
      <c r="W40" s="353"/>
      <c r="X40" s="353"/>
      <c r="Y40" s="353"/>
      <c r="Z40" s="353"/>
      <c r="AA40" s="353"/>
      <c r="AB40" s="353"/>
      <c r="AC40" s="353"/>
      <c r="AD40" s="353"/>
    </row>
    <row r="41" spans="3:30">
      <c r="D41" s="42"/>
      <c r="E41" s="42"/>
      <c r="F41" s="42"/>
      <c r="H41" s="58"/>
      <c r="I41" s="266"/>
      <c r="J41" s="391"/>
      <c r="K41" s="391"/>
      <c r="L41" s="391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3"/>
      <c r="W41" s="353"/>
      <c r="X41" s="353"/>
      <c r="Y41" s="353"/>
      <c r="Z41" s="353"/>
      <c r="AA41" s="353"/>
      <c r="AB41" s="353"/>
      <c r="AC41" s="353"/>
      <c r="AD41" s="353"/>
    </row>
    <row r="42" spans="3:30">
      <c r="D42" s="42"/>
      <c r="E42" s="42"/>
      <c r="F42" s="42"/>
      <c r="H42" s="58" t="e">
        <f>Options!#REF!</f>
        <v>#REF!</v>
      </c>
      <c r="I42" s="266" t="e">
        <f>Options!#REF!</f>
        <v>#REF!</v>
      </c>
      <c r="J42" s="391" t="e">
        <f>Options!#REF!</f>
        <v>#REF!</v>
      </c>
      <c r="K42" s="391" t="e">
        <f>Options!#REF!</f>
        <v>#REF!</v>
      </c>
      <c r="L42" s="391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3">
        <v>23.2</v>
      </c>
      <c r="W42" s="353">
        <v>22.9</v>
      </c>
      <c r="X42" s="353">
        <v>27.1</v>
      </c>
      <c r="Y42" s="353">
        <v>24.8</v>
      </c>
      <c r="Z42" s="353">
        <v>21.5</v>
      </c>
      <c r="AA42" s="353">
        <v>22</v>
      </c>
      <c r="AB42" s="353">
        <v>26.4</v>
      </c>
      <c r="AC42" s="353">
        <v>26.5</v>
      </c>
      <c r="AD42" s="353">
        <v>27.5</v>
      </c>
    </row>
    <row r="43" spans="3:30">
      <c r="D43" s="42"/>
      <c r="E43" s="42"/>
      <c r="F43" s="42"/>
      <c r="H43" s="58"/>
      <c r="I43" s="393"/>
      <c r="J43" s="394"/>
      <c r="K43" s="394"/>
      <c r="L43" s="394"/>
      <c r="M43" s="58"/>
      <c r="N43" s="58" t="s">
        <v>164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5"/>
      <c r="W43" s="395">
        <f>W42-V42</f>
        <v>-0.30000000000000071</v>
      </c>
      <c r="X43" s="395"/>
      <c r="Y43" s="395">
        <f>Y42-X42</f>
        <v>-2.3000000000000007</v>
      </c>
      <c r="Z43" s="395"/>
      <c r="AA43" s="395">
        <f>AA42-Z42</f>
        <v>0.5</v>
      </c>
      <c r="AB43" s="395"/>
      <c r="AC43" s="395">
        <f>AC42-AB42</f>
        <v>0.10000000000000142</v>
      </c>
      <c r="AD43" s="395"/>
    </row>
    <row r="44" spans="3:30">
      <c r="D44" s="42"/>
      <c r="E44" s="42"/>
      <c r="F44" s="42"/>
      <c r="H44" s="58"/>
      <c r="I44" s="266"/>
      <c r="J44" s="391"/>
      <c r="K44" s="391"/>
      <c r="L44" s="391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3"/>
      <c r="W44" s="353"/>
      <c r="X44" s="353"/>
      <c r="Y44" s="353"/>
      <c r="Z44" s="353"/>
      <c r="AA44" s="353"/>
      <c r="AB44" s="353"/>
      <c r="AC44" s="353"/>
      <c r="AD44" s="353"/>
    </row>
    <row r="45" spans="3:30">
      <c r="D45" s="42"/>
      <c r="E45" s="42"/>
      <c r="F45" s="42"/>
      <c r="H45" s="58"/>
      <c r="I45" s="266"/>
      <c r="J45" s="391"/>
      <c r="K45" s="391"/>
      <c r="L45" s="391"/>
      <c r="M45" s="58"/>
      <c r="N45" s="58" t="s">
        <v>51</v>
      </c>
      <c r="O45" s="58"/>
      <c r="P45" s="352">
        <f>P44/$O44-1</f>
        <v>0.4838709677419355</v>
      </c>
      <c r="Q45" s="352">
        <f>Q44/$O44-1</f>
        <v>0.29032258064516125</v>
      </c>
      <c r="R45" s="352">
        <f>R44/$O44-1</f>
        <v>-0.12903225806451613</v>
      </c>
      <c r="S45" s="352">
        <f>S44/$O44-1</f>
        <v>-0.4838709677419355</v>
      </c>
      <c r="T45" s="352">
        <f>T44/$O44-1</f>
        <v>-0.58064516129032251</v>
      </c>
      <c r="U45" s="58"/>
      <c r="V45" s="353"/>
      <c r="W45" s="353"/>
      <c r="X45" s="353"/>
      <c r="Y45" s="353"/>
      <c r="Z45" s="353"/>
      <c r="AA45" s="353"/>
      <c r="AB45" s="353"/>
      <c r="AC45" s="353"/>
      <c r="AD45" s="353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980</v>
      </c>
      <c r="O46" s="58"/>
      <c r="P46" s="266" t="e">
        <f>$I$42*(1+P45)</f>
        <v>#REF!</v>
      </c>
      <c r="Q46" s="266" t="e">
        <f>$I$42*(1+Q45)</f>
        <v>#REF!</v>
      </c>
      <c r="R46" s="266" t="e">
        <f>$I$42*(1+R45)</f>
        <v>#REF!</v>
      </c>
      <c r="S46" s="266" t="e">
        <f>$I$42*(1+S45)</f>
        <v>#REF!</v>
      </c>
      <c r="T46" s="266" t="e">
        <f>$I$42*(1+T45)</f>
        <v>#REF!</v>
      </c>
      <c r="U46" s="58"/>
      <c r="V46" s="353"/>
      <c r="W46" s="353"/>
      <c r="X46" s="353"/>
      <c r="Y46" s="353"/>
      <c r="Z46" s="353"/>
      <c r="AA46" s="353"/>
      <c r="AB46" s="353"/>
      <c r="AC46" s="353"/>
      <c r="AD46" s="353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1055</v>
      </c>
      <c r="O47" s="58"/>
      <c r="P47" s="266" t="e">
        <f>P46-$I$42</f>
        <v>#REF!</v>
      </c>
      <c r="Q47" s="266" t="e">
        <f>Q46-$I$42</f>
        <v>#REF!</v>
      </c>
      <c r="R47" s="266" t="e">
        <f>R46-$I$42</f>
        <v>#REF!</v>
      </c>
      <c r="S47" s="266" t="e">
        <f>S46-$I$42</f>
        <v>#REF!</v>
      </c>
      <c r="T47" s="266" t="e">
        <f>T46-$I$42</f>
        <v>#REF!</v>
      </c>
      <c r="U47" s="58"/>
      <c r="V47" s="353"/>
      <c r="W47" s="353"/>
      <c r="X47" s="353"/>
      <c r="Y47" s="353"/>
      <c r="Z47" s="353"/>
      <c r="AA47" s="353"/>
      <c r="AB47" s="353"/>
      <c r="AC47" s="353"/>
      <c r="AD47" s="353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5"/>
      <c r="W48" s="395"/>
      <c r="X48" s="395"/>
      <c r="Y48" s="395"/>
      <c r="Z48" s="395"/>
      <c r="AA48" s="395"/>
      <c r="AB48" s="395"/>
      <c r="AC48" s="395"/>
      <c r="AD48" s="395"/>
    </row>
    <row r="49" spans="8:30">
      <c r="H49" s="58"/>
      <c r="I49" s="58"/>
      <c r="J49" s="58"/>
      <c r="K49" s="58"/>
      <c r="L49" s="58"/>
      <c r="M49" s="58"/>
      <c r="N49" s="58"/>
      <c r="O49" s="58"/>
      <c r="P49" s="351" t="e">
        <f>P47/$I$42</f>
        <v>#REF!</v>
      </c>
      <c r="Q49" s="351" t="e">
        <f>Q47/$I$42</f>
        <v>#REF!</v>
      </c>
      <c r="R49" s="351" t="e">
        <f>R47/$I$42</f>
        <v>#REF!</v>
      </c>
      <c r="S49" s="351" t="e">
        <f>S47/$I$42</f>
        <v>#REF!</v>
      </c>
      <c r="T49" s="351" t="e">
        <f>T47/$I$42</f>
        <v>#REF!</v>
      </c>
      <c r="U49" s="58"/>
      <c r="V49" s="353"/>
      <c r="W49" s="353"/>
      <c r="X49" s="353"/>
      <c r="Y49" s="353"/>
      <c r="Z49" s="353"/>
      <c r="AA49" s="353"/>
      <c r="AB49" s="353"/>
      <c r="AC49" s="353"/>
      <c r="AD49" s="353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3"/>
      <c r="W50" s="353"/>
      <c r="X50" s="353"/>
      <c r="Y50" s="353"/>
      <c r="Z50" s="353"/>
      <c r="AA50" s="353"/>
      <c r="AB50" s="353"/>
      <c r="AC50" s="353"/>
      <c r="AD50" s="353"/>
    </row>
    <row r="51" spans="8:30" ht="15.75" thickBot="1">
      <c r="H51" s="58"/>
      <c r="I51" s="58"/>
      <c r="J51" s="58"/>
      <c r="K51" s="58"/>
      <c r="L51" s="58"/>
      <c r="M51" s="58"/>
      <c r="N51" s="396" t="s">
        <v>1057</v>
      </c>
      <c r="O51" s="397"/>
      <c r="P51" s="398" t="e">
        <f>P47</f>
        <v>#REF!</v>
      </c>
      <c r="Q51" s="398" t="e">
        <f>Q47</f>
        <v>#REF!</v>
      </c>
      <c r="R51" s="398" t="e">
        <f>R47</f>
        <v>#REF!</v>
      </c>
      <c r="S51" s="398" t="e">
        <f>S47</f>
        <v>#REF!</v>
      </c>
      <c r="T51" s="398" t="e">
        <f>T47</f>
        <v>#REF!</v>
      </c>
      <c r="U51" s="58"/>
      <c r="V51" s="353"/>
      <c r="W51" s="353"/>
      <c r="X51" s="353"/>
      <c r="Y51" s="353"/>
      <c r="Z51" s="353"/>
      <c r="AA51" s="353"/>
      <c r="AB51" s="353"/>
      <c r="AC51" s="353"/>
      <c r="AD51" s="353"/>
    </row>
    <row r="54" spans="8:30">
      <c r="H54">
        <v>2.2000000000000002</v>
      </c>
    </row>
    <row r="55" spans="8:30">
      <c r="H55">
        <v>1.8</v>
      </c>
    </row>
    <row r="57" spans="8:30">
      <c r="I57" t="s">
        <v>1098</v>
      </c>
    </row>
    <row r="58" spans="8:30">
      <c r="H58" t="s">
        <v>1097</v>
      </c>
      <c r="I58" s="42">
        <f>24500/25000-1</f>
        <v>-2.0000000000000018E-2</v>
      </c>
    </row>
    <row r="59" spans="8:30">
      <c r="H59" s="42">
        <v>0.02</v>
      </c>
      <c r="I59" s="206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6">
        <f>H60*$I$58*10000</f>
        <v>-3.7000000000000033</v>
      </c>
    </row>
    <row r="61" spans="8:30">
      <c r="H61" s="42">
        <v>1.4999999999999999E-2</v>
      </c>
      <c r="I61" s="206">
        <f>H61*$I$58*10000</f>
        <v>-3.0000000000000027</v>
      </c>
    </row>
    <row r="63" spans="8:30">
      <c r="I63" s="206"/>
      <c r="J63" s="42"/>
      <c r="K63" s="42"/>
      <c r="L63" s="42"/>
    </row>
    <row r="64" spans="8:30">
      <c r="I64" t="s">
        <v>1098</v>
      </c>
      <c r="J64" s="42"/>
      <c r="K64" s="42"/>
      <c r="L64" s="42"/>
    </row>
    <row r="65" spans="8:9">
      <c r="H65" t="s">
        <v>1097</v>
      </c>
      <c r="I65" s="42">
        <v>0.01</v>
      </c>
    </row>
    <row r="66" spans="8:9">
      <c r="H66" s="42">
        <v>-0.01</v>
      </c>
      <c r="I66" s="206">
        <f>H66*$I$65*10000</f>
        <v>-1</v>
      </c>
    </row>
    <row r="67" spans="8:9">
      <c r="H67" s="42"/>
      <c r="I67" s="206"/>
    </row>
    <row r="68" spans="8:9">
      <c r="H68" s="42"/>
      <c r="I68" s="20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8"/>
      <c r="F3" s="6" t="s">
        <v>649</v>
      </c>
      <c r="K3" s="6" t="s">
        <v>650</v>
      </c>
      <c r="M3" s="6" t="s">
        <v>651</v>
      </c>
    </row>
    <row r="4" spans="4:15">
      <c r="D4" s="6" t="s">
        <v>638</v>
      </c>
      <c r="E4" s="318" t="s">
        <v>639</v>
      </c>
      <c r="F4" s="6" t="s">
        <v>643</v>
      </c>
      <c r="G4" s="6" t="s">
        <v>644</v>
      </c>
      <c r="H4" s="6"/>
      <c r="I4" s="6" t="s">
        <v>631</v>
      </c>
      <c r="J4" s="6" t="s">
        <v>640</v>
      </c>
      <c r="K4" s="6" t="s">
        <v>644</v>
      </c>
      <c r="L4" s="6"/>
      <c r="M4" s="6" t="s">
        <v>641</v>
      </c>
    </row>
    <row r="5" spans="4:15">
      <c r="D5" t="s">
        <v>637</v>
      </c>
      <c r="E5" s="79">
        <v>45960</v>
      </c>
      <c r="F5" s="197">
        <v>140</v>
      </c>
      <c r="G5" s="197" t="s">
        <v>648</v>
      </c>
      <c r="H5" s="197"/>
      <c r="I5" s="197">
        <v>44</v>
      </c>
      <c r="J5" s="197">
        <v>12.5</v>
      </c>
      <c r="K5" s="197">
        <f>I5-J5</f>
        <v>31.5</v>
      </c>
      <c r="L5" s="197"/>
      <c r="M5" s="209">
        <f>F5/K5</f>
        <v>4.4444444444444446</v>
      </c>
      <c r="N5" s="197"/>
      <c r="O5" s="197"/>
    </row>
    <row r="6" spans="4:15">
      <c r="D6" t="s">
        <v>647</v>
      </c>
      <c r="E6" s="79">
        <v>45960</v>
      </c>
      <c r="F6" s="197">
        <v>65</v>
      </c>
      <c r="G6" s="197">
        <v>32</v>
      </c>
      <c r="H6" s="197"/>
      <c r="I6" s="197">
        <v>26</v>
      </c>
      <c r="J6" s="197">
        <v>5</v>
      </c>
      <c r="K6" s="197">
        <f>I6-J6</f>
        <v>21</v>
      </c>
      <c r="L6" s="197"/>
      <c r="M6" s="209">
        <f>F6/K6</f>
        <v>3.0952380952380953</v>
      </c>
      <c r="N6" s="197"/>
      <c r="O6" s="197"/>
    </row>
    <row r="7" spans="4:15">
      <c r="F7" s="197"/>
      <c r="G7" s="197"/>
      <c r="H7" s="197"/>
      <c r="I7" s="197"/>
      <c r="J7" s="197"/>
      <c r="K7" s="197"/>
      <c r="L7" s="197"/>
      <c r="M7" s="209"/>
      <c r="N7" s="197"/>
      <c r="O7" s="197"/>
    </row>
    <row r="8" spans="4:15">
      <c r="D8" t="s">
        <v>642</v>
      </c>
      <c r="E8" s="79">
        <v>45959</v>
      </c>
      <c r="F8" s="197">
        <v>95</v>
      </c>
      <c r="G8" s="197">
        <v>44</v>
      </c>
      <c r="H8" s="197"/>
      <c r="I8" s="197">
        <v>41</v>
      </c>
      <c r="J8" s="197">
        <v>12.5</v>
      </c>
      <c r="K8" s="197">
        <f>I8-J8</f>
        <v>28.5</v>
      </c>
      <c r="L8" s="197"/>
      <c r="M8" s="209">
        <f>F8/K8</f>
        <v>3.3333333333333335</v>
      </c>
      <c r="N8" s="197"/>
      <c r="O8" s="197"/>
    </row>
    <row r="9" spans="4:15">
      <c r="D9" t="s">
        <v>645</v>
      </c>
      <c r="E9" s="79">
        <v>45959</v>
      </c>
      <c r="F9" s="197">
        <v>95</v>
      </c>
      <c r="G9" s="197">
        <v>75</v>
      </c>
      <c r="H9" s="197"/>
      <c r="I9" s="197">
        <v>42</v>
      </c>
      <c r="J9" s="197">
        <v>12.5</v>
      </c>
      <c r="K9" s="197">
        <f>I9-J9</f>
        <v>29.5</v>
      </c>
      <c r="L9" s="197"/>
      <c r="M9" s="209">
        <f>F9/K9</f>
        <v>3.2203389830508473</v>
      </c>
      <c r="N9" s="197"/>
      <c r="O9" s="197"/>
    </row>
    <row r="10" spans="4:15">
      <c r="D10" t="s">
        <v>646</v>
      </c>
      <c r="E10" s="79">
        <v>45959</v>
      </c>
      <c r="F10" s="197">
        <v>72</v>
      </c>
      <c r="G10" s="197">
        <v>30</v>
      </c>
      <c r="H10" s="197"/>
      <c r="I10" s="197">
        <v>30</v>
      </c>
      <c r="J10" s="197">
        <v>7.5</v>
      </c>
      <c r="K10" s="197">
        <f>I10-J10</f>
        <v>22.5</v>
      </c>
      <c r="L10" s="197"/>
      <c r="M10" s="209">
        <f>F10/K10</f>
        <v>3.2</v>
      </c>
      <c r="N10" s="197"/>
      <c r="O10" s="197"/>
    </row>
    <row r="11" spans="4:15">
      <c r="F11" s="197"/>
      <c r="G11" s="197"/>
      <c r="H11" s="197"/>
      <c r="I11" s="197"/>
      <c r="J11" s="197"/>
      <c r="K11" s="197"/>
      <c r="L11" s="197"/>
      <c r="M11" s="209"/>
      <c r="N11" s="197"/>
      <c r="O11" s="197"/>
    </row>
    <row r="12" spans="4:15">
      <c r="F12" s="197"/>
      <c r="G12" s="197"/>
      <c r="H12" s="197"/>
      <c r="I12" s="197"/>
      <c r="J12" s="197"/>
      <c r="K12" s="197"/>
      <c r="L12" s="197"/>
      <c r="M12" s="209"/>
      <c r="N12" s="197"/>
      <c r="O12" s="197"/>
    </row>
    <row r="13" spans="4:15">
      <c r="F13" s="197"/>
      <c r="G13" s="197"/>
      <c r="H13" s="197"/>
      <c r="I13" s="197"/>
      <c r="J13" s="197"/>
      <c r="K13" s="197"/>
      <c r="L13" s="197"/>
      <c r="M13" s="209"/>
      <c r="N13" s="197"/>
      <c r="O13" s="197"/>
    </row>
    <row r="14" spans="4:15">
      <c r="F14" s="197"/>
      <c r="G14" s="197"/>
      <c r="H14" s="197"/>
      <c r="I14" s="197"/>
      <c r="J14" s="197"/>
      <c r="K14" s="197"/>
      <c r="L14" s="197"/>
      <c r="M14" s="209"/>
      <c r="N14" s="197"/>
      <c r="O14" s="197"/>
    </row>
    <row r="15" spans="4:15">
      <c r="F15" s="197"/>
      <c r="G15" s="197"/>
      <c r="H15" s="197"/>
      <c r="I15" s="197"/>
      <c r="J15" s="197"/>
      <c r="K15" s="197"/>
      <c r="L15" s="197"/>
      <c r="M15" s="197"/>
      <c r="N15" s="197"/>
      <c r="O15" s="19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231</v>
      </c>
      <c r="X5" s="6"/>
      <c r="Z5" s="6"/>
    </row>
    <row r="6" spans="2:28" s="10" customFormat="1" ht="30.75" thickBot="1">
      <c r="B6" s="56"/>
      <c r="C6" s="56"/>
      <c r="D6" s="56" t="s">
        <v>632</v>
      </c>
      <c r="E6" s="316" t="s">
        <v>634</v>
      </c>
      <c r="F6" s="56" t="s">
        <v>633</v>
      </c>
      <c r="G6" s="316" t="s">
        <v>634</v>
      </c>
      <c r="H6" s="316" t="s">
        <v>635</v>
      </c>
      <c r="J6" s="56"/>
      <c r="K6" s="56"/>
      <c r="L6" s="56" t="s">
        <v>632</v>
      </c>
      <c r="M6" s="316" t="s">
        <v>634</v>
      </c>
      <c r="N6" s="56" t="s">
        <v>633</v>
      </c>
      <c r="O6" s="316" t="s">
        <v>634</v>
      </c>
      <c r="P6" s="56" t="s">
        <v>636</v>
      </c>
      <c r="Q6" s="316" t="s">
        <v>634</v>
      </c>
      <c r="R6" s="316" t="s">
        <v>635</v>
      </c>
      <c r="T6" s="56"/>
      <c r="U6" s="56"/>
      <c r="V6" s="56" t="s">
        <v>632</v>
      </c>
      <c r="W6" s="316" t="s">
        <v>634</v>
      </c>
      <c r="X6" s="56" t="s">
        <v>633</v>
      </c>
      <c r="Y6" s="316" t="s">
        <v>634</v>
      </c>
      <c r="Z6" s="56" t="s">
        <v>636</v>
      </c>
      <c r="AA6" s="316" t="s">
        <v>634</v>
      </c>
      <c r="AB6" s="316" t="s">
        <v>635</v>
      </c>
    </row>
    <row r="7" spans="2:28">
      <c r="B7" t="s">
        <v>630</v>
      </c>
      <c r="C7" s="314">
        <v>45658</v>
      </c>
      <c r="D7">
        <v>30</v>
      </c>
      <c r="E7" s="315">
        <f>D7/15.9</f>
        <v>1.8867924528301887</v>
      </c>
      <c r="F7">
        <v>45</v>
      </c>
      <c r="G7" s="315">
        <f>F7/15.9</f>
        <v>2.8301886792452828</v>
      </c>
      <c r="H7" s="317">
        <v>1.55</v>
      </c>
      <c r="J7" t="s">
        <v>630</v>
      </c>
      <c r="K7" s="314">
        <v>45658</v>
      </c>
      <c r="L7">
        <v>31.5</v>
      </c>
      <c r="M7" s="315">
        <f>L7/15.9</f>
        <v>1.9811320754716981</v>
      </c>
      <c r="N7">
        <v>23</v>
      </c>
      <c r="O7" s="315">
        <f>N7/15.9</f>
        <v>1.4465408805031446</v>
      </c>
      <c r="P7">
        <v>43</v>
      </c>
      <c r="Q7" s="315">
        <f>P7/15.9</f>
        <v>2.7044025157232703</v>
      </c>
      <c r="R7" s="317">
        <v>-6.2</v>
      </c>
      <c r="T7" t="s">
        <v>630</v>
      </c>
      <c r="U7" s="314">
        <v>45658</v>
      </c>
      <c r="V7">
        <v>31.5</v>
      </c>
      <c r="W7" s="315">
        <f>V7/15.9</f>
        <v>1.9811320754716981</v>
      </c>
      <c r="X7">
        <v>23</v>
      </c>
      <c r="Y7" s="315">
        <f>X7/15.9</f>
        <v>1.4465408805031446</v>
      </c>
      <c r="Z7">
        <v>43</v>
      </c>
      <c r="AA7" s="315">
        <f>Z7/15.9</f>
        <v>2.7044025157232703</v>
      </c>
      <c r="AB7" s="317">
        <v>-6.2</v>
      </c>
    </row>
    <row r="8" spans="2:28">
      <c r="B8" t="s">
        <v>627</v>
      </c>
      <c r="C8" s="314">
        <v>45748</v>
      </c>
      <c r="D8">
        <v>67</v>
      </c>
      <c r="E8" s="315">
        <f>D8/15.9</f>
        <v>4.2138364779874209</v>
      </c>
      <c r="F8">
        <v>47</v>
      </c>
      <c r="G8" s="315">
        <f>F8/15.9</f>
        <v>2.9559748427672954</v>
      </c>
      <c r="H8" s="317">
        <v>4.2300000000000004</v>
      </c>
      <c r="J8" t="s">
        <v>627</v>
      </c>
      <c r="K8" s="314">
        <v>45748</v>
      </c>
      <c r="L8">
        <v>41.2</v>
      </c>
      <c r="M8" s="315">
        <f>L8/15.9</f>
        <v>2.5911949685534594</v>
      </c>
      <c r="N8">
        <v>32</v>
      </c>
      <c r="O8" s="315">
        <f t="shared" ref="O8:Q10" si="0">N8/15.9</f>
        <v>2.0125786163522013</v>
      </c>
      <c r="P8">
        <v>32</v>
      </c>
      <c r="Q8" s="315">
        <f t="shared" si="0"/>
        <v>2.0125786163522013</v>
      </c>
      <c r="R8" s="317">
        <v>7.6</v>
      </c>
      <c r="T8" t="s">
        <v>627</v>
      </c>
      <c r="U8" s="314">
        <v>45748</v>
      </c>
      <c r="V8">
        <v>41.2</v>
      </c>
      <c r="W8" s="315">
        <f>V8/15.9</f>
        <v>2.5911949685534594</v>
      </c>
      <c r="X8">
        <v>32</v>
      </c>
      <c r="Y8" s="315">
        <f>X8/15.9</f>
        <v>2.0125786163522013</v>
      </c>
      <c r="Z8">
        <v>32</v>
      </c>
      <c r="AA8" s="315">
        <f>Z8/15.9</f>
        <v>2.0125786163522013</v>
      </c>
      <c r="AB8" s="317">
        <v>7.6</v>
      </c>
    </row>
    <row r="9" spans="2:28">
      <c r="B9" t="s">
        <v>628</v>
      </c>
      <c r="C9" s="314">
        <v>45839</v>
      </c>
      <c r="D9">
        <v>21</v>
      </c>
      <c r="E9" s="315">
        <f>D9/15.9</f>
        <v>1.320754716981132</v>
      </c>
      <c r="F9">
        <v>36</v>
      </c>
      <c r="G9" s="315">
        <f>F9/15.9</f>
        <v>2.2641509433962264</v>
      </c>
      <c r="H9" s="317">
        <v>11.25</v>
      </c>
      <c r="J9" t="s">
        <v>628</v>
      </c>
      <c r="K9" s="314">
        <v>45839</v>
      </c>
      <c r="L9">
        <v>11.5</v>
      </c>
      <c r="M9" s="315">
        <f>L9/15.9</f>
        <v>0.72327044025157228</v>
      </c>
      <c r="N9">
        <v>23</v>
      </c>
      <c r="O9" s="315">
        <f t="shared" si="0"/>
        <v>1.4465408805031446</v>
      </c>
      <c r="P9">
        <v>23</v>
      </c>
      <c r="Q9" s="315">
        <f t="shared" si="0"/>
        <v>1.4465408805031446</v>
      </c>
      <c r="R9" s="317">
        <v>3.95</v>
      </c>
      <c r="T9" t="s">
        <v>628</v>
      </c>
      <c r="U9" s="314">
        <v>45839</v>
      </c>
      <c r="V9">
        <v>11.5</v>
      </c>
      <c r="W9" s="315">
        <f>V9/15.9</f>
        <v>0.72327044025157228</v>
      </c>
      <c r="X9">
        <v>23</v>
      </c>
      <c r="Y9" s="315">
        <f>X9/15.9</f>
        <v>1.4465408805031446</v>
      </c>
      <c r="Z9">
        <v>23</v>
      </c>
      <c r="AA9" s="315">
        <f>Z9/15.9</f>
        <v>1.4465408805031446</v>
      </c>
      <c r="AB9" s="317">
        <v>3.95</v>
      </c>
    </row>
    <row r="10" spans="2:28">
      <c r="B10" t="s">
        <v>629</v>
      </c>
      <c r="C10" s="314">
        <v>45931</v>
      </c>
      <c r="D10">
        <v>23</v>
      </c>
      <c r="E10" s="315">
        <f>D10/15.9</f>
        <v>1.4465408805031446</v>
      </c>
      <c r="F10">
        <v>41</v>
      </c>
      <c r="G10" s="315">
        <f>F10/15.9</f>
        <v>2.5786163522012577</v>
      </c>
      <c r="H10" s="317">
        <v>-11.33</v>
      </c>
      <c r="J10" t="s">
        <v>629</v>
      </c>
      <c r="K10" s="314">
        <v>45931</v>
      </c>
      <c r="L10">
        <v>15.1</v>
      </c>
      <c r="M10" s="315">
        <f>L10/15.9</f>
        <v>0.94968553459119498</v>
      </c>
      <c r="N10">
        <v>30</v>
      </c>
      <c r="O10" s="315">
        <f t="shared" si="0"/>
        <v>1.8867924528301887</v>
      </c>
      <c r="P10">
        <v>30</v>
      </c>
      <c r="Q10" s="315">
        <f t="shared" si="0"/>
        <v>1.8867924528301887</v>
      </c>
      <c r="R10" s="317">
        <v>-2.9</v>
      </c>
      <c r="T10" t="s">
        <v>629</v>
      </c>
      <c r="U10" s="314">
        <v>45931</v>
      </c>
      <c r="V10">
        <v>15.1</v>
      </c>
      <c r="W10" s="315">
        <f>V10/15.9</f>
        <v>0.94968553459119498</v>
      </c>
      <c r="X10">
        <v>30</v>
      </c>
      <c r="Y10" s="315">
        <f>X10/15.9</f>
        <v>1.8867924528301887</v>
      </c>
      <c r="Z10">
        <v>30</v>
      </c>
      <c r="AA10" s="315">
        <f>Z10/15.9</f>
        <v>1.8867924528301887</v>
      </c>
      <c r="AB10" s="317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1" zoomScale="75" zoomScaleNormal="75" zoomScaleSheetLayoutView="85" workbookViewId="0">
      <selection activeCell="H44" sqref="H44"/>
    </sheetView>
  </sheetViews>
  <sheetFormatPr defaultColWidth="9.140625" defaultRowHeight="15.75" outlineLevelCol="1"/>
  <cols>
    <col min="1" max="1" width="18.28515625" style="211" bestFit="1" customWidth="1"/>
    <col min="2" max="2" width="9.85546875" style="212" bestFit="1" customWidth="1" outlineLevel="1"/>
    <col min="3" max="5" width="9.28515625" style="213" customWidth="1" outlineLevel="1"/>
    <col min="6" max="6" width="8.42578125" style="213" bestFit="1" customWidth="1"/>
    <col min="7" max="7" width="11.7109375" style="213" customWidth="1"/>
    <col min="8" max="8" width="9.28515625" style="213" customWidth="1" outlineLevel="1"/>
    <col min="9" max="9" width="10.140625" style="220" customWidth="1"/>
    <col min="10" max="10" width="10.140625" style="215" customWidth="1"/>
    <col min="11" max="12" width="9.140625" style="215"/>
    <col min="13" max="13" width="14.7109375" style="215" bestFit="1" customWidth="1"/>
    <col min="14" max="18" width="9.140625" style="215"/>
    <col min="19" max="21" width="11.85546875" style="215" customWidth="1"/>
    <col min="22" max="24" width="7.7109375" style="216" customWidth="1"/>
    <col min="25" max="25" width="2.5703125" style="216" customWidth="1"/>
    <col min="26" max="26" width="9.28515625" style="216" bestFit="1" customWidth="1"/>
    <col min="27" max="28" width="7.7109375" style="217" customWidth="1"/>
    <col min="29" max="29" width="7.7109375" style="215" customWidth="1"/>
    <col min="30" max="35" width="9.140625" style="215"/>
    <col min="36" max="36" width="9.28515625" style="215" bestFit="1" customWidth="1"/>
    <col min="37" max="38" width="9.140625" style="215"/>
    <col min="39" max="39" width="9.28515625" style="215" bestFit="1" customWidth="1"/>
    <col min="40" max="16384" width="9.140625" style="215"/>
  </cols>
  <sheetData>
    <row r="1" spans="1:28">
      <c r="I1" s="214"/>
      <c r="J1" s="215" t="str" cm="1">
        <f t="array" ref="J1">_xll.BDP(A1&amp;" Equity","PX_YEST_CLOSE")</f>
        <v>#N/A Invalid Security</v>
      </c>
    </row>
    <row r="2" spans="1:28">
      <c r="A2" s="218"/>
      <c r="C2" s="219"/>
    </row>
    <row r="3" spans="1:28" ht="16.5" thickBot="1">
      <c r="A3" s="221"/>
      <c r="B3" s="222"/>
      <c r="C3" s="223" t="s">
        <v>10</v>
      </c>
      <c r="D3" s="224"/>
      <c r="E3" s="223"/>
      <c r="F3" s="223" t="s">
        <v>11</v>
      </c>
      <c r="G3" s="225"/>
      <c r="H3" s="223"/>
    </row>
    <row r="4" spans="1:28">
      <c r="A4" s="226" t="s">
        <v>12</v>
      </c>
      <c r="C4" s="227" t="e">
        <f>'Master P&amp;L'!V5</f>
        <v>#VALUE!</v>
      </c>
      <c r="F4" s="213" t="e">
        <f>'Master P&amp;L'!U5</f>
        <v>#VALUE!</v>
      </c>
    </row>
    <row r="5" spans="1:28">
      <c r="A5" s="226" t="s">
        <v>13</v>
      </c>
      <c r="C5" s="227">
        <f>'Master P&amp;L'!V6</f>
        <v>0.81922602675027312</v>
      </c>
      <c r="F5" s="213">
        <f>'Master P&amp;L'!U6</f>
        <v>-2.855925181060541E-2</v>
      </c>
    </row>
    <row r="6" spans="1:28" s="233" customFormat="1">
      <c r="A6" s="228" t="s">
        <v>14</v>
      </c>
      <c r="B6" s="229"/>
      <c r="C6" s="230" t="e">
        <f>'Master P&amp;L'!V7</f>
        <v>#VALUE!</v>
      </c>
      <c r="D6" s="231"/>
      <c r="E6" s="231"/>
      <c r="F6" s="231" t="e">
        <f>'Master P&amp;L'!U7</f>
        <v>#VALUE!</v>
      </c>
      <c r="G6" s="231"/>
      <c r="H6" s="231"/>
      <c r="I6" s="232"/>
      <c r="V6" s="234"/>
      <c r="W6" s="234"/>
      <c r="X6" s="234"/>
      <c r="Y6" s="234"/>
      <c r="Z6" s="234"/>
      <c r="AA6" s="217"/>
      <c r="AB6" s="217"/>
    </row>
    <row r="7" spans="1:28">
      <c r="A7" s="226" t="s">
        <v>15</v>
      </c>
      <c r="F7" s="213" t="e">
        <f>'Master P&amp;L'!U8</f>
        <v>#VALUE!</v>
      </c>
    </row>
    <row r="8" spans="1:28">
      <c r="A8" s="235" t="s">
        <v>16</v>
      </c>
      <c r="B8" s="236"/>
      <c r="C8" s="237" t="e">
        <f>'Master P&amp;L'!V7*'Master P&amp;L'!AD5/10000</f>
        <v>#VALUE!</v>
      </c>
      <c r="D8" s="219"/>
      <c r="E8" s="219"/>
      <c r="F8" s="219"/>
      <c r="G8" s="219"/>
      <c r="H8" s="219"/>
    </row>
    <row r="9" spans="1:28" ht="16.5" thickBot="1">
      <c r="A9" s="238" t="s">
        <v>17</v>
      </c>
      <c r="B9" s="239"/>
      <c r="C9" s="240" t="e">
        <f>C8*'Master P&amp;L'!AC3</f>
        <v>#VALUE!</v>
      </c>
      <c r="D9" s="241"/>
      <c r="E9" s="241"/>
      <c r="F9" s="241"/>
      <c r="G9" s="242"/>
      <c r="H9" s="241"/>
    </row>
    <row r="10" spans="1:28">
      <c r="A10" s="356" t="s">
        <v>794</v>
      </c>
      <c r="B10" s="359" t="e">
        <f>Options!AI1</f>
        <v>#VALUE!</v>
      </c>
      <c r="H10" s="220"/>
    </row>
    <row r="11" spans="1:28">
      <c r="A11" s="243">
        <f ca="1">TODAY()</f>
        <v>46062</v>
      </c>
      <c r="H11" s="220"/>
      <c r="L11" s="213"/>
    </row>
    <row r="12" spans="1:28" s="293" customFormat="1" ht="47.25">
      <c r="A12" s="507" t="s">
        <v>20</v>
      </c>
      <c r="B12" s="500" t="s">
        <v>21</v>
      </c>
      <c r="C12" s="506" t="s">
        <v>22</v>
      </c>
      <c r="D12" s="506" t="s">
        <v>23</v>
      </c>
      <c r="E12" s="506" t="s">
        <v>24</v>
      </c>
      <c r="F12" s="506" t="s">
        <v>25</v>
      </c>
      <c r="G12" s="292"/>
      <c r="H12" s="294"/>
      <c r="I12" s="294"/>
      <c r="L12" s="244"/>
      <c r="AA12" s="295"/>
      <c r="AB12" s="295"/>
    </row>
    <row r="13" spans="1:28">
      <c r="A13" s="501" t="s">
        <v>579</v>
      </c>
      <c r="B13" s="502">
        <v>-3.2377728400488173E-3</v>
      </c>
      <c r="C13" s="505">
        <v>-2.3951820885302705E-2</v>
      </c>
      <c r="D13" s="503">
        <v>4.4915407809718682E-4</v>
      </c>
      <c r="E13" s="503">
        <v>1.6975099284853351E-4</v>
      </c>
      <c r="F13" s="503">
        <v>6.1890507094572032E-4</v>
      </c>
      <c r="G13" s="245"/>
      <c r="H13" s="220"/>
      <c r="L13" s="245"/>
    </row>
    <row r="14" spans="1:28">
      <c r="A14" s="504" t="s">
        <v>7</v>
      </c>
      <c r="B14" s="502">
        <v>-8.3632019115887912E-3</v>
      </c>
      <c r="C14" s="505">
        <v>-2.09781514349687E-2</v>
      </c>
      <c r="D14" s="503">
        <v>0</v>
      </c>
      <c r="E14" s="503">
        <v>1.6975099284853351E-4</v>
      </c>
      <c r="F14" s="503">
        <v>1.6975099284853351E-4</v>
      </c>
      <c r="G14" s="245"/>
      <c r="H14" s="220"/>
      <c r="I14" s="214"/>
      <c r="L14" s="245"/>
    </row>
    <row r="15" spans="1:28">
      <c r="A15" s="504" t="s">
        <v>809</v>
      </c>
      <c r="B15" s="502">
        <v>7.3214932946721323E-3</v>
      </c>
      <c r="C15" s="505">
        <v>1.6480924616605018E-2</v>
      </c>
      <c r="D15" s="503">
        <v>2.2675141432904844E-4</v>
      </c>
      <c r="E15" s="503">
        <v>0</v>
      </c>
      <c r="F15" s="503">
        <v>2.2675141432904844E-4</v>
      </c>
      <c r="G15" s="245"/>
      <c r="H15" s="220"/>
      <c r="I15" s="214"/>
      <c r="L15" s="245"/>
    </row>
    <row r="16" spans="1:28">
      <c r="A16" s="504" t="s">
        <v>336</v>
      </c>
      <c r="B16" s="502">
        <v>-8.6716099032297933E-3</v>
      </c>
      <c r="C16" s="505">
        <v>-1.9454594066939022E-2</v>
      </c>
      <c r="D16" s="503">
        <v>2.224026637681384E-4</v>
      </c>
      <c r="E16" s="503">
        <v>0</v>
      </c>
      <c r="F16" s="503">
        <v>2.224026637681384E-4</v>
      </c>
      <c r="G16" s="245"/>
      <c r="H16" s="220"/>
      <c r="I16" s="214"/>
      <c r="L16" s="245"/>
    </row>
    <row r="17" spans="1:12">
      <c r="A17" s="501" t="s">
        <v>26</v>
      </c>
      <c r="B17" s="502">
        <v>-1.4482455970558139E-2</v>
      </c>
      <c r="C17" s="505">
        <v>2.2606005934386535</v>
      </c>
      <c r="D17" s="503">
        <v>-2.4582790407594896E-2</v>
      </c>
      <c r="E17" s="503">
        <v>-2.0702741595629757E-3</v>
      </c>
      <c r="F17" s="503">
        <v>-2.665306456715787E-2</v>
      </c>
      <c r="G17" s="245"/>
      <c r="H17" s="220"/>
      <c r="I17" s="214"/>
      <c r="L17" s="245"/>
    </row>
    <row r="18" spans="1:12">
      <c r="A18" s="504" t="s">
        <v>82</v>
      </c>
      <c r="B18" s="502">
        <v>-1.4395377631035933E-2</v>
      </c>
      <c r="C18" s="505">
        <v>0.35431629990370972</v>
      </c>
      <c r="D18" s="503">
        <v>0</v>
      </c>
      <c r="E18" s="503">
        <v>-2.0461277811847788E-3</v>
      </c>
      <c r="F18" s="503">
        <v>-2.0461277811847788E-3</v>
      </c>
      <c r="G18" s="245"/>
      <c r="H18" s="220"/>
      <c r="I18" s="214"/>
      <c r="L18" s="245"/>
    </row>
    <row r="19" spans="1:12">
      <c r="A19" s="504" t="s">
        <v>580</v>
      </c>
      <c r="B19" s="502">
        <v>-1.2012754786499324E-2</v>
      </c>
      <c r="C19" s="505">
        <v>2.0450393976480008</v>
      </c>
      <c r="D19" s="503">
        <v>-2.4582790407594896E-2</v>
      </c>
      <c r="E19" s="503">
        <v>0</v>
      </c>
      <c r="F19" s="503">
        <v>-2.4582790407594896E-2</v>
      </c>
      <c r="G19" s="245"/>
      <c r="H19" s="220"/>
      <c r="I19" s="214"/>
      <c r="L19" s="245"/>
    </row>
    <row r="20" spans="1:12">
      <c r="A20" s="504" t="s">
        <v>1100</v>
      </c>
      <c r="B20" s="502">
        <v>-1.8230546916407464E-2</v>
      </c>
      <c r="C20" s="505">
        <v>-0.13875510411305694</v>
      </c>
      <c r="D20" s="503">
        <v>0</v>
      </c>
      <c r="E20" s="503">
        <v>-2.4146378378196853E-5</v>
      </c>
      <c r="F20" s="503">
        <v>-2.4146378378196853E-5</v>
      </c>
      <c r="G20" s="245"/>
      <c r="H20" s="220"/>
      <c r="L20" s="245"/>
    </row>
    <row r="21" spans="1:12">
      <c r="A21" s="504" t="s">
        <v>1130</v>
      </c>
      <c r="B21" s="502">
        <v>-1.8230546916407464E-2</v>
      </c>
      <c r="C21" s="505">
        <v>0</v>
      </c>
      <c r="D21" s="503">
        <v>0</v>
      </c>
      <c r="E21" s="503">
        <v>0</v>
      </c>
      <c r="F21" s="503">
        <v>0</v>
      </c>
      <c r="G21" s="245"/>
      <c r="H21" s="220"/>
      <c r="I21" s="214"/>
      <c r="L21" s="245"/>
    </row>
    <row r="22" spans="1:12">
      <c r="A22" s="501" t="s">
        <v>552</v>
      </c>
      <c r="B22" s="502">
        <v>5.924147648566796E-3</v>
      </c>
      <c r="C22" s="505">
        <v>-1.1387099461041692</v>
      </c>
      <c r="D22" s="503">
        <v>3.8510616768249015E-3</v>
      </c>
      <c r="E22" s="503">
        <v>4.657225094459652E-3</v>
      </c>
      <c r="F22" s="503">
        <v>8.5082867712845539E-3</v>
      </c>
      <c r="G22" s="245"/>
      <c r="H22" s="220"/>
      <c r="I22" s="214"/>
      <c r="L22" s="245"/>
    </row>
    <row r="23" spans="1:12">
      <c r="A23" s="504" t="s">
        <v>42</v>
      </c>
      <c r="B23" s="502">
        <v>-1.3261381250358806E-2</v>
      </c>
      <c r="C23" s="505">
        <v>-0.27382252257141548</v>
      </c>
      <c r="D23" s="503">
        <v>1.7952195966998597E-3</v>
      </c>
      <c r="E23" s="503">
        <v>3.4252782497291509E-4</v>
      </c>
      <c r="F23" s="503">
        <v>2.1377474216727746E-3</v>
      </c>
      <c r="G23" s="245"/>
      <c r="H23" s="220"/>
      <c r="I23" s="214"/>
      <c r="L23" s="245"/>
    </row>
    <row r="24" spans="1:12">
      <c r="A24" s="504" t="s">
        <v>44</v>
      </c>
      <c r="B24" s="502">
        <v>3.5897783614230017E-2</v>
      </c>
      <c r="C24" s="505">
        <v>0.30703773508574445</v>
      </c>
      <c r="D24" s="503">
        <v>0</v>
      </c>
      <c r="E24" s="503">
        <v>5.1012487401729551E-3</v>
      </c>
      <c r="F24" s="503">
        <v>5.1012487401729551E-3</v>
      </c>
      <c r="G24" s="245"/>
      <c r="H24" s="220"/>
      <c r="I24" s="214"/>
      <c r="L24" s="245"/>
    </row>
    <row r="25" spans="1:12">
      <c r="A25" s="504" t="s">
        <v>84</v>
      </c>
      <c r="B25" s="502">
        <v>-1.0349609165243856E-2</v>
      </c>
      <c r="C25" s="505">
        <v>-1.1287415553999631</v>
      </c>
      <c r="D25" s="503">
        <v>2.1381736698129141E-3</v>
      </c>
      <c r="E25" s="503">
        <v>-7.2911563163307821E-4</v>
      </c>
      <c r="F25" s="503">
        <v>1.409058038179836E-3</v>
      </c>
      <c r="G25" s="245"/>
      <c r="H25" s="220"/>
      <c r="I25" s="214"/>
      <c r="L25" s="245"/>
    </row>
    <row r="26" spans="1:12">
      <c r="A26" s="504" t="s">
        <v>334</v>
      </c>
      <c r="B26" s="502">
        <v>-3.8294348996067429E-3</v>
      </c>
      <c r="C26" s="505">
        <v>8.4927405218381356E-3</v>
      </c>
      <c r="D26" s="503">
        <v>-2.2092602033159744E-4</v>
      </c>
      <c r="E26" s="503"/>
      <c r="F26" s="503">
        <v>-2.2092602033159744E-4</v>
      </c>
      <c r="G26" s="245"/>
      <c r="H26" s="220"/>
      <c r="I26" s="214"/>
      <c r="L26" s="245"/>
    </row>
    <row r="27" spans="1:12">
      <c r="A27" s="504" t="s">
        <v>85</v>
      </c>
      <c r="B27" s="502">
        <v>1.3359601748250904E-2</v>
      </c>
      <c r="C27" s="505">
        <v>8.1380068882478188E-4</v>
      </c>
      <c r="D27" s="503">
        <v>1.0839616508302707E-4</v>
      </c>
      <c r="E27" s="503">
        <v>-2.7419025235067454E-4</v>
      </c>
      <c r="F27" s="503">
        <v>-1.6579408726764746E-4</v>
      </c>
      <c r="G27" s="245"/>
      <c r="H27" s="220"/>
      <c r="I27" s="214"/>
      <c r="L27" s="245"/>
    </row>
    <row r="28" spans="1:12">
      <c r="A28" s="504" t="s">
        <v>345</v>
      </c>
      <c r="B28" s="502">
        <v>-7.4074074074074181E-3</v>
      </c>
      <c r="C28" s="505">
        <v>-5.2490144429197923E-2</v>
      </c>
      <c r="D28" s="503">
        <v>3.0198265560697786E-5</v>
      </c>
      <c r="E28" s="503">
        <v>2.1675441329753475E-4</v>
      </c>
      <c r="F28" s="503">
        <v>2.4695267885823253E-4</v>
      </c>
      <c r="G28" s="245"/>
      <c r="H28" s="220"/>
      <c r="I28" s="214"/>
      <c r="L28" s="245"/>
    </row>
    <row r="29" spans="1:12">
      <c r="A29" s="501" t="s">
        <v>805</v>
      </c>
      <c r="B29" s="502">
        <v>-1.7885142184393681E-2</v>
      </c>
      <c r="C29" s="505">
        <v>-0.43166873544230211</v>
      </c>
      <c r="D29" s="503">
        <v>2.6869551154876494E-3</v>
      </c>
      <c r="E29" s="503">
        <v>0</v>
      </c>
      <c r="F29" s="503">
        <v>2.6869551154876494E-3</v>
      </c>
      <c r="G29" s="245"/>
      <c r="H29" s="220"/>
      <c r="I29" s="214"/>
      <c r="L29" s="245"/>
    </row>
    <row r="30" spans="1:12">
      <c r="A30" s="504" t="s">
        <v>432</v>
      </c>
      <c r="B30" s="502">
        <v>-4.1576584067859468E-4</v>
      </c>
      <c r="C30" s="505">
        <v>-7.2407394621092549E-3</v>
      </c>
      <c r="D30" s="503">
        <v>1.7408185814799114E-3</v>
      </c>
      <c r="E30" s="503">
        <v>0</v>
      </c>
      <c r="F30" s="503">
        <v>1.7408185814799114E-3</v>
      </c>
      <c r="G30" s="245"/>
      <c r="H30" s="220"/>
      <c r="I30" s="214"/>
      <c r="L30" s="245"/>
    </row>
    <row r="31" spans="1:12">
      <c r="A31" s="504" t="s">
        <v>530</v>
      </c>
      <c r="B31" s="502">
        <v>-3.4928647964784232E-2</v>
      </c>
      <c r="C31" s="505">
        <v>-7.579642587627812E-2</v>
      </c>
      <c r="D31" s="503">
        <v>1.8169241943614495E-4</v>
      </c>
      <c r="E31" s="503">
        <v>0</v>
      </c>
      <c r="F31" s="503">
        <v>1.8169241943614495E-4</v>
      </c>
      <c r="G31" s="245"/>
      <c r="H31" s="220"/>
      <c r="I31" s="214"/>
      <c r="L31" s="245"/>
    </row>
    <row r="32" spans="1:12">
      <c r="A32" s="504" t="s">
        <v>933</v>
      </c>
      <c r="B32" s="502">
        <v>-4.8114523552931887E-2</v>
      </c>
      <c r="C32" s="505">
        <v>-0.24377637698719418</v>
      </c>
      <c r="D32" s="503">
        <v>3.7525985848910984E-4</v>
      </c>
      <c r="E32" s="503">
        <v>0</v>
      </c>
      <c r="F32" s="503">
        <v>3.7525985848910984E-4</v>
      </c>
      <c r="G32" s="245"/>
      <c r="H32" s="220"/>
      <c r="L32" s="245"/>
    </row>
    <row r="33" spans="1:28">
      <c r="A33" s="504" t="s">
        <v>1091</v>
      </c>
      <c r="B33" s="502">
        <v>-2.573613935814012E-2</v>
      </c>
      <c r="C33" s="505">
        <v>-0.12745689006417424</v>
      </c>
      <c r="D33" s="503">
        <v>3.252294307906994E-4</v>
      </c>
      <c r="E33" s="503">
        <v>0</v>
      </c>
      <c r="F33" s="503">
        <v>3.252294307906994E-4</v>
      </c>
      <c r="G33" s="245"/>
      <c r="H33" s="220"/>
      <c r="I33" s="214"/>
      <c r="L33" s="245"/>
    </row>
    <row r="34" spans="1:28">
      <c r="A34" s="504" t="s">
        <v>1147</v>
      </c>
      <c r="B34" s="502">
        <v>2.850405396642397E-2</v>
      </c>
      <c r="C34" s="505">
        <v>2.2601696947453735E-2</v>
      </c>
      <c r="D34" s="503">
        <v>6.3954825291783201E-5</v>
      </c>
      <c r="E34" s="503">
        <v>0</v>
      </c>
      <c r="F34" s="503">
        <v>6.3954825291783201E-5</v>
      </c>
      <c r="G34" s="245"/>
      <c r="H34" s="220"/>
      <c r="I34" s="214"/>
      <c r="L34" s="245"/>
      <c r="N34" s="216"/>
      <c r="O34" s="216"/>
      <c r="P34" s="216"/>
      <c r="Q34" s="216"/>
      <c r="R34" s="216"/>
      <c r="S34" s="246"/>
      <c r="T34" s="246"/>
      <c r="U34" s="246"/>
    </row>
    <row r="35" spans="1:28">
      <c r="A35" s="501" t="s">
        <v>736</v>
      </c>
      <c r="B35" s="502">
        <v>4.9150762836918549E-2</v>
      </c>
      <c r="C35" s="505">
        <v>0.94601700873654648</v>
      </c>
      <c r="D35" s="503">
        <v>2.4739084210286559E-3</v>
      </c>
      <c r="E35" s="503">
        <v>0</v>
      </c>
      <c r="F35" s="503">
        <v>2.4739084210286559E-3</v>
      </c>
      <c r="G35" s="215"/>
      <c r="H35" s="220"/>
      <c r="I35" s="214"/>
      <c r="L35" s="245"/>
    </row>
    <row r="36" spans="1:28">
      <c r="A36" s="504" t="s">
        <v>735</v>
      </c>
      <c r="B36" s="502">
        <v>8.351591699961336E-2</v>
      </c>
      <c r="C36" s="505">
        <v>0.72205405116772914</v>
      </c>
      <c r="D36" s="503">
        <v>9.3677598891467578E-4</v>
      </c>
      <c r="E36" s="503">
        <v>0</v>
      </c>
      <c r="F36" s="503">
        <v>9.3677598891467578E-4</v>
      </c>
      <c r="G36" s="215"/>
      <c r="H36" s="220"/>
      <c r="I36" s="214"/>
      <c r="L36" s="245"/>
    </row>
    <row r="37" spans="1:28">
      <c r="A37" s="504" t="s">
        <v>1004</v>
      </c>
      <c r="B37" s="502">
        <v>1.4785608674223738E-2</v>
      </c>
      <c r="C37" s="505">
        <v>0.2239629575688174</v>
      </c>
      <c r="D37" s="503">
        <v>1.5371324321139799E-3</v>
      </c>
      <c r="E37" s="503">
        <v>0</v>
      </c>
      <c r="F37" s="503">
        <v>1.5371324321139799E-3</v>
      </c>
      <c r="G37" s="215"/>
      <c r="H37" s="220"/>
      <c r="L37" s="245"/>
      <c r="S37" s="233"/>
      <c r="T37" s="233"/>
      <c r="U37" s="233"/>
      <c r="V37" s="247"/>
      <c r="W37" s="247"/>
      <c r="X37" s="247"/>
      <c r="Y37" s="247"/>
      <c r="Z37" s="247"/>
    </row>
    <row r="38" spans="1:28">
      <c r="A38" s="501" t="s">
        <v>800</v>
      </c>
      <c r="B38" s="502">
        <v>-6.6327822756911292E-2</v>
      </c>
      <c r="C38" s="505">
        <v>-0.21233937973027853</v>
      </c>
      <c r="D38" s="503">
        <v>1.0825927963382987E-3</v>
      </c>
      <c r="E38" s="503">
        <v>0</v>
      </c>
      <c r="F38" s="503">
        <v>1.0825927963382987E-3</v>
      </c>
      <c r="G38" s="215"/>
      <c r="H38" s="220"/>
      <c r="I38" s="214"/>
      <c r="L38" s="245"/>
      <c r="AA38" s="248"/>
      <c r="AB38" s="248"/>
    </row>
    <row r="39" spans="1:28">
      <c r="A39" s="504" t="s">
        <v>799</v>
      </c>
      <c r="B39" s="502">
        <v>-0.14710042432814707</v>
      </c>
      <c r="C39" s="505">
        <v>-0.33854108655110615</v>
      </c>
      <c r="D39" s="503">
        <v>1.9628872614453562E-4</v>
      </c>
      <c r="E39" s="503">
        <v>0</v>
      </c>
      <c r="F39" s="503">
        <v>1.9628872614453562E-4</v>
      </c>
      <c r="G39" s="215"/>
      <c r="H39" s="220"/>
      <c r="I39" s="214"/>
      <c r="L39" s="245"/>
      <c r="S39" s="233"/>
      <c r="T39" s="233"/>
      <c r="U39" s="233"/>
      <c r="V39" s="234"/>
      <c r="W39" s="234"/>
      <c r="X39" s="234"/>
      <c r="Y39" s="234"/>
      <c r="Z39" s="234"/>
    </row>
    <row r="40" spans="1:28">
      <c r="A40" s="504" t="s">
        <v>1131</v>
      </c>
      <c r="B40" s="502">
        <v>1.4444778814324488E-2</v>
      </c>
      <c r="C40" s="505">
        <v>0.12620170682082762</v>
      </c>
      <c r="D40" s="503">
        <v>8.8630407019376321E-4</v>
      </c>
      <c r="E40" s="503">
        <v>0</v>
      </c>
      <c r="F40" s="503">
        <v>8.8630407019376321E-4</v>
      </c>
      <c r="G40" s="215"/>
      <c r="H40" s="220"/>
      <c r="L40" s="245"/>
    </row>
    <row r="41" spans="1:28">
      <c r="A41" s="501" t="s">
        <v>913</v>
      </c>
      <c r="B41" s="502">
        <v>-1.4862111292430489E-2</v>
      </c>
      <c r="C41" s="505">
        <v>-0.57174121357792007</v>
      </c>
      <c r="D41" s="503">
        <v>3.1021343994708855E-3</v>
      </c>
      <c r="E41" s="503">
        <v>3.474386083495823E-3</v>
      </c>
      <c r="F41" s="503">
        <v>6.5765204829667098E-3</v>
      </c>
      <c r="G41" s="215"/>
      <c r="H41" s="220"/>
      <c r="I41" s="214"/>
      <c r="L41" s="245"/>
      <c r="S41" s="233"/>
      <c r="T41" s="233"/>
      <c r="U41" s="233"/>
      <c r="V41" s="247"/>
      <c r="W41" s="247"/>
      <c r="X41" s="247"/>
      <c r="Y41" s="247"/>
      <c r="Z41" s="247"/>
    </row>
    <row r="42" spans="1:28">
      <c r="A42" s="504" t="s">
        <v>27</v>
      </c>
      <c r="B42" s="502">
        <v>-1.2119060049344821E-3</v>
      </c>
      <c r="C42" s="505">
        <v>-2.3731471420346824E-2</v>
      </c>
      <c r="D42" s="503">
        <v>0</v>
      </c>
      <c r="E42" s="503">
        <v>9.2286887908141083E-4</v>
      </c>
      <c r="F42" s="503">
        <v>9.2286887908141072E-4</v>
      </c>
      <c r="G42" s="215"/>
      <c r="H42" s="220"/>
      <c r="I42" s="214"/>
      <c r="L42" s="245"/>
      <c r="S42" s="233"/>
      <c r="T42" s="233"/>
      <c r="U42" s="233"/>
      <c r="V42" s="234"/>
      <c r="W42" s="234"/>
      <c r="X42" s="234"/>
      <c r="Y42" s="234"/>
      <c r="Z42" s="234"/>
    </row>
    <row r="43" spans="1:28">
      <c r="A43" s="504" t="s">
        <v>37</v>
      </c>
      <c r="B43" s="502">
        <v>-4.9737595419847347E-2</v>
      </c>
      <c r="C43" s="505">
        <v>0.2001323693979081</v>
      </c>
      <c r="D43" s="503">
        <v>-3.8236321031010384E-4</v>
      </c>
      <c r="E43" s="503">
        <v>0</v>
      </c>
      <c r="F43" s="503">
        <v>-3.8236321031010384E-4</v>
      </c>
      <c r="G43" s="215"/>
      <c r="H43" s="220"/>
      <c r="I43" s="214"/>
      <c r="L43" s="245"/>
    </row>
    <row r="44" spans="1:28">
      <c r="A44" s="504" t="s">
        <v>29</v>
      </c>
      <c r="B44" s="502">
        <v>1.8236445985739813E-3</v>
      </c>
      <c r="C44" s="505">
        <v>0.1406894457503409</v>
      </c>
      <c r="D44" s="503">
        <v>1.2446703848588575E-3</v>
      </c>
      <c r="E44" s="503">
        <v>1.4305533663206335E-3</v>
      </c>
      <c r="F44" s="503">
        <v>2.675223751179491E-3</v>
      </c>
      <c r="G44" s="215"/>
      <c r="H44" s="220"/>
      <c r="I44" s="214"/>
      <c r="L44" s="245"/>
      <c r="S44" s="246"/>
      <c r="T44" s="246"/>
      <c r="U44" s="246"/>
    </row>
    <row r="45" spans="1:28">
      <c r="A45" s="504" t="s">
        <v>38</v>
      </c>
      <c r="B45" s="502">
        <v>-3.7555893717404754E-2</v>
      </c>
      <c r="C45" s="505">
        <v>-0.20841894707857686</v>
      </c>
      <c r="D45" s="503">
        <v>4.895894221361815E-4</v>
      </c>
      <c r="E45" s="503">
        <v>0</v>
      </c>
      <c r="F45" s="503">
        <v>4.895894221361815E-4</v>
      </c>
      <c r="G45" s="215"/>
      <c r="H45" s="220"/>
      <c r="I45" s="214"/>
      <c r="L45" s="245"/>
    </row>
    <row r="46" spans="1:28">
      <c r="A46" s="504" t="s">
        <v>318</v>
      </c>
      <c r="B46" s="502">
        <v>-3.2072265607889006E-2</v>
      </c>
      <c r="C46" s="505">
        <v>-0.30160288195219342</v>
      </c>
      <c r="D46" s="503">
        <v>0</v>
      </c>
      <c r="E46" s="503">
        <v>4.8909394563470575E-4</v>
      </c>
      <c r="F46" s="503">
        <v>4.8909394563470565E-4</v>
      </c>
      <c r="G46" s="215"/>
      <c r="H46" s="220"/>
      <c r="I46" s="214"/>
    </row>
    <row r="47" spans="1:28">
      <c r="A47" s="504" t="s">
        <v>1141</v>
      </c>
      <c r="B47" s="502">
        <v>8.8572854291417702E-3</v>
      </c>
      <c r="C47" s="505">
        <v>-4.0064033911373476E-2</v>
      </c>
      <c r="D47" s="503">
        <v>0</v>
      </c>
      <c r="E47" s="503">
        <v>-1.0503262739843607E-4</v>
      </c>
      <c r="F47" s="503">
        <v>-1.0503262739843607E-4</v>
      </c>
      <c r="G47" s="215"/>
      <c r="H47" s="220"/>
      <c r="I47" s="214"/>
    </row>
    <row r="48" spans="1:28">
      <c r="A48" s="504" t="s">
        <v>816</v>
      </c>
      <c r="B48" s="502">
        <v>5.9948123397460069E-3</v>
      </c>
      <c r="C48" s="505">
        <v>-7.8667399919727307E-2</v>
      </c>
      <c r="D48" s="503">
        <v>2.0049899704156575E-3</v>
      </c>
      <c r="E48" s="503">
        <v>-1.2708116130907556E-5</v>
      </c>
      <c r="F48" s="503">
        <v>1.99228185428475E-3</v>
      </c>
      <c r="G48" s="215"/>
      <c r="H48" s="220"/>
      <c r="I48" s="214"/>
    </row>
    <row r="49" spans="1:35">
      <c r="A49" s="504" t="s">
        <v>342</v>
      </c>
      <c r="B49" s="502">
        <v>-2.2658599530338386E-2</v>
      </c>
      <c r="C49" s="505">
        <v>-0.26007829444395114</v>
      </c>
      <c r="D49" s="503">
        <v>-2.5475216762970733E-4</v>
      </c>
      <c r="E49" s="503">
        <v>7.4961063598841682E-4</v>
      </c>
      <c r="F49" s="503">
        <v>4.948584683587096E-4</v>
      </c>
      <c r="G49" s="215"/>
      <c r="H49" s="220"/>
      <c r="I49" s="214"/>
    </row>
    <row r="50" spans="1:35">
      <c r="A50" s="501" t="s">
        <v>914</v>
      </c>
      <c r="B50" s="502">
        <v>-6.3844194672142696E-3</v>
      </c>
      <c r="C50" s="505">
        <v>-0.11643004721647479</v>
      </c>
      <c r="D50" s="503">
        <v>-6.0642403262842329E-5</v>
      </c>
      <c r="E50" s="503">
        <v>0</v>
      </c>
      <c r="F50" s="503">
        <v>-6.0642403262842329E-5</v>
      </c>
      <c r="G50" s="215"/>
      <c r="H50" s="220"/>
      <c r="I50" s="214"/>
    </row>
    <row r="51" spans="1:35">
      <c r="A51" s="504" t="s">
        <v>36</v>
      </c>
      <c r="B51" s="502">
        <v>-1.241660489251295E-2</v>
      </c>
      <c r="C51" s="505">
        <v>-6.5709188951518505E-2</v>
      </c>
      <c r="D51" s="503">
        <v>5.2263323570543466E-4</v>
      </c>
      <c r="E51" s="503">
        <v>0</v>
      </c>
      <c r="F51" s="503">
        <v>5.2263323570543466E-4</v>
      </c>
      <c r="G51" s="215"/>
      <c r="H51" s="220"/>
      <c r="I51" s="215"/>
    </row>
    <row r="52" spans="1:35">
      <c r="A52" s="504" t="s">
        <v>4</v>
      </c>
      <c r="B52" s="502">
        <v>-8.0469019427509281E-4</v>
      </c>
      <c r="C52" s="505">
        <v>8.0336734666027615E-3</v>
      </c>
      <c r="D52" s="503">
        <v>-9.9755271102454292E-4</v>
      </c>
      <c r="E52" s="503">
        <v>0</v>
      </c>
      <c r="F52" s="503">
        <v>-9.9755271102454292E-4</v>
      </c>
      <c r="G52" s="215"/>
      <c r="H52" s="220"/>
      <c r="I52" s="214"/>
    </row>
    <row r="53" spans="1:35">
      <c r="A53" s="504" t="s">
        <v>6</v>
      </c>
      <c r="B53" s="502">
        <v>-1.0886644219977537E-2</v>
      </c>
      <c r="C53" s="505">
        <v>-6.0722051396925408E-2</v>
      </c>
      <c r="D53" s="503">
        <v>5.5169426697021062E-4</v>
      </c>
      <c r="E53" s="503">
        <v>0</v>
      </c>
      <c r="F53" s="503">
        <v>5.5169426697021062E-4</v>
      </c>
      <c r="G53" s="215"/>
      <c r="H53" s="220"/>
      <c r="I53" s="214"/>
    </row>
    <row r="54" spans="1:35">
      <c r="A54" s="504" t="s">
        <v>926</v>
      </c>
      <c r="B54" s="502">
        <v>-1.4297385620914982E-3</v>
      </c>
      <c r="C54" s="505">
        <v>1.9675196653663666E-3</v>
      </c>
      <c r="D54" s="503">
        <v>-1.3741719491394469E-4</v>
      </c>
      <c r="E54" s="503">
        <v>0</v>
      </c>
      <c r="F54" s="503">
        <v>-1.3741719491394469E-4</v>
      </c>
      <c r="G54" s="215"/>
      <c r="H54" s="220"/>
      <c r="I54" s="214"/>
    </row>
    <row r="55" spans="1:35">
      <c r="A55" s="501" t="s">
        <v>45</v>
      </c>
      <c r="B55" s="502">
        <v>-9.6371094075266665E-3</v>
      </c>
      <c r="C55" s="505">
        <v>0.71177645921875277</v>
      </c>
      <c r="D55" s="503">
        <v>-1.0997626323610158E-2</v>
      </c>
      <c r="E55" s="503">
        <v>6.2310880112410334E-3</v>
      </c>
      <c r="F55" s="503">
        <v>-4.7665383123691304E-3</v>
      </c>
      <c r="G55" s="215"/>
      <c r="H55" s="220"/>
      <c r="I55" s="215"/>
    </row>
    <row r="56" spans="1:35">
      <c r="A56"/>
      <c r="B56"/>
      <c r="C56"/>
      <c r="D56"/>
      <c r="E56"/>
      <c r="F56"/>
      <c r="G56" s="215"/>
      <c r="H56" s="220"/>
      <c r="I56" s="215"/>
    </row>
    <row r="57" spans="1:35">
      <c r="A57"/>
      <c r="B57"/>
      <c r="C57"/>
      <c r="D57"/>
      <c r="E57"/>
      <c r="F57"/>
      <c r="G57" s="215"/>
      <c r="H57" s="220"/>
      <c r="I57" s="215"/>
    </row>
    <row r="58" spans="1:35">
      <c r="A58"/>
      <c r="B58"/>
      <c r="C58"/>
      <c r="D58"/>
      <c r="E58"/>
      <c r="F58"/>
      <c r="G58" s="215"/>
      <c r="H58" s="220"/>
      <c r="I58" s="215"/>
    </row>
    <row r="59" spans="1:35">
      <c r="A59"/>
      <c r="B59"/>
      <c r="C59"/>
      <c r="D59"/>
      <c r="E59"/>
      <c r="F59"/>
      <c r="G59" s="215"/>
      <c r="H59" s="220"/>
      <c r="I59" s="215"/>
    </row>
    <row r="60" spans="1:35">
      <c r="A60"/>
      <c r="B60"/>
      <c r="C60"/>
      <c r="D60"/>
      <c r="E60"/>
      <c r="F60"/>
      <c r="G60" s="215"/>
      <c r="H60" s="220"/>
      <c r="I60" s="215"/>
    </row>
    <row r="61" spans="1:35">
      <c r="A61"/>
      <c r="B61"/>
      <c r="C61"/>
      <c r="D61"/>
      <c r="E61"/>
      <c r="F61"/>
      <c r="G61" s="215"/>
      <c r="H61" s="220"/>
      <c r="I61" s="215"/>
      <c r="AI61" s="249"/>
    </row>
    <row r="62" spans="1:35">
      <c r="A62"/>
      <c r="B62"/>
      <c r="C62"/>
      <c r="D62"/>
      <c r="E62"/>
      <c r="F62"/>
      <c r="G62" s="215"/>
      <c r="H62" s="220"/>
      <c r="I62" s="215"/>
      <c r="AI62" s="249"/>
    </row>
    <row r="63" spans="1:35">
      <c r="A63"/>
      <c r="B63"/>
      <c r="C63"/>
      <c r="D63"/>
      <c r="E63"/>
      <c r="F63"/>
      <c r="G63" s="215"/>
      <c r="H63" s="220"/>
      <c r="I63" s="215"/>
      <c r="AI63" s="249"/>
    </row>
    <row r="64" spans="1:35">
      <c r="A64"/>
      <c r="B64"/>
      <c r="C64"/>
      <c r="D64"/>
      <c r="E64"/>
      <c r="F64"/>
      <c r="G64" s="215"/>
      <c r="H64" s="220"/>
      <c r="I64" s="215"/>
      <c r="AI64" s="249"/>
    </row>
    <row r="65" spans="1:9">
      <c r="A65"/>
      <c r="B65"/>
      <c r="C65"/>
      <c r="D65"/>
      <c r="E65"/>
      <c r="F65"/>
      <c r="G65" s="215"/>
      <c r="H65" s="220"/>
      <c r="I65" s="215"/>
    </row>
    <row r="66" spans="1:9">
      <c r="A66"/>
      <c r="B66"/>
      <c r="C66"/>
      <c r="D66"/>
      <c r="E66"/>
      <c r="F66"/>
      <c r="G66" s="215"/>
      <c r="H66" s="220"/>
      <c r="I66" s="215"/>
    </row>
    <row r="67" spans="1:9">
      <c r="A67"/>
      <c r="B67"/>
      <c r="C67"/>
      <c r="D67"/>
      <c r="E67"/>
      <c r="F67"/>
      <c r="G67" s="215"/>
      <c r="H67" s="220"/>
      <c r="I67" s="215"/>
    </row>
    <row r="68" spans="1:9">
      <c r="A68"/>
      <c r="B68"/>
      <c r="C68"/>
      <c r="D68"/>
      <c r="E68"/>
      <c r="F68"/>
      <c r="G68" s="215"/>
      <c r="H68" s="220"/>
      <c r="I68" s="215"/>
    </row>
    <row r="69" spans="1:9">
      <c r="A69"/>
      <c r="B69"/>
      <c r="C69"/>
      <c r="D69"/>
      <c r="E69"/>
      <c r="F69"/>
      <c r="G69" s="215"/>
      <c r="H69" s="220"/>
      <c r="I69" s="215"/>
    </row>
    <row r="70" spans="1:9">
      <c r="A70"/>
      <c r="B70"/>
      <c r="C70"/>
      <c r="D70"/>
      <c r="E70"/>
      <c r="F70"/>
      <c r="G70" s="215"/>
      <c r="H70" s="220"/>
      <c r="I70" s="215"/>
    </row>
    <row r="71" spans="1:9">
      <c r="A71"/>
      <c r="B71"/>
      <c r="C71"/>
      <c r="D71"/>
      <c r="E71"/>
      <c r="F71"/>
      <c r="G71" s="215"/>
      <c r="H71" s="220"/>
      <c r="I71" s="215"/>
    </row>
    <row r="72" spans="1:9">
      <c r="A72"/>
      <c r="B72"/>
      <c r="C72"/>
      <c r="D72"/>
      <c r="E72"/>
      <c r="F72"/>
      <c r="G72" s="215"/>
      <c r="H72" s="220"/>
      <c r="I72" s="215"/>
    </row>
    <row r="73" spans="1:9">
      <c r="A73"/>
      <c r="B73"/>
      <c r="C73"/>
      <c r="D73"/>
      <c r="E73"/>
      <c r="F73"/>
      <c r="G73" s="215"/>
      <c r="H73" s="220"/>
    </row>
    <row r="74" spans="1:9">
      <c r="A74"/>
      <c r="B74"/>
      <c r="C74"/>
      <c r="D74"/>
      <c r="E74"/>
      <c r="F74"/>
      <c r="G74" s="215"/>
      <c r="H74" s="220"/>
    </row>
    <row r="75" spans="1:9">
      <c r="A75"/>
      <c r="B75"/>
      <c r="C75"/>
      <c r="D75"/>
      <c r="E75"/>
      <c r="F75"/>
      <c r="G75" s="215"/>
      <c r="H75" s="220"/>
    </row>
    <row r="76" spans="1:9">
      <c r="A76"/>
      <c r="B76"/>
      <c r="C76"/>
      <c r="D76"/>
      <c r="E76"/>
      <c r="F76"/>
      <c r="G76" s="215"/>
      <c r="H76" s="220"/>
    </row>
    <row r="77" spans="1:9">
      <c r="A77"/>
      <c r="B77"/>
      <c r="C77"/>
      <c r="D77"/>
      <c r="E77"/>
      <c r="F77"/>
      <c r="G77" s="215"/>
      <c r="H77" s="220"/>
    </row>
    <row r="78" spans="1:9">
      <c r="A78"/>
      <c r="B78"/>
      <c r="C78"/>
      <c r="D78"/>
      <c r="E78"/>
      <c r="F78"/>
      <c r="G78" s="215"/>
      <c r="H78" s="220"/>
    </row>
    <row r="79" spans="1:9">
      <c r="A79"/>
      <c r="B79"/>
      <c r="C79"/>
      <c r="D79"/>
      <c r="E79"/>
      <c r="F79"/>
      <c r="G79" s="215"/>
      <c r="H79" s="220"/>
    </row>
    <row r="80" spans="1:9">
      <c r="A80"/>
      <c r="B80"/>
      <c r="C80"/>
      <c r="D80"/>
      <c r="E80"/>
      <c r="F80"/>
      <c r="G80" s="215"/>
      <c r="H80" s="220"/>
    </row>
    <row r="81" spans="1:8">
      <c r="A81"/>
      <c r="B81"/>
      <c r="C81"/>
      <c r="D81"/>
      <c r="E81"/>
      <c r="F81"/>
      <c r="G81" s="215"/>
      <c r="H81" s="220"/>
    </row>
    <row r="82" spans="1:8">
      <c r="A82"/>
      <c r="B82"/>
      <c r="C82"/>
      <c r="D82"/>
      <c r="E82"/>
      <c r="F82"/>
      <c r="G82" s="215"/>
      <c r="H82" s="220"/>
    </row>
    <row r="83" spans="1:8">
      <c r="A83"/>
      <c r="B83"/>
      <c r="C83"/>
      <c r="D83"/>
      <c r="E83"/>
      <c r="F83"/>
      <c r="G83" s="215"/>
      <c r="H83" s="220"/>
    </row>
    <row r="84" spans="1:8">
      <c r="A84"/>
      <c r="B84"/>
      <c r="C84"/>
      <c r="D84"/>
      <c r="E84"/>
      <c r="F84"/>
      <c r="G84" s="215"/>
      <c r="H84" s="220"/>
    </row>
    <row r="85" spans="1:8">
      <c r="A85"/>
      <c r="B85"/>
      <c r="C85"/>
      <c r="D85"/>
      <c r="E85"/>
      <c r="F85"/>
      <c r="G85" s="215"/>
      <c r="H85" s="220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761" priority="10292" operator="lessThan">
      <formula>0</formula>
    </cfRule>
  </conditionalFormatting>
  <conditionalFormatting sqref="H86:H1048576 F1:H9 F12:G12 G10:G11">
    <cfRule type="cellIs" dxfId="1760" priority="10289" operator="lessThan">
      <formula>0</formula>
    </cfRule>
    <cfRule type="cellIs" dxfId="1759" priority="10290" operator="lessThan">
      <formula>0</formula>
    </cfRule>
  </conditionalFormatting>
  <conditionalFormatting sqref="F136:G1048576 G86:G135">
    <cfRule type="cellIs" dxfId="1758" priority="5925" operator="lessThan">
      <formula>0</formula>
    </cfRule>
  </conditionalFormatting>
  <conditionalFormatting sqref="F136:G1048576 G86:G135">
    <cfRule type="cellIs" dxfId="1757" priority="5924" operator="lessThan">
      <formula>0</formula>
    </cfRule>
  </conditionalFormatting>
  <conditionalFormatting sqref="F136:G1048576 G86:G135">
    <cfRule type="cellIs" dxfId="1756" priority="5922" operator="lessThan">
      <formula>0</formula>
    </cfRule>
    <cfRule type="cellIs" dxfId="1755" priority="5923" operator="lessThan">
      <formula>0</formula>
    </cfRule>
  </conditionalFormatting>
  <conditionalFormatting sqref="F136:G1048576 G86:G135">
    <cfRule type="cellIs" dxfId="1754" priority="5921" operator="lessThan">
      <formula>0</formula>
    </cfRule>
  </conditionalFormatting>
  <conditionalFormatting sqref="F136:G1048576 G86:G135">
    <cfRule type="cellIs" dxfId="1753" priority="5920" operator="lessThan">
      <formula>0</formula>
    </cfRule>
  </conditionalFormatting>
  <conditionalFormatting sqref="F136:G1048576 G86:G135">
    <cfRule type="cellIs" dxfId="1752" priority="5919" operator="lessThan">
      <formula>0</formula>
    </cfRule>
  </conditionalFormatting>
  <conditionalFormatting sqref="F136:G1048576 G86:G135">
    <cfRule type="cellIs" dxfId="1751" priority="5918" operator="lessThan">
      <formula>0</formula>
    </cfRule>
  </conditionalFormatting>
  <conditionalFormatting sqref="F136:G1048576 G86:G135">
    <cfRule type="cellIs" dxfId="1750" priority="5917" operator="lessThan">
      <formula>0</formula>
    </cfRule>
  </conditionalFormatting>
  <conditionalFormatting sqref="F136:G1048576 G86:G135">
    <cfRule type="cellIs" dxfId="1749" priority="5916" operator="lessThan">
      <formula>0</formula>
    </cfRule>
  </conditionalFormatting>
  <conditionalFormatting sqref="F136:G1048576 G86:G135">
    <cfRule type="cellIs" dxfId="1748" priority="5915" operator="lessThan">
      <formula>0</formula>
    </cfRule>
  </conditionalFormatting>
  <conditionalFormatting sqref="F136:G1048576 G86:G135">
    <cfRule type="cellIs" dxfId="1747" priority="5914" operator="lessThan">
      <formula>0</formula>
    </cfRule>
  </conditionalFormatting>
  <conditionalFormatting sqref="F136:G1048576 G86:G135">
    <cfRule type="cellIs" dxfId="1746" priority="5913" operator="lessThan">
      <formula>0</formula>
    </cfRule>
  </conditionalFormatting>
  <conditionalFormatting sqref="F136:G1048576 G86:G135">
    <cfRule type="cellIs" dxfId="1745" priority="5912" operator="lessThan">
      <formula>0</formula>
    </cfRule>
  </conditionalFormatting>
  <conditionalFormatting sqref="F136:G1048576 G86:G135">
    <cfRule type="cellIs" dxfId="1744" priority="5911" operator="lessThan">
      <formula>0</formula>
    </cfRule>
  </conditionalFormatting>
  <conditionalFormatting sqref="F136:G1048576 G86:G135">
    <cfRule type="cellIs" dxfId="1743" priority="5910" operator="lessThan">
      <formula>0</formula>
    </cfRule>
  </conditionalFormatting>
  <conditionalFormatting sqref="F136:G1048576 G86:G135">
    <cfRule type="cellIs" dxfId="1742" priority="5909" operator="lessThan">
      <formula>0</formula>
    </cfRule>
  </conditionalFormatting>
  <conditionalFormatting sqref="F136:G1048576 G86:G135">
    <cfRule type="cellIs" dxfId="1741" priority="5908" operator="lessThan">
      <formula>0</formula>
    </cfRule>
  </conditionalFormatting>
  <conditionalFormatting sqref="F136:G1048576 G86:G135">
    <cfRule type="cellIs" dxfId="1740" priority="5907" operator="lessThan">
      <formula>0</formula>
    </cfRule>
  </conditionalFormatting>
  <conditionalFormatting sqref="F136:G1048576 G86:G135">
    <cfRule type="cellIs" dxfId="1739" priority="5906" operator="lessThan">
      <formula>0</formula>
    </cfRule>
  </conditionalFormatting>
  <conditionalFormatting sqref="F136:G1048576 G86:G135">
    <cfRule type="cellIs" dxfId="1738" priority="5905" operator="lessThan">
      <formula>0</formula>
    </cfRule>
  </conditionalFormatting>
  <conditionalFormatting sqref="F136:G1048576 G86:G135">
    <cfRule type="cellIs" dxfId="1737" priority="5904" operator="lessThan">
      <formula>0</formula>
    </cfRule>
  </conditionalFormatting>
  <conditionalFormatting sqref="F136:G1048576 G86:G135">
    <cfRule type="cellIs" dxfId="1736" priority="5903" operator="lessThan">
      <formula>0</formula>
    </cfRule>
  </conditionalFormatting>
  <conditionalFormatting sqref="F136:G1048576 G86:G135">
    <cfRule type="cellIs" dxfId="1735" priority="5902" operator="lessThan">
      <formula>0</formula>
    </cfRule>
  </conditionalFormatting>
  <conditionalFormatting sqref="F136:G1048576 G86:G135">
    <cfRule type="cellIs" dxfId="1734" priority="5901" operator="lessThan">
      <formula>0</formula>
    </cfRule>
  </conditionalFormatting>
  <conditionalFormatting sqref="F136:G1048576 G86:G135">
    <cfRule type="cellIs" dxfId="1733" priority="5900" operator="lessThan">
      <formula>0</formula>
    </cfRule>
  </conditionalFormatting>
  <conditionalFormatting sqref="F136:G1048576 G86:G135">
    <cfRule type="cellIs" dxfId="1732" priority="5899" operator="lessThan">
      <formula>0</formula>
    </cfRule>
  </conditionalFormatting>
  <conditionalFormatting sqref="F136:G1048576 G86:G135">
    <cfRule type="cellIs" dxfId="1731" priority="5898" operator="lessThan">
      <formula>0</formula>
    </cfRule>
  </conditionalFormatting>
  <conditionalFormatting sqref="F136:G1048576 G86:G135">
    <cfRule type="cellIs" dxfId="1730" priority="5897" operator="lessThan">
      <formula>0</formula>
    </cfRule>
  </conditionalFormatting>
  <conditionalFormatting sqref="F136:G1048576 G86:G135">
    <cfRule type="cellIs" dxfId="1729" priority="5896" operator="lessThan">
      <formula>0</formula>
    </cfRule>
  </conditionalFormatting>
  <conditionalFormatting sqref="F136:G1048576 G86:G135">
    <cfRule type="cellIs" dxfId="1728" priority="5895" operator="lessThan">
      <formula>0</formula>
    </cfRule>
  </conditionalFormatting>
  <conditionalFormatting sqref="F136:G1048576 G86:G135">
    <cfRule type="cellIs" dxfId="1727" priority="5894" operator="lessThan">
      <formula>0</formula>
    </cfRule>
  </conditionalFormatting>
  <conditionalFormatting sqref="F136:G1048576 G86:G135">
    <cfRule type="cellIs" dxfId="1726" priority="5893" operator="lessThan">
      <formula>0</formula>
    </cfRule>
  </conditionalFormatting>
  <conditionalFormatting sqref="F136:G1048576 G86:G135">
    <cfRule type="cellIs" dxfId="1725" priority="5892" operator="lessThan">
      <formula>0</formula>
    </cfRule>
  </conditionalFormatting>
  <conditionalFormatting sqref="F136:G1048576 G86:G135">
    <cfRule type="cellIs" dxfId="1724" priority="5891" operator="lessThan">
      <formula>0</formula>
    </cfRule>
  </conditionalFormatting>
  <conditionalFormatting sqref="F136:G1048576 G86:G135">
    <cfRule type="cellIs" dxfId="1723" priority="5890" operator="lessThan">
      <formula>0</formula>
    </cfRule>
  </conditionalFormatting>
  <conditionalFormatting sqref="F136:G1048576 G86:G135">
    <cfRule type="cellIs" dxfId="1722" priority="5889" operator="lessThan">
      <formula>0</formula>
    </cfRule>
  </conditionalFormatting>
  <conditionalFormatting sqref="F136:G1048576 G86:G135">
    <cfRule type="cellIs" dxfId="1721" priority="5888" operator="lessThan">
      <formula>0</formula>
    </cfRule>
  </conditionalFormatting>
  <conditionalFormatting sqref="F136:G1048576 G86:G135">
    <cfRule type="cellIs" dxfId="1720" priority="5887" operator="lessThan">
      <formula>0</formula>
    </cfRule>
  </conditionalFormatting>
  <conditionalFormatting sqref="F136:G1048576 G86:G135">
    <cfRule type="cellIs" dxfId="1719" priority="5886" operator="lessThan">
      <formula>0</formula>
    </cfRule>
  </conditionalFormatting>
  <conditionalFormatting sqref="F136:G1048576 G86:G135">
    <cfRule type="cellIs" dxfId="1718" priority="5885" operator="lessThan">
      <formula>0</formula>
    </cfRule>
  </conditionalFormatting>
  <conditionalFormatting sqref="F136:G1048576 G86:G135">
    <cfRule type="cellIs" dxfId="1717" priority="5884" operator="lessThan">
      <formula>0</formula>
    </cfRule>
  </conditionalFormatting>
  <conditionalFormatting sqref="F136:G1048576 G86:G135">
    <cfRule type="cellIs" dxfId="1716" priority="5883" operator="lessThan">
      <formula>0</formula>
    </cfRule>
  </conditionalFormatting>
  <conditionalFormatting sqref="F136:G1048576 G86:G135">
    <cfRule type="cellIs" dxfId="1715" priority="5882" operator="lessThan">
      <formula>0</formula>
    </cfRule>
  </conditionalFormatting>
  <conditionalFormatting sqref="F136:G1048576 G86:G135">
    <cfRule type="cellIs" dxfId="1714" priority="5881" operator="lessThan">
      <formula>0</formula>
    </cfRule>
  </conditionalFormatting>
  <conditionalFormatting sqref="F136:G1048576 G86:G135">
    <cfRule type="cellIs" dxfId="1713" priority="5880" operator="lessThan">
      <formula>0</formula>
    </cfRule>
  </conditionalFormatting>
  <conditionalFormatting sqref="F136:G1048576 G86:G135">
    <cfRule type="cellIs" dxfId="1712" priority="5879" operator="lessThan">
      <formula>0</formula>
    </cfRule>
  </conditionalFormatting>
  <conditionalFormatting sqref="F136:G1048576 G86:G135">
    <cfRule type="cellIs" dxfId="1711" priority="5878" operator="lessThan">
      <formula>0</formula>
    </cfRule>
  </conditionalFormatting>
  <conditionalFormatting sqref="F136:G1048576 G86:G135">
    <cfRule type="cellIs" dxfId="1710" priority="5877" operator="lessThan">
      <formula>0</formula>
    </cfRule>
  </conditionalFormatting>
  <conditionalFormatting sqref="F136:G1048576 G86:G135">
    <cfRule type="cellIs" dxfId="1709" priority="5876" operator="lessThan">
      <formula>0</formula>
    </cfRule>
  </conditionalFormatting>
  <conditionalFormatting sqref="F136:G1048576 G86:G135">
    <cfRule type="cellIs" dxfId="1708" priority="5875" operator="lessThan">
      <formula>0</formula>
    </cfRule>
  </conditionalFormatting>
  <conditionalFormatting sqref="F136:G1048576 G86:G135">
    <cfRule type="cellIs" dxfId="1707" priority="5874" operator="lessThan">
      <formula>0</formula>
    </cfRule>
  </conditionalFormatting>
  <conditionalFormatting sqref="F136:G1048576 G86:G135">
    <cfRule type="cellIs" dxfId="1706" priority="5873" operator="lessThan">
      <formula>0</formula>
    </cfRule>
  </conditionalFormatting>
  <conditionalFormatting sqref="F136:G1048576 G86:G135">
    <cfRule type="cellIs" dxfId="1705" priority="5872" operator="lessThan">
      <formula>0</formula>
    </cfRule>
  </conditionalFormatting>
  <conditionalFormatting sqref="F136:G1048576 G86:G135">
    <cfRule type="cellIs" dxfId="1704" priority="5871" operator="lessThan">
      <formula>0</formula>
    </cfRule>
  </conditionalFormatting>
  <conditionalFormatting sqref="F136:G1048576 G86:G135">
    <cfRule type="cellIs" dxfId="1703" priority="5870" operator="lessThan">
      <formula>0</formula>
    </cfRule>
  </conditionalFormatting>
  <conditionalFormatting sqref="F136:G1048576 G86:G135">
    <cfRule type="cellIs" dxfId="1702" priority="5869" operator="lessThan">
      <formula>0</formula>
    </cfRule>
  </conditionalFormatting>
  <conditionalFormatting sqref="F136:G1048576 G86:G135">
    <cfRule type="cellIs" dxfId="1701" priority="5868" operator="lessThan">
      <formula>0</formula>
    </cfRule>
  </conditionalFormatting>
  <conditionalFormatting sqref="F136:G1048576 G86:G135">
    <cfRule type="cellIs" dxfId="1700" priority="5867" operator="lessThan">
      <formula>0</formula>
    </cfRule>
  </conditionalFormatting>
  <conditionalFormatting sqref="F136:G1048576 G86:G135">
    <cfRule type="cellIs" dxfId="1699" priority="5866" operator="lessThan">
      <formula>0</formula>
    </cfRule>
  </conditionalFormatting>
  <conditionalFormatting sqref="F136:G1048576 G86:G135">
    <cfRule type="cellIs" dxfId="1698" priority="5865" operator="lessThan">
      <formula>0</formula>
    </cfRule>
  </conditionalFormatting>
  <conditionalFormatting sqref="F136:G1048576 G86:G135">
    <cfRule type="cellIs" dxfId="1697" priority="5864" operator="lessThan">
      <formula>0</formula>
    </cfRule>
  </conditionalFormatting>
  <conditionalFormatting sqref="F136:G1048576 G86:G135">
    <cfRule type="cellIs" dxfId="1696" priority="5863" operator="lessThan">
      <formula>0</formula>
    </cfRule>
  </conditionalFormatting>
  <conditionalFormatting sqref="F136:G1048576 G86:G135">
    <cfRule type="cellIs" dxfId="1695" priority="5862" operator="lessThan">
      <formula>0</formula>
    </cfRule>
  </conditionalFormatting>
  <conditionalFormatting sqref="F136:G1048576 G86:G135">
    <cfRule type="cellIs" dxfId="1694" priority="5861" operator="lessThan">
      <formula>0</formula>
    </cfRule>
  </conditionalFormatting>
  <conditionalFormatting sqref="F136:G1048576 G86:G135">
    <cfRule type="cellIs" dxfId="1693" priority="5860" operator="lessThan">
      <formula>0</formula>
    </cfRule>
  </conditionalFormatting>
  <conditionalFormatting sqref="F136:G1048576 G86:G135">
    <cfRule type="cellIs" dxfId="1692" priority="5859" operator="lessThan">
      <formula>0</formula>
    </cfRule>
  </conditionalFormatting>
  <conditionalFormatting sqref="F136:G1048576 G86:G135">
    <cfRule type="cellIs" dxfId="1691" priority="5858" operator="lessThan">
      <formula>0</formula>
    </cfRule>
  </conditionalFormatting>
  <conditionalFormatting sqref="F136:G1048576 G86:G135">
    <cfRule type="cellIs" dxfId="1690" priority="5857" operator="lessThan">
      <formula>0</formula>
    </cfRule>
  </conditionalFormatting>
  <conditionalFormatting sqref="F136:G1048576 G86:G135">
    <cfRule type="cellIs" dxfId="1689" priority="5856" operator="lessThan">
      <formula>0</formula>
    </cfRule>
  </conditionalFormatting>
  <conditionalFormatting sqref="F136:G1048576 G86:G135">
    <cfRule type="cellIs" dxfId="1688" priority="5855" operator="lessThan">
      <formula>0</formula>
    </cfRule>
  </conditionalFormatting>
  <conditionalFormatting sqref="F136:G1048576 G86:G135">
    <cfRule type="cellIs" dxfId="1687" priority="5854" operator="lessThan">
      <formula>0</formula>
    </cfRule>
  </conditionalFormatting>
  <conditionalFormatting sqref="F136:G1048576 G86:G135">
    <cfRule type="cellIs" dxfId="1686" priority="5853" operator="lessThan">
      <formula>0</formula>
    </cfRule>
  </conditionalFormatting>
  <conditionalFormatting sqref="F136:G1048576 G86:G135">
    <cfRule type="cellIs" dxfId="1685" priority="5852" operator="lessThan">
      <formula>0</formula>
    </cfRule>
  </conditionalFormatting>
  <conditionalFormatting sqref="F136:G1048576 G86:G135">
    <cfRule type="cellIs" dxfId="1684" priority="5851" operator="lessThan">
      <formula>0</formula>
    </cfRule>
  </conditionalFormatting>
  <conditionalFormatting sqref="F136:G1048576 G86:G135">
    <cfRule type="cellIs" dxfId="1683" priority="5850" operator="lessThan">
      <formula>0</formula>
    </cfRule>
  </conditionalFormatting>
  <conditionalFormatting sqref="F136:G1048576 G86:G135">
    <cfRule type="cellIs" dxfId="1682" priority="5849" operator="lessThan">
      <formula>0</formula>
    </cfRule>
  </conditionalFormatting>
  <conditionalFormatting sqref="F136:G1048576 G86:G135">
    <cfRule type="cellIs" dxfId="1681" priority="5848" operator="lessThan">
      <formula>0</formula>
    </cfRule>
  </conditionalFormatting>
  <conditionalFormatting sqref="F136:G1048576 G86:G135">
    <cfRule type="cellIs" dxfId="1680" priority="5847" operator="lessThan">
      <formula>0</formula>
    </cfRule>
  </conditionalFormatting>
  <conditionalFormatting sqref="F136:G1048576 G86:G135">
    <cfRule type="cellIs" dxfId="1679" priority="5846" operator="lessThan">
      <formula>0</formula>
    </cfRule>
  </conditionalFormatting>
  <conditionalFormatting sqref="F136:G1048576 G86:G135">
    <cfRule type="cellIs" dxfId="1678" priority="5845" operator="lessThan">
      <formula>0</formula>
    </cfRule>
  </conditionalFormatting>
  <conditionalFormatting sqref="F136:G1048576 G86:G135">
    <cfRule type="cellIs" dxfId="1677" priority="5844" operator="lessThan">
      <formula>0</formula>
    </cfRule>
  </conditionalFormatting>
  <conditionalFormatting sqref="F136:G1048576 G86:G135">
    <cfRule type="cellIs" dxfId="1676" priority="5843" operator="lessThan">
      <formula>0</formula>
    </cfRule>
  </conditionalFormatting>
  <conditionalFormatting sqref="F136:G1048576 G86:G135">
    <cfRule type="cellIs" dxfId="1675" priority="5842" operator="lessThan">
      <formula>0</formula>
    </cfRule>
  </conditionalFormatting>
  <conditionalFormatting sqref="F136:G1048576 G86:G135">
    <cfRule type="cellIs" dxfId="1674" priority="5841" operator="lessThan">
      <formula>0</formula>
    </cfRule>
  </conditionalFormatting>
  <conditionalFormatting sqref="F136:G1048576 G86:G135">
    <cfRule type="cellIs" dxfId="1673" priority="5840" operator="lessThan">
      <formula>0</formula>
    </cfRule>
  </conditionalFormatting>
  <conditionalFormatting sqref="F136:G1048576 G86:G135">
    <cfRule type="cellIs" dxfId="1672" priority="5839" operator="lessThan">
      <formula>0</formula>
    </cfRule>
  </conditionalFormatting>
  <conditionalFormatting sqref="F136:G1048576 G86:G135">
    <cfRule type="cellIs" dxfId="1671" priority="5838" operator="lessThan">
      <formula>0</formula>
    </cfRule>
  </conditionalFormatting>
  <conditionalFormatting sqref="F136:G1048576 G86:G135">
    <cfRule type="cellIs" dxfId="1670" priority="5837" operator="lessThan">
      <formula>0</formula>
    </cfRule>
  </conditionalFormatting>
  <conditionalFormatting sqref="F136:G1048576 G86:G135">
    <cfRule type="cellIs" dxfId="1669" priority="5836" operator="lessThan">
      <formula>0</formula>
    </cfRule>
  </conditionalFormatting>
  <conditionalFormatting sqref="F136:G1048576 G86:G135">
    <cfRule type="cellIs" dxfId="1668" priority="5835" operator="lessThan">
      <formula>0</formula>
    </cfRule>
  </conditionalFormatting>
  <conditionalFormatting sqref="F136:G1048576 G86:G135">
    <cfRule type="cellIs" dxfId="1667" priority="5834" operator="lessThan">
      <formula>0</formula>
    </cfRule>
  </conditionalFormatting>
  <conditionalFormatting sqref="F136:G1048576 G86:G135">
    <cfRule type="cellIs" dxfId="1666" priority="5833" operator="lessThan">
      <formula>0</formula>
    </cfRule>
  </conditionalFormatting>
  <conditionalFormatting sqref="F136:G1048576 G86:G135">
    <cfRule type="cellIs" dxfId="1665" priority="5832" operator="lessThan">
      <formula>0</formula>
    </cfRule>
  </conditionalFormatting>
  <conditionalFormatting sqref="F136:G1048576 G86:G135">
    <cfRule type="cellIs" dxfId="1664" priority="5831" operator="lessThan">
      <formula>0</formula>
    </cfRule>
  </conditionalFormatting>
  <conditionalFormatting sqref="F136:G1048576 G86:G135">
    <cfRule type="cellIs" dxfId="1663" priority="5830" operator="lessThan">
      <formula>0</formula>
    </cfRule>
  </conditionalFormatting>
  <conditionalFormatting sqref="F136:G1048576 G86:G135">
    <cfRule type="cellIs" dxfId="1662" priority="5829" operator="lessThan">
      <formula>0</formula>
    </cfRule>
  </conditionalFormatting>
  <conditionalFormatting sqref="F136:G1048576 G86:G135">
    <cfRule type="cellIs" dxfId="1661" priority="5828" operator="lessThan">
      <formula>0</formula>
    </cfRule>
  </conditionalFormatting>
  <conditionalFormatting sqref="F136:G1048576 G86:G135">
    <cfRule type="cellIs" dxfId="1660" priority="5827" operator="lessThan">
      <formula>0</formula>
    </cfRule>
  </conditionalFormatting>
  <conditionalFormatting sqref="F136:G1048576 G86:G135">
    <cfRule type="cellIs" dxfId="1659" priority="5826" operator="lessThan">
      <formula>0</formula>
    </cfRule>
  </conditionalFormatting>
  <conditionalFormatting sqref="F136:G1048576 G86:G135">
    <cfRule type="cellIs" dxfId="1658" priority="5825" operator="lessThan">
      <formula>0</formula>
    </cfRule>
  </conditionalFormatting>
  <conditionalFormatting sqref="F136:G1048576 G86:G135">
    <cfRule type="cellIs" dxfId="1657" priority="5824" operator="lessThan">
      <formula>0</formula>
    </cfRule>
  </conditionalFormatting>
  <conditionalFormatting sqref="F136:G1048576 G86:G135">
    <cfRule type="cellIs" dxfId="1656" priority="5823" operator="lessThan">
      <formula>0</formula>
    </cfRule>
  </conditionalFormatting>
  <conditionalFormatting sqref="F136:G1048576 G86:G135">
    <cfRule type="cellIs" dxfId="1655" priority="5822" operator="lessThan">
      <formula>0</formula>
    </cfRule>
  </conditionalFormatting>
  <conditionalFormatting sqref="F136:G1048576 G86:G135">
    <cfRule type="cellIs" dxfId="1654" priority="5821" operator="lessThan">
      <formula>0</formula>
    </cfRule>
  </conditionalFormatting>
  <conditionalFormatting sqref="F136:G1048576 G86:G135">
    <cfRule type="cellIs" dxfId="1653" priority="5820" operator="lessThan">
      <formula>0</formula>
    </cfRule>
  </conditionalFormatting>
  <conditionalFormatting sqref="F136:G1048576 G86:G135">
    <cfRule type="cellIs" dxfId="1652" priority="5819" operator="lessThan">
      <formula>0</formula>
    </cfRule>
  </conditionalFormatting>
  <conditionalFormatting sqref="F136:G1048576 G86:G135">
    <cfRule type="cellIs" dxfId="1651" priority="5818" operator="lessThan">
      <formula>0</formula>
    </cfRule>
  </conditionalFormatting>
  <conditionalFormatting sqref="F136:G1048576 G86:G135">
    <cfRule type="cellIs" dxfId="1650" priority="5817" operator="lessThan">
      <formula>0</formula>
    </cfRule>
  </conditionalFormatting>
  <conditionalFormatting sqref="F136:G1048576 G86:G135">
    <cfRule type="cellIs" dxfId="1649" priority="5816" operator="lessThan">
      <formula>0</formula>
    </cfRule>
  </conditionalFormatting>
  <conditionalFormatting sqref="F136:G1048576 G86:G135">
    <cfRule type="cellIs" dxfId="1648" priority="5815" operator="lessThan">
      <formula>0</formula>
    </cfRule>
  </conditionalFormatting>
  <conditionalFormatting sqref="F136:G1048576 G86:G135">
    <cfRule type="cellIs" dxfId="1647" priority="5814" operator="lessThan">
      <formula>0</formula>
    </cfRule>
  </conditionalFormatting>
  <conditionalFormatting sqref="F136:G1048576 G86:G135">
    <cfRule type="cellIs" dxfId="1646" priority="5813" operator="lessThan">
      <formula>0</formula>
    </cfRule>
  </conditionalFormatting>
  <conditionalFormatting sqref="F136:G1048576 G86:G135">
    <cfRule type="cellIs" dxfId="1645" priority="5812" operator="lessThan">
      <formula>0</formula>
    </cfRule>
  </conditionalFormatting>
  <conditionalFormatting sqref="F136:G1048576 G86:G135">
    <cfRule type="cellIs" dxfId="1644" priority="5811" operator="lessThan">
      <formula>0</formula>
    </cfRule>
  </conditionalFormatting>
  <conditionalFormatting sqref="F136:G1048576 G86:G135">
    <cfRule type="cellIs" dxfId="1643" priority="5810" operator="lessThan">
      <formula>0</formula>
    </cfRule>
  </conditionalFormatting>
  <conditionalFormatting sqref="F136:G1048576 G86:G135">
    <cfRule type="cellIs" dxfId="1642" priority="5809" operator="lessThan">
      <formula>0</formula>
    </cfRule>
  </conditionalFormatting>
  <conditionalFormatting sqref="F136:G1048576 G86:G135">
    <cfRule type="cellIs" dxfId="1641" priority="5808" operator="lessThan">
      <formula>0</formula>
    </cfRule>
  </conditionalFormatting>
  <conditionalFormatting sqref="F136:G1048576 G86:G135">
    <cfRule type="cellIs" dxfId="1640" priority="5807" operator="lessThan">
      <formula>0</formula>
    </cfRule>
  </conditionalFormatting>
  <conditionalFormatting sqref="F136:G1048576 G86:G135">
    <cfRule type="cellIs" dxfId="1639" priority="5806" operator="lessThan">
      <formula>0</formula>
    </cfRule>
  </conditionalFormatting>
  <conditionalFormatting sqref="F136:G1048576 G86:G135">
    <cfRule type="cellIs" dxfId="1638" priority="5805" operator="lessThan">
      <formula>0</formula>
    </cfRule>
  </conditionalFormatting>
  <conditionalFormatting sqref="F136:G1048576 G86:G135">
    <cfRule type="cellIs" dxfId="1637" priority="5804" operator="lessThan">
      <formula>0</formula>
    </cfRule>
  </conditionalFormatting>
  <conditionalFormatting sqref="F136:G1048576 G86:G135">
    <cfRule type="cellIs" dxfId="1636" priority="5803" operator="lessThan">
      <formula>0</formula>
    </cfRule>
  </conditionalFormatting>
  <conditionalFormatting sqref="F136:G1048576 G86:G135">
    <cfRule type="cellIs" dxfId="1635" priority="5802" operator="lessThan">
      <formula>0</formula>
    </cfRule>
  </conditionalFormatting>
  <conditionalFormatting sqref="F136:G1048576 G86:G135">
    <cfRule type="cellIs" dxfId="1634" priority="5801" operator="lessThan">
      <formula>0</formula>
    </cfRule>
  </conditionalFormatting>
  <conditionalFormatting sqref="F136:G1048576 G86:G135">
    <cfRule type="cellIs" dxfId="1633" priority="5800" operator="lessThan">
      <formula>0</formula>
    </cfRule>
  </conditionalFormatting>
  <conditionalFormatting sqref="F136:G1048576 G86:G135">
    <cfRule type="cellIs" dxfId="1632" priority="5799" operator="lessThan">
      <formula>0</formula>
    </cfRule>
  </conditionalFormatting>
  <conditionalFormatting sqref="F136:G1048576 G86:G135">
    <cfRule type="cellIs" dxfId="1631" priority="5798" operator="lessThan">
      <formula>0</formula>
    </cfRule>
  </conditionalFormatting>
  <conditionalFormatting sqref="F136:G1048576 G86:G135">
    <cfRule type="cellIs" dxfId="1630" priority="5797" operator="lessThan">
      <formula>0</formula>
    </cfRule>
  </conditionalFormatting>
  <conditionalFormatting sqref="F136:G1048576 G86:G135">
    <cfRule type="cellIs" dxfId="1629" priority="5796" operator="lessThan">
      <formula>0</formula>
    </cfRule>
  </conditionalFormatting>
  <conditionalFormatting sqref="F136:G1048576 G86:G135">
    <cfRule type="cellIs" dxfId="1628" priority="5795" operator="lessThan">
      <formula>0</formula>
    </cfRule>
  </conditionalFormatting>
  <conditionalFormatting sqref="F136:G1048576 G86:G135">
    <cfRule type="cellIs" dxfId="1627" priority="5794" operator="lessThan">
      <formula>0</formula>
    </cfRule>
  </conditionalFormatting>
  <conditionalFormatting sqref="F136:G1048576 G86:G135">
    <cfRule type="cellIs" dxfId="1626" priority="5793" operator="lessThan">
      <formula>0</formula>
    </cfRule>
  </conditionalFormatting>
  <conditionalFormatting sqref="F136:G1048576 G86:G135">
    <cfRule type="cellIs" dxfId="1625" priority="5792" operator="lessThan">
      <formula>0</formula>
    </cfRule>
  </conditionalFormatting>
  <conditionalFormatting sqref="F136:G1048576 G86:G135">
    <cfRule type="cellIs" dxfId="1624" priority="5791" operator="lessThan">
      <formula>0</formula>
    </cfRule>
  </conditionalFormatting>
  <conditionalFormatting sqref="F136:G1048576 G86:G135">
    <cfRule type="cellIs" dxfId="1623" priority="5790" operator="lessThan">
      <formula>0</formula>
    </cfRule>
  </conditionalFormatting>
  <conditionalFormatting sqref="F136:G1048576 G86:G135">
    <cfRule type="cellIs" dxfId="1622" priority="5789" operator="lessThan">
      <formula>0</formula>
    </cfRule>
  </conditionalFormatting>
  <conditionalFormatting sqref="F136:G1048576 G86:G135">
    <cfRule type="cellIs" dxfId="1621" priority="5788" operator="lessThan">
      <formula>0</formula>
    </cfRule>
  </conditionalFormatting>
  <conditionalFormatting sqref="F136:G1048576 G86:G135">
    <cfRule type="cellIs" dxfId="1620" priority="5787" operator="lessThan">
      <formula>0</formula>
    </cfRule>
  </conditionalFormatting>
  <conditionalFormatting sqref="F136:G1048576 G86:G135">
    <cfRule type="cellIs" dxfId="1619" priority="5786" operator="lessThan">
      <formula>0</formula>
    </cfRule>
  </conditionalFormatting>
  <conditionalFormatting sqref="F136:G1048576 G86:G135">
    <cfRule type="cellIs" dxfId="1618" priority="5785" operator="lessThan">
      <formula>0</formula>
    </cfRule>
  </conditionalFormatting>
  <conditionalFormatting sqref="F136:G1048576 G86:G135">
    <cfRule type="cellIs" dxfId="1617" priority="5784" operator="lessThan">
      <formula>0</formula>
    </cfRule>
  </conditionalFormatting>
  <conditionalFormatting sqref="F136:G1048576 G86:G135">
    <cfRule type="cellIs" dxfId="1616" priority="5783" operator="lessThan">
      <formula>0</formula>
    </cfRule>
  </conditionalFormatting>
  <conditionalFormatting sqref="F136:G1048576 G86:G135">
    <cfRule type="cellIs" dxfId="1615" priority="5782" operator="lessThan">
      <formula>0</formula>
    </cfRule>
  </conditionalFormatting>
  <conditionalFormatting sqref="F136:G1048576 G86:G135">
    <cfRule type="cellIs" dxfId="1614" priority="5781" operator="lessThan">
      <formula>0</formula>
    </cfRule>
  </conditionalFormatting>
  <conditionalFormatting sqref="F136:G1048576 G86:G135">
    <cfRule type="cellIs" dxfId="1613" priority="5780" operator="lessThan">
      <formula>0</formula>
    </cfRule>
  </conditionalFormatting>
  <conditionalFormatting sqref="F136:G1048576 G86:G135">
    <cfRule type="cellIs" dxfId="1612" priority="5779" operator="lessThan">
      <formula>0</formula>
    </cfRule>
  </conditionalFormatting>
  <conditionalFormatting sqref="F136:G1048576 G86:G135">
    <cfRule type="cellIs" dxfId="1611" priority="5778" operator="lessThan">
      <formula>0</formula>
    </cfRule>
  </conditionalFormatting>
  <conditionalFormatting sqref="F136:G1048576 G86:G135">
    <cfRule type="cellIs" dxfId="1610" priority="5777" operator="lessThan">
      <formula>0</formula>
    </cfRule>
  </conditionalFormatting>
  <conditionalFormatting sqref="F136:G1048576 G86:G135">
    <cfRule type="cellIs" dxfId="1609" priority="5776" operator="lessThan">
      <formula>0</formula>
    </cfRule>
  </conditionalFormatting>
  <conditionalFormatting sqref="F136:G1048576 G86:G135">
    <cfRule type="cellIs" dxfId="1608" priority="5775" operator="lessThan">
      <formula>0</formula>
    </cfRule>
  </conditionalFormatting>
  <conditionalFormatting sqref="F136:G1048576 G86:G135">
    <cfRule type="cellIs" dxfId="1607" priority="5774" operator="lessThan">
      <formula>0</formula>
    </cfRule>
  </conditionalFormatting>
  <conditionalFormatting sqref="F136:G1048576 G86:G135">
    <cfRule type="cellIs" dxfId="1606" priority="5773" operator="lessThan">
      <formula>0</formula>
    </cfRule>
  </conditionalFormatting>
  <conditionalFormatting sqref="F136:G1048576 G86:G135">
    <cfRule type="cellIs" dxfId="1605" priority="5772" operator="lessThan">
      <formula>0</formula>
    </cfRule>
  </conditionalFormatting>
  <conditionalFormatting sqref="F136:G1048576 G86:G135">
    <cfRule type="cellIs" dxfId="1604" priority="5771" operator="lessThan">
      <formula>0</formula>
    </cfRule>
  </conditionalFormatting>
  <conditionalFormatting sqref="F136:G1048576 G86:G135">
    <cfRule type="cellIs" dxfId="1603" priority="5770" operator="lessThan">
      <formula>0</formula>
    </cfRule>
  </conditionalFormatting>
  <conditionalFormatting sqref="F136:G1048576 G86:G135">
    <cfRule type="cellIs" dxfId="1602" priority="5769" operator="lessThan">
      <formula>0</formula>
    </cfRule>
  </conditionalFormatting>
  <conditionalFormatting sqref="F136:G1048576 G86:G135">
    <cfRule type="cellIs" dxfId="1601" priority="5768" operator="lessThan">
      <formula>0</formula>
    </cfRule>
  </conditionalFormatting>
  <conditionalFormatting sqref="F136:G1048576 G86:G135">
    <cfRule type="cellIs" dxfId="1600" priority="5767" operator="lessThan">
      <formula>0</formula>
    </cfRule>
  </conditionalFormatting>
  <conditionalFormatting sqref="F136:G1048576 G86:G135">
    <cfRule type="cellIs" dxfId="1599" priority="5766" operator="lessThan">
      <formula>0</formula>
    </cfRule>
  </conditionalFormatting>
  <conditionalFormatting sqref="F136:G1048576 G86:G135">
    <cfRule type="cellIs" dxfId="1598" priority="5765" operator="lessThan">
      <formula>0</formula>
    </cfRule>
  </conditionalFormatting>
  <conditionalFormatting sqref="F136:G1048576 G86:G135">
    <cfRule type="cellIs" dxfId="1597" priority="5764" operator="lessThan">
      <formula>0</formula>
    </cfRule>
  </conditionalFormatting>
  <conditionalFormatting sqref="F136:G1048576 G86:G135">
    <cfRule type="cellIs" dxfId="1596" priority="5763" operator="lessThan">
      <formula>0</formula>
    </cfRule>
  </conditionalFormatting>
  <conditionalFormatting sqref="F136:G1048576 G86:G135">
    <cfRule type="cellIs" dxfId="1595" priority="5762" operator="lessThan">
      <formula>0</formula>
    </cfRule>
  </conditionalFormatting>
  <conditionalFormatting sqref="F136:G1048576 G86:G135">
    <cfRule type="cellIs" dxfId="1594" priority="5761" operator="lessThan">
      <formula>0</formula>
    </cfRule>
  </conditionalFormatting>
  <conditionalFormatting sqref="F136:G1048576 G86:G135">
    <cfRule type="cellIs" dxfId="1593" priority="5760" operator="lessThan">
      <formula>0</formula>
    </cfRule>
  </conditionalFormatting>
  <conditionalFormatting sqref="F136:G1048576 G86:G135">
    <cfRule type="cellIs" dxfId="1592" priority="5759" operator="lessThan">
      <formula>0</formula>
    </cfRule>
  </conditionalFormatting>
  <conditionalFormatting sqref="F136:G1048576 G86:G135">
    <cfRule type="cellIs" dxfId="1591" priority="5758" operator="lessThan">
      <formula>0</formula>
    </cfRule>
  </conditionalFormatting>
  <conditionalFormatting sqref="F136:G1048576 G86:G135">
    <cfRule type="cellIs" dxfId="1590" priority="5757" operator="lessThan">
      <formula>0</formula>
    </cfRule>
  </conditionalFormatting>
  <conditionalFormatting sqref="F136:G1048576 G86:G135">
    <cfRule type="cellIs" dxfId="1589" priority="5756" operator="lessThan">
      <formula>0</formula>
    </cfRule>
  </conditionalFormatting>
  <conditionalFormatting sqref="F136:G1048576 G86:G135">
    <cfRule type="cellIs" dxfId="1588" priority="5755" operator="lessThan">
      <formula>0</formula>
    </cfRule>
  </conditionalFormatting>
  <conditionalFormatting sqref="F136:G1048576 G86:G135">
    <cfRule type="cellIs" dxfId="1587" priority="5754" operator="lessThan">
      <formula>0</formula>
    </cfRule>
  </conditionalFormatting>
  <conditionalFormatting sqref="F136:G1048576 G86:G135">
    <cfRule type="cellIs" dxfId="1586" priority="5753" operator="lessThan">
      <formula>0</formula>
    </cfRule>
  </conditionalFormatting>
  <conditionalFormatting sqref="F136:G1048576 G86:G135">
    <cfRule type="cellIs" dxfId="1585" priority="5752" operator="lessThan">
      <formula>0</formula>
    </cfRule>
  </conditionalFormatting>
  <conditionalFormatting sqref="F136:G1048576 G86:G135">
    <cfRule type="cellIs" dxfId="1584" priority="5751" operator="lessThan">
      <formula>0</formula>
    </cfRule>
  </conditionalFormatting>
  <conditionalFormatting sqref="F136:G1048576 G86:G135">
    <cfRule type="cellIs" dxfId="1583" priority="5750" operator="lessThan">
      <formula>0</formula>
    </cfRule>
  </conditionalFormatting>
  <conditionalFormatting sqref="F136:G1048576 G86:G135">
    <cfRule type="cellIs" dxfId="1582" priority="5749" operator="lessThan">
      <formula>0</formula>
    </cfRule>
  </conditionalFormatting>
  <conditionalFormatting sqref="F136:G1048576 G86:G135">
    <cfRule type="cellIs" dxfId="1581" priority="5748" operator="lessThan">
      <formula>0</formula>
    </cfRule>
  </conditionalFormatting>
  <conditionalFormatting sqref="F136:G1048576 G86:G135">
    <cfRule type="cellIs" dxfId="1580" priority="5747" operator="lessThan">
      <formula>0</formula>
    </cfRule>
  </conditionalFormatting>
  <conditionalFormatting sqref="F136:G1048576 G86:G135">
    <cfRule type="cellIs" dxfId="1579" priority="5746" operator="lessThan">
      <formula>0</formula>
    </cfRule>
  </conditionalFormatting>
  <conditionalFormatting sqref="F136:G1048576 G86:G135">
    <cfRule type="cellIs" dxfId="1578" priority="5745" operator="lessThan">
      <formula>0</formula>
    </cfRule>
  </conditionalFormatting>
  <conditionalFormatting sqref="F136:G1048576 G86:G135">
    <cfRule type="cellIs" dxfId="1577" priority="5744" operator="lessThan">
      <formula>0</formula>
    </cfRule>
  </conditionalFormatting>
  <conditionalFormatting sqref="F136:G1048576 G86:G135">
    <cfRule type="cellIs" dxfId="1576" priority="5743" operator="lessThan">
      <formula>0</formula>
    </cfRule>
  </conditionalFormatting>
  <conditionalFormatting sqref="F136:G1048576 G86:G135">
    <cfRule type="cellIs" dxfId="1575" priority="5742" operator="lessThan">
      <formula>0</formula>
    </cfRule>
  </conditionalFormatting>
  <conditionalFormatting sqref="F136:G1048576 G86:G135">
    <cfRule type="cellIs" dxfId="1574" priority="5741" operator="lessThan">
      <formula>0</formula>
    </cfRule>
  </conditionalFormatting>
  <conditionalFormatting sqref="F136:G1048576 G86:G135">
    <cfRule type="cellIs" dxfId="1573" priority="5740" operator="lessThan">
      <formula>0</formula>
    </cfRule>
  </conditionalFormatting>
  <conditionalFormatting sqref="F136:G1048576 G86:G135">
    <cfRule type="cellIs" dxfId="1572" priority="5739" operator="lessThan">
      <formula>0</formula>
    </cfRule>
  </conditionalFormatting>
  <conditionalFormatting sqref="F136:G1048576 G86:G135">
    <cfRule type="cellIs" dxfId="1571" priority="5738" operator="lessThan">
      <formula>0</formula>
    </cfRule>
  </conditionalFormatting>
  <conditionalFormatting sqref="F136:G1048576 G86:G135">
    <cfRule type="cellIs" dxfId="1570" priority="5737" operator="lessThan">
      <formula>0</formula>
    </cfRule>
  </conditionalFormatting>
  <conditionalFormatting sqref="F136:G1048576 G86:G135">
    <cfRule type="cellIs" dxfId="1569" priority="5736" operator="lessThan">
      <formula>0</formula>
    </cfRule>
  </conditionalFormatting>
  <conditionalFormatting sqref="F136:G1048576 G86:G135">
    <cfRule type="cellIs" dxfId="1568" priority="5735" operator="lessThan">
      <formula>0</formula>
    </cfRule>
  </conditionalFormatting>
  <conditionalFormatting sqref="F136:G1048576 G86:G135">
    <cfRule type="cellIs" dxfId="1567" priority="5734" operator="lessThan">
      <formula>0</formula>
    </cfRule>
  </conditionalFormatting>
  <conditionalFormatting sqref="F136:G1048576 G86:G135">
    <cfRule type="cellIs" dxfId="1566" priority="5733" operator="lessThan">
      <formula>0</formula>
    </cfRule>
  </conditionalFormatting>
  <conditionalFormatting sqref="F136:G1048576 G86:G135">
    <cfRule type="cellIs" dxfId="1565" priority="5732" operator="lessThan">
      <formula>0</formula>
    </cfRule>
  </conditionalFormatting>
  <conditionalFormatting sqref="F136:G1048576 G86:G135">
    <cfRule type="cellIs" dxfId="1564" priority="5731" operator="lessThan">
      <formula>0</formula>
    </cfRule>
  </conditionalFormatting>
  <conditionalFormatting sqref="F136:G1048576 G86:G135">
    <cfRule type="cellIs" dxfId="1563" priority="5730" operator="lessThan">
      <formula>0</formula>
    </cfRule>
  </conditionalFormatting>
  <conditionalFormatting sqref="F136:G1048576 G86:G135">
    <cfRule type="cellIs" dxfId="1562" priority="5729" operator="lessThan">
      <formula>0</formula>
    </cfRule>
  </conditionalFormatting>
  <conditionalFormatting sqref="F136:G1048576 G86:G135">
    <cfRule type="cellIs" dxfId="1561" priority="5728" operator="lessThan">
      <formula>0</formula>
    </cfRule>
  </conditionalFormatting>
  <conditionalFormatting sqref="F136:G1048576 G86:G135">
    <cfRule type="cellIs" dxfId="1560" priority="5727" operator="lessThan">
      <formula>0</formula>
    </cfRule>
  </conditionalFormatting>
  <conditionalFormatting sqref="F136:G1048576 G86:G135">
    <cfRule type="cellIs" dxfId="1559" priority="5726" operator="lessThan">
      <formula>0</formula>
    </cfRule>
  </conditionalFormatting>
  <conditionalFormatting sqref="F136:G1048576 G86:G135">
    <cfRule type="cellIs" dxfId="1558" priority="5725" operator="lessThan">
      <formula>0</formula>
    </cfRule>
  </conditionalFormatting>
  <conditionalFormatting sqref="F136:G1048576 G86:G135">
    <cfRule type="cellIs" dxfId="1557" priority="5724" operator="lessThan">
      <formula>0</formula>
    </cfRule>
  </conditionalFormatting>
  <conditionalFormatting sqref="F136:G1048576 G86:G135">
    <cfRule type="cellIs" dxfId="1556" priority="5723" operator="lessThan">
      <formula>0</formula>
    </cfRule>
  </conditionalFormatting>
  <conditionalFormatting sqref="F136:G1048576 G86:G135">
    <cfRule type="cellIs" dxfId="1555" priority="5722" operator="lessThan">
      <formula>0</formula>
    </cfRule>
  </conditionalFormatting>
  <conditionalFormatting sqref="F136:G1048576 G86:G135">
    <cfRule type="cellIs" dxfId="1554" priority="5721" operator="lessThan">
      <formula>0</formula>
    </cfRule>
  </conditionalFormatting>
  <conditionalFormatting sqref="F136:G1048576 G86:G135">
    <cfRule type="cellIs" dxfId="1553" priority="5720" operator="lessThan">
      <formula>0</formula>
    </cfRule>
  </conditionalFormatting>
  <conditionalFormatting sqref="F136:G1048576 G86:G135">
    <cfRule type="cellIs" dxfId="1552" priority="5719" operator="lessThan">
      <formula>0</formula>
    </cfRule>
  </conditionalFormatting>
  <conditionalFormatting sqref="F136:G1048576 G86:G135">
    <cfRule type="cellIs" dxfId="1551" priority="5718" operator="lessThan">
      <formula>0</formula>
    </cfRule>
  </conditionalFormatting>
  <conditionalFormatting sqref="F136:G1048576 G86:G135">
    <cfRule type="cellIs" dxfId="1550" priority="5717" operator="lessThan">
      <formula>0</formula>
    </cfRule>
  </conditionalFormatting>
  <conditionalFormatting sqref="F136:G1048576 G86:G135">
    <cfRule type="cellIs" dxfId="1549" priority="5716" operator="lessThan">
      <formula>0</formula>
    </cfRule>
  </conditionalFormatting>
  <conditionalFormatting sqref="F136:G1048576 G86:G135">
    <cfRule type="cellIs" dxfId="1548" priority="5715" operator="lessThan">
      <formula>0</formula>
    </cfRule>
  </conditionalFormatting>
  <conditionalFormatting sqref="F136:G1048576 G86:G135">
    <cfRule type="cellIs" dxfId="1547" priority="5714" operator="lessThan">
      <formula>0</formula>
    </cfRule>
  </conditionalFormatting>
  <conditionalFormatting sqref="F136:G1048576 G86:G135">
    <cfRule type="cellIs" dxfId="1546" priority="5713" operator="lessThan">
      <formula>0</formula>
    </cfRule>
  </conditionalFormatting>
  <conditionalFormatting sqref="F136:G1048576 G86:G135">
    <cfRule type="cellIs" dxfId="1545" priority="5712" operator="lessThan">
      <formula>0</formula>
    </cfRule>
  </conditionalFormatting>
  <conditionalFormatting sqref="F136:G1048576 G86:G135">
    <cfRule type="cellIs" dxfId="1544" priority="5711" operator="lessThan">
      <formula>0</formula>
    </cfRule>
  </conditionalFormatting>
  <conditionalFormatting sqref="F136:G1048576 G86:G135">
    <cfRule type="cellIs" dxfId="1543" priority="5710" operator="lessThan">
      <formula>0</formula>
    </cfRule>
  </conditionalFormatting>
  <conditionalFormatting sqref="F136:G1048576 G86:G135">
    <cfRule type="cellIs" dxfId="1542" priority="5709" operator="lessThan">
      <formula>0</formula>
    </cfRule>
  </conditionalFormatting>
  <conditionalFormatting sqref="F136:G1048576 G86:G135">
    <cfRule type="cellIs" dxfId="1541" priority="5708" operator="lessThan">
      <formula>0</formula>
    </cfRule>
  </conditionalFormatting>
  <conditionalFormatting sqref="F136:G1048576 G86:G135">
    <cfRule type="cellIs" dxfId="1540" priority="5707" operator="lessThan">
      <formula>0</formula>
    </cfRule>
  </conditionalFormatting>
  <conditionalFormatting sqref="F136:G1048576 G86:G135">
    <cfRule type="cellIs" dxfId="1539" priority="5706" operator="lessThan">
      <formula>0</formula>
    </cfRule>
  </conditionalFormatting>
  <conditionalFormatting sqref="F136:G1048576 G86:G135">
    <cfRule type="cellIs" dxfId="1538" priority="5705" operator="lessThan">
      <formula>0</formula>
    </cfRule>
  </conditionalFormatting>
  <conditionalFormatting sqref="F136:G1048576 G86:G135">
    <cfRule type="cellIs" dxfId="1537" priority="5704" operator="lessThan">
      <formula>0</formula>
    </cfRule>
  </conditionalFormatting>
  <conditionalFormatting sqref="F136:G1048576 G86:G135">
    <cfRule type="cellIs" dxfId="1536" priority="5703" operator="lessThan">
      <formula>0</formula>
    </cfRule>
  </conditionalFormatting>
  <conditionalFormatting sqref="F136:G1048576 G86:G135">
    <cfRule type="cellIs" dxfId="1535" priority="5702" operator="lessThan">
      <formula>0</formula>
    </cfRule>
  </conditionalFormatting>
  <conditionalFormatting sqref="F136:G1048576 G86:G135">
    <cfRule type="cellIs" dxfId="1534" priority="5701" operator="lessThan">
      <formula>0</formula>
    </cfRule>
  </conditionalFormatting>
  <conditionalFormatting sqref="F136:G1048576 G86:G135">
    <cfRule type="cellIs" dxfId="1533" priority="5700" operator="lessThan">
      <formula>0</formula>
    </cfRule>
  </conditionalFormatting>
  <conditionalFormatting sqref="F136:G1048576 G86:G135">
    <cfRule type="cellIs" dxfId="1532" priority="5699" operator="lessThan">
      <formula>0</formula>
    </cfRule>
  </conditionalFormatting>
  <conditionalFormatting sqref="F136:G1048576 G86:G135">
    <cfRule type="cellIs" dxfId="1531" priority="5698" operator="lessThan">
      <formula>0</formula>
    </cfRule>
  </conditionalFormatting>
  <conditionalFormatting sqref="F136:G1048576 G86:G135">
    <cfRule type="cellIs" dxfId="1530" priority="5697" operator="lessThan">
      <formula>0</formula>
    </cfRule>
  </conditionalFormatting>
  <conditionalFormatting sqref="F136:G1048576 G86:G135">
    <cfRule type="cellIs" dxfId="1529" priority="5696" operator="lessThan">
      <formula>0</formula>
    </cfRule>
  </conditionalFormatting>
  <conditionalFormatting sqref="F136:G1048576 G86:G135">
    <cfRule type="cellIs" dxfId="1528" priority="5695" operator="lessThan">
      <formula>0</formula>
    </cfRule>
  </conditionalFormatting>
  <conditionalFormatting sqref="F136:G1048576 G86:G135">
    <cfRule type="cellIs" dxfId="1527" priority="5694" operator="lessThan">
      <formula>0</formula>
    </cfRule>
  </conditionalFormatting>
  <conditionalFormatting sqref="F136:G1048576 G86:G135">
    <cfRule type="cellIs" dxfId="1526" priority="5693" operator="lessThan">
      <formula>0</formula>
    </cfRule>
  </conditionalFormatting>
  <conditionalFormatting sqref="F136:G1048576 G86:G135">
    <cfRule type="cellIs" dxfId="1525" priority="5692" operator="lessThan">
      <formula>0</formula>
    </cfRule>
  </conditionalFormatting>
  <conditionalFormatting sqref="F136:G1048576 G86:G135">
    <cfRule type="cellIs" dxfId="1524" priority="5691" operator="lessThan">
      <formula>0</formula>
    </cfRule>
  </conditionalFormatting>
  <conditionalFormatting sqref="F136:G1048576 G86:G135">
    <cfRule type="cellIs" dxfId="1523" priority="5690" operator="lessThan">
      <formula>0</formula>
    </cfRule>
  </conditionalFormatting>
  <conditionalFormatting sqref="F136:G1048576 G86:G135">
    <cfRule type="cellIs" dxfId="1522" priority="5689" operator="lessThan">
      <formula>0</formula>
    </cfRule>
  </conditionalFormatting>
  <conditionalFormatting sqref="F136:G1048576 G86:G135">
    <cfRule type="cellIs" dxfId="1521" priority="5688" operator="lessThan">
      <formula>0</formula>
    </cfRule>
  </conditionalFormatting>
  <conditionalFormatting sqref="F136:G1048576 G86:G135">
    <cfRule type="cellIs" dxfId="1520" priority="5687" operator="lessThan">
      <formula>0</formula>
    </cfRule>
  </conditionalFormatting>
  <conditionalFormatting sqref="F136:G1048576 G86:G135">
    <cfRule type="cellIs" dxfId="1519" priority="5686" operator="lessThan">
      <formula>0</formula>
    </cfRule>
  </conditionalFormatting>
  <conditionalFormatting sqref="F136:G1048576 G86:G135">
    <cfRule type="cellIs" dxfId="1518" priority="5685" operator="lessThan">
      <formula>0</formula>
    </cfRule>
  </conditionalFormatting>
  <conditionalFormatting sqref="F136:G1048576 G86:G135">
    <cfRule type="cellIs" dxfId="1517" priority="5684" operator="lessThan">
      <formula>0</formula>
    </cfRule>
  </conditionalFormatting>
  <conditionalFormatting sqref="F136:G1048576 G86:G135">
    <cfRule type="cellIs" dxfId="1516" priority="5683" operator="lessThan">
      <formula>0</formula>
    </cfRule>
  </conditionalFormatting>
  <conditionalFormatting sqref="F136:G1048576 G86:G135">
    <cfRule type="cellIs" dxfId="1515" priority="5682" operator="lessThan">
      <formula>0</formula>
    </cfRule>
  </conditionalFormatting>
  <conditionalFormatting sqref="F136:G1048576 G86:G135">
    <cfRule type="cellIs" dxfId="1514" priority="5681" operator="lessThan">
      <formula>0</formula>
    </cfRule>
  </conditionalFormatting>
  <conditionalFormatting sqref="F136:G1048576 G86:G135">
    <cfRule type="cellIs" dxfId="1513" priority="5680" operator="lessThan">
      <formula>0</formula>
    </cfRule>
  </conditionalFormatting>
  <conditionalFormatting sqref="F136:G1048576 G86:G135">
    <cfRule type="cellIs" dxfId="1512" priority="5679" operator="lessThan">
      <formula>0</formula>
    </cfRule>
  </conditionalFormatting>
  <conditionalFormatting sqref="F136:G1048576 G86:G135">
    <cfRule type="cellIs" dxfId="1511" priority="5678" operator="lessThan">
      <formula>0</formula>
    </cfRule>
  </conditionalFormatting>
  <conditionalFormatting sqref="F136:G1048576 G86:G135">
    <cfRule type="cellIs" dxfId="1510" priority="5677" operator="lessThan">
      <formula>0</formula>
    </cfRule>
  </conditionalFormatting>
  <conditionalFormatting sqref="F136:G1048576 G86:G135">
    <cfRule type="cellIs" dxfId="1509" priority="5676" operator="lessThan">
      <formula>0</formula>
    </cfRule>
  </conditionalFormatting>
  <conditionalFormatting sqref="F136:G1048576 G86:G135">
    <cfRule type="cellIs" dxfId="1508" priority="5675" operator="lessThan">
      <formula>0</formula>
    </cfRule>
  </conditionalFormatting>
  <conditionalFormatting sqref="F136:G1048576 G86:G135">
    <cfRule type="cellIs" dxfId="1507" priority="5674" operator="lessThan">
      <formula>0</formula>
    </cfRule>
  </conditionalFormatting>
  <conditionalFormatting sqref="F136:G1048576 G86:G135">
    <cfRule type="cellIs" dxfId="1506" priority="5673" operator="lessThan">
      <formula>0</formula>
    </cfRule>
  </conditionalFormatting>
  <conditionalFormatting sqref="F136:G1048576 G86:G135">
    <cfRule type="cellIs" dxfId="1505" priority="5672" operator="lessThan">
      <formula>0</formula>
    </cfRule>
  </conditionalFormatting>
  <conditionalFormatting sqref="F136:G1048576 G86:G135">
    <cfRule type="cellIs" dxfId="1504" priority="5671" operator="lessThan">
      <formula>0</formula>
    </cfRule>
  </conditionalFormatting>
  <conditionalFormatting sqref="F136:G1048576 G86:G135">
    <cfRule type="cellIs" dxfId="1503" priority="5670" operator="lessThan">
      <formula>0</formula>
    </cfRule>
  </conditionalFormatting>
  <conditionalFormatting sqref="F136:G1048576 G61:G135">
    <cfRule type="cellIs" dxfId="1502" priority="5669" operator="lessThan">
      <formula>0</formula>
    </cfRule>
  </conditionalFormatting>
  <conditionalFormatting sqref="F136:G1048576 G61:G135">
    <cfRule type="cellIs" dxfId="1501" priority="5668" operator="lessThan">
      <formula>0</formula>
    </cfRule>
  </conditionalFormatting>
  <conditionalFormatting sqref="F136:G1048576 G61:G135">
    <cfRule type="cellIs" dxfId="1500" priority="5667" operator="lessThan">
      <formula>0</formula>
    </cfRule>
  </conditionalFormatting>
  <conditionalFormatting sqref="F136:G1048576 G61:G135">
    <cfRule type="cellIs" dxfId="1499" priority="5666" operator="lessThan">
      <formula>0</formula>
    </cfRule>
  </conditionalFormatting>
  <conditionalFormatting sqref="F136:G1048576 G61:G135">
    <cfRule type="cellIs" dxfId="1498" priority="5665" operator="lessThan">
      <formula>0</formula>
    </cfRule>
  </conditionalFormatting>
  <conditionalFormatting sqref="F136:G1048576 G61:G135">
    <cfRule type="cellIs" dxfId="1497" priority="5664" operator="lessThan">
      <formula>0</formula>
    </cfRule>
  </conditionalFormatting>
  <conditionalFormatting sqref="F136:G1048576 G61:G135">
    <cfRule type="cellIs" dxfId="1496" priority="5663" operator="lessThan">
      <formula>0</formula>
    </cfRule>
  </conditionalFormatting>
  <conditionalFormatting sqref="F136:G1048576 G61:G135">
    <cfRule type="cellIs" dxfId="1495" priority="5662" operator="lessThan">
      <formula>0</formula>
    </cfRule>
  </conditionalFormatting>
  <conditionalFormatting sqref="F136:G1048576 G61:G135">
    <cfRule type="cellIs" dxfId="1494" priority="5661" operator="lessThan">
      <formula>0</formula>
    </cfRule>
  </conditionalFormatting>
  <conditionalFormatting sqref="F136:G1048576 G61:G135">
    <cfRule type="cellIs" dxfId="1493" priority="5660" operator="lessThan">
      <formula>0</formula>
    </cfRule>
  </conditionalFormatting>
  <conditionalFormatting sqref="F136:G1048576 G61:G135">
    <cfRule type="cellIs" dxfId="1492" priority="5659" operator="lessThan">
      <formula>0</formula>
    </cfRule>
  </conditionalFormatting>
  <conditionalFormatting sqref="F136:G1048576 G61:G135">
    <cfRule type="cellIs" dxfId="1491" priority="5658" operator="lessThan">
      <formula>0</formula>
    </cfRule>
  </conditionalFormatting>
  <conditionalFormatting sqref="F136:G1048576 G61:G135">
    <cfRule type="cellIs" dxfId="1490" priority="5657" operator="lessThan">
      <formula>0</formula>
    </cfRule>
  </conditionalFormatting>
  <conditionalFormatting sqref="F136:G1048576 G61:G135">
    <cfRule type="cellIs" dxfId="1489" priority="5656" operator="lessThan">
      <formula>0</formula>
    </cfRule>
  </conditionalFormatting>
  <conditionalFormatting sqref="F136:G1048576 G61:G135">
    <cfRule type="cellIs" dxfId="1488" priority="5655" operator="lessThan">
      <formula>0</formula>
    </cfRule>
  </conditionalFormatting>
  <conditionalFormatting sqref="F136:G1048576 G61:G135">
    <cfRule type="cellIs" dxfId="1487" priority="5654" operator="lessThan">
      <formula>0</formula>
    </cfRule>
  </conditionalFormatting>
  <conditionalFormatting sqref="F136:G1048576 G61:G135">
    <cfRule type="cellIs" dxfId="1486" priority="5653" operator="lessThan">
      <formula>0</formula>
    </cfRule>
  </conditionalFormatting>
  <conditionalFormatting sqref="F136:G1048576 G61:G135">
    <cfRule type="cellIs" dxfId="1485" priority="5652" operator="lessThan">
      <formula>0</formula>
    </cfRule>
  </conditionalFormatting>
  <conditionalFormatting sqref="F136:G1048576 G61:G135">
    <cfRule type="cellIs" dxfId="1484" priority="5651" operator="lessThan">
      <formula>0</formula>
    </cfRule>
  </conditionalFormatting>
  <conditionalFormatting sqref="F136:G1048576 G61:G135">
    <cfRule type="cellIs" dxfId="1483" priority="5650" operator="lessThan">
      <formula>0</formula>
    </cfRule>
  </conditionalFormatting>
  <conditionalFormatting sqref="F136:G1048576 G61:G135">
    <cfRule type="cellIs" dxfId="1482" priority="5649" operator="lessThan">
      <formula>0</formula>
    </cfRule>
  </conditionalFormatting>
  <conditionalFormatting sqref="F136:G1048576 G61:G135">
    <cfRule type="cellIs" dxfId="1481" priority="5648" operator="lessThan">
      <formula>0</formula>
    </cfRule>
  </conditionalFormatting>
  <conditionalFormatting sqref="F136:G1048576 G61:G135">
    <cfRule type="cellIs" dxfId="1480" priority="5647" operator="lessThan">
      <formula>0</formula>
    </cfRule>
  </conditionalFormatting>
  <conditionalFormatting sqref="F136:G1048576 G61:G135">
    <cfRule type="cellIs" dxfId="1479" priority="5646" operator="lessThan">
      <formula>0</formula>
    </cfRule>
  </conditionalFormatting>
  <conditionalFormatting sqref="F136:G1048576 G61:G135">
    <cfRule type="cellIs" dxfId="1478" priority="5645" operator="lessThan">
      <formula>0</formula>
    </cfRule>
  </conditionalFormatting>
  <conditionalFormatting sqref="F136:G1048576 G61:G135">
    <cfRule type="cellIs" dxfId="1477" priority="5644" operator="lessThan">
      <formula>0</formula>
    </cfRule>
  </conditionalFormatting>
  <conditionalFormatting sqref="F136:G1048576 G61:G135">
    <cfRule type="cellIs" dxfId="1476" priority="5643" operator="lessThan">
      <formula>0</formula>
    </cfRule>
  </conditionalFormatting>
  <conditionalFormatting sqref="F136:G1048576 G61:G135">
    <cfRule type="cellIs" dxfId="1475" priority="5642" operator="lessThan">
      <formula>0</formula>
    </cfRule>
  </conditionalFormatting>
  <conditionalFormatting sqref="F136:G1048576 G61:G135">
    <cfRule type="cellIs" dxfId="1474" priority="5641" operator="lessThan">
      <formula>0</formula>
    </cfRule>
  </conditionalFormatting>
  <conditionalFormatting sqref="F136:G1048576 G61:G135">
    <cfRule type="cellIs" dxfId="1473" priority="5640" operator="lessThan">
      <formula>0</formula>
    </cfRule>
  </conditionalFormatting>
  <conditionalFormatting sqref="F136:G1048576 G61:G135">
    <cfRule type="cellIs" dxfId="1472" priority="5639" operator="lessThan">
      <formula>0</formula>
    </cfRule>
  </conditionalFormatting>
  <conditionalFormatting sqref="F136:G1048576 G61:G135">
    <cfRule type="cellIs" dxfId="1471" priority="5638" operator="lessThan">
      <formula>0</formula>
    </cfRule>
  </conditionalFormatting>
  <conditionalFormatting sqref="F136:G1048576 G61:G135">
    <cfRule type="cellIs" dxfId="1470" priority="5637" operator="lessThan">
      <formula>0</formula>
    </cfRule>
  </conditionalFormatting>
  <conditionalFormatting sqref="F136:G1048576 G61:G135">
    <cfRule type="cellIs" dxfId="1469" priority="5636" operator="lessThan">
      <formula>0</formula>
    </cfRule>
  </conditionalFormatting>
  <conditionalFormatting sqref="F136:G1048576 G61:G135">
    <cfRule type="cellIs" dxfId="1468" priority="5635" operator="lessThan">
      <formula>0</formula>
    </cfRule>
  </conditionalFormatting>
  <conditionalFormatting sqref="F136:G1048576 G61:G135">
    <cfRule type="cellIs" dxfId="1467" priority="5634" operator="lessThan">
      <formula>0</formula>
    </cfRule>
  </conditionalFormatting>
  <conditionalFormatting sqref="F136:G1048576 G61:G135">
    <cfRule type="cellIs" dxfId="1466" priority="5633" operator="lessThan">
      <formula>0</formula>
    </cfRule>
  </conditionalFormatting>
  <conditionalFormatting sqref="F136:G1048576 G61:G135">
    <cfRule type="cellIs" dxfId="1465" priority="5632" operator="lessThan">
      <formula>0</formula>
    </cfRule>
  </conditionalFormatting>
  <conditionalFormatting sqref="F136:G1048576 G61:G135">
    <cfRule type="cellIs" dxfId="1464" priority="5631" operator="lessThan">
      <formula>0</formula>
    </cfRule>
  </conditionalFormatting>
  <conditionalFormatting sqref="F136:G1048576 G61:G135">
    <cfRule type="cellIs" dxfId="1463" priority="5630" operator="lessThan">
      <formula>0</formula>
    </cfRule>
  </conditionalFormatting>
  <conditionalFormatting sqref="F136:G1048576 G61:G135">
    <cfRule type="cellIs" dxfId="1462" priority="5629" operator="lessThan">
      <formula>0</formula>
    </cfRule>
  </conditionalFormatting>
  <conditionalFormatting sqref="F136:G1048576 G61:G135">
    <cfRule type="cellIs" dxfId="1461" priority="5628" operator="lessThan">
      <formula>0</formula>
    </cfRule>
  </conditionalFormatting>
  <conditionalFormatting sqref="F136:G1048576 G61:G135">
    <cfRule type="cellIs" dxfId="1460" priority="5627" operator="lessThan">
      <formula>0</formula>
    </cfRule>
  </conditionalFormatting>
  <conditionalFormatting sqref="F136:G1048576 G61:G135">
    <cfRule type="cellIs" dxfId="1459" priority="5626" operator="lessThan">
      <formula>0</formula>
    </cfRule>
  </conditionalFormatting>
  <conditionalFormatting sqref="F136:G1048576 G61:G135">
    <cfRule type="cellIs" dxfId="1458" priority="5625" operator="lessThan">
      <formula>0</formula>
    </cfRule>
  </conditionalFormatting>
  <conditionalFormatting sqref="F136:G1048576 G61:G135">
    <cfRule type="cellIs" dxfId="1457" priority="5624" operator="lessThan">
      <formula>0</formula>
    </cfRule>
  </conditionalFormatting>
  <conditionalFormatting sqref="F136:G1048576 G61:G135">
    <cfRule type="cellIs" dxfId="1456" priority="5623" operator="lessThan">
      <formula>0</formula>
    </cfRule>
  </conditionalFormatting>
  <conditionalFormatting sqref="F136:G1048576 G61:G135">
    <cfRule type="cellIs" dxfId="1455" priority="5622" operator="lessThan">
      <formula>0</formula>
    </cfRule>
  </conditionalFormatting>
  <conditionalFormatting sqref="F136:G1048576 G61:G135">
    <cfRule type="cellIs" dxfId="1454" priority="5621" operator="lessThan">
      <formula>0</formula>
    </cfRule>
  </conditionalFormatting>
  <conditionalFormatting sqref="F136:G1048576 G61:G135">
    <cfRule type="cellIs" dxfId="1453" priority="5620" operator="lessThan">
      <formula>0</formula>
    </cfRule>
  </conditionalFormatting>
  <conditionalFormatting sqref="F136:G1048576 G61:G135">
    <cfRule type="cellIs" dxfId="1452" priority="5619" operator="lessThan">
      <formula>0</formula>
    </cfRule>
  </conditionalFormatting>
  <conditionalFormatting sqref="F136:G1048576 G61:G135">
    <cfRule type="cellIs" dxfId="1451" priority="5618" operator="lessThan">
      <formula>0</formula>
    </cfRule>
  </conditionalFormatting>
  <conditionalFormatting sqref="F136:G1048576 G61:G135">
    <cfRule type="cellIs" dxfId="1450" priority="5617" operator="lessThan">
      <formula>0</formula>
    </cfRule>
  </conditionalFormatting>
  <conditionalFormatting sqref="F136:G1048576 G61:G135">
    <cfRule type="cellIs" dxfId="1449" priority="5616" operator="lessThan">
      <formula>0</formula>
    </cfRule>
  </conditionalFormatting>
  <conditionalFormatting sqref="F136:G1048576 G61:G135">
    <cfRule type="cellIs" dxfId="1448" priority="5615" operator="lessThan">
      <formula>0</formula>
    </cfRule>
  </conditionalFormatting>
  <conditionalFormatting sqref="F136:G1048576 G61:G135">
    <cfRule type="cellIs" dxfId="1447" priority="5614" operator="lessThan">
      <formula>0</formula>
    </cfRule>
  </conditionalFormatting>
  <conditionalFormatting sqref="F136:G1048576 G61:G135">
    <cfRule type="cellIs" dxfId="1446" priority="5613" operator="lessThan">
      <formula>0</formula>
    </cfRule>
  </conditionalFormatting>
  <conditionalFormatting sqref="F136:G1048576 G61:G135">
    <cfRule type="cellIs" dxfId="1445" priority="5612" operator="lessThan">
      <formula>0</formula>
    </cfRule>
  </conditionalFormatting>
  <conditionalFormatting sqref="F136:G1048576 G61:G135">
    <cfRule type="cellIs" dxfId="1444" priority="5611" operator="lessThan">
      <formula>0</formula>
    </cfRule>
  </conditionalFormatting>
  <conditionalFormatting sqref="F136:G1048576 G61:G135">
    <cfRule type="cellIs" dxfId="1443" priority="5610" operator="lessThan">
      <formula>0</formula>
    </cfRule>
  </conditionalFormatting>
  <conditionalFormatting sqref="F136:G1048576 G61:G135">
    <cfRule type="cellIs" dxfId="1442" priority="5609" operator="lessThan">
      <formula>0</formula>
    </cfRule>
  </conditionalFormatting>
  <conditionalFormatting sqref="F136:G1048576 G61:G135">
    <cfRule type="cellIs" dxfId="1441" priority="5608" operator="lessThan">
      <formula>0</formula>
    </cfRule>
  </conditionalFormatting>
  <conditionalFormatting sqref="F136:G1048576 G61:G135">
    <cfRule type="cellIs" dxfId="1440" priority="5607" operator="lessThan">
      <formula>0</formula>
    </cfRule>
  </conditionalFormatting>
  <conditionalFormatting sqref="F136:G1048576 G61:G135">
    <cfRule type="cellIs" dxfId="1439" priority="5606" operator="lessThan">
      <formula>0</formula>
    </cfRule>
  </conditionalFormatting>
  <conditionalFormatting sqref="F136:G1048576 G61:G135">
    <cfRule type="cellIs" dxfId="1438" priority="5605" operator="lessThan">
      <formula>0</formula>
    </cfRule>
  </conditionalFormatting>
  <conditionalFormatting sqref="F136:G1048576 G61:G135">
    <cfRule type="cellIs" dxfId="1437" priority="5604" operator="lessThan">
      <formula>0</formula>
    </cfRule>
  </conditionalFormatting>
  <conditionalFormatting sqref="F136:G1048576 G61:G135">
    <cfRule type="cellIs" dxfId="1436" priority="5603" operator="lessThan">
      <formula>0</formula>
    </cfRule>
  </conditionalFormatting>
  <conditionalFormatting sqref="F136:G1048576 G61:G135">
    <cfRule type="cellIs" dxfId="1435" priority="5602" operator="lessThan">
      <formula>0</formula>
    </cfRule>
  </conditionalFormatting>
  <conditionalFormatting sqref="F136:G1048576 G61:G135">
    <cfRule type="cellIs" dxfId="1434" priority="5601" operator="lessThan">
      <formula>0</formula>
    </cfRule>
  </conditionalFormatting>
  <conditionalFormatting sqref="F136:G1048576 G61:G135">
    <cfRule type="cellIs" dxfId="1433" priority="5600" operator="lessThan">
      <formula>0</formula>
    </cfRule>
  </conditionalFormatting>
  <conditionalFormatting sqref="F136:G1048576 G61:G135">
    <cfRule type="cellIs" dxfId="1432" priority="5599" operator="lessThan">
      <formula>0</formula>
    </cfRule>
  </conditionalFormatting>
  <conditionalFormatting sqref="F136:G1048576 G61:G135">
    <cfRule type="cellIs" dxfId="1431" priority="5598" operator="lessThan">
      <formula>0</formula>
    </cfRule>
  </conditionalFormatting>
  <conditionalFormatting sqref="F136:G1048576 G61:G135">
    <cfRule type="cellIs" dxfId="1430" priority="5597" operator="lessThan">
      <formula>0</formula>
    </cfRule>
  </conditionalFormatting>
  <conditionalFormatting sqref="F136:G1048576 G61:G135">
    <cfRule type="cellIs" dxfId="1429" priority="5596" operator="lessThan">
      <formula>0</formula>
    </cfRule>
  </conditionalFormatting>
  <conditionalFormatting sqref="F136:G1048576 G61:G135">
    <cfRule type="cellIs" dxfId="1428" priority="5595" operator="lessThan">
      <formula>0</formula>
    </cfRule>
  </conditionalFormatting>
  <conditionalFormatting sqref="F136:G1048576 G61:G135">
    <cfRule type="cellIs" dxfId="1427" priority="5594" operator="lessThan">
      <formula>0</formula>
    </cfRule>
  </conditionalFormatting>
  <conditionalFormatting sqref="F136:G1048576 G61:G135">
    <cfRule type="cellIs" dxfId="1426" priority="5593" operator="lessThan">
      <formula>0</formula>
    </cfRule>
  </conditionalFormatting>
  <conditionalFormatting sqref="F136:G1048576 G61:G135">
    <cfRule type="cellIs" dxfId="1425" priority="5592" operator="lessThan">
      <formula>0</formula>
    </cfRule>
  </conditionalFormatting>
  <conditionalFormatting sqref="F136:G1048576 G61:G135">
    <cfRule type="cellIs" dxfId="1424" priority="5591" operator="lessThan">
      <formula>0</formula>
    </cfRule>
  </conditionalFormatting>
  <conditionalFormatting sqref="F136:G1048576 G61:G135">
    <cfRule type="cellIs" dxfId="1423" priority="5590" operator="lessThan">
      <formula>0</formula>
    </cfRule>
  </conditionalFormatting>
  <conditionalFormatting sqref="F136:G1048576 G61:G135">
    <cfRule type="cellIs" dxfId="1422" priority="5589" operator="lessThan">
      <formula>0</formula>
    </cfRule>
  </conditionalFormatting>
  <conditionalFormatting sqref="F136:G1048576 G61:G135">
    <cfRule type="cellIs" dxfId="1421" priority="5588" operator="lessThan">
      <formula>0</formula>
    </cfRule>
  </conditionalFormatting>
  <conditionalFormatting sqref="F136:G1048576 G61:G135">
    <cfRule type="cellIs" dxfId="1420" priority="5587" operator="lessThan">
      <formula>0</formula>
    </cfRule>
  </conditionalFormatting>
  <conditionalFormatting sqref="F136:G1048576 G61:G135">
    <cfRule type="cellIs" dxfId="1419" priority="5586" operator="lessThan">
      <formula>0</formula>
    </cfRule>
  </conditionalFormatting>
  <conditionalFormatting sqref="F136:G1048576 G61:G135">
    <cfRule type="cellIs" dxfId="1418" priority="5585" operator="lessThan">
      <formula>0</formula>
    </cfRule>
  </conditionalFormatting>
  <conditionalFormatting sqref="F136:G1048576 G61:G135">
    <cfRule type="cellIs" dxfId="1417" priority="5584" operator="lessThan">
      <formula>0</formula>
    </cfRule>
  </conditionalFormatting>
  <conditionalFormatting sqref="F136:G1048576 G61:G135">
    <cfRule type="cellIs" dxfId="1416" priority="5583" operator="lessThan">
      <formula>0</formula>
    </cfRule>
  </conditionalFormatting>
  <conditionalFormatting sqref="F136:G1048576 G61:G135">
    <cfRule type="cellIs" dxfId="1415" priority="5582" operator="lessThan">
      <formula>0</formula>
    </cfRule>
  </conditionalFormatting>
  <conditionalFormatting sqref="F136:G1048576 G61:G135">
    <cfRule type="cellIs" dxfId="1414" priority="5581" operator="lessThan">
      <formula>0</formula>
    </cfRule>
  </conditionalFormatting>
  <conditionalFormatting sqref="F136:G1048576 G61:G135">
    <cfRule type="cellIs" dxfId="1413" priority="5580" operator="lessThan">
      <formula>0</formula>
    </cfRule>
  </conditionalFormatting>
  <conditionalFormatting sqref="F136:G1048576 G61:G135">
    <cfRule type="cellIs" dxfId="1412" priority="5579" operator="lessThan">
      <formula>0</formula>
    </cfRule>
  </conditionalFormatting>
  <conditionalFormatting sqref="F136:G1048576 G61:G135">
    <cfRule type="cellIs" dxfId="1411" priority="5578" operator="lessThan">
      <formula>0</formula>
    </cfRule>
  </conditionalFormatting>
  <conditionalFormatting sqref="F136:G1048576 G61:G135">
    <cfRule type="cellIs" dxfId="1410" priority="5577" operator="lessThan">
      <formula>0</formula>
    </cfRule>
  </conditionalFormatting>
  <conditionalFormatting sqref="F136:G1048576 G61:G135">
    <cfRule type="cellIs" dxfId="1409" priority="5576" operator="lessThan">
      <formula>0</formula>
    </cfRule>
  </conditionalFormatting>
  <conditionalFormatting sqref="F136:G1048576 G61:G135">
    <cfRule type="cellIs" dxfId="1408" priority="5575" operator="lessThan">
      <formula>0</formula>
    </cfRule>
  </conditionalFormatting>
  <conditionalFormatting sqref="F136:G1048576 G61:G135">
    <cfRule type="cellIs" dxfId="1407" priority="5574" operator="lessThan">
      <formula>0</formula>
    </cfRule>
  </conditionalFormatting>
  <conditionalFormatting sqref="F136:G1048576 G61:G135">
    <cfRule type="cellIs" dxfId="1406" priority="5573" operator="lessThan">
      <formula>0</formula>
    </cfRule>
  </conditionalFormatting>
  <conditionalFormatting sqref="F136:G1048576 G61:G135">
    <cfRule type="cellIs" dxfId="1405" priority="5572" operator="lessThan">
      <formula>0</formula>
    </cfRule>
  </conditionalFormatting>
  <conditionalFormatting sqref="F136:G1048576 G61:G135">
    <cfRule type="cellIs" dxfId="1404" priority="5571" operator="lessThan">
      <formula>0</formula>
    </cfRule>
  </conditionalFormatting>
  <conditionalFormatting sqref="F136:G1048576 G61:G135">
    <cfRule type="cellIs" dxfId="1403" priority="5570" operator="lessThan">
      <formula>0</formula>
    </cfRule>
  </conditionalFormatting>
  <conditionalFormatting sqref="F136:G1048576 G61:G135">
    <cfRule type="cellIs" dxfId="1402" priority="5569" operator="lessThan">
      <formula>0</formula>
    </cfRule>
  </conditionalFormatting>
  <conditionalFormatting sqref="F136:G1048576 G61:G135">
    <cfRule type="cellIs" dxfId="1401" priority="5568" operator="lessThan">
      <formula>0</formula>
    </cfRule>
  </conditionalFormatting>
  <conditionalFormatting sqref="F136:G1048576 G61:G135">
    <cfRule type="cellIs" dxfId="1400" priority="5567" operator="lessThan">
      <formula>0</formula>
    </cfRule>
  </conditionalFormatting>
  <conditionalFormatting sqref="F136:G1048576 G61:G135">
    <cfRule type="cellIs" dxfId="1399" priority="5566" operator="lessThan">
      <formula>0</formula>
    </cfRule>
  </conditionalFormatting>
  <conditionalFormatting sqref="F136:G1048576 G61:G135">
    <cfRule type="cellIs" dxfId="1398" priority="5565" operator="lessThan">
      <formula>0</formula>
    </cfRule>
  </conditionalFormatting>
  <conditionalFormatting sqref="F136:G1048576 G61:G135">
    <cfRule type="cellIs" dxfId="1397" priority="5564" operator="lessThan">
      <formula>0</formula>
    </cfRule>
  </conditionalFormatting>
  <conditionalFormatting sqref="F136:G1048576 G61:G135">
    <cfRule type="cellIs" dxfId="1396" priority="5563" operator="lessThan">
      <formula>0</formula>
    </cfRule>
  </conditionalFormatting>
  <conditionalFormatting sqref="F136:G1048576 G61:G135">
    <cfRule type="cellIs" dxfId="1395" priority="5562" operator="lessThan">
      <formula>0</formula>
    </cfRule>
  </conditionalFormatting>
  <conditionalFormatting sqref="F136:G1048576 G61:G135">
    <cfRule type="cellIs" dxfId="1394" priority="5561" operator="lessThan">
      <formula>0</formula>
    </cfRule>
  </conditionalFormatting>
  <conditionalFormatting sqref="F136:G1048576 G61:G135">
    <cfRule type="cellIs" dxfId="1393" priority="5560" operator="lessThan">
      <formula>0</formula>
    </cfRule>
  </conditionalFormatting>
  <conditionalFormatting sqref="F136:G1048576 G61:G135">
    <cfRule type="cellIs" dxfId="1392" priority="5559" operator="lessThan">
      <formula>0</formula>
    </cfRule>
  </conditionalFormatting>
  <conditionalFormatting sqref="F136:G1048576 G61:G135">
    <cfRule type="cellIs" dxfId="1391" priority="5558" operator="lessThan">
      <formula>0</formula>
    </cfRule>
  </conditionalFormatting>
  <conditionalFormatting sqref="F136:G1048576 G61:G135">
    <cfRule type="cellIs" dxfId="1390" priority="5557" operator="lessThan">
      <formula>0</formula>
    </cfRule>
  </conditionalFormatting>
  <conditionalFormatting sqref="F136:G1048576 G61:G135">
    <cfRule type="cellIs" dxfId="1389" priority="5556" operator="lessThan">
      <formula>0</formula>
    </cfRule>
  </conditionalFormatting>
  <conditionalFormatting sqref="F136:G1048576 G61:G135">
    <cfRule type="cellIs" dxfId="1388" priority="5555" operator="lessThan">
      <formula>0</formula>
    </cfRule>
  </conditionalFormatting>
  <conditionalFormatting sqref="F136:G1048576 G61:G135">
    <cfRule type="cellIs" dxfId="1387" priority="5554" operator="lessThan">
      <formula>0</formula>
    </cfRule>
  </conditionalFormatting>
  <conditionalFormatting sqref="F136:G1048576 G61:G135">
    <cfRule type="cellIs" dxfId="1386" priority="5553" operator="lessThan">
      <formula>0</formula>
    </cfRule>
  </conditionalFormatting>
  <conditionalFormatting sqref="F136:G1048576 G61:G135">
    <cfRule type="cellIs" dxfId="1385" priority="5552" operator="lessThan">
      <formula>0</formula>
    </cfRule>
  </conditionalFormatting>
  <conditionalFormatting sqref="F136:G1048576 G61:G135">
    <cfRule type="cellIs" dxfId="1384" priority="5551" operator="lessThan">
      <formula>0</formula>
    </cfRule>
  </conditionalFormatting>
  <conditionalFormatting sqref="F136:G1048576 G61:G135">
    <cfRule type="cellIs" dxfId="1383" priority="5550" operator="lessThan">
      <formula>0</formula>
    </cfRule>
  </conditionalFormatting>
  <conditionalFormatting sqref="F136:G1048576 G61:G135">
    <cfRule type="cellIs" dxfId="1382" priority="5549" operator="lessThan">
      <formula>0</formula>
    </cfRule>
  </conditionalFormatting>
  <conditionalFormatting sqref="F136:G1048576 G61:G135">
    <cfRule type="cellIs" dxfId="1381" priority="5548" operator="lessThan">
      <formula>0</formula>
    </cfRule>
  </conditionalFormatting>
  <conditionalFormatting sqref="F136:G1048576 G61:G135">
    <cfRule type="cellIs" dxfId="1380" priority="5547" operator="lessThan">
      <formula>0</formula>
    </cfRule>
  </conditionalFormatting>
  <conditionalFormatting sqref="F136:G1048576 G61:G135">
    <cfRule type="cellIs" dxfId="1379" priority="5546" operator="lessThan">
      <formula>0</formula>
    </cfRule>
  </conditionalFormatting>
  <conditionalFormatting sqref="F136:G1048576 G61:G135">
    <cfRule type="cellIs" dxfId="1378" priority="5545" operator="lessThan">
      <formula>0</formula>
    </cfRule>
  </conditionalFormatting>
  <conditionalFormatting sqref="F136:G1048576 G61:G135">
    <cfRule type="cellIs" dxfId="1377" priority="5544" operator="lessThan">
      <formula>0</formula>
    </cfRule>
  </conditionalFormatting>
  <conditionalFormatting sqref="F136:G1048576 G61:G135">
    <cfRule type="cellIs" dxfId="1376" priority="5543" operator="lessThan">
      <formula>0</formula>
    </cfRule>
  </conditionalFormatting>
  <conditionalFormatting sqref="F136:G1048576 G61:G135">
    <cfRule type="cellIs" dxfId="1375" priority="5542" operator="lessThan">
      <formula>0</formula>
    </cfRule>
  </conditionalFormatting>
  <conditionalFormatting sqref="F136:G1048576 G61:G135">
    <cfRule type="cellIs" dxfId="1374" priority="5541" operator="lessThan">
      <formula>0</formula>
    </cfRule>
  </conditionalFormatting>
  <conditionalFormatting sqref="F136:G1048576 G61:G135">
    <cfRule type="cellIs" dxfId="1373" priority="5540" operator="lessThan">
      <formula>0</formula>
    </cfRule>
  </conditionalFormatting>
  <conditionalFormatting sqref="F136:G1048576 G61:G135">
    <cfRule type="cellIs" dxfId="1372" priority="5539" operator="lessThan">
      <formula>0</formula>
    </cfRule>
  </conditionalFormatting>
  <conditionalFormatting sqref="F136:G1048576 G61:G135">
    <cfRule type="cellIs" dxfId="1371" priority="5538" operator="lessThan">
      <formula>0</formula>
    </cfRule>
  </conditionalFormatting>
  <conditionalFormatting sqref="F136:G1048576 G61:G135">
    <cfRule type="cellIs" dxfId="1370" priority="5537" operator="lessThan">
      <formula>0</formula>
    </cfRule>
  </conditionalFormatting>
  <conditionalFormatting sqref="F136:G1048576 G61:G135">
    <cfRule type="cellIs" dxfId="1369" priority="5536" operator="lessThan">
      <formula>0</formula>
    </cfRule>
  </conditionalFormatting>
  <conditionalFormatting sqref="F136:G1048576 G61:G135">
    <cfRule type="cellIs" dxfId="1368" priority="5535" operator="lessThan">
      <formula>0</formula>
    </cfRule>
  </conditionalFormatting>
  <conditionalFormatting sqref="F136:G1048576 G61:G135">
    <cfRule type="cellIs" dxfId="1367" priority="5534" operator="lessThan">
      <formula>0</formula>
    </cfRule>
  </conditionalFormatting>
  <conditionalFormatting sqref="F136:G1048576 G61:G135">
    <cfRule type="cellIs" dxfId="1366" priority="5533" operator="lessThan">
      <formula>0</formula>
    </cfRule>
  </conditionalFormatting>
  <conditionalFormatting sqref="F136:G1048576 G61:G135">
    <cfRule type="cellIs" dxfId="1365" priority="5532" operator="lessThan">
      <formula>0</formula>
    </cfRule>
  </conditionalFormatting>
  <conditionalFormatting sqref="F136:G1048576 G61:G135">
    <cfRule type="cellIs" dxfId="1364" priority="5531" operator="lessThan">
      <formula>0</formula>
    </cfRule>
  </conditionalFormatting>
  <conditionalFormatting sqref="F136:G1048576 G61:G135">
    <cfRule type="cellIs" dxfId="1363" priority="5530" operator="lessThan">
      <formula>0</formula>
    </cfRule>
  </conditionalFormatting>
  <conditionalFormatting sqref="F136:G1048576 G61:G135">
    <cfRule type="cellIs" dxfId="1362" priority="5529" operator="lessThan">
      <formula>0</formula>
    </cfRule>
  </conditionalFormatting>
  <conditionalFormatting sqref="F136:G1048576 G61:G135">
    <cfRule type="cellIs" dxfId="1361" priority="5528" operator="lessThan">
      <formula>0</formula>
    </cfRule>
  </conditionalFormatting>
  <conditionalFormatting sqref="F136:G1048576 G61:G135">
    <cfRule type="cellIs" dxfId="1360" priority="5527" operator="lessThan">
      <formula>0</formula>
    </cfRule>
  </conditionalFormatting>
  <conditionalFormatting sqref="F136:G1048576 G61:G135">
    <cfRule type="cellIs" dxfId="1359" priority="5526" operator="lessThan">
      <formula>0</formula>
    </cfRule>
  </conditionalFormatting>
  <conditionalFormatting sqref="F136:G1048576 G61:G135">
    <cfRule type="cellIs" dxfId="1358" priority="5525" operator="lessThan">
      <formula>0</formula>
    </cfRule>
  </conditionalFormatting>
  <conditionalFormatting sqref="F136:G1048576 G61:G135">
    <cfRule type="cellIs" dxfId="1357" priority="5524" operator="lessThan">
      <formula>0</formula>
    </cfRule>
  </conditionalFormatting>
  <conditionalFormatting sqref="F136:G1048576 G61:G135">
    <cfRule type="cellIs" dxfId="1356" priority="5523" operator="lessThan">
      <formula>0</formula>
    </cfRule>
  </conditionalFormatting>
  <conditionalFormatting sqref="F136:G1048576 G61:G135">
    <cfRule type="cellIs" dxfId="1355" priority="5522" operator="lessThan">
      <formula>0</formula>
    </cfRule>
  </conditionalFormatting>
  <conditionalFormatting sqref="F136:G1048576 G61:G135">
    <cfRule type="cellIs" dxfId="1354" priority="5521" operator="lessThan">
      <formula>0</formula>
    </cfRule>
  </conditionalFormatting>
  <conditionalFormatting sqref="F136:G1048576 G61:G135">
    <cfRule type="cellIs" dxfId="1353" priority="5520" operator="lessThan">
      <formula>0</formula>
    </cfRule>
  </conditionalFormatting>
  <conditionalFormatting sqref="F136:G1048576 G61:G135">
    <cfRule type="cellIs" dxfId="1352" priority="5519" operator="lessThan">
      <formula>0</formula>
    </cfRule>
  </conditionalFormatting>
  <conditionalFormatting sqref="F136:G1048576 G61:G135">
    <cfRule type="cellIs" dxfId="1351" priority="5518" operator="lessThan">
      <formula>0</formula>
    </cfRule>
  </conditionalFormatting>
  <conditionalFormatting sqref="F136:G1048576 G61:G135">
    <cfRule type="cellIs" dxfId="1350" priority="5517" operator="lessThan">
      <formula>0</formula>
    </cfRule>
  </conditionalFormatting>
  <conditionalFormatting sqref="F136:G1048576 G61:G135">
    <cfRule type="cellIs" dxfId="1349" priority="5516" operator="lessThan">
      <formula>0</formula>
    </cfRule>
  </conditionalFormatting>
  <conditionalFormatting sqref="F136:G1048576 G61:G135">
    <cfRule type="cellIs" dxfId="1348" priority="5515" operator="lessThan">
      <formula>0</formula>
    </cfRule>
  </conditionalFormatting>
  <conditionalFormatting sqref="F136:G1048576 G61:G135">
    <cfRule type="cellIs" dxfId="1347" priority="5514" operator="lessThan">
      <formula>0</formula>
    </cfRule>
  </conditionalFormatting>
  <conditionalFormatting sqref="F136:G1048576 G61:G135">
    <cfRule type="cellIs" dxfId="1346" priority="5513" operator="lessThan">
      <formula>0</formula>
    </cfRule>
  </conditionalFormatting>
  <conditionalFormatting sqref="F136:G1048576 G61:G135">
    <cfRule type="cellIs" dxfId="1345" priority="5512" operator="lessThan">
      <formula>0</formula>
    </cfRule>
  </conditionalFormatting>
  <conditionalFormatting sqref="F136:G1048576 G61:G135">
    <cfRule type="cellIs" dxfId="1344" priority="5511" operator="lessThan">
      <formula>0</formula>
    </cfRule>
  </conditionalFormatting>
  <conditionalFormatting sqref="F136:G1048576 G61:G135">
    <cfRule type="cellIs" dxfId="1343" priority="5510" operator="lessThan">
      <formula>0</formula>
    </cfRule>
  </conditionalFormatting>
  <conditionalFormatting sqref="F136:G1048576 G61:G135">
    <cfRule type="cellIs" dxfId="1342" priority="5509" operator="lessThan">
      <formula>0</formula>
    </cfRule>
  </conditionalFormatting>
  <conditionalFormatting sqref="G42">
    <cfRule type="cellIs" dxfId="1341" priority="4806" operator="lessThan">
      <formula>0</formula>
    </cfRule>
  </conditionalFormatting>
  <conditionalFormatting sqref="G42">
    <cfRule type="cellIs" dxfId="1340" priority="4805" operator="lessThan">
      <formula>0</formula>
    </cfRule>
  </conditionalFormatting>
  <conditionalFormatting sqref="G42">
    <cfRule type="cellIs" dxfId="1339" priority="4804" operator="lessThan">
      <formula>0</formula>
    </cfRule>
  </conditionalFormatting>
  <conditionalFormatting sqref="G42">
    <cfRule type="cellIs" dxfId="1338" priority="4803" operator="lessThan">
      <formula>0</formula>
    </cfRule>
  </conditionalFormatting>
  <conditionalFormatting sqref="G42">
    <cfRule type="cellIs" dxfId="1337" priority="4802" operator="lessThan">
      <formula>0</formula>
    </cfRule>
  </conditionalFormatting>
  <conditionalFormatting sqref="G42">
    <cfRule type="cellIs" dxfId="1336" priority="4801" operator="lessThan">
      <formula>0</formula>
    </cfRule>
  </conditionalFormatting>
  <conditionalFormatting sqref="G42">
    <cfRule type="cellIs" dxfId="1335" priority="4800" operator="lessThan">
      <formula>0</formula>
    </cfRule>
  </conditionalFormatting>
  <conditionalFormatting sqref="G42">
    <cfRule type="cellIs" dxfId="1334" priority="4799" operator="lessThan">
      <formula>0</formula>
    </cfRule>
  </conditionalFormatting>
  <conditionalFormatting sqref="G42">
    <cfRule type="cellIs" dxfId="1333" priority="4798" operator="lessThan">
      <formula>0</formula>
    </cfRule>
  </conditionalFormatting>
  <conditionalFormatting sqref="G42">
    <cfRule type="cellIs" dxfId="1332" priority="4797" operator="lessThan">
      <formula>0</formula>
    </cfRule>
  </conditionalFormatting>
  <conditionalFormatting sqref="G42">
    <cfRule type="cellIs" dxfId="1331" priority="4796" operator="lessThan">
      <formula>0</formula>
    </cfRule>
  </conditionalFormatting>
  <conditionalFormatting sqref="G42">
    <cfRule type="cellIs" dxfId="1330" priority="4795" operator="lessThan">
      <formula>0</formula>
    </cfRule>
  </conditionalFormatting>
  <conditionalFormatting sqref="G42">
    <cfRule type="cellIs" dxfId="1329" priority="4794" operator="lessThan">
      <formula>0</formula>
    </cfRule>
  </conditionalFormatting>
  <conditionalFormatting sqref="G42">
    <cfRule type="cellIs" dxfId="1328" priority="4793" operator="lessThan">
      <formula>0</formula>
    </cfRule>
  </conditionalFormatting>
  <conditionalFormatting sqref="G42">
    <cfRule type="cellIs" dxfId="1327" priority="4792" operator="lessThan">
      <formula>0</formula>
    </cfRule>
  </conditionalFormatting>
  <conditionalFormatting sqref="G42">
    <cfRule type="cellIs" dxfId="1326" priority="4791" operator="lessThan">
      <formula>0</formula>
    </cfRule>
  </conditionalFormatting>
  <conditionalFormatting sqref="G42">
    <cfRule type="cellIs" dxfId="1325" priority="4790" operator="lessThan">
      <formula>0</formula>
    </cfRule>
  </conditionalFormatting>
  <conditionalFormatting sqref="G42">
    <cfRule type="cellIs" dxfId="1324" priority="4789" operator="lessThan">
      <formula>0</formula>
    </cfRule>
  </conditionalFormatting>
  <conditionalFormatting sqref="G42">
    <cfRule type="cellIs" dxfId="1323" priority="4788" operator="lessThan">
      <formula>0</formula>
    </cfRule>
  </conditionalFormatting>
  <conditionalFormatting pivot="1" sqref="F13:F55">
    <cfRule type="cellIs" dxfId="1322" priority="3733" operator="lessThan">
      <formula>0</formula>
    </cfRule>
  </conditionalFormatting>
  <conditionalFormatting sqref="H86:H1048576">
    <cfRule type="cellIs" dxfId="1321" priority="3529" operator="lessThan">
      <formula>0</formula>
    </cfRule>
  </conditionalFormatting>
  <conditionalFormatting sqref="H86:H1048576">
    <cfRule type="cellIs" dxfId="1320" priority="3528" operator="lessThan">
      <formula>0</formula>
    </cfRule>
  </conditionalFormatting>
  <conditionalFormatting sqref="H86:H1048576">
    <cfRule type="cellIs" dxfId="1319" priority="3527" operator="lessThan">
      <formula>0</formula>
    </cfRule>
  </conditionalFormatting>
  <conditionalFormatting sqref="H86:H1048576">
    <cfRule type="cellIs" dxfId="1318" priority="3526" operator="lessThan">
      <formula>0</formula>
    </cfRule>
  </conditionalFormatting>
  <conditionalFormatting sqref="H86:H1048576">
    <cfRule type="cellIs" dxfId="1317" priority="3525" operator="lessThan">
      <formula>0</formula>
    </cfRule>
  </conditionalFormatting>
  <conditionalFormatting sqref="H86:H1048576">
    <cfRule type="cellIs" dxfId="1316" priority="3524" operator="lessThan">
      <formula>0</formula>
    </cfRule>
  </conditionalFormatting>
  <conditionalFormatting sqref="H86:H1048576">
    <cfRule type="cellIs" dxfId="1315" priority="3523" operator="lessThan">
      <formula>0</formula>
    </cfRule>
  </conditionalFormatting>
  <conditionalFormatting sqref="H86:H1048576">
    <cfRule type="cellIs" dxfId="1314" priority="3522" operator="lessThan">
      <formula>0</formula>
    </cfRule>
  </conditionalFormatting>
  <conditionalFormatting sqref="H86:H1048576">
    <cfRule type="cellIs" dxfId="1313" priority="3521" operator="lessThan">
      <formula>0</formula>
    </cfRule>
  </conditionalFormatting>
  <conditionalFormatting sqref="H86:H1048576">
    <cfRule type="cellIs" dxfId="1312" priority="3520" operator="lessThan">
      <formula>0</formula>
    </cfRule>
  </conditionalFormatting>
  <conditionalFormatting sqref="H86:H1048576">
    <cfRule type="cellIs" dxfId="1311" priority="3519" operator="lessThan">
      <formula>0</formula>
    </cfRule>
  </conditionalFormatting>
  <conditionalFormatting sqref="H86:H1048576">
    <cfRule type="cellIs" dxfId="1310" priority="3518" operator="lessThan">
      <formula>0</formula>
    </cfRule>
  </conditionalFormatting>
  <conditionalFormatting sqref="H86:H1048576">
    <cfRule type="cellIs" dxfId="1309" priority="3517" operator="lessThan">
      <formula>0</formula>
    </cfRule>
  </conditionalFormatting>
  <conditionalFormatting sqref="H86:H1048576">
    <cfRule type="cellIs" dxfId="1308" priority="3516" operator="lessThan">
      <formula>0</formula>
    </cfRule>
  </conditionalFormatting>
  <conditionalFormatting sqref="H86:H1048576">
    <cfRule type="cellIs" dxfId="1307" priority="3515" operator="lessThan">
      <formula>0</formula>
    </cfRule>
  </conditionalFormatting>
  <conditionalFormatting sqref="H86:H1048576">
    <cfRule type="cellIs" dxfId="1306" priority="3514" operator="lessThan">
      <formula>0</formula>
    </cfRule>
  </conditionalFormatting>
  <conditionalFormatting sqref="H86:H1048576">
    <cfRule type="cellIs" dxfId="1305" priority="3513" operator="lessThan">
      <formula>0</formula>
    </cfRule>
  </conditionalFormatting>
  <conditionalFormatting sqref="H86:H1048576">
    <cfRule type="cellIs" dxfId="1304" priority="3512" operator="lessThan">
      <formula>0</formula>
    </cfRule>
  </conditionalFormatting>
  <conditionalFormatting sqref="H86:H1048576">
    <cfRule type="cellIs" dxfId="1303" priority="3511" operator="lessThan">
      <formula>0</formula>
    </cfRule>
  </conditionalFormatting>
  <conditionalFormatting sqref="H86:H1048576">
    <cfRule type="cellIs" dxfId="1302" priority="3510" operator="lessThan">
      <formula>0</formula>
    </cfRule>
  </conditionalFormatting>
  <conditionalFormatting sqref="H86:H1048576">
    <cfRule type="cellIs" dxfId="1301" priority="3509" operator="lessThan">
      <formula>0</formula>
    </cfRule>
  </conditionalFormatting>
  <conditionalFormatting sqref="H86:H1048576">
    <cfRule type="cellIs" dxfId="1300" priority="3508" operator="lessThan">
      <formula>0</formula>
    </cfRule>
  </conditionalFormatting>
  <conditionalFormatting sqref="H86:H1048576">
    <cfRule type="cellIs" dxfId="1299" priority="3507" operator="lessThan">
      <formula>0</formula>
    </cfRule>
  </conditionalFormatting>
  <conditionalFormatting sqref="H86:H1048576">
    <cfRule type="cellIs" dxfId="1298" priority="3506" operator="lessThan">
      <formula>0</formula>
    </cfRule>
  </conditionalFormatting>
  <conditionalFormatting sqref="H86:H1048576">
    <cfRule type="cellIs" dxfId="1297" priority="3505" operator="lessThan">
      <formula>0</formula>
    </cfRule>
  </conditionalFormatting>
  <conditionalFormatting sqref="H86:H1048576">
    <cfRule type="cellIs" dxfId="1296" priority="3504" operator="lessThan">
      <formula>0</formula>
    </cfRule>
  </conditionalFormatting>
  <conditionalFormatting sqref="H86:H1048576">
    <cfRule type="cellIs" dxfId="1295" priority="3503" operator="lessThan">
      <formula>0</formula>
    </cfRule>
  </conditionalFormatting>
  <conditionalFormatting sqref="H86:H1048576">
    <cfRule type="cellIs" dxfId="1294" priority="3502" operator="lessThan">
      <formula>0</formula>
    </cfRule>
  </conditionalFormatting>
  <conditionalFormatting sqref="H86:H1048576">
    <cfRule type="cellIs" dxfId="1293" priority="3501" operator="lessThan">
      <formula>0</formula>
    </cfRule>
  </conditionalFormatting>
  <conditionalFormatting sqref="H86:H1048576">
    <cfRule type="cellIs" dxfId="1292" priority="3500" operator="lessThan">
      <formula>0</formula>
    </cfRule>
  </conditionalFormatting>
  <conditionalFormatting sqref="H86:H1048576">
    <cfRule type="cellIs" dxfId="1291" priority="3499" operator="lessThan">
      <formula>0</formula>
    </cfRule>
  </conditionalFormatting>
  <conditionalFormatting sqref="H86:H1048576">
    <cfRule type="cellIs" dxfId="1290" priority="3498" operator="lessThan">
      <formula>0</formula>
    </cfRule>
  </conditionalFormatting>
  <conditionalFormatting sqref="H86:H1048576">
    <cfRule type="cellIs" dxfId="1289" priority="3497" operator="lessThan">
      <formula>0</formula>
    </cfRule>
  </conditionalFormatting>
  <conditionalFormatting sqref="H86:H1048576">
    <cfRule type="cellIs" dxfId="1288" priority="3496" operator="lessThan">
      <formula>0</formula>
    </cfRule>
  </conditionalFormatting>
  <conditionalFormatting sqref="H86:H1048576">
    <cfRule type="cellIs" dxfId="1287" priority="3495" operator="lessThan">
      <formula>0</formula>
    </cfRule>
  </conditionalFormatting>
  <conditionalFormatting sqref="H86:H1048576">
    <cfRule type="cellIs" dxfId="1286" priority="3494" operator="lessThan">
      <formula>0</formula>
    </cfRule>
  </conditionalFormatting>
  <conditionalFormatting sqref="H86:H1048576">
    <cfRule type="cellIs" dxfId="1285" priority="3493" operator="lessThan">
      <formula>0</formula>
    </cfRule>
  </conditionalFormatting>
  <conditionalFormatting sqref="H86:H1048576">
    <cfRule type="cellIs" dxfId="1284" priority="3492" operator="lessThan">
      <formula>0</formula>
    </cfRule>
  </conditionalFormatting>
  <conditionalFormatting sqref="H86:H1048576">
    <cfRule type="cellIs" dxfId="1283" priority="3491" operator="lessThan">
      <formula>0</formula>
    </cfRule>
  </conditionalFormatting>
  <conditionalFormatting sqref="H86:H1048576">
    <cfRule type="cellIs" dxfId="1282" priority="3490" operator="lessThan">
      <formula>0</formula>
    </cfRule>
  </conditionalFormatting>
  <conditionalFormatting sqref="H86:H1048576">
    <cfRule type="cellIs" dxfId="1281" priority="3489" operator="lessThan">
      <formula>0</formula>
    </cfRule>
  </conditionalFormatting>
  <conditionalFormatting sqref="H86:H1048576">
    <cfRule type="cellIs" dxfId="1280" priority="3488" operator="lessThan">
      <formula>0</formula>
    </cfRule>
  </conditionalFormatting>
  <conditionalFormatting sqref="H86:H1048576">
    <cfRule type="cellIs" dxfId="1279" priority="3487" operator="lessThan">
      <formula>0</formula>
    </cfRule>
  </conditionalFormatting>
  <conditionalFormatting sqref="H86:H1048576">
    <cfRule type="cellIs" dxfId="1278" priority="3486" operator="lessThan">
      <formula>0</formula>
    </cfRule>
  </conditionalFormatting>
  <conditionalFormatting sqref="H86:H1048576">
    <cfRule type="cellIs" dxfId="1277" priority="3485" operator="lessThan">
      <formula>0</formula>
    </cfRule>
  </conditionalFormatting>
  <conditionalFormatting sqref="H86:H1048576">
    <cfRule type="cellIs" dxfId="1276" priority="3484" operator="lessThan">
      <formula>0</formula>
    </cfRule>
  </conditionalFormatting>
  <conditionalFormatting sqref="H86:H1048576">
    <cfRule type="cellIs" dxfId="1275" priority="3483" operator="lessThan">
      <formula>0</formula>
    </cfRule>
  </conditionalFormatting>
  <conditionalFormatting sqref="H86:H1048576">
    <cfRule type="cellIs" dxfId="1274" priority="3482" operator="lessThan">
      <formula>0</formula>
    </cfRule>
  </conditionalFormatting>
  <conditionalFormatting sqref="H86:H1048576">
    <cfRule type="cellIs" dxfId="1273" priority="3481" operator="lessThan">
      <formula>0</formula>
    </cfRule>
  </conditionalFormatting>
  <conditionalFormatting sqref="H86:H1048576">
    <cfRule type="cellIs" dxfId="1272" priority="3480" operator="lessThan">
      <formula>0</formula>
    </cfRule>
  </conditionalFormatting>
  <conditionalFormatting sqref="H86:H1048576">
    <cfRule type="cellIs" dxfId="1271" priority="3479" operator="lessThan">
      <formula>0</formula>
    </cfRule>
  </conditionalFormatting>
  <conditionalFormatting sqref="H86:H1048576">
    <cfRule type="cellIs" dxfId="1270" priority="3478" operator="lessThan">
      <formula>0</formula>
    </cfRule>
  </conditionalFormatting>
  <conditionalFormatting sqref="H86:H1048576">
    <cfRule type="cellIs" dxfId="1269" priority="3477" operator="lessThan">
      <formula>0</formula>
    </cfRule>
  </conditionalFormatting>
  <conditionalFormatting sqref="H86:H1048576">
    <cfRule type="cellIs" dxfId="1268" priority="3476" operator="lessThan">
      <formula>0</formula>
    </cfRule>
  </conditionalFormatting>
  <conditionalFormatting sqref="H86:H1048576">
    <cfRule type="cellIs" dxfId="1267" priority="3475" operator="lessThan">
      <formula>0</formula>
    </cfRule>
  </conditionalFormatting>
  <conditionalFormatting sqref="H86:H1048576">
    <cfRule type="cellIs" dxfId="1266" priority="3474" operator="lessThan">
      <formula>0</formula>
    </cfRule>
  </conditionalFormatting>
  <conditionalFormatting sqref="H86:H1048576">
    <cfRule type="cellIs" dxfId="1265" priority="3473" operator="lessThan">
      <formula>0</formula>
    </cfRule>
  </conditionalFormatting>
  <conditionalFormatting sqref="H86:H1048576">
    <cfRule type="cellIs" dxfId="1264" priority="3472" operator="lessThan">
      <formula>0</formula>
    </cfRule>
  </conditionalFormatting>
  <conditionalFormatting sqref="H86:H1048576">
    <cfRule type="cellIs" dxfId="1263" priority="3471" operator="lessThan">
      <formula>0</formula>
    </cfRule>
  </conditionalFormatting>
  <conditionalFormatting sqref="H86:H1048576">
    <cfRule type="cellIs" dxfId="1262" priority="3470" operator="lessThan">
      <formula>0</formula>
    </cfRule>
  </conditionalFormatting>
  <conditionalFormatting sqref="H86:H1048576">
    <cfRule type="cellIs" dxfId="1261" priority="3469" operator="lessThan">
      <formula>0</formula>
    </cfRule>
  </conditionalFormatting>
  <conditionalFormatting sqref="H86:H1048576">
    <cfRule type="cellIs" dxfId="1260" priority="3468" operator="lessThan">
      <formula>0</formula>
    </cfRule>
  </conditionalFormatting>
  <conditionalFormatting sqref="H86:H1048576">
    <cfRule type="cellIs" dxfId="1259" priority="3467" operator="lessThan">
      <formula>0</formula>
    </cfRule>
  </conditionalFormatting>
  <conditionalFormatting sqref="H86:H1048576">
    <cfRule type="cellIs" dxfId="1258" priority="3466" operator="lessThan">
      <formula>0</formula>
    </cfRule>
  </conditionalFormatting>
  <conditionalFormatting sqref="H86:H1048576">
    <cfRule type="cellIs" dxfId="1257" priority="3465" operator="lessThan">
      <formula>0</formula>
    </cfRule>
  </conditionalFormatting>
  <conditionalFormatting sqref="H86:H1048576">
    <cfRule type="cellIs" dxfId="1256" priority="3464" operator="lessThan">
      <formula>0</formula>
    </cfRule>
  </conditionalFormatting>
  <conditionalFormatting sqref="H86:H1048576">
    <cfRule type="cellIs" dxfId="1255" priority="3463" operator="lessThan">
      <formula>0</formula>
    </cfRule>
  </conditionalFormatting>
  <conditionalFormatting sqref="H86:H1048576">
    <cfRule type="cellIs" dxfId="1254" priority="3462" operator="lessThan">
      <formula>0</formula>
    </cfRule>
  </conditionalFormatting>
  <conditionalFormatting sqref="H86:H1048576">
    <cfRule type="cellIs" dxfId="1253" priority="3461" operator="lessThan">
      <formula>0</formula>
    </cfRule>
  </conditionalFormatting>
  <conditionalFormatting sqref="H86:H1048576">
    <cfRule type="cellIs" dxfId="1252" priority="3460" operator="lessThan">
      <formula>0</formula>
    </cfRule>
  </conditionalFormatting>
  <conditionalFormatting sqref="H86:H1048576">
    <cfRule type="cellIs" dxfId="1251" priority="3459" operator="lessThan">
      <formula>0</formula>
    </cfRule>
  </conditionalFormatting>
  <conditionalFormatting sqref="H86:H1048576">
    <cfRule type="cellIs" dxfId="1250" priority="3458" operator="lessThan">
      <formula>0</formula>
    </cfRule>
  </conditionalFormatting>
  <conditionalFormatting sqref="H86:H1048576">
    <cfRule type="cellIs" dxfId="1249" priority="3457" operator="lessThan">
      <formula>0</formula>
    </cfRule>
  </conditionalFormatting>
  <conditionalFormatting sqref="H86:H1048576">
    <cfRule type="cellIs" dxfId="1248" priority="3456" operator="lessThan">
      <formula>0</formula>
    </cfRule>
  </conditionalFormatting>
  <conditionalFormatting sqref="H86:H1048576">
    <cfRule type="cellIs" dxfId="1247" priority="3455" operator="lessThan">
      <formula>0</formula>
    </cfRule>
  </conditionalFormatting>
  <conditionalFormatting sqref="H86:H1048576">
    <cfRule type="cellIs" dxfId="1246" priority="3454" operator="lessThan">
      <formula>0</formula>
    </cfRule>
  </conditionalFormatting>
  <conditionalFormatting sqref="H86:H1048576">
    <cfRule type="cellIs" dxfId="1245" priority="3453" operator="lessThan">
      <formula>0</formula>
    </cfRule>
  </conditionalFormatting>
  <conditionalFormatting sqref="H86:H1048576">
    <cfRule type="cellIs" dxfId="1244" priority="3452" operator="lessThan">
      <formula>0</formula>
    </cfRule>
  </conditionalFormatting>
  <conditionalFormatting sqref="H86:H1048576">
    <cfRule type="cellIs" dxfId="1243" priority="3451" operator="lessThan">
      <formula>0</formula>
    </cfRule>
  </conditionalFormatting>
  <conditionalFormatting sqref="H86:H1048576">
    <cfRule type="cellIs" dxfId="1242" priority="3450" operator="lessThan">
      <formula>0</formula>
    </cfRule>
  </conditionalFormatting>
  <conditionalFormatting sqref="H86:H1048576">
    <cfRule type="cellIs" dxfId="1241" priority="3449" operator="lessThan">
      <formula>0</formula>
    </cfRule>
  </conditionalFormatting>
  <conditionalFormatting sqref="H86:H1048576">
    <cfRule type="cellIs" dxfId="1240" priority="3448" operator="lessThan">
      <formula>0</formula>
    </cfRule>
  </conditionalFormatting>
  <conditionalFormatting sqref="H86:H1048576">
    <cfRule type="cellIs" dxfId="1239" priority="3447" operator="lessThan">
      <formula>0</formula>
    </cfRule>
  </conditionalFormatting>
  <conditionalFormatting sqref="H86:H1048576">
    <cfRule type="cellIs" dxfId="1238" priority="3446" operator="lessThan">
      <formula>0</formula>
    </cfRule>
  </conditionalFormatting>
  <conditionalFormatting sqref="H86:H1048576">
    <cfRule type="cellIs" dxfId="1237" priority="3445" operator="lessThan">
      <formula>0</formula>
    </cfRule>
  </conditionalFormatting>
  <conditionalFormatting sqref="H86:H1048576">
    <cfRule type="cellIs" dxfId="1236" priority="3444" operator="lessThan">
      <formula>0</formula>
    </cfRule>
  </conditionalFormatting>
  <conditionalFormatting sqref="H86:H1048576">
    <cfRule type="cellIs" dxfId="1235" priority="3443" operator="lessThan">
      <formula>0</formula>
    </cfRule>
  </conditionalFormatting>
  <conditionalFormatting sqref="H86:H1048576">
    <cfRule type="cellIs" dxfId="1234" priority="3442" operator="lessThan">
      <formula>0</formula>
    </cfRule>
  </conditionalFormatting>
  <conditionalFormatting sqref="H86:H1048576">
    <cfRule type="cellIs" dxfId="1233" priority="3441" operator="lessThan">
      <formula>0</formula>
    </cfRule>
  </conditionalFormatting>
  <conditionalFormatting sqref="H86:H1048576">
    <cfRule type="cellIs" dxfId="1232" priority="3440" operator="lessThan">
      <formula>0</formula>
    </cfRule>
  </conditionalFormatting>
  <conditionalFormatting sqref="H86:H1048576">
    <cfRule type="cellIs" dxfId="1231" priority="3439" operator="lessThan">
      <formula>0</formula>
    </cfRule>
  </conditionalFormatting>
  <conditionalFormatting sqref="H86:H1048576">
    <cfRule type="cellIs" dxfId="1230" priority="3438" operator="lessThan">
      <formula>0</formula>
    </cfRule>
  </conditionalFormatting>
  <conditionalFormatting sqref="H86:H1048576">
    <cfRule type="cellIs" dxfId="1229" priority="3437" operator="lessThan">
      <formula>0</formula>
    </cfRule>
  </conditionalFormatting>
  <conditionalFormatting sqref="H86:H1048576">
    <cfRule type="cellIs" dxfId="1228" priority="3436" operator="lessThan">
      <formula>0</formula>
    </cfRule>
  </conditionalFormatting>
  <conditionalFormatting sqref="H86:H1048576">
    <cfRule type="cellIs" dxfId="1227" priority="3435" operator="lessThan">
      <formula>0</formula>
    </cfRule>
  </conditionalFormatting>
  <conditionalFormatting sqref="H86:H1048576">
    <cfRule type="cellIs" dxfId="1226" priority="3434" operator="lessThan">
      <formula>0</formula>
    </cfRule>
  </conditionalFormatting>
  <conditionalFormatting sqref="H86:H1048576">
    <cfRule type="cellIs" dxfId="1225" priority="3433" operator="lessThan">
      <formula>0</formula>
    </cfRule>
  </conditionalFormatting>
  <conditionalFormatting sqref="H86:H1048576">
    <cfRule type="cellIs" dxfId="1224" priority="3432" operator="lessThan">
      <formula>0</formula>
    </cfRule>
  </conditionalFormatting>
  <conditionalFormatting sqref="H86:H1048576">
    <cfRule type="cellIs" dxfId="1223" priority="3431" operator="lessThan">
      <formula>0</formula>
    </cfRule>
  </conditionalFormatting>
  <conditionalFormatting sqref="H86:H1048576">
    <cfRule type="cellIs" dxfId="1222" priority="3430" operator="lessThan">
      <formula>0</formula>
    </cfRule>
  </conditionalFormatting>
  <conditionalFormatting sqref="H86:H1048576">
    <cfRule type="cellIs" dxfId="1221" priority="3429" operator="lessThan">
      <formula>0</formula>
    </cfRule>
  </conditionalFormatting>
  <conditionalFormatting sqref="H86:H1048576">
    <cfRule type="cellIs" dxfId="1220" priority="3428" operator="lessThan">
      <formula>0</formula>
    </cfRule>
  </conditionalFormatting>
  <conditionalFormatting sqref="H86:H1048576">
    <cfRule type="cellIs" dxfId="1219" priority="3427" operator="lessThan">
      <formula>0</formula>
    </cfRule>
  </conditionalFormatting>
  <conditionalFormatting sqref="H86:H1048576">
    <cfRule type="cellIs" dxfId="1218" priority="3426" operator="lessThan">
      <formula>0</formula>
    </cfRule>
  </conditionalFormatting>
  <conditionalFormatting sqref="H86:H1048576">
    <cfRule type="cellIs" dxfId="1217" priority="3425" operator="lessThan">
      <formula>0</formula>
    </cfRule>
  </conditionalFormatting>
  <conditionalFormatting sqref="H86:H1048576">
    <cfRule type="cellIs" dxfId="1216" priority="3424" operator="lessThan">
      <formula>0</formula>
    </cfRule>
  </conditionalFormatting>
  <conditionalFormatting sqref="H86:H1048576">
    <cfRule type="cellIs" dxfId="1215" priority="3423" operator="lessThan">
      <formula>0</formula>
    </cfRule>
  </conditionalFormatting>
  <conditionalFormatting sqref="H86:H1048576">
    <cfRule type="cellIs" dxfId="1214" priority="3422" operator="lessThan">
      <formula>0</formula>
    </cfRule>
  </conditionalFormatting>
  <conditionalFormatting sqref="H86:H1048576">
    <cfRule type="cellIs" dxfId="1213" priority="3421" operator="lessThan">
      <formula>0</formula>
    </cfRule>
  </conditionalFormatting>
  <conditionalFormatting sqref="H86:H1048576">
    <cfRule type="cellIs" dxfId="1212" priority="3420" operator="lessThan">
      <formula>0</formula>
    </cfRule>
  </conditionalFormatting>
  <conditionalFormatting sqref="H86:H1048576">
    <cfRule type="cellIs" dxfId="1211" priority="3419" operator="lessThan">
      <formula>0</formula>
    </cfRule>
  </conditionalFormatting>
  <conditionalFormatting sqref="H86:H1048576">
    <cfRule type="cellIs" dxfId="1210" priority="3418" operator="lessThan">
      <formula>0</formula>
    </cfRule>
  </conditionalFormatting>
  <conditionalFormatting sqref="H86:H1048576">
    <cfRule type="cellIs" dxfId="1209" priority="3417" operator="lessThan">
      <formula>0</formula>
    </cfRule>
  </conditionalFormatting>
  <conditionalFormatting sqref="H86:H1048576">
    <cfRule type="cellIs" dxfId="1208" priority="3416" operator="lessThan">
      <formula>0</formula>
    </cfRule>
  </conditionalFormatting>
  <conditionalFormatting sqref="H86:H1048576">
    <cfRule type="cellIs" dxfId="1207" priority="3415" operator="lessThan">
      <formula>0</formula>
    </cfRule>
  </conditionalFormatting>
  <conditionalFormatting sqref="H86:H1048576">
    <cfRule type="cellIs" dxfId="1206" priority="3414" operator="lessThan">
      <formula>0</formula>
    </cfRule>
  </conditionalFormatting>
  <conditionalFormatting sqref="H86:H1048576">
    <cfRule type="cellIs" dxfId="1205" priority="3413" operator="lessThan">
      <formula>0</formula>
    </cfRule>
  </conditionalFormatting>
  <conditionalFormatting sqref="H86:H1048576">
    <cfRule type="cellIs" dxfId="1204" priority="3412" operator="lessThan">
      <formula>0</formula>
    </cfRule>
  </conditionalFormatting>
  <conditionalFormatting sqref="H86:H1048576">
    <cfRule type="cellIs" dxfId="1203" priority="3411" operator="lessThan">
      <formula>0</formula>
    </cfRule>
  </conditionalFormatting>
  <conditionalFormatting sqref="H86:H1048576">
    <cfRule type="cellIs" dxfId="1202" priority="3410" operator="lessThan">
      <formula>0</formula>
    </cfRule>
  </conditionalFormatting>
  <conditionalFormatting sqref="H86:H1048576">
    <cfRule type="cellIs" dxfId="1201" priority="3409" operator="lessThan">
      <formula>0</formula>
    </cfRule>
  </conditionalFormatting>
  <conditionalFormatting sqref="H86:H1048576">
    <cfRule type="cellIs" dxfId="1200" priority="3408" operator="lessThan">
      <formula>0</formula>
    </cfRule>
  </conditionalFormatting>
  <conditionalFormatting sqref="H86:H1048576">
    <cfRule type="cellIs" dxfId="1199" priority="3407" operator="lessThan">
      <formula>0</formula>
    </cfRule>
  </conditionalFormatting>
  <conditionalFormatting sqref="H86:H1048576">
    <cfRule type="cellIs" dxfId="1198" priority="3406" operator="lessThan">
      <formula>0</formula>
    </cfRule>
  </conditionalFormatting>
  <conditionalFormatting sqref="H86:H1048576">
    <cfRule type="cellIs" dxfId="1197" priority="3405" operator="lessThan">
      <formula>0</formula>
    </cfRule>
  </conditionalFormatting>
  <conditionalFormatting sqref="H86:H1048576">
    <cfRule type="cellIs" dxfId="1196" priority="3404" operator="lessThan">
      <formula>0</formula>
    </cfRule>
  </conditionalFormatting>
  <conditionalFormatting sqref="H86:H1048576">
    <cfRule type="cellIs" dxfId="1195" priority="3403" operator="lessThan">
      <formula>0</formula>
    </cfRule>
  </conditionalFormatting>
  <conditionalFormatting sqref="H86:H1048576">
    <cfRule type="cellIs" dxfId="1194" priority="3402" operator="lessThan">
      <formula>0</formula>
    </cfRule>
  </conditionalFormatting>
  <conditionalFormatting sqref="H86:H1048576">
    <cfRule type="cellIs" dxfId="1193" priority="3401" operator="lessThan">
      <formula>0</formula>
    </cfRule>
  </conditionalFormatting>
  <conditionalFormatting sqref="H86:H1048576">
    <cfRule type="cellIs" dxfId="1192" priority="3400" operator="lessThan">
      <formula>0</formula>
    </cfRule>
  </conditionalFormatting>
  <conditionalFormatting sqref="H86:H1048576">
    <cfRule type="cellIs" dxfId="1191" priority="3399" operator="lessThan">
      <formula>0</formula>
    </cfRule>
  </conditionalFormatting>
  <conditionalFormatting sqref="H86:H1048576">
    <cfRule type="cellIs" dxfId="1190" priority="3398" operator="lessThan">
      <formula>0</formula>
    </cfRule>
  </conditionalFormatting>
  <conditionalFormatting sqref="H86:H1048576">
    <cfRule type="cellIs" dxfId="1189" priority="3397" operator="lessThan">
      <formula>0</formula>
    </cfRule>
  </conditionalFormatting>
  <conditionalFormatting sqref="H86:H1048576">
    <cfRule type="cellIs" dxfId="1188" priority="3396" operator="lessThan">
      <formula>0</formula>
    </cfRule>
  </conditionalFormatting>
  <conditionalFormatting sqref="H86:H1048576">
    <cfRule type="cellIs" dxfId="1187" priority="3395" operator="lessThan">
      <formula>0</formula>
    </cfRule>
  </conditionalFormatting>
  <conditionalFormatting sqref="H86:H1048576">
    <cfRule type="cellIs" dxfId="1186" priority="3394" operator="lessThan">
      <formula>0</formula>
    </cfRule>
  </conditionalFormatting>
  <conditionalFormatting sqref="H86:H1048576">
    <cfRule type="cellIs" dxfId="1185" priority="3393" operator="lessThan">
      <formula>0</formula>
    </cfRule>
  </conditionalFormatting>
  <conditionalFormatting sqref="H86:H1048576">
    <cfRule type="cellIs" dxfId="1184" priority="3392" operator="lessThan">
      <formula>0</formula>
    </cfRule>
  </conditionalFormatting>
  <conditionalFormatting sqref="H86:H1048576">
    <cfRule type="cellIs" dxfId="1183" priority="3391" operator="lessThan">
      <formula>0</formula>
    </cfRule>
  </conditionalFormatting>
  <conditionalFormatting sqref="H86:H1048576">
    <cfRule type="cellIs" dxfId="1182" priority="3390" operator="lessThan">
      <formula>0</formula>
    </cfRule>
  </conditionalFormatting>
  <conditionalFormatting sqref="H86:H1048576">
    <cfRule type="cellIs" dxfId="1181" priority="3389" operator="lessThan">
      <formula>0</formula>
    </cfRule>
  </conditionalFormatting>
  <conditionalFormatting sqref="H86:H1048576">
    <cfRule type="cellIs" dxfId="1180" priority="3388" operator="lessThan">
      <formula>0</formula>
    </cfRule>
  </conditionalFormatting>
  <conditionalFormatting sqref="H86:H1048576">
    <cfRule type="cellIs" dxfId="1179" priority="3387" operator="lessThan">
      <formula>0</formula>
    </cfRule>
  </conditionalFormatting>
  <conditionalFormatting sqref="H86:H1048576">
    <cfRule type="cellIs" dxfId="1178" priority="3386" operator="lessThan">
      <formula>0</formula>
    </cfRule>
  </conditionalFormatting>
  <conditionalFormatting sqref="H86:H1048576">
    <cfRule type="cellIs" dxfId="1177" priority="3385" operator="lessThan">
      <formula>0</formula>
    </cfRule>
  </conditionalFormatting>
  <conditionalFormatting sqref="H86:H1048576">
    <cfRule type="cellIs" dxfId="1176" priority="3384" operator="lessThan">
      <formula>0</formula>
    </cfRule>
  </conditionalFormatting>
  <conditionalFormatting sqref="H86:H1048576">
    <cfRule type="cellIs" dxfId="1175" priority="3383" operator="lessThan">
      <formula>0</formula>
    </cfRule>
  </conditionalFormatting>
  <conditionalFormatting sqref="H86:H1048576">
    <cfRule type="cellIs" dxfId="1174" priority="3382" operator="lessThan">
      <formula>0</formula>
    </cfRule>
  </conditionalFormatting>
  <conditionalFormatting sqref="H86:H1048576">
    <cfRule type="cellIs" dxfId="1173" priority="3381" operator="lessThan">
      <formula>0</formula>
    </cfRule>
  </conditionalFormatting>
  <conditionalFormatting sqref="H86:H1048576">
    <cfRule type="cellIs" dxfId="1172" priority="3380" operator="lessThan">
      <formula>0</formula>
    </cfRule>
  </conditionalFormatting>
  <conditionalFormatting sqref="H86:H1048576">
    <cfRule type="cellIs" dxfId="1171" priority="3379" operator="lessThan">
      <formula>0</formula>
    </cfRule>
  </conditionalFormatting>
  <conditionalFormatting sqref="H86:H1048576">
    <cfRule type="cellIs" dxfId="1170" priority="3378" operator="lessThan">
      <formula>0</formula>
    </cfRule>
  </conditionalFormatting>
  <conditionalFormatting sqref="H86:H1048576">
    <cfRule type="cellIs" dxfId="1169" priority="3377" operator="lessThan">
      <formula>0</formula>
    </cfRule>
  </conditionalFormatting>
  <conditionalFormatting sqref="H86:H1048576">
    <cfRule type="cellIs" dxfId="1168" priority="3376" operator="lessThan">
      <formula>0</formula>
    </cfRule>
  </conditionalFormatting>
  <conditionalFormatting sqref="H86:H1048576">
    <cfRule type="cellIs" dxfId="1167" priority="3375" operator="lessThan">
      <formula>0</formula>
    </cfRule>
  </conditionalFormatting>
  <conditionalFormatting sqref="H86:H1048576">
    <cfRule type="cellIs" dxfId="1166" priority="3374" operator="lessThan">
      <formula>0</formula>
    </cfRule>
  </conditionalFormatting>
  <conditionalFormatting sqref="H86:H1048576">
    <cfRule type="cellIs" dxfId="1165" priority="3373" operator="lessThan">
      <formula>0</formula>
    </cfRule>
  </conditionalFormatting>
  <conditionalFormatting sqref="H86:H1048576">
    <cfRule type="cellIs" dxfId="1164" priority="3372" operator="lessThan">
      <formula>0</formula>
    </cfRule>
  </conditionalFormatting>
  <conditionalFormatting sqref="H86:H1048576">
    <cfRule type="cellIs" dxfId="1163" priority="3371" operator="lessThan">
      <formula>0</formula>
    </cfRule>
  </conditionalFormatting>
  <conditionalFormatting sqref="H86:H1048576">
    <cfRule type="cellIs" dxfId="1162" priority="3370" operator="lessThan">
      <formula>0</formula>
    </cfRule>
  </conditionalFormatting>
  <conditionalFormatting sqref="H86:H1048576">
    <cfRule type="cellIs" dxfId="1161" priority="3369" operator="lessThan">
      <formula>0</formula>
    </cfRule>
  </conditionalFormatting>
  <conditionalFormatting sqref="H86:H1048576">
    <cfRule type="cellIs" dxfId="1160" priority="3368" operator="lessThan">
      <formula>0</formula>
    </cfRule>
  </conditionalFormatting>
  <conditionalFormatting sqref="H86:H1048576">
    <cfRule type="cellIs" dxfId="1159" priority="3367" operator="lessThan">
      <formula>0</formula>
    </cfRule>
  </conditionalFormatting>
  <conditionalFormatting sqref="H86:H1048576">
    <cfRule type="cellIs" dxfId="1158" priority="3366" operator="lessThan">
      <formula>0</formula>
    </cfRule>
  </conditionalFormatting>
  <conditionalFormatting sqref="H86:H1048576">
    <cfRule type="cellIs" dxfId="1157" priority="3365" operator="lessThan">
      <formula>0</formula>
    </cfRule>
  </conditionalFormatting>
  <conditionalFormatting sqref="H86:H1048576">
    <cfRule type="cellIs" dxfId="1156" priority="3364" operator="lessThan">
      <formula>0</formula>
    </cfRule>
  </conditionalFormatting>
  <conditionalFormatting sqref="H86:H1048576">
    <cfRule type="cellIs" dxfId="1155" priority="3363" operator="lessThan">
      <formula>0</formula>
    </cfRule>
  </conditionalFormatting>
  <conditionalFormatting sqref="H86:H1048576">
    <cfRule type="cellIs" dxfId="1154" priority="3362" operator="lessThan">
      <formula>0</formula>
    </cfRule>
  </conditionalFormatting>
  <conditionalFormatting sqref="H86:H1048576">
    <cfRule type="cellIs" dxfId="1153" priority="3361" operator="lessThan">
      <formula>0</formula>
    </cfRule>
  </conditionalFormatting>
  <conditionalFormatting sqref="H86:H1048576">
    <cfRule type="cellIs" dxfId="1152" priority="3360" operator="lessThan">
      <formula>0</formula>
    </cfRule>
  </conditionalFormatting>
  <conditionalFormatting sqref="H86:H1048576">
    <cfRule type="cellIs" dxfId="1151" priority="3359" operator="lessThan">
      <formula>0</formula>
    </cfRule>
  </conditionalFormatting>
  <conditionalFormatting sqref="H86:H1048576">
    <cfRule type="cellIs" dxfId="1150" priority="3358" operator="lessThan">
      <formula>0</formula>
    </cfRule>
  </conditionalFormatting>
  <conditionalFormatting sqref="H86:H1048576">
    <cfRule type="cellIs" dxfId="1149" priority="3357" operator="lessThan">
      <formula>0</formula>
    </cfRule>
  </conditionalFormatting>
  <conditionalFormatting sqref="H86:H1048576">
    <cfRule type="cellIs" dxfId="1148" priority="3356" operator="lessThan">
      <formula>0</formula>
    </cfRule>
  </conditionalFormatting>
  <conditionalFormatting sqref="H86:H1048576">
    <cfRule type="cellIs" dxfId="1147" priority="3355" operator="lessThan">
      <formula>0</formula>
    </cfRule>
  </conditionalFormatting>
  <conditionalFormatting sqref="H86:H1048576">
    <cfRule type="cellIs" dxfId="1146" priority="3354" operator="lessThan">
      <formula>0</formula>
    </cfRule>
  </conditionalFormatting>
  <conditionalFormatting sqref="H86:H1048576">
    <cfRule type="cellIs" dxfId="1145" priority="3353" operator="lessThan">
      <formula>0</formula>
    </cfRule>
  </conditionalFormatting>
  <conditionalFormatting sqref="H86:H1048576">
    <cfRule type="cellIs" dxfId="1144" priority="3352" operator="lessThan">
      <formula>0</formula>
    </cfRule>
  </conditionalFormatting>
  <conditionalFormatting sqref="H86:H1048576">
    <cfRule type="cellIs" dxfId="1143" priority="3351" operator="lessThan">
      <formula>0</formula>
    </cfRule>
  </conditionalFormatting>
  <conditionalFormatting sqref="H86:H1048576">
    <cfRule type="cellIs" dxfId="1142" priority="3350" operator="lessThan">
      <formula>0</formula>
    </cfRule>
  </conditionalFormatting>
  <conditionalFormatting sqref="H86:H1048576">
    <cfRule type="cellIs" dxfId="1141" priority="3349" operator="lessThan">
      <formula>0</formula>
    </cfRule>
  </conditionalFormatting>
  <conditionalFormatting sqref="H86:H1048576">
    <cfRule type="cellIs" dxfId="1140" priority="3348" operator="lessThan">
      <formula>0</formula>
    </cfRule>
  </conditionalFormatting>
  <conditionalFormatting sqref="H86:H1048576">
    <cfRule type="cellIs" dxfId="1139" priority="3347" operator="lessThan">
      <formula>0</formula>
    </cfRule>
  </conditionalFormatting>
  <conditionalFormatting sqref="H86:H1048576">
    <cfRule type="cellIs" dxfId="1138" priority="3346" operator="lessThan">
      <formula>0</formula>
    </cfRule>
  </conditionalFormatting>
  <conditionalFormatting sqref="H86:H1048576">
    <cfRule type="cellIs" dxfId="1137" priority="3345" operator="lessThan">
      <formula>0</formula>
    </cfRule>
  </conditionalFormatting>
  <conditionalFormatting sqref="H86:H1048576">
    <cfRule type="cellIs" dxfId="1136" priority="3344" operator="lessThan">
      <formula>0</formula>
    </cfRule>
  </conditionalFormatting>
  <conditionalFormatting sqref="H86:H1048576">
    <cfRule type="cellIs" dxfId="1135" priority="3343" operator="lessThan">
      <formula>0</formula>
    </cfRule>
  </conditionalFormatting>
  <conditionalFormatting sqref="H86:H1048576">
    <cfRule type="cellIs" dxfId="1134" priority="3342" operator="lessThan">
      <formula>0</formula>
    </cfRule>
  </conditionalFormatting>
  <conditionalFormatting sqref="H86:H1048576">
    <cfRule type="cellIs" dxfId="1133" priority="3341" operator="lessThan">
      <formula>0</formula>
    </cfRule>
  </conditionalFormatting>
  <conditionalFormatting sqref="H86:H1048576">
    <cfRule type="cellIs" dxfId="1132" priority="3340" operator="lessThan">
      <formula>0</formula>
    </cfRule>
  </conditionalFormatting>
  <conditionalFormatting sqref="H86:H1048576">
    <cfRule type="cellIs" dxfId="1131" priority="3339" operator="lessThan">
      <formula>0</formula>
    </cfRule>
  </conditionalFormatting>
  <conditionalFormatting sqref="H86:H1048576">
    <cfRule type="cellIs" dxfId="1130" priority="3338" operator="lessThan">
      <formula>0</formula>
    </cfRule>
  </conditionalFormatting>
  <conditionalFormatting sqref="H86:H1048576">
    <cfRule type="cellIs" dxfId="1129" priority="3337" operator="lessThan">
      <formula>0</formula>
    </cfRule>
  </conditionalFormatting>
  <conditionalFormatting sqref="H86:H1048576">
    <cfRule type="cellIs" dxfId="1128" priority="3336" operator="lessThan">
      <formula>0</formula>
    </cfRule>
  </conditionalFormatting>
  <conditionalFormatting sqref="H86:H1048576">
    <cfRule type="cellIs" dxfId="1127" priority="3335" operator="lessThan">
      <formula>0</formula>
    </cfRule>
  </conditionalFormatting>
  <conditionalFormatting sqref="H86:H1048576">
    <cfRule type="cellIs" dxfId="1126" priority="3334" operator="lessThan">
      <formula>0</formula>
    </cfRule>
  </conditionalFormatting>
  <conditionalFormatting sqref="H86:H1048576">
    <cfRule type="cellIs" dxfId="1125" priority="3333" operator="lessThan">
      <formula>0</formula>
    </cfRule>
  </conditionalFormatting>
  <conditionalFormatting sqref="H86:H1048576">
    <cfRule type="cellIs" dxfId="1124" priority="3332" operator="lessThan">
      <formula>0</formula>
    </cfRule>
  </conditionalFormatting>
  <conditionalFormatting sqref="H86:H1048576">
    <cfRule type="cellIs" dxfId="1123" priority="3331" operator="lessThan">
      <formula>0</formula>
    </cfRule>
  </conditionalFormatting>
  <conditionalFormatting sqref="H86:H1048576">
    <cfRule type="cellIs" dxfId="1122" priority="3330" operator="lessThan">
      <formula>0</formula>
    </cfRule>
  </conditionalFormatting>
  <conditionalFormatting sqref="H86:H1048576">
    <cfRule type="cellIs" dxfId="1121" priority="3329" operator="lessThan">
      <formula>0</formula>
    </cfRule>
  </conditionalFormatting>
  <conditionalFormatting sqref="H86:H1048576">
    <cfRule type="cellIs" dxfId="1120" priority="3328" operator="lessThan">
      <formula>0</formula>
    </cfRule>
  </conditionalFormatting>
  <conditionalFormatting sqref="H86:H1048576">
    <cfRule type="cellIs" dxfId="1119" priority="3327" operator="lessThan">
      <formula>0</formula>
    </cfRule>
  </conditionalFormatting>
  <conditionalFormatting sqref="H86:H1048576">
    <cfRule type="cellIs" dxfId="1118" priority="3326" operator="lessThan">
      <formula>0</formula>
    </cfRule>
  </conditionalFormatting>
  <conditionalFormatting sqref="H86:H1048576">
    <cfRule type="cellIs" dxfId="1117" priority="3325" operator="lessThan">
      <formula>0</formula>
    </cfRule>
  </conditionalFormatting>
  <conditionalFormatting sqref="H86:H1048576">
    <cfRule type="cellIs" dxfId="1116" priority="3324" operator="lessThan">
      <formula>0</formula>
    </cfRule>
  </conditionalFormatting>
  <conditionalFormatting sqref="H86:H1048576">
    <cfRule type="cellIs" dxfId="1115" priority="3323" operator="lessThan">
      <formula>0</formula>
    </cfRule>
  </conditionalFormatting>
  <conditionalFormatting sqref="H86:H1048576">
    <cfRule type="cellIs" dxfId="1114" priority="3322" operator="lessThan">
      <formula>0</formula>
    </cfRule>
  </conditionalFormatting>
  <conditionalFormatting sqref="H86:H1048576">
    <cfRule type="cellIs" dxfId="1113" priority="3321" operator="lessThan">
      <formula>0</formula>
    </cfRule>
  </conditionalFormatting>
  <conditionalFormatting sqref="H86:H1048576">
    <cfRule type="cellIs" dxfId="1112" priority="3320" operator="lessThan">
      <formula>0</formula>
    </cfRule>
  </conditionalFormatting>
  <conditionalFormatting sqref="H86:H1048576">
    <cfRule type="cellIs" dxfId="1111" priority="3319" operator="lessThan">
      <formula>0</formula>
    </cfRule>
  </conditionalFormatting>
  <conditionalFormatting sqref="H86:H1048576">
    <cfRule type="cellIs" dxfId="1110" priority="3318" operator="lessThan">
      <formula>0</formula>
    </cfRule>
  </conditionalFormatting>
  <conditionalFormatting sqref="H86:H1048576">
    <cfRule type="cellIs" dxfId="1109" priority="3317" operator="lessThan">
      <formula>0</formula>
    </cfRule>
  </conditionalFormatting>
  <conditionalFormatting sqref="H86:H1048576">
    <cfRule type="cellIs" dxfId="1108" priority="3316" operator="lessThan">
      <formula>0</formula>
    </cfRule>
  </conditionalFormatting>
  <conditionalFormatting sqref="H86:H1048576">
    <cfRule type="cellIs" dxfId="1107" priority="3315" operator="lessThan">
      <formula>0</formula>
    </cfRule>
  </conditionalFormatting>
  <conditionalFormatting sqref="H86:H1048576">
    <cfRule type="cellIs" dxfId="1106" priority="3314" operator="lessThan">
      <formula>0</formula>
    </cfRule>
  </conditionalFormatting>
  <conditionalFormatting sqref="H86:H1048576">
    <cfRule type="cellIs" dxfId="1105" priority="3313" operator="lessThan">
      <formula>0</formula>
    </cfRule>
  </conditionalFormatting>
  <conditionalFormatting sqref="H86:H1048576">
    <cfRule type="cellIs" dxfId="1104" priority="3312" operator="lessThan">
      <formula>0</formula>
    </cfRule>
  </conditionalFormatting>
  <conditionalFormatting sqref="H86:H1048576">
    <cfRule type="cellIs" dxfId="1103" priority="3311" operator="lessThan">
      <formula>0</formula>
    </cfRule>
  </conditionalFormatting>
  <conditionalFormatting sqref="H86:H1048576">
    <cfRule type="cellIs" dxfId="1102" priority="3310" operator="lessThan">
      <formula>0</formula>
    </cfRule>
  </conditionalFormatting>
  <conditionalFormatting sqref="H86:H1048576">
    <cfRule type="cellIs" dxfId="1101" priority="3309" operator="lessThan">
      <formula>0</formula>
    </cfRule>
  </conditionalFormatting>
  <conditionalFormatting sqref="H86:H1048576">
    <cfRule type="cellIs" dxfId="1100" priority="3308" operator="lessThan">
      <formula>0</formula>
    </cfRule>
  </conditionalFormatting>
  <conditionalFormatting sqref="H86:H1048576">
    <cfRule type="cellIs" dxfId="1099" priority="3307" operator="lessThan">
      <formula>0</formula>
    </cfRule>
  </conditionalFormatting>
  <conditionalFormatting sqref="H86:H1048576">
    <cfRule type="cellIs" dxfId="1098" priority="3306" operator="lessThan">
      <formula>0</formula>
    </cfRule>
  </conditionalFormatting>
  <conditionalFormatting sqref="H86:H1048576">
    <cfRule type="cellIs" dxfId="1097" priority="3305" operator="lessThan">
      <formula>0</formula>
    </cfRule>
  </conditionalFormatting>
  <conditionalFormatting sqref="H86:H1048576">
    <cfRule type="cellIs" dxfId="1096" priority="3304" operator="lessThan">
      <formula>0</formula>
    </cfRule>
  </conditionalFormatting>
  <conditionalFormatting sqref="H86:H1048576">
    <cfRule type="cellIs" dxfId="1095" priority="3303" operator="lessThan">
      <formula>0</formula>
    </cfRule>
  </conditionalFormatting>
  <conditionalFormatting sqref="H86:H1048576">
    <cfRule type="cellIs" dxfId="1094" priority="3302" operator="lessThan">
      <formula>0</formula>
    </cfRule>
  </conditionalFormatting>
  <conditionalFormatting sqref="H86:H1048576">
    <cfRule type="cellIs" dxfId="1093" priority="3301" operator="lessThan">
      <formula>0</formula>
    </cfRule>
  </conditionalFormatting>
  <conditionalFormatting sqref="H86:H1048576">
    <cfRule type="cellIs" dxfId="1092" priority="3300" operator="lessThan">
      <formula>0</formula>
    </cfRule>
  </conditionalFormatting>
  <conditionalFormatting sqref="H86:H1048576">
    <cfRule type="cellIs" dxfId="1091" priority="3299" operator="lessThan">
      <formula>0</formula>
    </cfRule>
  </conditionalFormatting>
  <conditionalFormatting sqref="H86:H1048576">
    <cfRule type="cellIs" dxfId="1090" priority="3298" operator="lessThan">
      <formula>0</formula>
    </cfRule>
  </conditionalFormatting>
  <conditionalFormatting sqref="H86:H1048576">
    <cfRule type="cellIs" dxfId="1089" priority="3297" operator="lessThan">
      <formula>0</formula>
    </cfRule>
  </conditionalFormatting>
  <conditionalFormatting sqref="H86:H1048576">
    <cfRule type="cellIs" dxfId="1088" priority="3296" operator="lessThan">
      <formula>0</formula>
    </cfRule>
  </conditionalFormatting>
  <conditionalFormatting sqref="H86:H1048576">
    <cfRule type="cellIs" dxfId="1087" priority="3295" operator="lessThan">
      <formula>0</formula>
    </cfRule>
  </conditionalFormatting>
  <conditionalFormatting sqref="H86:H1048576">
    <cfRule type="cellIs" dxfId="1086" priority="3294" operator="lessThan">
      <formula>0</formula>
    </cfRule>
  </conditionalFormatting>
  <conditionalFormatting sqref="H86:H1048576">
    <cfRule type="cellIs" dxfId="1085" priority="3293" operator="lessThan">
      <formula>0</formula>
    </cfRule>
  </conditionalFormatting>
  <conditionalFormatting sqref="H86:H1048576">
    <cfRule type="cellIs" dxfId="1084" priority="3292" operator="lessThan">
      <formula>0</formula>
    </cfRule>
  </conditionalFormatting>
  <conditionalFormatting sqref="H86:H1048576">
    <cfRule type="cellIs" dxfId="1083" priority="3291" operator="lessThan">
      <formula>0</formula>
    </cfRule>
  </conditionalFormatting>
  <conditionalFormatting sqref="H86:H1048576">
    <cfRule type="cellIs" dxfId="1082" priority="3290" operator="lessThan">
      <formula>0</formula>
    </cfRule>
  </conditionalFormatting>
  <conditionalFormatting sqref="H86:H1048576">
    <cfRule type="cellIs" dxfId="1081" priority="3289" operator="lessThan">
      <formula>0</formula>
    </cfRule>
  </conditionalFormatting>
  <conditionalFormatting sqref="H86:H1048576">
    <cfRule type="cellIs" dxfId="1080" priority="3288" operator="lessThan">
      <formula>0</formula>
    </cfRule>
  </conditionalFormatting>
  <conditionalFormatting sqref="H86:H1048576">
    <cfRule type="cellIs" dxfId="1079" priority="3287" operator="lessThan">
      <formula>0</formula>
    </cfRule>
  </conditionalFormatting>
  <conditionalFormatting sqref="H86:H1048576">
    <cfRule type="cellIs" dxfId="1078" priority="3286" operator="lessThan">
      <formula>0</formula>
    </cfRule>
  </conditionalFormatting>
  <conditionalFormatting sqref="H86:H1048576">
    <cfRule type="cellIs" dxfId="1077" priority="3285" operator="lessThan">
      <formula>0</formula>
    </cfRule>
  </conditionalFormatting>
  <conditionalFormatting sqref="H86:H1048576">
    <cfRule type="cellIs" dxfId="1076" priority="3284" operator="lessThan">
      <formula>0</formula>
    </cfRule>
  </conditionalFormatting>
  <conditionalFormatting sqref="H86:H1048576">
    <cfRule type="cellIs" dxfId="1075" priority="3283" operator="lessThan">
      <formula>0</formula>
    </cfRule>
  </conditionalFormatting>
  <conditionalFormatting sqref="H86:H1048576">
    <cfRule type="cellIs" dxfId="1074" priority="3282" operator="lessThan">
      <formula>0</formula>
    </cfRule>
  </conditionalFormatting>
  <conditionalFormatting sqref="H86:H1048576">
    <cfRule type="cellIs" dxfId="1073" priority="3281" operator="lessThan">
      <formula>0</formula>
    </cfRule>
  </conditionalFormatting>
  <conditionalFormatting sqref="H86:H1048576">
    <cfRule type="cellIs" dxfId="1072" priority="3280" operator="lessThan">
      <formula>0</formula>
    </cfRule>
  </conditionalFormatting>
  <conditionalFormatting sqref="H86:H1048576">
    <cfRule type="cellIs" dxfId="1071" priority="3279" operator="lessThan">
      <formula>0</formula>
    </cfRule>
  </conditionalFormatting>
  <conditionalFormatting sqref="H86:H1048576">
    <cfRule type="cellIs" dxfId="1070" priority="3278" operator="lessThan">
      <formula>0</formula>
    </cfRule>
  </conditionalFormatting>
  <conditionalFormatting sqref="H86:H1048576">
    <cfRule type="cellIs" dxfId="1069" priority="3277" operator="lessThan">
      <formula>0</formula>
    </cfRule>
  </conditionalFormatting>
  <conditionalFormatting sqref="H10:H1048576">
    <cfRule type="cellIs" dxfId="1068" priority="3276" operator="lessThan">
      <formula>0</formula>
    </cfRule>
  </conditionalFormatting>
  <conditionalFormatting sqref="H10:H1048576">
    <cfRule type="cellIs" dxfId="1067" priority="3275" operator="lessThan">
      <formula>0</formula>
    </cfRule>
  </conditionalFormatting>
  <conditionalFormatting sqref="H10:H1048576">
    <cfRule type="cellIs" dxfId="1066" priority="3274" operator="lessThan">
      <formula>0</formula>
    </cfRule>
  </conditionalFormatting>
  <conditionalFormatting sqref="H10:H1048576">
    <cfRule type="cellIs" dxfId="1065" priority="3273" operator="lessThan">
      <formula>0</formula>
    </cfRule>
  </conditionalFormatting>
  <conditionalFormatting sqref="H10:H1048576">
    <cfRule type="cellIs" dxfId="1064" priority="3272" operator="lessThan">
      <formula>0</formula>
    </cfRule>
  </conditionalFormatting>
  <conditionalFormatting sqref="H10:H1048576">
    <cfRule type="cellIs" dxfId="1063" priority="3271" operator="lessThan">
      <formula>0</formula>
    </cfRule>
  </conditionalFormatting>
  <conditionalFormatting sqref="H10:H1048576">
    <cfRule type="cellIs" dxfId="1062" priority="3270" operator="lessThan">
      <formula>0</formula>
    </cfRule>
  </conditionalFormatting>
  <conditionalFormatting sqref="H10:H1048576">
    <cfRule type="cellIs" dxfId="1061" priority="3269" operator="lessThan">
      <formula>0</formula>
    </cfRule>
  </conditionalFormatting>
  <conditionalFormatting sqref="H10:H1048576">
    <cfRule type="cellIs" dxfId="1060" priority="3268" operator="lessThan">
      <formula>0</formula>
    </cfRule>
  </conditionalFormatting>
  <conditionalFormatting sqref="H10:H1048576">
    <cfRule type="cellIs" dxfId="1059" priority="3267" operator="lessThan">
      <formula>0</formula>
    </cfRule>
  </conditionalFormatting>
  <conditionalFormatting sqref="H10:H1048576">
    <cfRule type="cellIs" dxfId="1058" priority="3266" operator="lessThan">
      <formula>0</formula>
    </cfRule>
  </conditionalFormatting>
  <conditionalFormatting sqref="H10:H1048576">
    <cfRule type="cellIs" dxfId="1057" priority="3265" operator="lessThan">
      <formula>0</formula>
    </cfRule>
  </conditionalFormatting>
  <conditionalFormatting sqref="H10:H1048576">
    <cfRule type="cellIs" dxfId="1056" priority="3264" operator="lessThan">
      <formula>0</formula>
    </cfRule>
  </conditionalFormatting>
  <conditionalFormatting sqref="H10:H1048576">
    <cfRule type="cellIs" dxfId="1055" priority="3263" operator="lessThan">
      <formula>0</formula>
    </cfRule>
  </conditionalFormatting>
  <conditionalFormatting sqref="H10:H1048576">
    <cfRule type="cellIs" dxfId="1054" priority="3262" operator="lessThan">
      <formula>0</formula>
    </cfRule>
  </conditionalFormatting>
  <conditionalFormatting sqref="H10:H1048576">
    <cfRule type="cellIs" dxfId="1053" priority="3261" operator="lessThan">
      <formula>0</formula>
    </cfRule>
  </conditionalFormatting>
  <conditionalFormatting sqref="H10:H1048576">
    <cfRule type="cellIs" dxfId="1052" priority="3260" operator="lessThan">
      <formula>0</formula>
    </cfRule>
  </conditionalFormatting>
  <conditionalFormatting sqref="H10:H1048576">
    <cfRule type="cellIs" dxfId="1051" priority="3259" operator="lessThan">
      <formula>0</formula>
    </cfRule>
  </conditionalFormatting>
  <conditionalFormatting sqref="H10:H1048576">
    <cfRule type="cellIs" dxfId="1050" priority="3258" operator="lessThan">
      <formula>0</formula>
    </cfRule>
  </conditionalFormatting>
  <conditionalFormatting sqref="H10:H1048576">
    <cfRule type="cellIs" dxfId="1049" priority="3257" operator="lessThan">
      <formula>0</formula>
    </cfRule>
  </conditionalFormatting>
  <conditionalFormatting sqref="H10:H1048576">
    <cfRule type="cellIs" dxfId="1048" priority="3256" operator="lessThan">
      <formula>0</formula>
    </cfRule>
  </conditionalFormatting>
  <conditionalFormatting sqref="H10:H1048576">
    <cfRule type="cellIs" dxfId="1047" priority="3255" operator="lessThan">
      <formula>0</formula>
    </cfRule>
  </conditionalFormatting>
  <conditionalFormatting sqref="H10:H1048576">
    <cfRule type="cellIs" dxfId="1046" priority="3254" operator="lessThan">
      <formula>0</formula>
    </cfRule>
  </conditionalFormatting>
  <conditionalFormatting sqref="H10:H1048576">
    <cfRule type="cellIs" dxfId="1045" priority="3253" operator="lessThan">
      <formula>0</formula>
    </cfRule>
  </conditionalFormatting>
  <conditionalFormatting sqref="H10:H1048576">
    <cfRule type="cellIs" dxfId="1044" priority="3252" operator="lessThan">
      <formula>0</formula>
    </cfRule>
  </conditionalFormatting>
  <conditionalFormatting sqref="H10:H1048576">
    <cfRule type="cellIs" dxfId="1043" priority="3251" operator="lessThan">
      <formula>0</formula>
    </cfRule>
  </conditionalFormatting>
  <conditionalFormatting sqref="H10:H1048576">
    <cfRule type="cellIs" dxfId="1042" priority="3250" operator="lessThan">
      <formula>0</formula>
    </cfRule>
  </conditionalFormatting>
  <conditionalFormatting sqref="H10:H1048576">
    <cfRule type="cellIs" dxfId="1041" priority="3249" operator="lessThan">
      <formula>0</formula>
    </cfRule>
  </conditionalFormatting>
  <conditionalFormatting sqref="H10:H1048576">
    <cfRule type="cellIs" dxfId="1040" priority="3248" operator="lessThan">
      <formula>0</formula>
    </cfRule>
  </conditionalFormatting>
  <conditionalFormatting sqref="H10:H1048576">
    <cfRule type="cellIs" dxfId="1039" priority="3247" operator="lessThan">
      <formula>0</formula>
    </cfRule>
  </conditionalFormatting>
  <conditionalFormatting sqref="H10:H1048576">
    <cfRule type="cellIs" dxfId="1038" priority="3246" operator="lessThan">
      <formula>0</formula>
    </cfRule>
  </conditionalFormatting>
  <conditionalFormatting sqref="H10:H1048576">
    <cfRule type="cellIs" dxfId="1037" priority="3245" operator="lessThan">
      <formula>0</formula>
    </cfRule>
  </conditionalFormatting>
  <conditionalFormatting sqref="H10:H1048576">
    <cfRule type="cellIs" dxfId="1036" priority="3244" operator="lessThan">
      <formula>0</formula>
    </cfRule>
  </conditionalFormatting>
  <conditionalFormatting sqref="H10:H1048576">
    <cfRule type="cellIs" dxfId="1035" priority="3243" operator="lessThan">
      <formula>0</formula>
    </cfRule>
  </conditionalFormatting>
  <conditionalFormatting sqref="H10:H1048576">
    <cfRule type="cellIs" dxfId="1034" priority="3242" operator="lessThan">
      <formula>0</formula>
    </cfRule>
  </conditionalFormatting>
  <conditionalFormatting sqref="H10:H1048576">
    <cfRule type="cellIs" dxfId="1033" priority="3241" operator="lessThan">
      <formula>0</formula>
    </cfRule>
  </conditionalFormatting>
  <conditionalFormatting sqref="H10:H1048576">
    <cfRule type="cellIs" dxfId="1032" priority="3240" operator="lessThan">
      <formula>0</formula>
    </cfRule>
  </conditionalFormatting>
  <conditionalFormatting sqref="H10:H1048576">
    <cfRule type="cellIs" dxfId="1031" priority="3239" operator="lessThan">
      <formula>0</formula>
    </cfRule>
  </conditionalFormatting>
  <conditionalFormatting sqref="H10:H1048576">
    <cfRule type="cellIs" dxfId="1030" priority="3238" operator="lessThan">
      <formula>0</formula>
    </cfRule>
  </conditionalFormatting>
  <conditionalFormatting sqref="H10:H1048576">
    <cfRule type="cellIs" dxfId="1029" priority="3237" operator="lessThan">
      <formula>0</formula>
    </cfRule>
  </conditionalFormatting>
  <conditionalFormatting sqref="H10:H1048576">
    <cfRule type="cellIs" dxfId="1028" priority="3236" operator="lessThan">
      <formula>0</formula>
    </cfRule>
  </conditionalFormatting>
  <conditionalFormatting sqref="H10:H1048576">
    <cfRule type="cellIs" dxfId="1027" priority="3235" operator="lessThan">
      <formula>0</formula>
    </cfRule>
  </conditionalFormatting>
  <conditionalFormatting sqref="H10:H1048576">
    <cfRule type="cellIs" dxfId="1026" priority="3234" operator="lessThan">
      <formula>0</formula>
    </cfRule>
  </conditionalFormatting>
  <conditionalFormatting sqref="H10:H1048576">
    <cfRule type="cellIs" dxfId="1025" priority="3233" operator="lessThan">
      <formula>0</formula>
    </cfRule>
  </conditionalFormatting>
  <conditionalFormatting sqref="H10:H1048576">
    <cfRule type="cellIs" dxfId="1024" priority="3232" operator="lessThan">
      <formula>0</formula>
    </cfRule>
  </conditionalFormatting>
  <conditionalFormatting sqref="H10:H1048576">
    <cfRule type="cellIs" dxfId="1023" priority="3231" operator="lessThan">
      <formula>0</formula>
    </cfRule>
  </conditionalFormatting>
  <conditionalFormatting sqref="H10:H1048576">
    <cfRule type="cellIs" dxfId="1022" priority="3230" operator="lessThan">
      <formula>0</formula>
    </cfRule>
  </conditionalFormatting>
  <conditionalFormatting sqref="H10:H1048576">
    <cfRule type="cellIs" dxfId="1021" priority="3229" operator="lessThan">
      <formula>0</formula>
    </cfRule>
  </conditionalFormatting>
  <conditionalFormatting sqref="H10:H1048576">
    <cfRule type="cellIs" dxfId="1020" priority="3228" operator="lessThan">
      <formula>0</formula>
    </cfRule>
  </conditionalFormatting>
  <conditionalFormatting sqref="H10:H1048576">
    <cfRule type="cellIs" dxfId="1019" priority="3227" operator="lessThan">
      <formula>0</formula>
    </cfRule>
  </conditionalFormatting>
  <conditionalFormatting sqref="H10:H1048576">
    <cfRule type="cellIs" dxfId="1018" priority="3226" operator="lessThan">
      <formula>0</formula>
    </cfRule>
  </conditionalFormatting>
  <conditionalFormatting sqref="H10:H1048576">
    <cfRule type="cellIs" dxfId="1017" priority="3225" operator="lessThan">
      <formula>0</formula>
    </cfRule>
  </conditionalFormatting>
  <conditionalFormatting sqref="H10:H1048576">
    <cfRule type="cellIs" dxfId="1016" priority="3224" operator="lessThan">
      <formula>0</formula>
    </cfRule>
  </conditionalFormatting>
  <conditionalFormatting sqref="H10:H1048576">
    <cfRule type="cellIs" dxfId="1015" priority="3223" operator="lessThan">
      <formula>0</formula>
    </cfRule>
  </conditionalFormatting>
  <conditionalFormatting sqref="H10:H1048576">
    <cfRule type="cellIs" dxfId="1014" priority="3222" operator="lessThan">
      <formula>0</formula>
    </cfRule>
  </conditionalFormatting>
  <conditionalFormatting sqref="H10:H1048576">
    <cfRule type="cellIs" dxfId="1013" priority="3221" operator="lessThan">
      <formula>0</formula>
    </cfRule>
  </conditionalFormatting>
  <conditionalFormatting sqref="H10:H1048576">
    <cfRule type="cellIs" dxfId="1012" priority="3220" operator="lessThan">
      <formula>0</formula>
    </cfRule>
  </conditionalFormatting>
  <conditionalFormatting sqref="H10:H1048576">
    <cfRule type="cellIs" dxfId="1011" priority="3219" operator="lessThan">
      <formula>0</formula>
    </cfRule>
  </conditionalFormatting>
  <conditionalFormatting sqref="H10:H1048576">
    <cfRule type="cellIs" dxfId="1010" priority="3218" operator="lessThan">
      <formula>0</formula>
    </cfRule>
  </conditionalFormatting>
  <conditionalFormatting sqref="H10:H1048576">
    <cfRule type="cellIs" dxfId="1009" priority="3217" operator="lessThan">
      <formula>0</formula>
    </cfRule>
  </conditionalFormatting>
  <conditionalFormatting sqref="H10:H1048576">
    <cfRule type="cellIs" dxfId="1008" priority="3216" operator="lessThan">
      <formula>0</formula>
    </cfRule>
  </conditionalFormatting>
  <conditionalFormatting sqref="H10:H1048576">
    <cfRule type="cellIs" dxfId="1007" priority="3215" operator="lessThan">
      <formula>0</formula>
    </cfRule>
  </conditionalFormatting>
  <conditionalFormatting sqref="H10:H1048576">
    <cfRule type="cellIs" dxfId="1006" priority="3214" operator="lessThan">
      <formula>0</formula>
    </cfRule>
  </conditionalFormatting>
  <conditionalFormatting sqref="H10:H1048576">
    <cfRule type="cellIs" dxfId="1005" priority="3213" operator="lessThan">
      <formula>0</formula>
    </cfRule>
  </conditionalFormatting>
  <conditionalFormatting sqref="H10:H1048576">
    <cfRule type="cellIs" dxfId="1004" priority="3212" operator="lessThan">
      <formula>0</formula>
    </cfRule>
  </conditionalFormatting>
  <conditionalFormatting sqref="H10:H1048576">
    <cfRule type="cellIs" dxfId="1003" priority="3211" operator="lessThan">
      <formula>0</formula>
    </cfRule>
  </conditionalFormatting>
  <conditionalFormatting sqref="H10:H1048576">
    <cfRule type="cellIs" dxfId="1002" priority="3210" operator="lessThan">
      <formula>0</formula>
    </cfRule>
  </conditionalFormatting>
  <conditionalFormatting sqref="H10:H1048576">
    <cfRule type="cellIs" dxfId="1001" priority="3209" operator="lessThan">
      <formula>0</formula>
    </cfRule>
  </conditionalFormatting>
  <conditionalFormatting sqref="H10:H1048576">
    <cfRule type="cellIs" dxfId="1000" priority="3208" operator="lessThan">
      <formula>0</formula>
    </cfRule>
  </conditionalFormatting>
  <conditionalFormatting sqref="H10:H1048576">
    <cfRule type="cellIs" dxfId="999" priority="3207" operator="lessThan">
      <formula>0</formula>
    </cfRule>
  </conditionalFormatting>
  <conditionalFormatting sqref="H10:H1048576">
    <cfRule type="cellIs" dxfId="998" priority="3206" operator="lessThan">
      <formula>0</formula>
    </cfRule>
  </conditionalFormatting>
  <conditionalFormatting sqref="H10:H1048576">
    <cfRule type="cellIs" dxfId="997" priority="3205" operator="lessThan">
      <formula>0</formula>
    </cfRule>
  </conditionalFormatting>
  <conditionalFormatting sqref="H10:H1048576">
    <cfRule type="cellIs" dxfId="996" priority="3204" operator="lessThan">
      <formula>0</formula>
    </cfRule>
  </conditionalFormatting>
  <conditionalFormatting sqref="H10:H1048576">
    <cfRule type="cellIs" dxfId="995" priority="3203" operator="lessThan">
      <formula>0</formula>
    </cfRule>
  </conditionalFormatting>
  <conditionalFormatting sqref="H10:H1048576">
    <cfRule type="cellIs" dxfId="994" priority="3202" operator="lessThan">
      <formula>0</formula>
    </cfRule>
  </conditionalFormatting>
  <conditionalFormatting sqref="H10:H1048576">
    <cfRule type="cellIs" dxfId="993" priority="3201" operator="lessThan">
      <formula>0</formula>
    </cfRule>
  </conditionalFormatting>
  <conditionalFormatting sqref="H10:H1048576">
    <cfRule type="cellIs" dxfId="992" priority="3200" operator="lessThan">
      <formula>0</formula>
    </cfRule>
  </conditionalFormatting>
  <conditionalFormatting sqref="H10:H1048576">
    <cfRule type="cellIs" dxfId="991" priority="3199" operator="lessThan">
      <formula>0</formula>
    </cfRule>
  </conditionalFormatting>
  <conditionalFormatting sqref="H10:H1048576">
    <cfRule type="cellIs" dxfId="990" priority="3198" operator="lessThan">
      <formula>0</formula>
    </cfRule>
  </conditionalFormatting>
  <conditionalFormatting sqref="H10:H1048576">
    <cfRule type="cellIs" dxfId="989" priority="3197" operator="lessThan">
      <formula>0</formula>
    </cfRule>
  </conditionalFormatting>
  <conditionalFormatting sqref="H10:H1048576">
    <cfRule type="cellIs" dxfId="988" priority="3196" operator="lessThan">
      <formula>0</formula>
    </cfRule>
  </conditionalFormatting>
  <conditionalFormatting sqref="H10:H1048576">
    <cfRule type="cellIs" dxfId="987" priority="3195" operator="lessThan">
      <formula>0</formula>
    </cfRule>
  </conditionalFormatting>
  <conditionalFormatting sqref="H10:H1048576">
    <cfRule type="cellIs" dxfId="986" priority="3194" operator="lessThan">
      <formula>0</formula>
    </cfRule>
  </conditionalFormatting>
  <conditionalFormatting sqref="H10:H1048576">
    <cfRule type="cellIs" dxfId="985" priority="3193" operator="lessThan">
      <formula>0</formula>
    </cfRule>
  </conditionalFormatting>
  <conditionalFormatting sqref="H10:H1048576">
    <cfRule type="cellIs" dxfId="984" priority="3192" operator="lessThan">
      <formula>0</formula>
    </cfRule>
  </conditionalFormatting>
  <conditionalFormatting sqref="H10:H1048576">
    <cfRule type="cellIs" dxfId="983" priority="3191" operator="lessThan">
      <formula>0</formula>
    </cfRule>
  </conditionalFormatting>
  <conditionalFormatting sqref="H10:H1048576">
    <cfRule type="cellIs" dxfId="982" priority="3190" operator="lessThan">
      <formula>0</formula>
    </cfRule>
  </conditionalFormatting>
  <conditionalFormatting sqref="H10:H1048576">
    <cfRule type="cellIs" dxfId="981" priority="3189" operator="lessThan">
      <formula>0</formula>
    </cfRule>
  </conditionalFormatting>
  <conditionalFormatting sqref="H10:H1048576">
    <cfRule type="cellIs" dxfId="980" priority="3188" operator="lessThan">
      <formula>0</formula>
    </cfRule>
  </conditionalFormatting>
  <conditionalFormatting sqref="H10:H1048576">
    <cfRule type="cellIs" dxfId="979" priority="3187" operator="lessThan">
      <formula>0</formula>
    </cfRule>
  </conditionalFormatting>
  <conditionalFormatting sqref="H10:H1048576">
    <cfRule type="cellIs" dxfId="978" priority="3186" operator="lessThan">
      <formula>0</formula>
    </cfRule>
  </conditionalFormatting>
  <conditionalFormatting sqref="H10:H1048576">
    <cfRule type="cellIs" dxfId="977" priority="3185" operator="lessThan">
      <formula>0</formula>
    </cfRule>
  </conditionalFormatting>
  <conditionalFormatting sqref="H10:H1048576">
    <cfRule type="cellIs" dxfId="976" priority="3184" operator="lessThan">
      <formula>0</formula>
    </cfRule>
  </conditionalFormatting>
  <conditionalFormatting sqref="H10:H1048576">
    <cfRule type="cellIs" dxfId="975" priority="3183" operator="lessThan">
      <formula>0</formula>
    </cfRule>
  </conditionalFormatting>
  <conditionalFormatting sqref="H10:H1048576">
    <cfRule type="cellIs" dxfId="974" priority="3182" operator="lessThan">
      <formula>0</formula>
    </cfRule>
  </conditionalFormatting>
  <conditionalFormatting sqref="H10:H1048576">
    <cfRule type="cellIs" dxfId="973" priority="3181" operator="lessThan">
      <formula>0</formula>
    </cfRule>
  </conditionalFormatting>
  <conditionalFormatting sqref="H10:H1048576">
    <cfRule type="cellIs" dxfId="972" priority="3180" operator="lessThan">
      <formula>0</formula>
    </cfRule>
  </conditionalFormatting>
  <conditionalFormatting sqref="H10:H1048576">
    <cfRule type="cellIs" dxfId="971" priority="3179" operator="lessThan">
      <formula>0</formula>
    </cfRule>
  </conditionalFormatting>
  <conditionalFormatting sqref="H10:H1048576">
    <cfRule type="cellIs" dxfId="970" priority="3178" operator="lessThan">
      <formula>0</formula>
    </cfRule>
  </conditionalFormatting>
  <conditionalFormatting sqref="H10:H1048576">
    <cfRule type="cellIs" dxfId="969" priority="3177" operator="lessThan">
      <formula>0</formula>
    </cfRule>
  </conditionalFormatting>
  <conditionalFormatting sqref="H10:H1048576">
    <cfRule type="cellIs" dxfId="968" priority="3176" operator="lessThan">
      <formula>0</formula>
    </cfRule>
  </conditionalFormatting>
  <conditionalFormatting sqref="H10:H1048576">
    <cfRule type="cellIs" dxfId="967" priority="3175" operator="lessThan">
      <formula>0</formula>
    </cfRule>
  </conditionalFormatting>
  <conditionalFormatting sqref="H10:H1048576">
    <cfRule type="cellIs" dxfId="966" priority="3174" operator="lessThan">
      <formula>0</formula>
    </cfRule>
  </conditionalFormatting>
  <conditionalFormatting sqref="H10:H1048576">
    <cfRule type="cellIs" dxfId="965" priority="3173" operator="lessThan">
      <formula>0</formula>
    </cfRule>
  </conditionalFormatting>
  <conditionalFormatting sqref="H10:H1048576">
    <cfRule type="cellIs" dxfId="964" priority="3172" operator="lessThan">
      <formula>0</formula>
    </cfRule>
  </conditionalFormatting>
  <conditionalFormatting sqref="H10:H1048576">
    <cfRule type="cellIs" dxfId="963" priority="3171" operator="lessThan">
      <formula>0</formula>
    </cfRule>
  </conditionalFormatting>
  <conditionalFormatting sqref="H10:H1048576">
    <cfRule type="cellIs" dxfId="962" priority="3170" operator="lessThan">
      <formula>0</formula>
    </cfRule>
  </conditionalFormatting>
  <conditionalFormatting sqref="H10:H1048576">
    <cfRule type="cellIs" dxfId="961" priority="3169" operator="lessThan">
      <formula>0</formula>
    </cfRule>
  </conditionalFormatting>
  <conditionalFormatting sqref="H10:H1048576">
    <cfRule type="cellIs" dxfId="960" priority="3168" operator="lessThan">
      <formula>0</formula>
    </cfRule>
  </conditionalFormatting>
  <conditionalFormatting sqref="H10:H1048576">
    <cfRule type="cellIs" dxfId="959" priority="3167" operator="lessThan">
      <formula>0</formula>
    </cfRule>
  </conditionalFormatting>
  <conditionalFormatting sqref="H10:H1048576">
    <cfRule type="cellIs" dxfId="958" priority="3166" operator="lessThan">
      <formula>0</formula>
    </cfRule>
  </conditionalFormatting>
  <conditionalFormatting sqref="H10:H1048576">
    <cfRule type="cellIs" dxfId="957" priority="3165" operator="lessThan">
      <formula>0</formula>
    </cfRule>
  </conditionalFormatting>
  <conditionalFormatting sqref="H10:H1048576">
    <cfRule type="cellIs" dxfId="956" priority="3164" operator="lessThan">
      <formula>0</formula>
    </cfRule>
  </conditionalFormatting>
  <conditionalFormatting sqref="H10:H1048576">
    <cfRule type="cellIs" dxfId="955" priority="3163" operator="lessThan">
      <formula>0</formula>
    </cfRule>
  </conditionalFormatting>
  <conditionalFormatting sqref="H10:H1048576">
    <cfRule type="cellIs" dxfId="954" priority="3162" operator="lessThan">
      <formula>0</formula>
    </cfRule>
  </conditionalFormatting>
  <conditionalFormatting sqref="H10:H1048576">
    <cfRule type="cellIs" dxfId="953" priority="3161" operator="lessThan">
      <formula>0</formula>
    </cfRule>
  </conditionalFormatting>
  <conditionalFormatting sqref="H10:H1048576">
    <cfRule type="cellIs" dxfId="952" priority="3160" operator="lessThan">
      <formula>0</formula>
    </cfRule>
  </conditionalFormatting>
  <conditionalFormatting sqref="H10:H1048576">
    <cfRule type="cellIs" dxfId="951" priority="3159" operator="lessThan">
      <formula>0</formula>
    </cfRule>
  </conditionalFormatting>
  <conditionalFormatting sqref="H10:H1048576">
    <cfRule type="cellIs" dxfId="950" priority="3158" operator="lessThan">
      <formula>0</formula>
    </cfRule>
  </conditionalFormatting>
  <conditionalFormatting sqref="H10:H1048576">
    <cfRule type="cellIs" dxfId="949" priority="3157" operator="lessThan">
      <formula>0</formula>
    </cfRule>
  </conditionalFormatting>
  <conditionalFormatting sqref="H10:H1048576">
    <cfRule type="cellIs" dxfId="948" priority="3156" operator="lessThan">
      <formula>0</formula>
    </cfRule>
  </conditionalFormatting>
  <conditionalFormatting sqref="H10:H1048576">
    <cfRule type="cellIs" dxfId="947" priority="3155" operator="lessThan">
      <formula>0</formula>
    </cfRule>
  </conditionalFormatting>
  <conditionalFormatting sqref="H10:H1048576">
    <cfRule type="cellIs" dxfId="946" priority="3154" operator="lessThan">
      <formula>0</formula>
    </cfRule>
  </conditionalFormatting>
  <conditionalFormatting sqref="H10:H1048576">
    <cfRule type="cellIs" dxfId="945" priority="3153" operator="lessThan">
      <formula>0</formula>
    </cfRule>
  </conditionalFormatting>
  <conditionalFormatting sqref="H10:H1048576">
    <cfRule type="cellIs" dxfId="944" priority="3152" operator="lessThan">
      <formula>0</formula>
    </cfRule>
  </conditionalFormatting>
  <conditionalFormatting sqref="H10:H1048576">
    <cfRule type="cellIs" dxfId="943" priority="3151" operator="lessThan">
      <formula>0</formula>
    </cfRule>
  </conditionalFormatting>
  <conditionalFormatting sqref="H10:H1048576">
    <cfRule type="cellIs" dxfId="942" priority="3150" operator="lessThan">
      <formula>0</formula>
    </cfRule>
  </conditionalFormatting>
  <conditionalFormatting sqref="H10:H1048576">
    <cfRule type="cellIs" dxfId="941" priority="3149" operator="lessThan">
      <formula>0</formula>
    </cfRule>
  </conditionalFormatting>
  <conditionalFormatting sqref="H10:H1048576">
    <cfRule type="cellIs" dxfId="940" priority="3148" operator="lessThan">
      <formula>0</formula>
    </cfRule>
  </conditionalFormatting>
  <conditionalFormatting sqref="H10:H1048576">
    <cfRule type="cellIs" dxfId="939" priority="3147" operator="lessThan">
      <formula>0</formula>
    </cfRule>
  </conditionalFormatting>
  <conditionalFormatting sqref="H10:H1048576">
    <cfRule type="cellIs" dxfId="938" priority="3146" operator="lessThan">
      <formula>0</formula>
    </cfRule>
  </conditionalFormatting>
  <conditionalFormatting sqref="H10:H1048576">
    <cfRule type="cellIs" dxfId="937" priority="3145" operator="lessThan">
      <formula>0</formula>
    </cfRule>
  </conditionalFormatting>
  <conditionalFormatting sqref="H10:H1048576">
    <cfRule type="cellIs" dxfId="936" priority="3144" operator="lessThan">
      <formula>0</formula>
    </cfRule>
  </conditionalFormatting>
  <conditionalFormatting sqref="H10:H1048576">
    <cfRule type="cellIs" dxfId="935" priority="3143" operator="lessThan">
      <formula>0</formula>
    </cfRule>
  </conditionalFormatting>
  <conditionalFormatting sqref="H10:H1048576">
    <cfRule type="cellIs" dxfId="934" priority="3142" operator="lessThan">
      <formula>0</formula>
    </cfRule>
  </conditionalFormatting>
  <conditionalFormatting sqref="H10:H1048576">
    <cfRule type="cellIs" dxfId="933" priority="3141" operator="lessThan">
      <formula>0</formula>
    </cfRule>
  </conditionalFormatting>
  <conditionalFormatting sqref="H10:H1048576">
    <cfRule type="cellIs" dxfId="932" priority="3140" operator="lessThan">
      <formula>0</formula>
    </cfRule>
  </conditionalFormatting>
  <conditionalFormatting sqref="H10:H1048576">
    <cfRule type="cellIs" dxfId="931" priority="3139" operator="lessThan">
      <formula>0</formula>
    </cfRule>
  </conditionalFormatting>
  <conditionalFormatting sqref="H10:H1048576">
    <cfRule type="cellIs" dxfId="930" priority="3138" operator="lessThan">
      <formula>0</formula>
    </cfRule>
  </conditionalFormatting>
  <conditionalFormatting sqref="H10:H1048576">
    <cfRule type="cellIs" dxfId="929" priority="3137" operator="lessThan">
      <formula>0</formula>
    </cfRule>
  </conditionalFormatting>
  <conditionalFormatting sqref="H10:H1048576">
    <cfRule type="cellIs" dxfId="928" priority="3136" operator="lessThan">
      <formula>0</formula>
    </cfRule>
  </conditionalFormatting>
  <conditionalFormatting sqref="H10:H1048576">
    <cfRule type="cellIs" dxfId="927" priority="3135" operator="lessThan">
      <formula>0</formula>
    </cfRule>
  </conditionalFormatting>
  <conditionalFormatting sqref="H10:H1048576">
    <cfRule type="cellIs" dxfId="926" priority="3134" operator="lessThan">
      <formula>0</formula>
    </cfRule>
  </conditionalFormatting>
  <conditionalFormatting sqref="H10:H1048576">
    <cfRule type="cellIs" dxfId="925" priority="3133" operator="lessThan">
      <formula>0</formula>
    </cfRule>
  </conditionalFormatting>
  <conditionalFormatting sqref="H10:H1048576">
    <cfRule type="cellIs" dxfId="924" priority="3132" operator="lessThan">
      <formula>0</formula>
    </cfRule>
  </conditionalFormatting>
  <conditionalFormatting sqref="H10:H1048576">
    <cfRule type="cellIs" dxfId="923" priority="3131" operator="lessThan">
      <formula>0</formula>
    </cfRule>
  </conditionalFormatting>
  <conditionalFormatting sqref="H10:H1048576">
    <cfRule type="cellIs" dxfId="922" priority="3130" operator="lessThan">
      <formula>0</formula>
    </cfRule>
  </conditionalFormatting>
  <conditionalFormatting sqref="H10:H1048576">
    <cfRule type="cellIs" dxfId="921" priority="3129" operator="lessThan">
      <formula>0</formula>
    </cfRule>
  </conditionalFormatting>
  <conditionalFormatting sqref="H10:H1048576">
    <cfRule type="cellIs" dxfId="920" priority="3128" operator="lessThan">
      <formula>0</formula>
    </cfRule>
  </conditionalFormatting>
  <conditionalFormatting sqref="H10:H1048576">
    <cfRule type="cellIs" dxfId="919" priority="3127" operator="lessThan">
      <formula>0</formula>
    </cfRule>
  </conditionalFormatting>
  <conditionalFormatting sqref="H10:H1048576">
    <cfRule type="cellIs" dxfId="918" priority="3126" operator="lessThan">
      <formula>0</formula>
    </cfRule>
  </conditionalFormatting>
  <conditionalFormatting sqref="H10:H1048576">
    <cfRule type="cellIs" dxfId="917" priority="3125" operator="lessThan">
      <formula>0</formula>
    </cfRule>
  </conditionalFormatting>
  <conditionalFormatting sqref="H10:H1048576">
    <cfRule type="cellIs" dxfId="916" priority="3124" operator="lessThan">
      <formula>0</formula>
    </cfRule>
  </conditionalFormatting>
  <conditionalFormatting sqref="H10:H1048576">
    <cfRule type="cellIs" dxfId="915" priority="3123" operator="lessThan">
      <formula>0</formula>
    </cfRule>
  </conditionalFormatting>
  <conditionalFormatting sqref="H10:H1048576">
    <cfRule type="cellIs" dxfId="914" priority="3122" operator="lessThan">
      <formula>0</formula>
    </cfRule>
  </conditionalFormatting>
  <conditionalFormatting sqref="H10:H1048576">
    <cfRule type="cellIs" dxfId="913" priority="3121" operator="lessThan">
      <formula>0</formula>
    </cfRule>
  </conditionalFormatting>
  <conditionalFormatting sqref="H10:H1048576">
    <cfRule type="cellIs" dxfId="912" priority="3120" operator="lessThan">
      <formula>0</formula>
    </cfRule>
  </conditionalFormatting>
  <conditionalFormatting sqref="H10:H1048576">
    <cfRule type="cellIs" dxfId="911" priority="3119" operator="lessThan">
      <formula>0</formula>
    </cfRule>
  </conditionalFormatting>
  <conditionalFormatting sqref="H10:H1048576">
    <cfRule type="cellIs" dxfId="910" priority="3118" operator="lessThan">
      <formula>0</formula>
    </cfRule>
  </conditionalFormatting>
  <conditionalFormatting sqref="H10:H1048576">
    <cfRule type="cellIs" dxfId="909" priority="3117" operator="lessThan">
      <formula>0</formula>
    </cfRule>
  </conditionalFormatting>
  <conditionalFormatting sqref="H10:H1048576">
    <cfRule type="cellIs" dxfId="908" priority="3116" operator="lessThan">
      <formula>0</formula>
    </cfRule>
  </conditionalFormatting>
  <conditionalFormatting sqref="H10:H1048576">
    <cfRule type="cellIs" dxfId="907" priority="3115" operator="lessThan">
      <formula>0</formula>
    </cfRule>
  </conditionalFormatting>
  <conditionalFormatting sqref="H10:H1048576">
    <cfRule type="cellIs" dxfId="906" priority="3114" operator="lessThan">
      <formula>0</formula>
    </cfRule>
  </conditionalFormatting>
  <conditionalFormatting sqref="H10:H1048576">
    <cfRule type="cellIs" dxfId="905" priority="3113" operator="lessThan">
      <formula>0</formula>
    </cfRule>
  </conditionalFormatting>
  <conditionalFormatting sqref="H10:H1048576">
    <cfRule type="cellIs" dxfId="904" priority="3112" operator="lessThan">
      <formula>0</formula>
    </cfRule>
  </conditionalFormatting>
  <conditionalFormatting sqref="H10:H1048576">
    <cfRule type="cellIs" dxfId="903" priority="3111" operator="lessThan">
      <formula>0</formula>
    </cfRule>
  </conditionalFormatting>
  <conditionalFormatting sqref="H10:H1048576">
    <cfRule type="cellIs" dxfId="902" priority="3110" operator="lessThan">
      <formula>0</formula>
    </cfRule>
  </conditionalFormatting>
  <conditionalFormatting sqref="H10:H1048576">
    <cfRule type="cellIs" dxfId="901" priority="3109" operator="lessThan">
      <formula>0</formula>
    </cfRule>
  </conditionalFormatting>
  <conditionalFormatting sqref="H10:H1048576">
    <cfRule type="cellIs" dxfId="900" priority="3108" operator="lessThan">
      <formula>0</formula>
    </cfRule>
  </conditionalFormatting>
  <conditionalFormatting sqref="H10:H1048576">
    <cfRule type="cellIs" dxfId="899" priority="3107" operator="lessThan">
      <formula>0</formula>
    </cfRule>
  </conditionalFormatting>
  <conditionalFormatting sqref="H10:H1048576">
    <cfRule type="cellIs" dxfId="898" priority="3106" operator="lessThan">
      <formula>0</formula>
    </cfRule>
  </conditionalFormatting>
  <conditionalFormatting sqref="H10:H1048576">
    <cfRule type="cellIs" dxfId="897" priority="3105" operator="lessThan">
      <formula>0</formula>
    </cfRule>
  </conditionalFormatting>
  <conditionalFormatting sqref="H10:H1048576">
    <cfRule type="cellIs" dxfId="896" priority="3104" operator="lessThan">
      <formula>0</formula>
    </cfRule>
  </conditionalFormatting>
  <conditionalFormatting sqref="H10:H1048576">
    <cfRule type="cellIs" dxfId="895" priority="3103" operator="lessThan">
      <formula>0</formula>
    </cfRule>
  </conditionalFormatting>
  <conditionalFormatting sqref="H10:H1048576">
    <cfRule type="cellIs" dxfId="894" priority="3102" operator="lessThan">
      <formula>0</formula>
    </cfRule>
  </conditionalFormatting>
  <conditionalFormatting sqref="H10:H1048576">
    <cfRule type="cellIs" dxfId="893" priority="3101" operator="lessThan">
      <formula>0</formula>
    </cfRule>
  </conditionalFormatting>
  <conditionalFormatting sqref="H10:H1048576">
    <cfRule type="cellIs" dxfId="892" priority="3100" operator="lessThan">
      <formula>0</formula>
    </cfRule>
  </conditionalFormatting>
  <conditionalFormatting sqref="H10:H1048576">
    <cfRule type="cellIs" dxfId="891" priority="3099" operator="lessThan">
      <formula>0</formula>
    </cfRule>
  </conditionalFormatting>
  <conditionalFormatting sqref="H10:H1048576">
    <cfRule type="cellIs" dxfId="890" priority="3098" operator="lessThan">
      <formula>0</formula>
    </cfRule>
  </conditionalFormatting>
  <conditionalFormatting sqref="H10:H1048576">
    <cfRule type="cellIs" dxfId="889" priority="3097" operator="lessThan">
      <formula>0</formula>
    </cfRule>
  </conditionalFormatting>
  <conditionalFormatting sqref="H10:H1048576">
    <cfRule type="cellIs" dxfId="888" priority="3096" operator="lessThan">
      <formula>0</formula>
    </cfRule>
  </conditionalFormatting>
  <conditionalFormatting sqref="H10:H1048576">
    <cfRule type="cellIs" dxfId="887" priority="3095" operator="lessThan">
      <formula>0</formula>
    </cfRule>
  </conditionalFormatting>
  <conditionalFormatting sqref="H10:H1048576">
    <cfRule type="cellIs" dxfId="886" priority="3094" operator="lessThan">
      <formula>0</formula>
    </cfRule>
  </conditionalFormatting>
  <conditionalFormatting sqref="H10:H1048576">
    <cfRule type="cellIs" dxfId="885" priority="3093" operator="lessThan">
      <formula>0</formula>
    </cfRule>
  </conditionalFormatting>
  <conditionalFormatting sqref="H10:H1048576">
    <cfRule type="cellIs" dxfId="884" priority="3092" operator="lessThan">
      <formula>0</formula>
    </cfRule>
  </conditionalFormatting>
  <conditionalFormatting sqref="H10:H1048576">
    <cfRule type="cellIs" dxfId="883" priority="3091" operator="lessThan">
      <formula>0</formula>
    </cfRule>
  </conditionalFormatting>
  <conditionalFormatting sqref="H10:H1048576">
    <cfRule type="cellIs" dxfId="882" priority="3090" operator="lessThan">
      <formula>0</formula>
    </cfRule>
  </conditionalFormatting>
  <conditionalFormatting sqref="H10:H1048576">
    <cfRule type="cellIs" dxfId="881" priority="3089" operator="lessThan">
      <formula>0</formula>
    </cfRule>
  </conditionalFormatting>
  <conditionalFormatting sqref="H10:H1048576">
    <cfRule type="cellIs" dxfId="880" priority="3088" operator="lessThan">
      <formula>0</formula>
    </cfRule>
  </conditionalFormatting>
  <conditionalFormatting sqref="H10:H1048576">
    <cfRule type="cellIs" dxfId="879" priority="3087" operator="lessThan">
      <formula>0</formula>
    </cfRule>
  </conditionalFormatting>
  <conditionalFormatting sqref="H10:H1048576">
    <cfRule type="cellIs" dxfId="878" priority="3086" operator="lessThan">
      <formula>0</formula>
    </cfRule>
  </conditionalFormatting>
  <conditionalFormatting sqref="H10:H1048576">
    <cfRule type="cellIs" dxfId="877" priority="3085" operator="lessThan">
      <formula>0</formula>
    </cfRule>
  </conditionalFormatting>
  <conditionalFormatting sqref="H10:H1048576">
    <cfRule type="cellIs" dxfId="876" priority="3084" operator="lessThan">
      <formula>0</formula>
    </cfRule>
  </conditionalFormatting>
  <conditionalFormatting sqref="H10:H1048576">
    <cfRule type="cellIs" dxfId="875" priority="3083" operator="lessThan">
      <formula>0</formula>
    </cfRule>
  </conditionalFormatting>
  <conditionalFormatting sqref="H10:H1048576">
    <cfRule type="cellIs" dxfId="874" priority="3082" operator="lessThan">
      <formula>0</formula>
    </cfRule>
  </conditionalFormatting>
  <conditionalFormatting sqref="H10:H1048576">
    <cfRule type="cellIs" dxfId="873" priority="3081" operator="lessThan">
      <formula>0</formula>
    </cfRule>
  </conditionalFormatting>
  <conditionalFormatting sqref="H10:H1048576">
    <cfRule type="cellIs" dxfId="872" priority="3080" operator="lessThan">
      <formula>0</formula>
    </cfRule>
  </conditionalFormatting>
  <conditionalFormatting sqref="H10:H1048576">
    <cfRule type="cellIs" dxfId="871" priority="3079" operator="lessThan">
      <formula>0</formula>
    </cfRule>
  </conditionalFormatting>
  <conditionalFormatting sqref="H10:H1048576">
    <cfRule type="cellIs" dxfId="870" priority="3078" operator="lessThan">
      <formula>0</formula>
    </cfRule>
  </conditionalFormatting>
  <conditionalFormatting sqref="H10:H1048576">
    <cfRule type="cellIs" dxfId="869" priority="3077" operator="lessThan">
      <formula>0</formula>
    </cfRule>
  </conditionalFormatting>
  <conditionalFormatting sqref="H10:H1048576">
    <cfRule type="cellIs" dxfId="868" priority="3076" operator="lessThan">
      <formula>0</formula>
    </cfRule>
  </conditionalFormatting>
  <conditionalFormatting sqref="H10:H1048576">
    <cfRule type="cellIs" dxfId="867" priority="3075" operator="lessThan">
      <formula>0</formula>
    </cfRule>
  </conditionalFormatting>
  <conditionalFormatting sqref="H10:H1048576">
    <cfRule type="cellIs" dxfId="866" priority="3074" operator="lessThan">
      <formula>0</formula>
    </cfRule>
  </conditionalFormatting>
  <conditionalFormatting sqref="H10:H1048576">
    <cfRule type="cellIs" dxfId="865" priority="3073" operator="lessThan">
      <formula>0</formula>
    </cfRule>
  </conditionalFormatting>
  <conditionalFormatting sqref="H10:H1048576">
    <cfRule type="cellIs" dxfId="864" priority="3072" operator="lessThan">
      <formula>0</formula>
    </cfRule>
  </conditionalFormatting>
  <conditionalFormatting sqref="H10:H1048576">
    <cfRule type="cellIs" dxfId="863" priority="3071" operator="lessThan">
      <formula>0</formula>
    </cfRule>
  </conditionalFormatting>
  <conditionalFormatting sqref="H10:H1048576">
    <cfRule type="cellIs" dxfId="862" priority="3070" operator="lessThan">
      <formula>0</formula>
    </cfRule>
  </conditionalFormatting>
  <conditionalFormatting sqref="H10:H1048576">
    <cfRule type="cellIs" dxfId="861" priority="3069" operator="lessThan">
      <formula>0</formula>
    </cfRule>
  </conditionalFormatting>
  <conditionalFormatting sqref="H10:H1048576">
    <cfRule type="cellIs" dxfId="860" priority="3068" operator="lessThan">
      <formula>0</formula>
    </cfRule>
  </conditionalFormatting>
  <conditionalFormatting sqref="H10:H1048576">
    <cfRule type="cellIs" dxfId="859" priority="3067" operator="lessThan">
      <formula>0</formula>
    </cfRule>
  </conditionalFormatting>
  <conditionalFormatting sqref="H10:H1048576">
    <cfRule type="cellIs" dxfId="858" priority="3066" operator="lessThan">
      <formula>0</formula>
    </cfRule>
  </conditionalFormatting>
  <conditionalFormatting sqref="H10:H1048576">
    <cfRule type="cellIs" dxfId="857" priority="3065" operator="lessThan">
      <formula>0</formula>
    </cfRule>
  </conditionalFormatting>
  <conditionalFormatting sqref="H10:H1048576">
    <cfRule type="cellIs" dxfId="856" priority="3064" operator="lessThan">
      <formula>0</formula>
    </cfRule>
  </conditionalFormatting>
  <conditionalFormatting sqref="H10:H1048576">
    <cfRule type="cellIs" dxfId="855" priority="3063" operator="lessThan">
      <formula>0</formula>
    </cfRule>
  </conditionalFormatting>
  <conditionalFormatting sqref="H10:H1048576">
    <cfRule type="cellIs" dxfId="854" priority="3062" operator="lessThan">
      <formula>0</formula>
    </cfRule>
  </conditionalFormatting>
  <conditionalFormatting sqref="H10:H1048576">
    <cfRule type="cellIs" dxfId="853" priority="3061" operator="lessThan">
      <formula>0</formula>
    </cfRule>
  </conditionalFormatting>
  <conditionalFormatting sqref="H10:H1048576">
    <cfRule type="cellIs" dxfId="852" priority="3060" operator="lessThan">
      <formula>0</formula>
    </cfRule>
  </conditionalFormatting>
  <conditionalFormatting sqref="H10:H1048576">
    <cfRule type="cellIs" dxfId="851" priority="3059" operator="lessThan">
      <formula>0</formula>
    </cfRule>
  </conditionalFormatting>
  <conditionalFormatting sqref="H10:H1048576">
    <cfRule type="cellIs" dxfId="850" priority="3058" operator="lessThan">
      <formula>0</formula>
    </cfRule>
  </conditionalFormatting>
  <conditionalFormatting sqref="H10:H1048576">
    <cfRule type="cellIs" dxfId="849" priority="3057" operator="lessThan">
      <formula>0</formula>
    </cfRule>
  </conditionalFormatting>
  <conditionalFormatting sqref="H10:H1048576">
    <cfRule type="cellIs" dxfId="848" priority="3056" operator="lessThan">
      <formula>0</formula>
    </cfRule>
  </conditionalFormatting>
  <conditionalFormatting sqref="H10:H1048576">
    <cfRule type="cellIs" dxfId="847" priority="3055" operator="lessThan">
      <formula>0</formula>
    </cfRule>
  </conditionalFormatting>
  <conditionalFormatting sqref="H10:H1048576">
    <cfRule type="cellIs" dxfId="846" priority="3054" operator="lessThan">
      <formula>0</formula>
    </cfRule>
  </conditionalFormatting>
  <conditionalFormatting sqref="H10:H1048576">
    <cfRule type="cellIs" dxfId="845" priority="3053" operator="lessThan">
      <formula>0</formula>
    </cfRule>
  </conditionalFormatting>
  <conditionalFormatting sqref="H10:H1048576">
    <cfRule type="cellIs" dxfId="844" priority="3052" operator="lessThan">
      <formula>0</formula>
    </cfRule>
  </conditionalFormatting>
  <conditionalFormatting sqref="H10:H1048576">
    <cfRule type="cellIs" dxfId="843" priority="3051" operator="lessThan">
      <formula>0</formula>
    </cfRule>
  </conditionalFormatting>
  <conditionalFormatting sqref="H10:H1048576">
    <cfRule type="cellIs" dxfId="842" priority="3050" operator="lessThan">
      <formula>0</formula>
    </cfRule>
  </conditionalFormatting>
  <conditionalFormatting sqref="H10:H1048576">
    <cfRule type="cellIs" dxfId="841" priority="3049" operator="lessThan">
      <formula>0</formula>
    </cfRule>
  </conditionalFormatting>
  <conditionalFormatting sqref="H10:H1048576">
    <cfRule type="cellIs" dxfId="840" priority="3048" operator="lessThan">
      <formula>0</formula>
    </cfRule>
  </conditionalFormatting>
  <conditionalFormatting sqref="H10:H1048576">
    <cfRule type="cellIs" dxfId="839" priority="3047" operator="lessThan">
      <formula>0</formula>
    </cfRule>
  </conditionalFormatting>
  <conditionalFormatting sqref="H10:H1048576">
    <cfRule type="cellIs" dxfId="838" priority="3046" operator="lessThan">
      <formula>0</formula>
    </cfRule>
  </conditionalFormatting>
  <conditionalFormatting sqref="H10:H1048576">
    <cfRule type="cellIs" dxfId="837" priority="3045" operator="lessThan">
      <formula>0</formula>
    </cfRule>
  </conditionalFormatting>
  <conditionalFormatting sqref="H10:H1048576">
    <cfRule type="cellIs" dxfId="836" priority="3044" operator="lessThan">
      <formula>0</formula>
    </cfRule>
  </conditionalFormatting>
  <conditionalFormatting sqref="H10:H1048576">
    <cfRule type="cellIs" dxfId="835" priority="3043" operator="lessThan">
      <formula>0</formula>
    </cfRule>
  </conditionalFormatting>
  <conditionalFormatting sqref="H10:H1048576">
    <cfRule type="cellIs" dxfId="834" priority="3042" operator="lessThan">
      <formula>0</formula>
    </cfRule>
  </conditionalFormatting>
  <conditionalFormatting sqref="H10:H1048576">
    <cfRule type="cellIs" dxfId="833" priority="3041" operator="lessThan">
      <formula>0</formula>
    </cfRule>
  </conditionalFormatting>
  <conditionalFormatting sqref="H10:H1048576">
    <cfRule type="cellIs" dxfId="832" priority="3040" operator="lessThan">
      <formula>0</formula>
    </cfRule>
  </conditionalFormatting>
  <conditionalFormatting sqref="H10:H1048576">
    <cfRule type="cellIs" dxfId="831" priority="3039" operator="lessThan">
      <formula>0</formula>
    </cfRule>
  </conditionalFormatting>
  <conditionalFormatting sqref="H10:H1048576">
    <cfRule type="cellIs" dxfId="830" priority="3038" operator="lessThan">
      <formula>0</formula>
    </cfRule>
  </conditionalFormatting>
  <conditionalFormatting sqref="H10:H1048576">
    <cfRule type="cellIs" dxfId="829" priority="3037" operator="lessThan">
      <formula>0</formula>
    </cfRule>
  </conditionalFormatting>
  <conditionalFormatting sqref="H10:H1048576">
    <cfRule type="cellIs" dxfId="828" priority="3036" operator="lessThan">
      <formula>0</formula>
    </cfRule>
  </conditionalFormatting>
  <conditionalFormatting sqref="H10:H1048576">
    <cfRule type="cellIs" dxfId="827" priority="3035" operator="lessThan">
      <formula>0</formula>
    </cfRule>
  </conditionalFormatting>
  <conditionalFormatting sqref="H10:H1048576">
    <cfRule type="cellIs" dxfId="826" priority="3034" operator="lessThan">
      <formula>0</formula>
    </cfRule>
  </conditionalFormatting>
  <conditionalFormatting sqref="H10:H1048576">
    <cfRule type="cellIs" dxfId="825" priority="3033" operator="lessThan">
      <formula>0</formula>
    </cfRule>
  </conditionalFormatting>
  <conditionalFormatting sqref="H10:H1048576">
    <cfRule type="cellIs" dxfId="824" priority="3032" operator="lessThan">
      <formula>0</formula>
    </cfRule>
  </conditionalFormatting>
  <conditionalFormatting sqref="H10:H1048576">
    <cfRule type="cellIs" dxfId="823" priority="3031" operator="lessThan">
      <formula>0</formula>
    </cfRule>
  </conditionalFormatting>
  <conditionalFormatting sqref="H10:H1048576">
    <cfRule type="cellIs" dxfId="822" priority="3030" operator="lessThan">
      <formula>0</formula>
    </cfRule>
  </conditionalFormatting>
  <conditionalFormatting sqref="H10:H1048576">
    <cfRule type="cellIs" dxfId="821" priority="3029" operator="lessThan">
      <formula>0</formula>
    </cfRule>
  </conditionalFormatting>
  <conditionalFormatting sqref="H10:H1048576">
    <cfRule type="cellIs" dxfId="820" priority="3028" operator="lessThan">
      <formula>0</formula>
    </cfRule>
  </conditionalFormatting>
  <conditionalFormatting sqref="H10:H1048576">
    <cfRule type="cellIs" dxfId="819" priority="3027" operator="lessThan">
      <formula>0</formula>
    </cfRule>
  </conditionalFormatting>
  <conditionalFormatting sqref="H10:H1048576">
    <cfRule type="cellIs" dxfId="818" priority="3026" operator="lessThan">
      <formula>0</formula>
    </cfRule>
  </conditionalFormatting>
  <conditionalFormatting sqref="H10:H1048576">
    <cfRule type="cellIs" dxfId="817" priority="3025" operator="lessThan">
      <formula>0</formula>
    </cfRule>
  </conditionalFormatting>
  <conditionalFormatting sqref="H10:H1048576">
    <cfRule type="cellIs" dxfId="816" priority="3024" operator="lessThan">
      <formula>0</formula>
    </cfRule>
  </conditionalFormatting>
  <conditionalFormatting sqref="H10:H1048576">
    <cfRule type="cellIs" dxfId="815" priority="3023" operator="lessThan">
      <formula>0</formula>
    </cfRule>
  </conditionalFormatting>
  <conditionalFormatting sqref="H10:H1048576">
    <cfRule type="cellIs" dxfId="814" priority="3022" operator="lessThan">
      <formula>0</formula>
    </cfRule>
  </conditionalFormatting>
  <conditionalFormatting sqref="H10:H1048576">
    <cfRule type="cellIs" dxfId="813" priority="3021" operator="lessThan">
      <formula>0</formula>
    </cfRule>
  </conditionalFormatting>
  <conditionalFormatting sqref="H10:H1048576">
    <cfRule type="cellIs" dxfId="812" priority="3020" operator="lessThan">
      <formula>0</formula>
    </cfRule>
  </conditionalFormatting>
  <conditionalFormatting sqref="H10:H1048576">
    <cfRule type="cellIs" dxfId="811" priority="3019" operator="lessThan">
      <formula>0</formula>
    </cfRule>
  </conditionalFormatting>
  <conditionalFormatting sqref="H10:H1048576">
    <cfRule type="cellIs" dxfId="810" priority="3018" operator="lessThan">
      <formula>0</formula>
    </cfRule>
  </conditionalFormatting>
  <conditionalFormatting sqref="H10:H1048576">
    <cfRule type="cellIs" dxfId="809" priority="3017" operator="lessThan">
      <formula>0</formula>
    </cfRule>
  </conditionalFormatting>
  <conditionalFormatting sqref="H10:H1048576">
    <cfRule type="cellIs" dxfId="808" priority="3016" operator="lessThan">
      <formula>0</formula>
    </cfRule>
  </conditionalFormatting>
  <conditionalFormatting sqref="H10:H1048576">
    <cfRule type="cellIs" dxfId="807" priority="3015" operator="lessThan">
      <formula>0</formula>
    </cfRule>
  </conditionalFormatting>
  <conditionalFormatting sqref="H10:H1048576">
    <cfRule type="cellIs" dxfId="806" priority="3014" operator="lessThan">
      <formula>0</formula>
    </cfRule>
  </conditionalFormatting>
  <conditionalFormatting sqref="H10:H1048576">
    <cfRule type="cellIs" dxfId="805" priority="3013" operator="lessThan">
      <formula>0</formula>
    </cfRule>
  </conditionalFormatting>
  <conditionalFormatting sqref="H10:H1048576">
    <cfRule type="cellIs" dxfId="804" priority="3012" operator="lessThan">
      <formula>0</formula>
    </cfRule>
  </conditionalFormatting>
  <conditionalFormatting sqref="H10:H1048576">
    <cfRule type="cellIs" dxfId="803" priority="3011" operator="lessThan">
      <formula>0</formula>
    </cfRule>
  </conditionalFormatting>
  <conditionalFormatting sqref="H10:H1048576">
    <cfRule type="cellIs" dxfId="802" priority="3010" operator="lessThan">
      <formula>0</formula>
    </cfRule>
  </conditionalFormatting>
  <conditionalFormatting sqref="H10:H1048576">
    <cfRule type="cellIs" dxfId="801" priority="3009" operator="lessThan">
      <formula>0</formula>
    </cfRule>
  </conditionalFormatting>
  <conditionalFormatting sqref="H10:H1048576">
    <cfRule type="cellIs" dxfId="800" priority="3008" operator="lessThan">
      <formula>0</formula>
    </cfRule>
  </conditionalFormatting>
  <conditionalFormatting sqref="H10:H1048576">
    <cfRule type="cellIs" dxfId="799" priority="3007" operator="lessThan">
      <formula>0</formula>
    </cfRule>
  </conditionalFormatting>
  <conditionalFormatting sqref="H10:H1048576">
    <cfRule type="cellIs" dxfId="798" priority="3006" operator="lessThan">
      <formula>0</formula>
    </cfRule>
  </conditionalFormatting>
  <conditionalFormatting sqref="H10:H1048576">
    <cfRule type="cellIs" dxfId="797" priority="3005" operator="lessThan">
      <formula>0</formula>
    </cfRule>
  </conditionalFormatting>
  <conditionalFormatting sqref="H10:H1048576">
    <cfRule type="cellIs" dxfId="796" priority="3004" operator="lessThan">
      <formula>0</formula>
    </cfRule>
  </conditionalFormatting>
  <conditionalFormatting sqref="H10:H1048576">
    <cfRule type="cellIs" dxfId="795" priority="3003" operator="lessThan">
      <formula>0</formula>
    </cfRule>
  </conditionalFormatting>
  <conditionalFormatting sqref="H10:H1048576">
    <cfRule type="cellIs" dxfId="794" priority="3002" operator="lessThan">
      <formula>0</formula>
    </cfRule>
  </conditionalFormatting>
  <conditionalFormatting sqref="H10:H1048576">
    <cfRule type="cellIs" dxfId="793" priority="3001" operator="lessThan">
      <formula>0</formula>
    </cfRule>
  </conditionalFormatting>
  <conditionalFormatting sqref="H10:H1048576">
    <cfRule type="cellIs" dxfId="792" priority="3000" operator="lessThan">
      <formula>0</formula>
    </cfRule>
  </conditionalFormatting>
  <conditionalFormatting sqref="H10:H1048576">
    <cfRule type="cellIs" dxfId="791" priority="2999" operator="lessThan">
      <formula>0</formula>
    </cfRule>
  </conditionalFormatting>
  <conditionalFormatting sqref="H10:H1048576">
    <cfRule type="cellIs" dxfId="790" priority="2998" operator="lessThan">
      <formula>0</formula>
    </cfRule>
  </conditionalFormatting>
  <conditionalFormatting sqref="H10:H1048576">
    <cfRule type="cellIs" dxfId="789" priority="2997" operator="lessThan">
      <formula>0</formula>
    </cfRule>
  </conditionalFormatting>
  <conditionalFormatting sqref="H10:H1048576">
    <cfRule type="cellIs" dxfId="788" priority="2996" operator="lessThan">
      <formula>0</formula>
    </cfRule>
  </conditionalFormatting>
  <conditionalFormatting sqref="H10:H1048576">
    <cfRule type="cellIs" dxfId="787" priority="2995" operator="lessThan">
      <formula>0</formula>
    </cfRule>
  </conditionalFormatting>
  <conditionalFormatting sqref="H10:H1048576">
    <cfRule type="cellIs" dxfId="786" priority="2994" operator="lessThan">
      <formula>0</formula>
    </cfRule>
  </conditionalFormatting>
  <conditionalFormatting sqref="H10:H1048576">
    <cfRule type="cellIs" dxfId="785" priority="2993" operator="lessThan">
      <formula>0</formula>
    </cfRule>
  </conditionalFormatting>
  <conditionalFormatting sqref="H10:H1048576">
    <cfRule type="cellIs" dxfId="784" priority="2992" operator="lessThan">
      <formula>0</formula>
    </cfRule>
  </conditionalFormatting>
  <conditionalFormatting sqref="H10:H1048576">
    <cfRule type="cellIs" dxfId="783" priority="2991" operator="lessThan">
      <formula>0</formula>
    </cfRule>
  </conditionalFormatting>
  <conditionalFormatting sqref="H10:H1048576">
    <cfRule type="cellIs" dxfId="782" priority="2990" operator="lessThan">
      <formula>0</formula>
    </cfRule>
  </conditionalFormatting>
  <conditionalFormatting sqref="H10:H1048576">
    <cfRule type="cellIs" dxfId="781" priority="2989" operator="lessThan">
      <formula>0</formula>
    </cfRule>
  </conditionalFormatting>
  <conditionalFormatting sqref="H10:H1048576">
    <cfRule type="cellIs" dxfId="780" priority="2988" operator="lessThan">
      <formula>0</formula>
    </cfRule>
  </conditionalFormatting>
  <conditionalFormatting sqref="H10:H1048576">
    <cfRule type="cellIs" dxfId="779" priority="2987" operator="lessThan">
      <formula>0</formula>
    </cfRule>
  </conditionalFormatting>
  <conditionalFormatting sqref="H10:H1048576">
    <cfRule type="cellIs" dxfId="778" priority="2986" operator="lessThan">
      <formula>0</formula>
    </cfRule>
  </conditionalFormatting>
  <conditionalFormatting sqref="H10:H1048576">
    <cfRule type="cellIs" dxfId="777" priority="2985" operator="lessThan">
      <formula>0</formula>
    </cfRule>
  </conditionalFormatting>
  <conditionalFormatting sqref="H10:H1048576">
    <cfRule type="cellIs" dxfId="776" priority="2984" operator="lessThan">
      <formula>0</formula>
    </cfRule>
  </conditionalFormatting>
  <conditionalFormatting sqref="H10:H1048576">
    <cfRule type="cellIs" dxfId="775" priority="2983" operator="lessThan">
      <formula>0</formula>
    </cfRule>
  </conditionalFormatting>
  <conditionalFormatting sqref="H10:H1048576">
    <cfRule type="cellIs" dxfId="774" priority="2982" operator="lessThan">
      <formula>0</formula>
    </cfRule>
  </conditionalFormatting>
  <conditionalFormatting sqref="H10:H1048576">
    <cfRule type="cellIs" dxfId="773" priority="2981" operator="lessThan">
      <formula>0</formula>
    </cfRule>
  </conditionalFormatting>
  <conditionalFormatting sqref="H10:H1048576">
    <cfRule type="cellIs" dxfId="772" priority="2980" operator="lessThan">
      <formula>0</formula>
    </cfRule>
  </conditionalFormatting>
  <conditionalFormatting sqref="H10:H1048576">
    <cfRule type="cellIs" dxfId="771" priority="2979" operator="lessThan">
      <formula>0</formula>
    </cfRule>
  </conditionalFormatting>
  <conditionalFormatting sqref="H10:H1048576">
    <cfRule type="cellIs" dxfId="770" priority="2978" operator="lessThan">
      <formula>0</formula>
    </cfRule>
  </conditionalFormatting>
  <conditionalFormatting sqref="H10:H1048576">
    <cfRule type="cellIs" dxfId="769" priority="2977" operator="lessThan">
      <formula>0</formula>
    </cfRule>
  </conditionalFormatting>
  <conditionalFormatting sqref="H10:H1048576">
    <cfRule type="cellIs" dxfId="768" priority="2976" operator="lessThan">
      <formula>0</formula>
    </cfRule>
  </conditionalFormatting>
  <conditionalFormatting sqref="H10:H1048576">
    <cfRule type="cellIs" dxfId="767" priority="2975" operator="lessThan">
      <formula>0</formula>
    </cfRule>
  </conditionalFormatting>
  <conditionalFormatting sqref="H10:H1048576">
    <cfRule type="cellIs" dxfId="766" priority="2974" operator="lessThan">
      <formula>0</formula>
    </cfRule>
  </conditionalFormatting>
  <conditionalFormatting sqref="H10:H1048576">
    <cfRule type="cellIs" dxfId="765" priority="2973" operator="lessThan">
      <formula>0</formula>
    </cfRule>
  </conditionalFormatting>
  <conditionalFormatting sqref="H10:H1048576">
    <cfRule type="cellIs" dxfId="764" priority="2972" operator="lessThan">
      <formula>0</formula>
    </cfRule>
  </conditionalFormatting>
  <conditionalFormatting sqref="H10:H1048576">
    <cfRule type="cellIs" dxfId="763" priority="2971" operator="lessThan">
      <formula>0</formula>
    </cfRule>
  </conditionalFormatting>
  <conditionalFormatting sqref="H10:H1048576">
    <cfRule type="cellIs" dxfId="762" priority="2970" operator="lessThan">
      <formula>0</formula>
    </cfRule>
  </conditionalFormatting>
  <conditionalFormatting sqref="H10:H1048576">
    <cfRule type="cellIs" dxfId="761" priority="2969" operator="lessThan">
      <formula>0</formula>
    </cfRule>
  </conditionalFormatting>
  <conditionalFormatting sqref="H10:H1048576">
    <cfRule type="cellIs" dxfId="760" priority="2968" operator="lessThan">
      <formula>0</formula>
    </cfRule>
  </conditionalFormatting>
  <conditionalFormatting sqref="H10:H1048576">
    <cfRule type="cellIs" dxfId="759" priority="2967" operator="lessThan">
      <formula>0</formula>
    </cfRule>
  </conditionalFormatting>
  <conditionalFormatting sqref="H10:H1048576">
    <cfRule type="cellIs" dxfId="758" priority="2966" operator="lessThan">
      <formula>0</formula>
    </cfRule>
  </conditionalFormatting>
  <conditionalFormatting sqref="H10:H1048576">
    <cfRule type="cellIs" dxfId="757" priority="2965" operator="lessThan">
      <formula>0</formula>
    </cfRule>
  </conditionalFormatting>
  <conditionalFormatting sqref="H10:H1048576">
    <cfRule type="cellIs" dxfId="756" priority="2964" operator="lessThan">
      <formula>0</formula>
    </cfRule>
  </conditionalFormatting>
  <conditionalFormatting sqref="H10:H1048576">
    <cfRule type="cellIs" dxfId="755" priority="2963" operator="lessThan">
      <formula>0</formula>
    </cfRule>
  </conditionalFormatting>
  <conditionalFormatting sqref="H10:H1048576">
    <cfRule type="cellIs" dxfId="754" priority="2962" operator="lessThan">
      <formula>0</formula>
    </cfRule>
  </conditionalFormatting>
  <conditionalFormatting sqref="H10:H1048576">
    <cfRule type="cellIs" dxfId="753" priority="2961" operator="lessThan">
      <formula>0</formula>
    </cfRule>
  </conditionalFormatting>
  <conditionalFormatting sqref="H10:H1048576">
    <cfRule type="cellIs" dxfId="752" priority="2960" operator="lessThan">
      <formula>0</formula>
    </cfRule>
  </conditionalFormatting>
  <conditionalFormatting sqref="H10:H1048576">
    <cfRule type="cellIs" dxfId="751" priority="2959" operator="lessThan">
      <formula>0</formula>
    </cfRule>
  </conditionalFormatting>
  <conditionalFormatting sqref="H10:H1048576">
    <cfRule type="cellIs" dxfId="750" priority="2958" operator="lessThan">
      <formula>0</formula>
    </cfRule>
  </conditionalFormatting>
  <conditionalFormatting sqref="H10:H1048576">
    <cfRule type="cellIs" dxfId="749" priority="2957" operator="lessThan">
      <formula>0</formula>
    </cfRule>
  </conditionalFormatting>
  <conditionalFormatting sqref="H10:H1048576">
    <cfRule type="cellIs" dxfId="748" priority="2956" operator="lessThan">
      <formula>0</formula>
    </cfRule>
  </conditionalFormatting>
  <conditionalFormatting sqref="H10:H1048576">
    <cfRule type="cellIs" dxfId="747" priority="2955" operator="lessThan">
      <formula>0</formula>
    </cfRule>
  </conditionalFormatting>
  <conditionalFormatting sqref="H10:H1048576">
    <cfRule type="cellIs" dxfId="746" priority="2954" operator="lessThan">
      <formula>0</formula>
    </cfRule>
  </conditionalFormatting>
  <conditionalFormatting sqref="H10:H1048576">
    <cfRule type="cellIs" dxfId="745" priority="2953" operator="lessThan">
      <formula>0</formula>
    </cfRule>
  </conditionalFormatting>
  <conditionalFormatting sqref="H10:H1048576">
    <cfRule type="cellIs" dxfId="744" priority="2952" operator="lessThan">
      <formula>0</formula>
    </cfRule>
  </conditionalFormatting>
  <conditionalFormatting sqref="H10:H1048576">
    <cfRule type="cellIs" dxfId="743" priority="2951" operator="lessThan">
      <formula>0</formula>
    </cfRule>
  </conditionalFormatting>
  <conditionalFormatting sqref="H10:H1048576">
    <cfRule type="cellIs" dxfId="742" priority="2950" operator="lessThan">
      <formula>0</formula>
    </cfRule>
  </conditionalFormatting>
  <conditionalFormatting sqref="H10:H1048576">
    <cfRule type="cellIs" dxfId="741" priority="2949" operator="lessThan">
      <formula>0</formula>
    </cfRule>
  </conditionalFormatting>
  <conditionalFormatting sqref="H10:H1048576">
    <cfRule type="cellIs" dxfId="740" priority="2948" operator="lessThan">
      <formula>0</formula>
    </cfRule>
  </conditionalFormatting>
  <conditionalFormatting sqref="H10:H1048576">
    <cfRule type="cellIs" dxfId="739" priority="2947" operator="lessThan">
      <formula>0</formula>
    </cfRule>
  </conditionalFormatting>
  <conditionalFormatting sqref="H10:H1048576">
    <cfRule type="cellIs" dxfId="738" priority="2946" operator="lessThan">
      <formula>0</formula>
    </cfRule>
  </conditionalFormatting>
  <conditionalFormatting sqref="H10:H1048576">
    <cfRule type="cellIs" dxfId="737" priority="2945" operator="lessThan">
      <formula>0</formula>
    </cfRule>
  </conditionalFormatting>
  <conditionalFormatting sqref="H10:H1048576">
    <cfRule type="cellIs" dxfId="736" priority="2944" operator="lessThan">
      <formula>0</formula>
    </cfRule>
  </conditionalFormatting>
  <conditionalFormatting sqref="H10:H1048576">
    <cfRule type="cellIs" dxfId="735" priority="2943" operator="lessThan">
      <formula>0</formula>
    </cfRule>
  </conditionalFormatting>
  <conditionalFormatting sqref="H10:H1048576">
    <cfRule type="cellIs" dxfId="734" priority="2942" operator="lessThan">
      <formula>0</formula>
    </cfRule>
  </conditionalFormatting>
  <conditionalFormatting sqref="H10:H1048576">
    <cfRule type="cellIs" dxfId="733" priority="2941" operator="lessThan">
      <formula>0</formula>
    </cfRule>
  </conditionalFormatting>
  <conditionalFormatting sqref="H10:H1048576">
    <cfRule type="cellIs" dxfId="732" priority="2940" operator="lessThan">
      <formula>0</formula>
    </cfRule>
  </conditionalFormatting>
  <conditionalFormatting sqref="H10:H1048576">
    <cfRule type="cellIs" dxfId="731" priority="2939" operator="lessThan">
      <formula>0</formula>
    </cfRule>
  </conditionalFormatting>
  <conditionalFormatting sqref="H10:H1048576">
    <cfRule type="cellIs" dxfId="730" priority="2938" operator="lessThan">
      <formula>0</formula>
    </cfRule>
  </conditionalFormatting>
  <conditionalFormatting sqref="H10:H1048576">
    <cfRule type="cellIs" dxfId="729" priority="2937" operator="lessThan">
      <formula>0</formula>
    </cfRule>
  </conditionalFormatting>
  <conditionalFormatting sqref="H10:H1048576">
    <cfRule type="cellIs" dxfId="728" priority="2936" operator="lessThan">
      <formula>0</formula>
    </cfRule>
  </conditionalFormatting>
  <conditionalFormatting sqref="H10:H1048576">
    <cfRule type="cellIs" dxfId="727" priority="2935" operator="lessThan">
      <formula>0</formula>
    </cfRule>
  </conditionalFormatting>
  <conditionalFormatting sqref="H10:H1048576">
    <cfRule type="cellIs" dxfId="726" priority="2934" operator="lessThan">
      <formula>0</formula>
    </cfRule>
  </conditionalFormatting>
  <conditionalFormatting sqref="H10:H1048576">
    <cfRule type="cellIs" dxfId="725" priority="2933" operator="lessThan">
      <formula>0</formula>
    </cfRule>
  </conditionalFormatting>
  <conditionalFormatting sqref="H10:H1048576">
    <cfRule type="cellIs" dxfId="724" priority="2932" operator="lessThan">
      <formula>0</formula>
    </cfRule>
  </conditionalFormatting>
  <conditionalFormatting sqref="H10:H1048576">
    <cfRule type="cellIs" dxfId="723" priority="2931" operator="lessThan">
      <formula>0</formula>
    </cfRule>
  </conditionalFormatting>
  <conditionalFormatting sqref="H10:H1048576">
    <cfRule type="cellIs" dxfId="722" priority="2930" operator="lessThan">
      <formula>0</formula>
    </cfRule>
  </conditionalFormatting>
  <conditionalFormatting sqref="H10:H1048576">
    <cfRule type="cellIs" dxfId="721" priority="2929" operator="lessThan">
      <formula>0</formula>
    </cfRule>
  </conditionalFormatting>
  <conditionalFormatting sqref="H10:H1048576">
    <cfRule type="cellIs" dxfId="720" priority="2928" operator="lessThan">
      <formula>0</formula>
    </cfRule>
  </conditionalFormatting>
  <conditionalFormatting sqref="H10:H1048576">
    <cfRule type="cellIs" dxfId="719" priority="2927" operator="lessThan">
      <formula>0</formula>
    </cfRule>
  </conditionalFormatting>
  <conditionalFormatting sqref="H10:H1048576">
    <cfRule type="cellIs" dxfId="718" priority="2926" operator="lessThan">
      <formula>0</formula>
    </cfRule>
  </conditionalFormatting>
  <conditionalFormatting sqref="H10:H1048576">
    <cfRule type="cellIs" dxfId="717" priority="2925" operator="lessThan">
      <formula>0</formula>
    </cfRule>
  </conditionalFormatting>
  <conditionalFormatting sqref="H10:H1048576">
    <cfRule type="cellIs" dxfId="716" priority="2924" operator="lessThan">
      <formula>0</formula>
    </cfRule>
  </conditionalFormatting>
  <conditionalFormatting sqref="H10:H1048576">
    <cfRule type="cellIs" dxfId="715" priority="2923" operator="lessThan">
      <formula>0</formula>
    </cfRule>
  </conditionalFormatting>
  <conditionalFormatting sqref="H10:H1048576">
    <cfRule type="cellIs" dxfId="714" priority="2922" operator="lessThan">
      <formula>0</formula>
    </cfRule>
  </conditionalFormatting>
  <conditionalFormatting sqref="H10:H1048576">
    <cfRule type="cellIs" dxfId="713" priority="2921" operator="lessThan">
      <formula>0</formula>
    </cfRule>
  </conditionalFormatting>
  <conditionalFormatting sqref="H10:H1048576">
    <cfRule type="cellIs" dxfId="712" priority="2920" operator="lessThan">
      <formula>0</formula>
    </cfRule>
  </conditionalFormatting>
  <conditionalFormatting sqref="H10:H1048576">
    <cfRule type="cellIs" dxfId="711" priority="2919" operator="lessThan">
      <formula>0</formula>
    </cfRule>
  </conditionalFormatting>
  <conditionalFormatting sqref="H10:H1048576">
    <cfRule type="cellIs" dxfId="710" priority="2918" operator="lessThan">
      <formula>0</formula>
    </cfRule>
  </conditionalFormatting>
  <conditionalFormatting sqref="H10:H1048576">
    <cfRule type="cellIs" dxfId="709" priority="2917" operator="lessThan">
      <formula>0</formula>
    </cfRule>
  </conditionalFormatting>
  <conditionalFormatting sqref="H10:H1048576">
    <cfRule type="cellIs" dxfId="708" priority="2916" operator="lessThan">
      <formula>0</formula>
    </cfRule>
  </conditionalFormatting>
  <conditionalFormatting sqref="H10:H1048576">
    <cfRule type="cellIs" dxfId="707" priority="2915" operator="lessThan">
      <formula>0</formula>
    </cfRule>
  </conditionalFormatting>
  <conditionalFormatting sqref="H10:H1048576">
    <cfRule type="cellIs" dxfId="706" priority="2914" operator="lessThan">
      <formula>0</formula>
    </cfRule>
  </conditionalFormatting>
  <conditionalFormatting sqref="H10:H1048576">
    <cfRule type="cellIs" dxfId="705" priority="2913" operator="lessThan">
      <formula>0</formula>
    </cfRule>
  </conditionalFormatting>
  <conditionalFormatting sqref="H10:H1048576">
    <cfRule type="cellIs" dxfId="704" priority="2912" operator="lessThan">
      <formula>0</formula>
    </cfRule>
  </conditionalFormatting>
  <conditionalFormatting sqref="H10:H1048576">
    <cfRule type="cellIs" dxfId="703" priority="2911" operator="lessThan">
      <formula>0</formula>
    </cfRule>
  </conditionalFormatting>
  <conditionalFormatting sqref="H10:H1048576">
    <cfRule type="cellIs" dxfId="702" priority="2910" operator="lessThan">
      <formula>0</formula>
    </cfRule>
  </conditionalFormatting>
  <conditionalFormatting sqref="H10:H1048576">
    <cfRule type="cellIs" dxfId="701" priority="2909" operator="lessThan">
      <formula>0</formula>
    </cfRule>
  </conditionalFormatting>
  <conditionalFormatting sqref="H10:H1048576">
    <cfRule type="cellIs" dxfId="700" priority="2908" operator="lessThan">
      <formula>0</formula>
    </cfRule>
  </conditionalFormatting>
  <conditionalFormatting sqref="H10:H1048576">
    <cfRule type="cellIs" dxfId="699" priority="2907" operator="lessThan">
      <formula>0</formula>
    </cfRule>
  </conditionalFormatting>
  <conditionalFormatting sqref="H10:H1048576">
    <cfRule type="cellIs" dxfId="698" priority="2906" operator="lessThan">
      <formula>0</formula>
    </cfRule>
  </conditionalFormatting>
  <conditionalFormatting sqref="H10:H1048576">
    <cfRule type="cellIs" dxfId="697" priority="2905" operator="lessThan">
      <formula>0</formula>
    </cfRule>
  </conditionalFormatting>
  <conditionalFormatting sqref="H10:H1048576">
    <cfRule type="cellIs" dxfId="696" priority="2904" operator="lessThan">
      <formula>0</formula>
    </cfRule>
  </conditionalFormatting>
  <conditionalFormatting sqref="H10:H1048576">
    <cfRule type="cellIs" dxfId="695" priority="2903" operator="lessThan">
      <formula>0</formula>
    </cfRule>
  </conditionalFormatting>
  <conditionalFormatting sqref="H10:H1048576">
    <cfRule type="cellIs" dxfId="694" priority="2902" operator="lessThan">
      <formula>0</formula>
    </cfRule>
  </conditionalFormatting>
  <conditionalFormatting sqref="H10:H1048576">
    <cfRule type="cellIs" dxfId="693" priority="2901" operator="lessThan">
      <formula>0</formula>
    </cfRule>
  </conditionalFormatting>
  <conditionalFormatting sqref="H10:H1048576">
    <cfRule type="cellIs" dxfId="692" priority="2900" operator="lessThan">
      <formula>0</formula>
    </cfRule>
  </conditionalFormatting>
  <conditionalFormatting sqref="H10:H1048576">
    <cfRule type="cellIs" dxfId="691" priority="2899" operator="lessThan">
      <formula>0</formula>
    </cfRule>
  </conditionalFormatting>
  <conditionalFormatting sqref="H10:H1048576">
    <cfRule type="cellIs" dxfId="690" priority="2898" operator="lessThan">
      <formula>0</formula>
    </cfRule>
  </conditionalFormatting>
  <conditionalFormatting sqref="H10:H1048576">
    <cfRule type="cellIs" dxfId="689" priority="2897" operator="lessThan">
      <formula>0</formula>
    </cfRule>
  </conditionalFormatting>
  <conditionalFormatting sqref="H10:H1048576">
    <cfRule type="cellIs" dxfId="688" priority="2896" operator="lessThan">
      <formula>0</formula>
    </cfRule>
  </conditionalFormatting>
  <conditionalFormatting sqref="H10:H1048576">
    <cfRule type="cellIs" dxfId="687" priority="2895" operator="lessThan">
      <formula>0</formula>
    </cfRule>
  </conditionalFormatting>
  <conditionalFormatting sqref="H10:H1048576">
    <cfRule type="cellIs" dxfId="686" priority="2894" operator="lessThan">
      <formula>0</formula>
    </cfRule>
  </conditionalFormatting>
  <conditionalFormatting sqref="H10:H1048576">
    <cfRule type="cellIs" dxfId="685" priority="2893" operator="lessThan">
      <formula>0</formula>
    </cfRule>
  </conditionalFormatting>
  <conditionalFormatting sqref="H10:H1048576">
    <cfRule type="cellIs" dxfId="684" priority="2892" operator="lessThan">
      <formula>0</formula>
    </cfRule>
  </conditionalFormatting>
  <conditionalFormatting sqref="H10:H1048576">
    <cfRule type="cellIs" dxfId="683" priority="2891" operator="lessThan">
      <formula>0</formula>
    </cfRule>
  </conditionalFormatting>
  <conditionalFormatting sqref="H10:H1048576">
    <cfRule type="cellIs" dxfId="682" priority="2890" operator="lessThan">
      <formula>0</formula>
    </cfRule>
  </conditionalFormatting>
  <conditionalFormatting sqref="H10:H1048576">
    <cfRule type="cellIs" dxfId="681" priority="2889" operator="lessThan">
      <formula>0</formula>
    </cfRule>
  </conditionalFormatting>
  <conditionalFormatting sqref="H10:H1048576">
    <cfRule type="cellIs" dxfId="680" priority="2888" operator="lessThan">
      <formula>0</formula>
    </cfRule>
  </conditionalFormatting>
  <conditionalFormatting sqref="H10:H1048576">
    <cfRule type="cellIs" dxfId="679" priority="2887" operator="lessThan">
      <formula>0</formula>
    </cfRule>
  </conditionalFormatting>
  <conditionalFormatting sqref="H10:H1048576">
    <cfRule type="cellIs" dxfId="678" priority="2886" operator="lessThan">
      <formula>0</formula>
    </cfRule>
  </conditionalFormatting>
  <conditionalFormatting sqref="H10:H1048576">
    <cfRule type="cellIs" dxfId="677" priority="2885" operator="lessThan">
      <formula>0</formula>
    </cfRule>
  </conditionalFormatting>
  <conditionalFormatting sqref="H10:H1048576">
    <cfRule type="cellIs" dxfId="676" priority="2884" operator="lessThan">
      <formula>0</formula>
    </cfRule>
  </conditionalFormatting>
  <conditionalFormatting sqref="H10:H1048576">
    <cfRule type="cellIs" dxfId="675" priority="2883" operator="lessThan">
      <formula>0</formula>
    </cfRule>
  </conditionalFormatting>
  <conditionalFormatting sqref="H10:H1048576">
    <cfRule type="cellIs" dxfId="674" priority="2882" operator="lessThan">
      <formula>0</formula>
    </cfRule>
  </conditionalFormatting>
  <conditionalFormatting sqref="H10:H1048576">
    <cfRule type="cellIs" dxfId="673" priority="2881" operator="lessThan">
      <formula>0</formula>
    </cfRule>
  </conditionalFormatting>
  <conditionalFormatting sqref="H10:H1048576">
    <cfRule type="cellIs" dxfId="672" priority="2880" operator="lessThan">
      <formula>0</formula>
    </cfRule>
  </conditionalFormatting>
  <conditionalFormatting sqref="H10:H1048576">
    <cfRule type="cellIs" dxfId="671" priority="2879" operator="lessThan">
      <formula>0</formula>
    </cfRule>
  </conditionalFormatting>
  <conditionalFormatting sqref="H10:H1048576">
    <cfRule type="cellIs" dxfId="670" priority="2878" operator="lessThan">
      <formula>0</formula>
    </cfRule>
  </conditionalFormatting>
  <conditionalFormatting sqref="H10:H1048576">
    <cfRule type="cellIs" dxfId="669" priority="2877" operator="lessThan">
      <formula>0</formula>
    </cfRule>
  </conditionalFormatting>
  <conditionalFormatting sqref="H10:H1048576">
    <cfRule type="cellIs" dxfId="668" priority="2876" operator="lessThan">
      <formula>0</formula>
    </cfRule>
  </conditionalFormatting>
  <conditionalFormatting sqref="H10:H1048576">
    <cfRule type="cellIs" dxfId="667" priority="2875" operator="lessThan">
      <formula>0</formula>
    </cfRule>
  </conditionalFormatting>
  <conditionalFormatting sqref="H10:H1048576">
    <cfRule type="cellIs" dxfId="666" priority="2874" operator="lessThan">
      <formula>0</formula>
    </cfRule>
  </conditionalFormatting>
  <conditionalFormatting sqref="H10:H1048576">
    <cfRule type="cellIs" dxfId="665" priority="2873" operator="lessThan">
      <formula>0</formula>
    </cfRule>
  </conditionalFormatting>
  <conditionalFormatting sqref="H10:H1048576">
    <cfRule type="cellIs" dxfId="664" priority="2872" operator="lessThan">
      <formula>0</formula>
    </cfRule>
  </conditionalFormatting>
  <conditionalFormatting sqref="H10:H1048576">
    <cfRule type="cellIs" dxfId="663" priority="2871" operator="lessThan">
      <formula>0</formula>
    </cfRule>
  </conditionalFormatting>
  <conditionalFormatting sqref="H10:H1048576">
    <cfRule type="cellIs" dxfId="662" priority="2870" operator="lessThan">
      <formula>0</formula>
    </cfRule>
  </conditionalFormatting>
  <conditionalFormatting sqref="H10:H1048576">
    <cfRule type="cellIs" dxfId="661" priority="2869" operator="lessThan">
      <formula>0</formula>
    </cfRule>
  </conditionalFormatting>
  <conditionalFormatting sqref="H10:H1048576">
    <cfRule type="cellIs" dxfId="660" priority="2868" operator="lessThan">
      <formula>0</formula>
    </cfRule>
  </conditionalFormatting>
  <conditionalFormatting sqref="H10:H1048576">
    <cfRule type="cellIs" dxfId="659" priority="2867" operator="lessThan">
      <formula>0</formula>
    </cfRule>
  </conditionalFormatting>
  <conditionalFormatting sqref="H10:H1048576">
    <cfRule type="cellIs" dxfId="658" priority="2866" operator="lessThan">
      <formula>0</formula>
    </cfRule>
  </conditionalFormatting>
  <conditionalFormatting sqref="H10:H1048576">
    <cfRule type="cellIs" dxfId="657" priority="2865" operator="lessThan">
      <formula>0</formula>
    </cfRule>
  </conditionalFormatting>
  <conditionalFormatting sqref="H10:H1048576">
    <cfRule type="cellIs" dxfId="656" priority="2864" operator="lessThan">
      <formula>0</formula>
    </cfRule>
  </conditionalFormatting>
  <conditionalFormatting sqref="H10:H1048576">
    <cfRule type="cellIs" dxfId="655" priority="2863" operator="lessThan">
      <formula>0</formula>
    </cfRule>
  </conditionalFormatting>
  <conditionalFormatting sqref="H10:H1048576">
    <cfRule type="cellIs" dxfId="654" priority="2862" operator="lessThan">
      <formula>0</formula>
    </cfRule>
  </conditionalFormatting>
  <conditionalFormatting sqref="H10:H1048576">
    <cfRule type="cellIs" dxfId="653" priority="2861" operator="lessThan">
      <formula>0</formula>
    </cfRule>
  </conditionalFormatting>
  <conditionalFormatting sqref="H10:H1048576">
    <cfRule type="cellIs" dxfId="652" priority="2860" operator="lessThan">
      <formula>0</formula>
    </cfRule>
  </conditionalFormatting>
  <conditionalFormatting sqref="H10:H1048576">
    <cfRule type="cellIs" dxfId="651" priority="2859" operator="lessThan">
      <formula>0</formula>
    </cfRule>
  </conditionalFormatting>
  <conditionalFormatting sqref="H10:H1048576">
    <cfRule type="cellIs" dxfId="650" priority="2858" operator="lessThan">
      <formula>0</formula>
    </cfRule>
  </conditionalFormatting>
  <conditionalFormatting sqref="H10:H1048576">
    <cfRule type="cellIs" dxfId="649" priority="2857" operator="lessThan">
      <formula>0</formula>
    </cfRule>
  </conditionalFormatting>
  <conditionalFormatting sqref="H10:H1048576">
    <cfRule type="cellIs" dxfId="648" priority="2856" operator="lessThan">
      <formula>0</formula>
    </cfRule>
  </conditionalFormatting>
  <conditionalFormatting sqref="H10:H1048576">
    <cfRule type="cellIs" dxfId="647" priority="2855" operator="lessThan">
      <formula>0</formula>
    </cfRule>
  </conditionalFormatting>
  <conditionalFormatting sqref="H10:H1048576">
    <cfRule type="cellIs" dxfId="646" priority="2854" operator="lessThan">
      <formula>0</formula>
    </cfRule>
  </conditionalFormatting>
  <conditionalFormatting sqref="H10:H1048576">
    <cfRule type="cellIs" dxfId="645" priority="2853" operator="lessThan">
      <formula>0</formula>
    </cfRule>
  </conditionalFormatting>
  <conditionalFormatting sqref="H10:H1048576">
    <cfRule type="cellIs" dxfId="644" priority="2852" operator="lessThan">
      <formula>0</formula>
    </cfRule>
  </conditionalFormatting>
  <conditionalFormatting sqref="H10:H1048576">
    <cfRule type="cellIs" dxfId="643" priority="2851" operator="lessThan">
      <formula>0</formula>
    </cfRule>
  </conditionalFormatting>
  <conditionalFormatting sqref="H10:H1048576">
    <cfRule type="cellIs" dxfId="642" priority="2850" operator="lessThan">
      <formula>0</formula>
    </cfRule>
  </conditionalFormatting>
  <conditionalFormatting sqref="H10:H1048576">
    <cfRule type="cellIs" dxfId="641" priority="2849" operator="lessThan">
      <formula>0</formula>
    </cfRule>
  </conditionalFormatting>
  <conditionalFormatting sqref="H10:H1048576">
    <cfRule type="cellIs" dxfId="640" priority="2848" operator="lessThan">
      <formula>0</formula>
    </cfRule>
  </conditionalFormatting>
  <conditionalFormatting sqref="H10:H1048576">
    <cfRule type="cellIs" dxfId="639" priority="2847" operator="lessThan">
      <formula>0</formula>
    </cfRule>
  </conditionalFormatting>
  <conditionalFormatting sqref="H10:H1048576">
    <cfRule type="cellIs" dxfId="638" priority="2846" operator="lessThan">
      <formula>0</formula>
    </cfRule>
  </conditionalFormatting>
  <conditionalFormatting sqref="H10:H1048576">
    <cfRule type="cellIs" dxfId="637" priority="2845" operator="lessThan">
      <formula>0</formula>
    </cfRule>
  </conditionalFormatting>
  <conditionalFormatting sqref="H10:H1048576">
    <cfRule type="cellIs" dxfId="636" priority="2844" operator="lessThan">
      <formula>0</formula>
    </cfRule>
  </conditionalFormatting>
  <conditionalFormatting sqref="H10:H1048576">
    <cfRule type="cellIs" dxfId="635" priority="2843" operator="lessThan">
      <formula>0</formula>
    </cfRule>
  </conditionalFormatting>
  <conditionalFormatting sqref="H10:H1048576">
    <cfRule type="cellIs" dxfId="634" priority="2842" operator="lessThan">
      <formula>0</formula>
    </cfRule>
  </conditionalFormatting>
  <conditionalFormatting sqref="H10:H1048576">
    <cfRule type="cellIs" dxfId="633" priority="2841" operator="lessThan">
      <formula>0</formula>
    </cfRule>
  </conditionalFormatting>
  <conditionalFormatting sqref="H10:H1048576">
    <cfRule type="cellIs" dxfId="632" priority="2840" operator="lessThan">
      <formula>0</formula>
    </cfRule>
  </conditionalFormatting>
  <conditionalFormatting sqref="H10:H1048576">
    <cfRule type="cellIs" dxfId="631" priority="2839" operator="lessThan">
      <formula>0</formula>
    </cfRule>
  </conditionalFormatting>
  <conditionalFormatting sqref="H10:H1048576">
    <cfRule type="cellIs" dxfId="630" priority="2838" operator="lessThan">
      <formula>0</formula>
    </cfRule>
  </conditionalFormatting>
  <conditionalFormatting sqref="H10:H1048576">
    <cfRule type="cellIs" dxfId="629" priority="2837" operator="lessThan">
      <formula>0</formula>
    </cfRule>
  </conditionalFormatting>
  <conditionalFormatting sqref="H10:H1048576">
    <cfRule type="cellIs" dxfId="628" priority="2836" operator="lessThan">
      <formula>0</formula>
    </cfRule>
  </conditionalFormatting>
  <conditionalFormatting sqref="H10:H1048576">
    <cfRule type="cellIs" dxfId="627" priority="2835" operator="lessThan">
      <formula>0</formula>
    </cfRule>
  </conditionalFormatting>
  <conditionalFormatting sqref="H10:H1048576">
    <cfRule type="cellIs" dxfId="626" priority="2834" operator="lessThan">
      <formula>0</formula>
    </cfRule>
  </conditionalFormatting>
  <conditionalFormatting sqref="H10:H1048576">
    <cfRule type="cellIs" dxfId="625" priority="2833" operator="lessThan">
      <formula>0</formula>
    </cfRule>
  </conditionalFormatting>
  <conditionalFormatting sqref="H10:H1048576">
    <cfRule type="cellIs" dxfId="624" priority="2832" operator="lessThan">
      <formula>0</formula>
    </cfRule>
  </conditionalFormatting>
  <conditionalFormatting sqref="H10:H1048576">
    <cfRule type="cellIs" dxfId="623" priority="2831" operator="lessThan">
      <formula>0</formula>
    </cfRule>
  </conditionalFormatting>
  <conditionalFormatting sqref="H10:H1048576">
    <cfRule type="cellIs" dxfId="622" priority="2830" operator="lessThan">
      <formula>0</formula>
    </cfRule>
  </conditionalFormatting>
  <conditionalFormatting sqref="H10:H1048576">
    <cfRule type="cellIs" dxfId="621" priority="2829" operator="lessThan">
      <formula>0</formula>
    </cfRule>
  </conditionalFormatting>
  <conditionalFormatting sqref="H10:H1048576">
    <cfRule type="cellIs" dxfId="620" priority="2828" operator="lessThan">
      <formula>0</formula>
    </cfRule>
  </conditionalFormatting>
  <conditionalFormatting sqref="H10:H1048576">
    <cfRule type="cellIs" dxfId="619" priority="2827" operator="lessThan">
      <formula>0</formula>
    </cfRule>
  </conditionalFormatting>
  <conditionalFormatting sqref="H10:H1048576">
    <cfRule type="cellIs" dxfId="618" priority="2826" operator="lessThan">
      <formula>0</formula>
    </cfRule>
  </conditionalFormatting>
  <conditionalFormatting sqref="H10:H1048576">
    <cfRule type="cellIs" dxfId="617" priority="2825" operator="lessThan">
      <formula>0</formula>
    </cfRule>
  </conditionalFormatting>
  <conditionalFormatting sqref="H10:H1048576">
    <cfRule type="cellIs" dxfId="616" priority="2824" operator="lessThan">
      <formula>0</formula>
    </cfRule>
  </conditionalFormatting>
  <conditionalFormatting sqref="H10:H1048576">
    <cfRule type="cellIs" dxfId="615" priority="2823" operator="lessThan">
      <formula>0</formula>
    </cfRule>
  </conditionalFormatting>
  <conditionalFormatting sqref="H10:H1048576">
    <cfRule type="cellIs" dxfId="614" priority="2822" operator="lessThan">
      <formula>0</formula>
    </cfRule>
  </conditionalFormatting>
  <conditionalFormatting sqref="H10:H1048576">
    <cfRule type="cellIs" dxfId="613" priority="2821" operator="lessThan">
      <formula>0</formula>
    </cfRule>
  </conditionalFormatting>
  <conditionalFormatting sqref="H10:H1048576">
    <cfRule type="cellIs" dxfId="612" priority="2820" operator="lessThan">
      <formula>0</formula>
    </cfRule>
  </conditionalFormatting>
  <conditionalFormatting sqref="H10:H1048576">
    <cfRule type="cellIs" dxfId="611" priority="2819" operator="lessThan">
      <formula>0</formula>
    </cfRule>
  </conditionalFormatting>
  <conditionalFormatting sqref="H10:H1048576">
    <cfRule type="cellIs" dxfId="610" priority="2818" operator="lessThan">
      <formula>0</formula>
    </cfRule>
  </conditionalFormatting>
  <conditionalFormatting sqref="H10:H1048576">
    <cfRule type="cellIs" dxfId="609" priority="2817" operator="lessThan">
      <formula>0</formula>
    </cfRule>
  </conditionalFormatting>
  <conditionalFormatting sqref="H10:H1048576">
    <cfRule type="cellIs" dxfId="608" priority="2816" operator="lessThan">
      <formula>0</formula>
    </cfRule>
  </conditionalFormatting>
  <conditionalFormatting sqref="H10:H1048576">
    <cfRule type="cellIs" dxfId="607" priority="2815" operator="lessThan">
      <formula>0</formula>
    </cfRule>
  </conditionalFormatting>
  <conditionalFormatting sqref="H10:H1048576">
    <cfRule type="cellIs" dxfId="606" priority="2814" operator="lessThan">
      <formula>0</formula>
    </cfRule>
  </conditionalFormatting>
  <conditionalFormatting sqref="H10:H1048576">
    <cfRule type="cellIs" dxfId="605" priority="2813" operator="lessThan">
      <formula>0</formula>
    </cfRule>
  </conditionalFormatting>
  <conditionalFormatting sqref="H10:H1048576">
    <cfRule type="cellIs" dxfId="604" priority="2812" operator="lessThan">
      <formula>0</formula>
    </cfRule>
  </conditionalFormatting>
  <conditionalFormatting sqref="H10:H1048576">
    <cfRule type="cellIs" dxfId="603" priority="2811" operator="lessThan">
      <formula>0</formula>
    </cfRule>
  </conditionalFormatting>
  <conditionalFormatting sqref="H10:H1048576">
    <cfRule type="cellIs" dxfId="602" priority="2810" operator="lessThan">
      <formula>0</formula>
    </cfRule>
  </conditionalFormatting>
  <conditionalFormatting sqref="H10:H1048576">
    <cfRule type="cellIs" dxfId="601" priority="2809" operator="lessThan">
      <formula>0</formula>
    </cfRule>
  </conditionalFormatting>
  <conditionalFormatting sqref="H10:H1048576">
    <cfRule type="cellIs" dxfId="600" priority="2808" operator="lessThan">
      <formula>0</formula>
    </cfRule>
  </conditionalFormatting>
  <conditionalFormatting sqref="H10:H1048576">
    <cfRule type="cellIs" dxfId="599" priority="2807" operator="lessThan">
      <formula>0</formula>
    </cfRule>
  </conditionalFormatting>
  <conditionalFormatting sqref="H10:H1048576">
    <cfRule type="cellIs" dxfId="598" priority="2806" operator="lessThan">
      <formula>0</formula>
    </cfRule>
  </conditionalFormatting>
  <conditionalFormatting sqref="H10:H1048576">
    <cfRule type="cellIs" dxfId="597" priority="2805" operator="lessThan">
      <formula>0</formula>
    </cfRule>
  </conditionalFormatting>
  <conditionalFormatting sqref="H10:H1048576">
    <cfRule type="cellIs" dxfId="596" priority="2804" operator="lessThan">
      <formula>0</formula>
    </cfRule>
  </conditionalFormatting>
  <conditionalFormatting sqref="H10:H1048576">
    <cfRule type="cellIs" dxfId="595" priority="2803" operator="lessThan">
      <formula>0</formula>
    </cfRule>
  </conditionalFormatting>
  <conditionalFormatting sqref="H10:H1048576">
    <cfRule type="cellIs" dxfId="594" priority="2802" operator="lessThan">
      <formula>0</formula>
    </cfRule>
  </conditionalFormatting>
  <conditionalFormatting sqref="H10:H1048576">
    <cfRule type="cellIs" dxfId="593" priority="2801" operator="lessThan">
      <formula>0</formula>
    </cfRule>
  </conditionalFormatting>
  <conditionalFormatting sqref="H10:H1048576">
    <cfRule type="cellIs" dxfId="592" priority="2800" operator="lessThan">
      <formula>0</formula>
    </cfRule>
  </conditionalFormatting>
  <conditionalFormatting sqref="H10:H1048576">
    <cfRule type="cellIs" dxfId="591" priority="2799" operator="lessThan">
      <formula>0</formula>
    </cfRule>
  </conditionalFormatting>
  <conditionalFormatting sqref="H10:H1048576">
    <cfRule type="cellIs" dxfId="590" priority="2798" operator="lessThan">
      <formula>0</formula>
    </cfRule>
  </conditionalFormatting>
  <conditionalFormatting sqref="H10:H1048576">
    <cfRule type="cellIs" dxfId="589" priority="2797" operator="lessThan">
      <formula>0</formula>
    </cfRule>
  </conditionalFormatting>
  <conditionalFormatting sqref="H10:H1048576">
    <cfRule type="cellIs" dxfId="588" priority="2796" operator="lessThan">
      <formula>0</formula>
    </cfRule>
  </conditionalFormatting>
  <conditionalFormatting sqref="H10:H1048576">
    <cfRule type="cellIs" dxfId="587" priority="2795" operator="lessThan">
      <formula>0</formula>
    </cfRule>
  </conditionalFormatting>
  <conditionalFormatting sqref="H10:H1048576">
    <cfRule type="cellIs" dxfId="586" priority="2794" operator="lessThan">
      <formula>0</formula>
    </cfRule>
  </conditionalFormatting>
  <conditionalFormatting sqref="H10:H1048576">
    <cfRule type="cellIs" dxfId="585" priority="2793" operator="lessThan">
      <formula>0</formula>
    </cfRule>
  </conditionalFormatting>
  <conditionalFormatting sqref="H10:H1048576">
    <cfRule type="cellIs" dxfId="584" priority="2792" operator="lessThan">
      <formula>0</formula>
    </cfRule>
  </conditionalFormatting>
  <conditionalFormatting sqref="H10:H1048576">
    <cfRule type="cellIs" dxfId="583" priority="2791" operator="lessThan">
      <formula>0</formula>
    </cfRule>
  </conditionalFormatting>
  <conditionalFormatting sqref="H10:H1048576">
    <cfRule type="cellIs" dxfId="582" priority="2790" operator="lessThan">
      <formula>0</formula>
    </cfRule>
  </conditionalFormatting>
  <conditionalFormatting sqref="H10:H1048576">
    <cfRule type="cellIs" dxfId="581" priority="2789" operator="lessThan">
      <formula>0</formula>
    </cfRule>
  </conditionalFormatting>
  <conditionalFormatting sqref="H10:H1048576">
    <cfRule type="cellIs" dxfId="580" priority="2788" operator="lessThan">
      <formula>0</formula>
    </cfRule>
  </conditionalFormatting>
  <conditionalFormatting sqref="H10:H1048576">
    <cfRule type="cellIs" dxfId="579" priority="2787" operator="lessThan">
      <formula>0</formula>
    </cfRule>
  </conditionalFormatting>
  <conditionalFormatting sqref="H10:H1048576">
    <cfRule type="cellIs" dxfId="578" priority="2786" operator="lessThan">
      <formula>0</formula>
    </cfRule>
  </conditionalFormatting>
  <conditionalFormatting sqref="H10:H1048576">
    <cfRule type="cellIs" dxfId="577" priority="2785" operator="lessThan">
      <formula>0</formula>
    </cfRule>
  </conditionalFormatting>
  <conditionalFormatting sqref="H10:H1048576">
    <cfRule type="cellIs" dxfId="576" priority="2784" operator="lessThan">
      <formula>0</formula>
    </cfRule>
  </conditionalFormatting>
  <conditionalFormatting sqref="H10:H1048576">
    <cfRule type="cellIs" dxfId="575" priority="2783" operator="lessThan">
      <formula>0</formula>
    </cfRule>
  </conditionalFormatting>
  <conditionalFormatting sqref="H10:H1048576">
    <cfRule type="cellIs" dxfId="574" priority="2782" operator="lessThan">
      <formula>0</formula>
    </cfRule>
  </conditionalFormatting>
  <conditionalFormatting sqref="H10:H1048576">
    <cfRule type="cellIs" dxfId="573" priority="2781" operator="lessThan">
      <formula>0</formula>
    </cfRule>
  </conditionalFormatting>
  <conditionalFormatting sqref="H10:H1048576">
    <cfRule type="cellIs" dxfId="572" priority="2780" operator="lessThan">
      <formula>0</formula>
    </cfRule>
  </conditionalFormatting>
  <conditionalFormatting sqref="H10:H1048576">
    <cfRule type="cellIs" dxfId="571" priority="2779" operator="lessThan">
      <formula>0</formula>
    </cfRule>
  </conditionalFormatting>
  <conditionalFormatting sqref="H10:H1048576">
    <cfRule type="cellIs" dxfId="570" priority="2778" operator="lessThan">
      <formula>0</formula>
    </cfRule>
  </conditionalFormatting>
  <conditionalFormatting sqref="H10:H1048576">
    <cfRule type="cellIs" dxfId="569" priority="2777" operator="lessThan">
      <formula>0</formula>
    </cfRule>
  </conditionalFormatting>
  <conditionalFormatting sqref="H10:H1048576">
    <cfRule type="cellIs" dxfId="568" priority="2776" operator="lessThan">
      <formula>0</formula>
    </cfRule>
  </conditionalFormatting>
  <conditionalFormatting sqref="H10:H1048576">
    <cfRule type="cellIs" dxfId="567" priority="2775" operator="lessThan">
      <formula>0</formula>
    </cfRule>
  </conditionalFormatting>
  <conditionalFormatting sqref="H10:H1048576">
    <cfRule type="cellIs" dxfId="566" priority="2774" operator="lessThan">
      <formula>0</formula>
    </cfRule>
  </conditionalFormatting>
  <conditionalFormatting sqref="H10:H1048576">
    <cfRule type="cellIs" dxfId="565" priority="2773" operator="lessThan">
      <formula>0</formula>
    </cfRule>
  </conditionalFormatting>
  <conditionalFormatting sqref="H10:H1048576">
    <cfRule type="cellIs" dxfId="564" priority="2772" operator="lessThan">
      <formula>0</formula>
    </cfRule>
  </conditionalFormatting>
  <conditionalFormatting sqref="H10:H1048576">
    <cfRule type="cellIs" dxfId="563" priority="2771" operator="lessThan">
      <formula>0</formula>
    </cfRule>
  </conditionalFormatting>
  <conditionalFormatting sqref="H10:H1048576">
    <cfRule type="cellIs" dxfId="562" priority="2770" operator="lessThan">
      <formula>0</formula>
    </cfRule>
  </conditionalFormatting>
  <conditionalFormatting sqref="H10:H1048576">
    <cfRule type="cellIs" dxfId="561" priority="2769" operator="lessThan">
      <formula>0</formula>
    </cfRule>
  </conditionalFormatting>
  <conditionalFormatting sqref="H10:H1048576">
    <cfRule type="cellIs" dxfId="560" priority="2768" operator="lessThan">
      <formula>0</formula>
    </cfRule>
  </conditionalFormatting>
  <conditionalFormatting sqref="H10:H1048576">
    <cfRule type="cellIs" dxfId="559" priority="2767" operator="lessThan">
      <formula>0</formula>
    </cfRule>
  </conditionalFormatting>
  <conditionalFormatting sqref="H10:H1048576">
    <cfRule type="cellIs" dxfId="558" priority="2766" operator="lessThan">
      <formula>0</formula>
    </cfRule>
  </conditionalFormatting>
  <conditionalFormatting sqref="H10:H1048576">
    <cfRule type="cellIs" dxfId="557" priority="2765" operator="lessThan">
      <formula>0</formula>
    </cfRule>
  </conditionalFormatting>
  <conditionalFormatting sqref="H10:H1048576">
    <cfRule type="cellIs" dxfId="556" priority="2764" operator="lessThan">
      <formula>0</formula>
    </cfRule>
  </conditionalFormatting>
  <conditionalFormatting sqref="H10:H1048576">
    <cfRule type="cellIs" dxfId="555" priority="2763" operator="lessThan">
      <formula>0</formula>
    </cfRule>
  </conditionalFormatting>
  <conditionalFormatting sqref="H10:H1048576">
    <cfRule type="cellIs" dxfId="554" priority="2762" operator="lessThan">
      <formula>0</formula>
    </cfRule>
  </conditionalFormatting>
  <conditionalFormatting sqref="H10:H1048576">
    <cfRule type="cellIs" dxfId="553" priority="2761" operator="lessThan">
      <formula>0</formula>
    </cfRule>
  </conditionalFormatting>
  <conditionalFormatting sqref="H10:H1048576">
    <cfRule type="cellIs" dxfId="552" priority="2760" operator="lessThan">
      <formula>0</formula>
    </cfRule>
  </conditionalFormatting>
  <conditionalFormatting sqref="H10:H1048576">
    <cfRule type="cellIs" dxfId="551" priority="2759" operator="lessThan">
      <formula>0</formula>
    </cfRule>
  </conditionalFormatting>
  <conditionalFormatting sqref="H10:H1048576">
    <cfRule type="cellIs" dxfId="550" priority="2758" operator="lessThan">
      <formula>0</formula>
    </cfRule>
  </conditionalFormatting>
  <conditionalFormatting sqref="H10:H1048576">
    <cfRule type="cellIs" dxfId="549" priority="2757" operator="lessThan">
      <formula>0</formula>
    </cfRule>
  </conditionalFormatting>
  <conditionalFormatting sqref="H10:H1048576">
    <cfRule type="cellIs" dxfId="548" priority="2756" operator="lessThan">
      <formula>0</formula>
    </cfRule>
  </conditionalFormatting>
  <conditionalFormatting sqref="H10:H1048576">
    <cfRule type="cellIs" dxfId="547" priority="2755" operator="lessThan">
      <formula>0</formula>
    </cfRule>
  </conditionalFormatting>
  <conditionalFormatting sqref="H10:H1048576">
    <cfRule type="cellIs" dxfId="546" priority="2754" operator="lessThan">
      <formula>0</formula>
    </cfRule>
  </conditionalFormatting>
  <conditionalFormatting sqref="H10:H1048576">
    <cfRule type="cellIs" dxfId="545" priority="2753" operator="lessThan">
      <formula>0</formula>
    </cfRule>
  </conditionalFormatting>
  <conditionalFormatting sqref="H10:H1048576">
    <cfRule type="cellIs" dxfId="544" priority="2752" operator="lessThan">
      <formula>0</formula>
    </cfRule>
  </conditionalFormatting>
  <conditionalFormatting sqref="H10:H1048576">
    <cfRule type="cellIs" dxfId="543" priority="2751" operator="lessThan">
      <formula>0</formula>
    </cfRule>
  </conditionalFormatting>
  <conditionalFormatting sqref="H10:H1048576">
    <cfRule type="cellIs" dxfId="542" priority="2750" operator="lessThan">
      <formula>0</formula>
    </cfRule>
  </conditionalFormatting>
  <conditionalFormatting sqref="H10:H1048576">
    <cfRule type="cellIs" dxfId="541" priority="2749" operator="lessThan">
      <formula>0</formula>
    </cfRule>
  </conditionalFormatting>
  <conditionalFormatting sqref="H10:H1048576">
    <cfRule type="cellIs" dxfId="540" priority="2748" operator="lessThan">
      <formula>0</formula>
    </cfRule>
  </conditionalFormatting>
  <conditionalFormatting sqref="H10:H1048576">
    <cfRule type="cellIs" dxfId="539" priority="2747" operator="lessThan">
      <formula>0</formula>
    </cfRule>
  </conditionalFormatting>
  <conditionalFormatting sqref="H10:H1048576">
    <cfRule type="cellIs" dxfId="538" priority="2746" operator="lessThan">
      <formula>0</formula>
    </cfRule>
  </conditionalFormatting>
  <conditionalFormatting sqref="H10:H1048576">
    <cfRule type="cellIs" dxfId="537" priority="2745" operator="lessThan">
      <formula>0</formula>
    </cfRule>
  </conditionalFormatting>
  <conditionalFormatting sqref="H10:H1048576">
    <cfRule type="cellIs" dxfId="536" priority="2744" operator="lessThan">
      <formula>0</formula>
    </cfRule>
  </conditionalFormatting>
  <conditionalFormatting sqref="H10:H1048576">
    <cfRule type="cellIs" dxfId="535" priority="2743" operator="lessThan">
      <formula>0</formula>
    </cfRule>
  </conditionalFormatting>
  <conditionalFormatting sqref="H10:H1048576">
    <cfRule type="cellIs" dxfId="534" priority="2742" operator="lessThan">
      <formula>0</formula>
    </cfRule>
  </conditionalFormatting>
  <conditionalFormatting sqref="H10:H1048576">
    <cfRule type="cellIs" dxfId="533" priority="2741" operator="lessThan">
      <formula>0</formula>
    </cfRule>
  </conditionalFormatting>
  <conditionalFormatting sqref="H10:H1048576">
    <cfRule type="cellIs" dxfId="532" priority="2740" operator="lessThan">
      <formula>0</formula>
    </cfRule>
  </conditionalFormatting>
  <conditionalFormatting sqref="H10:H1048576">
    <cfRule type="cellIs" dxfId="531" priority="2739" operator="lessThan">
      <formula>0</formula>
    </cfRule>
  </conditionalFormatting>
  <conditionalFormatting sqref="H10:H1048576">
    <cfRule type="cellIs" dxfId="530" priority="2738" operator="lessThan">
      <formula>0</formula>
    </cfRule>
  </conditionalFormatting>
  <conditionalFormatting sqref="H10:H1048576">
    <cfRule type="cellIs" dxfId="529" priority="2737" operator="lessThan">
      <formula>0</formula>
    </cfRule>
  </conditionalFormatting>
  <conditionalFormatting sqref="H10:H1048576">
    <cfRule type="cellIs" dxfId="528" priority="2736" operator="lessThan">
      <formula>0</formula>
    </cfRule>
  </conditionalFormatting>
  <conditionalFormatting sqref="H10:H1048576">
    <cfRule type="cellIs" dxfId="527" priority="2735" operator="lessThan">
      <formula>0</formula>
    </cfRule>
  </conditionalFormatting>
  <conditionalFormatting sqref="H10:H1048576">
    <cfRule type="cellIs" dxfId="526" priority="2734" operator="lessThan">
      <formula>0</formula>
    </cfRule>
  </conditionalFormatting>
  <conditionalFormatting sqref="H10:H1048576">
    <cfRule type="cellIs" dxfId="525" priority="2733" operator="lessThan">
      <formula>0</formula>
    </cfRule>
  </conditionalFormatting>
  <conditionalFormatting sqref="H10:H1048576">
    <cfRule type="cellIs" dxfId="524" priority="2732" operator="lessThan">
      <formula>0</formula>
    </cfRule>
  </conditionalFormatting>
  <conditionalFormatting sqref="H10:H1048576">
    <cfRule type="cellIs" dxfId="523" priority="2731" operator="lessThan">
      <formula>0</formula>
    </cfRule>
  </conditionalFormatting>
  <conditionalFormatting sqref="H10:H1048576">
    <cfRule type="cellIs" dxfId="522" priority="2730" operator="lessThan">
      <formula>0</formula>
    </cfRule>
  </conditionalFormatting>
  <conditionalFormatting sqref="H10:H1048576">
    <cfRule type="cellIs" dxfId="521" priority="2729" operator="lessThan">
      <formula>0</formula>
    </cfRule>
  </conditionalFormatting>
  <conditionalFormatting sqref="H10:H1048576">
    <cfRule type="cellIs" dxfId="520" priority="2728" operator="lessThan">
      <formula>0</formula>
    </cfRule>
  </conditionalFormatting>
  <conditionalFormatting sqref="H10:H1048576">
    <cfRule type="cellIs" dxfId="519" priority="2727" operator="lessThan">
      <formula>0</formula>
    </cfRule>
  </conditionalFormatting>
  <conditionalFormatting sqref="H10:H1048576">
    <cfRule type="cellIs" dxfId="518" priority="2726" operator="lessThan">
      <formula>0</formula>
    </cfRule>
  </conditionalFormatting>
  <conditionalFormatting sqref="H10:H1048576">
    <cfRule type="cellIs" dxfId="517" priority="2725" operator="lessThan">
      <formula>0</formula>
    </cfRule>
  </conditionalFormatting>
  <conditionalFormatting sqref="H10:H1048576">
    <cfRule type="cellIs" dxfId="516" priority="2724" operator="lessThan">
      <formula>0</formula>
    </cfRule>
  </conditionalFormatting>
  <conditionalFormatting sqref="H10:H1048576">
    <cfRule type="cellIs" dxfId="515" priority="2723" operator="lessThan">
      <formula>0</formula>
    </cfRule>
  </conditionalFormatting>
  <conditionalFormatting sqref="H10:H1048576">
    <cfRule type="cellIs" dxfId="514" priority="2722" operator="lessThan">
      <formula>0</formula>
    </cfRule>
  </conditionalFormatting>
  <conditionalFormatting sqref="H10:H1048576">
    <cfRule type="cellIs" dxfId="513" priority="2721" operator="lessThan">
      <formula>0</formula>
    </cfRule>
  </conditionalFormatting>
  <conditionalFormatting sqref="H10:H1048576">
    <cfRule type="cellIs" dxfId="512" priority="2720" operator="lessThan">
      <formula>0</formula>
    </cfRule>
  </conditionalFormatting>
  <conditionalFormatting sqref="H10:H1048576">
    <cfRule type="cellIs" dxfId="511" priority="2719" operator="lessThan">
      <formula>0</formula>
    </cfRule>
  </conditionalFormatting>
  <conditionalFormatting sqref="H10:H1048576">
    <cfRule type="cellIs" dxfId="510" priority="2718" operator="lessThan">
      <formula>0</formula>
    </cfRule>
  </conditionalFormatting>
  <conditionalFormatting sqref="H10:H1048576">
    <cfRule type="cellIs" dxfId="509" priority="2717" operator="lessThan">
      <formula>0</formula>
    </cfRule>
  </conditionalFormatting>
  <conditionalFormatting sqref="H10:H1048576">
    <cfRule type="cellIs" dxfId="508" priority="2716" operator="lessThan">
      <formula>0</formula>
    </cfRule>
  </conditionalFormatting>
  <conditionalFormatting sqref="H10:H1048576">
    <cfRule type="cellIs" dxfId="507" priority="2715" operator="lessThan">
      <formula>0</formula>
    </cfRule>
  </conditionalFormatting>
  <conditionalFormatting sqref="H10:H1048576">
    <cfRule type="cellIs" dxfId="506" priority="2714" operator="lessThan">
      <formula>0</formula>
    </cfRule>
  </conditionalFormatting>
  <conditionalFormatting sqref="H10:H1048576">
    <cfRule type="cellIs" dxfId="505" priority="2713" operator="lessThan">
      <formula>0</formula>
    </cfRule>
  </conditionalFormatting>
  <conditionalFormatting sqref="H10:H1048576">
    <cfRule type="cellIs" dxfId="504" priority="2712" operator="lessThan">
      <formula>0</formula>
    </cfRule>
  </conditionalFormatting>
  <conditionalFormatting sqref="H10:H1048576">
    <cfRule type="cellIs" dxfId="503" priority="2711" operator="lessThan">
      <formula>0</formula>
    </cfRule>
  </conditionalFormatting>
  <conditionalFormatting sqref="H10:H1048576">
    <cfRule type="cellIs" dxfId="502" priority="2710" operator="lessThan">
      <formula>0</formula>
    </cfRule>
  </conditionalFormatting>
  <conditionalFormatting sqref="H10:H1048576">
    <cfRule type="cellIs" dxfId="501" priority="2709" operator="lessThan">
      <formula>0</formula>
    </cfRule>
  </conditionalFormatting>
  <conditionalFormatting sqref="H10:H1048576">
    <cfRule type="cellIs" dxfId="500" priority="2708" operator="lessThan">
      <formula>0</formula>
    </cfRule>
  </conditionalFormatting>
  <conditionalFormatting sqref="H10:H1048576">
    <cfRule type="cellIs" dxfId="499" priority="2707" operator="lessThan">
      <formula>0</formula>
    </cfRule>
  </conditionalFormatting>
  <conditionalFormatting sqref="H10:H1048576">
    <cfRule type="cellIs" dxfId="498" priority="2706" operator="lessThan">
      <formula>0</formula>
    </cfRule>
  </conditionalFormatting>
  <conditionalFormatting sqref="H10:H1048576">
    <cfRule type="cellIs" dxfId="497" priority="2705" operator="lessThan">
      <formula>0</formula>
    </cfRule>
  </conditionalFormatting>
  <conditionalFormatting sqref="H10:H1048576">
    <cfRule type="cellIs" dxfId="496" priority="2704" operator="lessThan">
      <formula>0</formula>
    </cfRule>
  </conditionalFormatting>
  <conditionalFormatting sqref="H10:H1048576">
    <cfRule type="cellIs" dxfId="495" priority="2703" operator="lessThan">
      <formula>0</formula>
    </cfRule>
  </conditionalFormatting>
  <conditionalFormatting sqref="H10:H1048576">
    <cfRule type="cellIs" dxfId="494" priority="2702" operator="lessThan">
      <formula>0</formula>
    </cfRule>
  </conditionalFormatting>
  <conditionalFormatting sqref="H10:H1048576">
    <cfRule type="cellIs" dxfId="493" priority="2701" operator="lessThan">
      <formula>0</formula>
    </cfRule>
  </conditionalFormatting>
  <conditionalFormatting sqref="H10:H1048576">
    <cfRule type="cellIs" dxfId="492" priority="2700" operator="lessThan">
      <formula>0</formula>
    </cfRule>
  </conditionalFormatting>
  <conditionalFormatting sqref="H10:H1048576">
    <cfRule type="cellIs" dxfId="491" priority="2699" operator="lessThan">
      <formula>0</formula>
    </cfRule>
  </conditionalFormatting>
  <conditionalFormatting sqref="H10:H1048576">
    <cfRule type="cellIs" dxfId="490" priority="2698" operator="lessThan">
      <formula>0</formula>
    </cfRule>
  </conditionalFormatting>
  <conditionalFormatting sqref="H10:H1048576">
    <cfRule type="cellIs" dxfId="489" priority="2697" operator="lessThan">
      <formula>0</formula>
    </cfRule>
  </conditionalFormatting>
  <conditionalFormatting sqref="H10:H1048576">
    <cfRule type="cellIs" dxfId="488" priority="2696" operator="lessThan">
      <formula>0</formula>
    </cfRule>
  </conditionalFormatting>
  <conditionalFormatting sqref="H10:H1048576">
    <cfRule type="cellIs" dxfId="487" priority="2695" operator="lessThan">
      <formula>0</formula>
    </cfRule>
  </conditionalFormatting>
  <conditionalFormatting sqref="H10:H1048576">
    <cfRule type="cellIs" dxfId="486" priority="2694" operator="lessThan">
      <formula>0</formula>
    </cfRule>
  </conditionalFormatting>
  <conditionalFormatting sqref="H10:H1048576">
    <cfRule type="cellIs" dxfId="485" priority="2693" operator="lessThan">
      <formula>0</formula>
    </cfRule>
  </conditionalFormatting>
  <conditionalFormatting sqref="H10:H1048576">
    <cfRule type="cellIs" dxfId="484" priority="2692" operator="lessThan">
      <formula>0</formula>
    </cfRule>
  </conditionalFormatting>
  <conditionalFormatting sqref="H10:H1048576">
    <cfRule type="cellIs" dxfId="483" priority="2691" operator="lessThan">
      <formula>0</formula>
    </cfRule>
  </conditionalFormatting>
  <conditionalFormatting sqref="H10:H1048576">
    <cfRule type="cellIs" dxfId="482" priority="2690" operator="lessThan">
      <formula>0</formula>
    </cfRule>
  </conditionalFormatting>
  <conditionalFormatting sqref="H10:H1048576">
    <cfRule type="cellIs" dxfId="481" priority="2689" operator="lessThan">
      <formula>0</formula>
    </cfRule>
  </conditionalFormatting>
  <conditionalFormatting sqref="H10:H1048576">
    <cfRule type="cellIs" dxfId="480" priority="2688" operator="lessThan">
      <formula>0</formula>
    </cfRule>
  </conditionalFormatting>
  <conditionalFormatting sqref="H10:H1048576">
    <cfRule type="cellIs" dxfId="479" priority="2687" operator="lessThan">
      <formula>0</formula>
    </cfRule>
  </conditionalFormatting>
  <conditionalFormatting sqref="H10:H1048576">
    <cfRule type="cellIs" dxfId="478" priority="2686" operator="lessThan">
      <formula>0</formula>
    </cfRule>
  </conditionalFormatting>
  <conditionalFormatting sqref="H10:H1048576">
    <cfRule type="cellIs" dxfId="477" priority="2685" operator="lessThan">
      <formula>0</formula>
    </cfRule>
  </conditionalFormatting>
  <conditionalFormatting sqref="H10:H1048576">
    <cfRule type="cellIs" dxfId="476" priority="2684" operator="lessThan">
      <formula>0</formula>
    </cfRule>
  </conditionalFormatting>
  <conditionalFormatting sqref="H10:H1048576">
    <cfRule type="cellIs" dxfId="475" priority="2683" operator="lessThan">
      <formula>0</formula>
    </cfRule>
  </conditionalFormatting>
  <conditionalFormatting sqref="H10:H1048576">
    <cfRule type="cellIs" dxfId="474" priority="2682" operator="lessThan">
      <formula>0</formula>
    </cfRule>
  </conditionalFormatting>
  <conditionalFormatting sqref="H10:H1048576">
    <cfRule type="cellIs" dxfId="473" priority="2681" operator="lessThan">
      <formula>0</formula>
    </cfRule>
  </conditionalFormatting>
  <conditionalFormatting sqref="H10:H1048576">
    <cfRule type="cellIs" dxfId="472" priority="2680" operator="lessThan">
      <formula>0</formula>
    </cfRule>
  </conditionalFormatting>
  <conditionalFormatting sqref="H10:H1048576">
    <cfRule type="cellIs" dxfId="471" priority="2679" operator="lessThan">
      <formula>0</formula>
    </cfRule>
  </conditionalFormatting>
  <conditionalFormatting sqref="H10:H1048576">
    <cfRule type="cellIs" dxfId="470" priority="2678" operator="lessThan">
      <formula>0</formula>
    </cfRule>
  </conditionalFormatting>
  <conditionalFormatting sqref="H10:H1048576">
    <cfRule type="cellIs" dxfId="469" priority="2677" operator="lessThan">
      <formula>0</formula>
    </cfRule>
  </conditionalFormatting>
  <conditionalFormatting sqref="H10:H1048576">
    <cfRule type="cellIs" dxfId="468" priority="2676" operator="lessThan">
      <formula>0</formula>
    </cfRule>
  </conditionalFormatting>
  <conditionalFormatting sqref="H10:H1048576">
    <cfRule type="cellIs" dxfId="467" priority="2675" operator="lessThan">
      <formula>0</formula>
    </cfRule>
  </conditionalFormatting>
  <conditionalFormatting sqref="H10:H1048576">
    <cfRule type="cellIs" dxfId="466" priority="2674" operator="lessThan">
      <formula>0</formula>
    </cfRule>
  </conditionalFormatting>
  <conditionalFormatting sqref="H10:H1048576">
    <cfRule type="cellIs" dxfId="465" priority="2673" operator="lessThan">
      <formula>0</formula>
    </cfRule>
  </conditionalFormatting>
  <conditionalFormatting sqref="H10:H1048576">
    <cfRule type="cellIs" dxfId="464" priority="2672" operator="lessThan">
      <formula>0</formula>
    </cfRule>
  </conditionalFormatting>
  <conditionalFormatting sqref="H10:H1048576">
    <cfRule type="cellIs" dxfId="463" priority="2671" operator="lessThan">
      <formula>0</formula>
    </cfRule>
  </conditionalFormatting>
  <conditionalFormatting sqref="H10:H1048576">
    <cfRule type="cellIs" dxfId="462" priority="2670" operator="lessThan">
      <formula>0</formula>
    </cfRule>
  </conditionalFormatting>
  <conditionalFormatting sqref="H10:H1048576">
    <cfRule type="cellIs" dxfId="461" priority="2669" operator="lessThan">
      <formula>0</formula>
    </cfRule>
  </conditionalFormatting>
  <conditionalFormatting sqref="H10:H1048576">
    <cfRule type="cellIs" dxfId="460" priority="2668" operator="lessThan">
      <formula>0</formula>
    </cfRule>
  </conditionalFormatting>
  <conditionalFormatting sqref="H10:H1048576">
    <cfRule type="cellIs" dxfId="459" priority="2667" operator="lessThan">
      <formula>0</formula>
    </cfRule>
  </conditionalFormatting>
  <conditionalFormatting sqref="H10:H1048576">
    <cfRule type="cellIs" dxfId="458" priority="2666" operator="lessThan">
      <formula>0</formula>
    </cfRule>
  </conditionalFormatting>
  <conditionalFormatting sqref="H10:H1048576">
    <cfRule type="cellIs" dxfId="457" priority="2665" operator="lessThan">
      <formula>0</formula>
    </cfRule>
  </conditionalFormatting>
  <conditionalFormatting sqref="H10:H1048576">
    <cfRule type="cellIs" dxfId="456" priority="2664" operator="lessThan">
      <formula>0</formula>
    </cfRule>
  </conditionalFormatting>
  <conditionalFormatting sqref="H10:H1048576">
    <cfRule type="cellIs" dxfId="455" priority="2663" operator="lessThan">
      <formula>0</formula>
    </cfRule>
  </conditionalFormatting>
  <conditionalFormatting sqref="H10:H1048576">
    <cfRule type="cellIs" dxfId="454" priority="2662" operator="lessThan">
      <formula>0</formula>
    </cfRule>
  </conditionalFormatting>
  <conditionalFormatting sqref="H10:H1048576">
    <cfRule type="cellIs" dxfId="453" priority="2661" operator="lessThan">
      <formula>0</formula>
    </cfRule>
  </conditionalFormatting>
  <conditionalFormatting sqref="H10:H1048576">
    <cfRule type="cellIs" dxfId="452" priority="2660" operator="lessThan">
      <formula>0</formula>
    </cfRule>
  </conditionalFormatting>
  <conditionalFormatting sqref="H10:H1048576">
    <cfRule type="cellIs" dxfId="451" priority="2659" operator="lessThan">
      <formula>0</formula>
    </cfRule>
  </conditionalFormatting>
  <conditionalFormatting sqref="H10:H1048576">
    <cfRule type="cellIs" dxfId="450" priority="2658" operator="lessThan">
      <formula>0</formula>
    </cfRule>
  </conditionalFormatting>
  <conditionalFormatting sqref="H10:H1048576">
    <cfRule type="cellIs" dxfId="449" priority="2657" operator="lessThan">
      <formula>0</formula>
    </cfRule>
  </conditionalFormatting>
  <conditionalFormatting sqref="H10:H1048576">
    <cfRule type="cellIs" dxfId="448" priority="2656" operator="lessThan">
      <formula>0</formula>
    </cfRule>
  </conditionalFormatting>
  <conditionalFormatting sqref="H10:H1048576">
    <cfRule type="cellIs" dxfId="447" priority="2655" operator="lessThan">
      <formula>0</formula>
    </cfRule>
  </conditionalFormatting>
  <conditionalFormatting sqref="H10:H1048576">
    <cfRule type="cellIs" dxfId="446" priority="2654" operator="lessThan">
      <formula>0</formula>
    </cfRule>
  </conditionalFormatting>
  <conditionalFormatting sqref="H10:H1048576">
    <cfRule type="cellIs" dxfId="445" priority="2653" operator="lessThan">
      <formula>0</formula>
    </cfRule>
  </conditionalFormatting>
  <conditionalFormatting sqref="H10:H1048576">
    <cfRule type="cellIs" dxfId="444" priority="2652" operator="lessThan">
      <formula>0</formula>
    </cfRule>
  </conditionalFormatting>
  <conditionalFormatting sqref="H10:H1048576">
    <cfRule type="cellIs" dxfId="443" priority="2651" operator="lessThan">
      <formula>0</formula>
    </cfRule>
  </conditionalFormatting>
  <conditionalFormatting sqref="H10:H1048576">
    <cfRule type="cellIs" dxfId="442" priority="2650" operator="lessThan">
      <formula>0</formula>
    </cfRule>
  </conditionalFormatting>
  <conditionalFormatting sqref="H10:H1048576">
    <cfRule type="cellIs" dxfId="441" priority="2649" operator="lessThan">
      <formula>0</formula>
    </cfRule>
  </conditionalFormatting>
  <conditionalFormatting sqref="H10:H1048576">
    <cfRule type="cellIs" dxfId="440" priority="2648" operator="lessThan">
      <formula>0</formula>
    </cfRule>
  </conditionalFormatting>
  <conditionalFormatting sqref="H10:H1048576">
    <cfRule type="cellIs" dxfId="439" priority="2647" operator="lessThan">
      <formula>0</formula>
    </cfRule>
  </conditionalFormatting>
  <conditionalFormatting sqref="H10:H1048576">
    <cfRule type="cellIs" dxfId="438" priority="2646" operator="lessThan">
      <formula>0</formula>
    </cfRule>
  </conditionalFormatting>
  <conditionalFormatting sqref="H10:H1048576">
    <cfRule type="cellIs" dxfId="437" priority="2645" operator="lessThan">
      <formula>0</formula>
    </cfRule>
  </conditionalFormatting>
  <conditionalFormatting sqref="H10:H1048576">
    <cfRule type="cellIs" dxfId="436" priority="2644" operator="lessThan">
      <formula>0</formula>
    </cfRule>
  </conditionalFormatting>
  <conditionalFormatting sqref="H10:H1048576">
    <cfRule type="cellIs" dxfId="435" priority="2643" operator="lessThan">
      <formula>0</formula>
    </cfRule>
  </conditionalFormatting>
  <conditionalFormatting sqref="H10:H1048576">
    <cfRule type="cellIs" dxfId="434" priority="2642" operator="lessThan">
      <formula>0</formula>
    </cfRule>
  </conditionalFormatting>
  <conditionalFormatting sqref="H10:H1048576">
    <cfRule type="cellIs" dxfId="433" priority="2641" operator="lessThan">
      <formula>0</formula>
    </cfRule>
  </conditionalFormatting>
  <conditionalFormatting sqref="H10:H1048576">
    <cfRule type="cellIs" dxfId="432" priority="2640" operator="lessThan">
      <formula>0</formula>
    </cfRule>
  </conditionalFormatting>
  <conditionalFormatting sqref="H10:H1048576">
    <cfRule type="cellIs" dxfId="431" priority="2639" operator="lessThan">
      <formula>0</formula>
    </cfRule>
  </conditionalFormatting>
  <conditionalFormatting sqref="H10:H1048576">
    <cfRule type="cellIs" dxfId="430" priority="2638" operator="lessThan">
      <formula>0</formula>
    </cfRule>
  </conditionalFormatting>
  <conditionalFormatting sqref="H10:H1048576">
    <cfRule type="cellIs" dxfId="429" priority="2637" operator="lessThan">
      <formula>0</formula>
    </cfRule>
  </conditionalFormatting>
  <conditionalFormatting sqref="H10:H1048576">
    <cfRule type="cellIs" dxfId="428" priority="2636" operator="lessThan">
      <formula>0</formula>
    </cfRule>
  </conditionalFormatting>
  <conditionalFormatting sqref="H10:H1048576">
    <cfRule type="cellIs" dxfId="427" priority="2635" operator="lessThan">
      <formula>0</formula>
    </cfRule>
  </conditionalFormatting>
  <conditionalFormatting sqref="H10:H1048576">
    <cfRule type="cellIs" dxfId="426" priority="2634" operator="lessThan">
      <formula>0</formula>
    </cfRule>
  </conditionalFormatting>
  <conditionalFormatting sqref="H10:H1048576">
    <cfRule type="cellIs" dxfId="425" priority="2633" operator="lessThan">
      <formula>0</formula>
    </cfRule>
  </conditionalFormatting>
  <conditionalFormatting sqref="H10:H1048576">
    <cfRule type="cellIs" dxfId="424" priority="2632" operator="lessThan">
      <formula>0</formula>
    </cfRule>
  </conditionalFormatting>
  <conditionalFormatting sqref="H10:H1048576">
    <cfRule type="cellIs" dxfId="423" priority="2631" operator="lessThan">
      <formula>0</formula>
    </cfRule>
  </conditionalFormatting>
  <conditionalFormatting sqref="H10:H1048576">
    <cfRule type="cellIs" dxfId="422" priority="2630" operator="lessThan">
      <formula>0</formula>
    </cfRule>
  </conditionalFormatting>
  <conditionalFormatting sqref="H10:H1048576">
    <cfRule type="cellIs" dxfId="421" priority="2629" operator="lessThan">
      <formula>0</formula>
    </cfRule>
  </conditionalFormatting>
  <conditionalFormatting sqref="H10:H1048576">
    <cfRule type="cellIs" dxfId="420" priority="2628" operator="lessThan">
      <formula>0</formula>
    </cfRule>
  </conditionalFormatting>
  <conditionalFormatting sqref="H10:H1048576">
    <cfRule type="cellIs" dxfId="419" priority="2627" operator="lessThan">
      <formula>0</formula>
    </cfRule>
  </conditionalFormatting>
  <conditionalFormatting sqref="H10:H1048576">
    <cfRule type="cellIs" dxfId="418" priority="2626" operator="lessThan">
      <formula>0</formula>
    </cfRule>
  </conditionalFormatting>
  <conditionalFormatting sqref="H10:H1048576">
    <cfRule type="cellIs" dxfId="417" priority="2625" operator="lessThan">
      <formula>0</formula>
    </cfRule>
  </conditionalFormatting>
  <conditionalFormatting sqref="H10:H1048576">
    <cfRule type="cellIs" dxfId="416" priority="2624" operator="lessThan">
      <formula>0</formula>
    </cfRule>
  </conditionalFormatting>
  <conditionalFormatting sqref="H10:H1048576">
    <cfRule type="cellIs" dxfId="415" priority="2623" operator="lessThan">
      <formula>0</formula>
    </cfRule>
  </conditionalFormatting>
  <conditionalFormatting sqref="H10:H1048576">
    <cfRule type="cellIs" dxfId="414" priority="2622" operator="lessThan">
      <formula>0</formula>
    </cfRule>
  </conditionalFormatting>
  <conditionalFormatting sqref="H10:H1048576">
    <cfRule type="cellIs" dxfId="413" priority="2621" operator="lessThan">
      <formula>0</formula>
    </cfRule>
  </conditionalFormatting>
  <conditionalFormatting sqref="H10:H1048576">
    <cfRule type="cellIs" dxfId="412" priority="2620" operator="lessThan">
      <formula>0</formula>
    </cfRule>
  </conditionalFormatting>
  <conditionalFormatting sqref="H10:H1048576">
    <cfRule type="cellIs" dxfId="411" priority="2619" operator="lessThan">
      <formula>0</formula>
    </cfRule>
  </conditionalFormatting>
  <conditionalFormatting sqref="H10:H1048576">
    <cfRule type="cellIs" dxfId="410" priority="2618" operator="lessThan">
      <formula>0</formula>
    </cfRule>
  </conditionalFormatting>
  <conditionalFormatting sqref="H10:H1048576">
    <cfRule type="cellIs" dxfId="409" priority="2617" operator="lessThan">
      <formula>0</formula>
    </cfRule>
  </conditionalFormatting>
  <conditionalFormatting sqref="H10:H1048576">
    <cfRule type="cellIs" dxfId="408" priority="2616" operator="lessThan">
      <formula>0</formula>
    </cfRule>
  </conditionalFormatting>
  <conditionalFormatting sqref="H10:H1048576">
    <cfRule type="cellIs" dxfId="407" priority="2615" operator="lessThan">
      <formula>0</formula>
    </cfRule>
  </conditionalFormatting>
  <conditionalFormatting sqref="H10:H1048576">
    <cfRule type="cellIs" dxfId="406" priority="2614" operator="lessThan">
      <formula>0</formula>
    </cfRule>
  </conditionalFormatting>
  <conditionalFormatting sqref="H10:H1048576">
    <cfRule type="cellIs" dxfId="405" priority="2613" operator="lessThan">
      <formula>0</formula>
    </cfRule>
  </conditionalFormatting>
  <conditionalFormatting sqref="H10:H1048576">
    <cfRule type="cellIs" dxfId="404" priority="2612" operator="lessThan">
      <formula>0</formula>
    </cfRule>
  </conditionalFormatting>
  <conditionalFormatting sqref="H10:H1048576">
    <cfRule type="cellIs" dxfId="403" priority="2611" operator="lessThan">
      <formula>0</formula>
    </cfRule>
  </conditionalFormatting>
  <conditionalFormatting sqref="H10:H1048576">
    <cfRule type="cellIs" dxfId="402" priority="2610" operator="lessThan">
      <formula>0</formula>
    </cfRule>
  </conditionalFormatting>
  <conditionalFormatting sqref="H10:H1048576">
    <cfRule type="cellIs" dxfId="401" priority="2609" operator="lessThan">
      <formula>0</formula>
    </cfRule>
  </conditionalFormatting>
  <conditionalFormatting sqref="H10:H1048576">
    <cfRule type="cellIs" dxfId="400" priority="2608" operator="lessThan">
      <formula>0</formula>
    </cfRule>
  </conditionalFormatting>
  <conditionalFormatting sqref="H10:H1048576">
    <cfRule type="cellIs" dxfId="399" priority="2607" operator="lessThan">
      <formula>0</formula>
    </cfRule>
  </conditionalFormatting>
  <conditionalFormatting sqref="H10:H1048576">
    <cfRule type="cellIs" dxfId="398" priority="2606" operator="lessThan">
      <formula>0</formula>
    </cfRule>
  </conditionalFormatting>
  <conditionalFormatting sqref="H10:H1048576">
    <cfRule type="cellIs" dxfId="397" priority="2605" operator="lessThan">
      <formula>0</formula>
    </cfRule>
  </conditionalFormatting>
  <conditionalFormatting sqref="H10:H1048576">
    <cfRule type="cellIs" dxfId="396" priority="2604" operator="lessThan">
      <formula>0</formula>
    </cfRule>
  </conditionalFormatting>
  <conditionalFormatting sqref="H10:H1048576">
    <cfRule type="cellIs" dxfId="395" priority="2603" operator="lessThan">
      <formula>0</formula>
    </cfRule>
  </conditionalFormatting>
  <conditionalFormatting sqref="H10:H1048576">
    <cfRule type="cellIs" dxfId="394" priority="2602" operator="lessThan">
      <formula>0</formula>
    </cfRule>
  </conditionalFormatting>
  <conditionalFormatting sqref="H10:H1048576">
    <cfRule type="cellIs" dxfId="393" priority="2601" operator="lessThan">
      <formula>0</formula>
    </cfRule>
  </conditionalFormatting>
  <conditionalFormatting sqref="H10:H1048576">
    <cfRule type="cellIs" dxfId="392" priority="2600" operator="lessThan">
      <formula>0</formula>
    </cfRule>
  </conditionalFormatting>
  <conditionalFormatting sqref="H10:H1048576">
    <cfRule type="cellIs" dxfId="391" priority="2599" operator="lessThan">
      <formula>0</formula>
    </cfRule>
  </conditionalFormatting>
  <conditionalFormatting sqref="H10:H1048576">
    <cfRule type="cellIs" dxfId="390" priority="2598" operator="lessThan">
      <formula>0</formula>
    </cfRule>
  </conditionalFormatting>
  <conditionalFormatting sqref="H10:H1048576">
    <cfRule type="cellIs" dxfId="389" priority="2597" operator="lessThan">
      <formula>0</formula>
    </cfRule>
  </conditionalFormatting>
  <conditionalFormatting sqref="H10:H1048576">
    <cfRule type="cellIs" dxfId="388" priority="2596" operator="lessThan">
      <formula>0</formula>
    </cfRule>
  </conditionalFormatting>
  <conditionalFormatting sqref="H10:H1048576">
    <cfRule type="cellIs" dxfId="387" priority="2595" operator="lessThan">
      <formula>0</formula>
    </cfRule>
  </conditionalFormatting>
  <conditionalFormatting sqref="H10:H1048576">
    <cfRule type="cellIs" dxfId="386" priority="2594" operator="lessThan">
      <formula>0</formula>
    </cfRule>
  </conditionalFormatting>
  <conditionalFormatting sqref="H10:H1048576">
    <cfRule type="cellIs" dxfId="385" priority="2593" operator="lessThan">
      <formula>0</formula>
    </cfRule>
  </conditionalFormatting>
  <conditionalFormatting sqref="H10:H1048576">
    <cfRule type="cellIs" dxfId="384" priority="2592" operator="lessThan">
      <formula>0</formula>
    </cfRule>
  </conditionalFormatting>
  <conditionalFormatting sqref="H10:H1048576">
    <cfRule type="cellIs" dxfId="383" priority="2591" operator="lessThan">
      <formula>0</formula>
    </cfRule>
  </conditionalFormatting>
  <conditionalFormatting sqref="H10:H1048576">
    <cfRule type="cellIs" dxfId="382" priority="2590" operator="lessThan">
      <formula>0</formula>
    </cfRule>
  </conditionalFormatting>
  <conditionalFormatting sqref="H10:H1048576">
    <cfRule type="cellIs" dxfId="381" priority="2589" operator="lessThan">
      <formula>0</formula>
    </cfRule>
  </conditionalFormatting>
  <conditionalFormatting sqref="H10:H1048576">
    <cfRule type="cellIs" dxfId="380" priority="2588" operator="lessThan">
      <formula>0</formula>
    </cfRule>
  </conditionalFormatting>
  <conditionalFormatting sqref="H10:H1048576">
    <cfRule type="cellIs" dxfId="379" priority="2587" operator="lessThan">
      <formula>0</formula>
    </cfRule>
  </conditionalFormatting>
  <conditionalFormatting sqref="H10:H1048576">
    <cfRule type="cellIs" dxfId="378" priority="2586" operator="lessThan">
      <formula>0</formula>
    </cfRule>
  </conditionalFormatting>
  <conditionalFormatting sqref="H10:H1048576">
    <cfRule type="cellIs" dxfId="377" priority="2585" operator="lessThan">
      <formula>0</formula>
    </cfRule>
  </conditionalFormatting>
  <conditionalFormatting sqref="H10:H1048576">
    <cfRule type="cellIs" dxfId="376" priority="2584" operator="lessThan">
      <formula>0</formula>
    </cfRule>
  </conditionalFormatting>
  <conditionalFormatting sqref="H10:H1048576">
    <cfRule type="cellIs" dxfId="375" priority="2583" operator="lessThan">
      <formula>0</formula>
    </cfRule>
  </conditionalFormatting>
  <conditionalFormatting sqref="H10:H1048576">
    <cfRule type="cellIs" dxfId="374" priority="2582" operator="lessThan">
      <formula>0</formula>
    </cfRule>
  </conditionalFormatting>
  <conditionalFormatting sqref="H10:H1048576">
    <cfRule type="cellIs" dxfId="373" priority="2581" operator="lessThan">
      <formula>0</formula>
    </cfRule>
  </conditionalFormatting>
  <conditionalFormatting sqref="H10:H1048576">
    <cfRule type="cellIs" dxfId="372" priority="2580" operator="lessThan">
      <formula>0</formula>
    </cfRule>
  </conditionalFormatting>
  <conditionalFormatting sqref="H10:H1048576">
    <cfRule type="cellIs" dxfId="371" priority="2579" operator="lessThan">
      <formula>0</formula>
    </cfRule>
  </conditionalFormatting>
  <conditionalFormatting sqref="H10:H1048576">
    <cfRule type="cellIs" dxfId="370" priority="2578" operator="lessThan">
      <formula>0</formula>
    </cfRule>
  </conditionalFormatting>
  <conditionalFormatting sqref="H10:H1048576">
    <cfRule type="cellIs" dxfId="369" priority="2577" operator="lessThan">
      <formula>0</formula>
    </cfRule>
  </conditionalFormatting>
  <conditionalFormatting sqref="H10:H1048576">
    <cfRule type="cellIs" dxfId="368" priority="2576" operator="lessThan">
      <formula>0</formula>
    </cfRule>
  </conditionalFormatting>
  <conditionalFormatting sqref="H10:H1048576">
    <cfRule type="cellIs" dxfId="367" priority="2575" operator="lessThan">
      <formula>0</formula>
    </cfRule>
  </conditionalFormatting>
  <conditionalFormatting sqref="H10:H1048576">
    <cfRule type="cellIs" dxfId="366" priority="2574" operator="lessThan">
      <formula>0</formula>
    </cfRule>
  </conditionalFormatting>
  <conditionalFormatting sqref="H10:H1048576">
    <cfRule type="cellIs" dxfId="365" priority="2573" operator="lessThan">
      <formula>0</formula>
    </cfRule>
  </conditionalFormatting>
  <conditionalFormatting sqref="H10:H1048576">
    <cfRule type="cellIs" dxfId="364" priority="2572" operator="lessThan">
      <formula>0</formula>
    </cfRule>
  </conditionalFormatting>
  <conditionalFormatting sqref="H10:H1048576">
    <cfRule type="cellIs" dxfId="363" priority="2571" operator="lessThan">
      <formula>0</formula>
    </cfRule>
  </conditionalFormatting>
  <conditionalFormatting sqref="H10:H1048576">
    <cfRule type="cellIs" dxfId="362" priority="2570" operator="lessThan">
      <formula>0</formula>
    </cfRule>
  </conditionalFormatting>
  <conditionalFormatting sqref="H10:H1048576">
    <cfRule type="cellIs" dxfId="361" priority="2569" operator="lessThan">
      <formula>0</formula>
    </cfRule>
  </conditionalFormatting>
  <conditionalFormatting sqref="H10:H1048576">
    <cfRule type="cellIs" dxfId="360" priority="2568" operator="lessThan">
      <formula>0</formula>
    </cfRule>
  </conditionalFormatting>
  <conditionalFormatting sqref="H10:H1048576">
    <cfRule type="cellIs" dxfId="359" priority="2567" operator="lessThan">
      <formula>0</formula>
    </cfRule>
  </conditionalFormatting>
  <conditionalFormatting sqref="H10:H1048576">
    <cfRule type="cellIs" dxfId="358" priority="2566" operator="lessThan">
      <formula>0</formula>
    </cfRule>
  </conditionalFormatting>
  <conditionalFormatting sqref="H10:H1048576">
    <cfRule type="cellIs" dxfId="357" priority="2565" operator="lessThan">
      <formula>0</formula>
    </cfRule>
  </conditionalFormatting>
  <conditionalFormatting sqref="H10:H1048576">
    <cfRule type="cellIs" dxfId="356" priority="2564" operator="lessThan">
      <formula>0</formula>
    </cfRule>
  </conditionalFormatting>
  <conditionalFormatting sqref="H10:H1048576">
    <cfRule type="cellIs" dxfId="355" priority="2563" operator="lessThan">
      <formula>0</formula>
    </cfRule>
  </conditionalFormatting>
  <conditionalFormatting sqref="H10:H1048576">
    <cfRule type="cellIs" dxfId="354" priority="2562" operator="lessThan">
      <formula>0</formula>
    </cfRule>
  </conditionalFormatting>
  <conditionalFormatting sqref="H10:H1048576">
    <cfRule type="cellIs" dxfId="353" priority="2561" operator="lessThan">
      <formula>0</formula>
    </cfRule>
  </conditionalFormatting>
  <conditionalFormatting sqref="H10:H1048576">
    <cfRule type="cellIs" dxfId="352" priority="2560" operator="lessThan">
      <formula>0</formula>
    </cfRule>
  </conditionalFormatting>
  <conditionalFormatting sqref="H10:H1048576">
    <cfRule type="cellIs" dxfId="351" priority="2559" operator="lessThan">
      <formula>0</formula>
    </cfRule>
  </conditionalFormatting>
  <conditionalFormatting sqref="H10:H1048576">
    <cfRule type="cellIs" dxfId="350" priority="2558" operator="lessThan">
      <formula>0</formula>
    </cfRule>
  </conditionalFormatting>
  <conditionalFormatting sqref="H10:H1048576">
    <cfRule type="cellIs" dxfId="349" priority="2557" operator="lessThan">
      <formula>0</formula>
    </cfRule>
  </conditionalFormatting>
  <conditionalFormatting sqref="H10:H1048576">
    <cfRule type="cellIs" dxfId="348" priority="2556" operator="lessThan">
      <formula>0</formula>
    </cfRule>
  </conditionalFormatting>
  <conditionalFormatting sqref="H10:H1048576">
    <cfRule type="cellIs" dxfId="347" priority="2555" operator="lessThan">
      <formula>0</formula>
    </cfRule>
  </conditionalFormatting>
  <conditionalFormatting sqref="H10:H1048576">
    <cfRule type="cellIs" dxfId="346" priority="2554" operator="lessThan">
      <formula>0</formula>
    </cfRule>
  </conditionalFormatting>
  <conditionalFormatting sqref="H10:H1048576">
    <cfRule type="cellIs" dxfId="345" priority="2553" operator="lessThan">
      <formula>0</formula>
    </cfRule>
  </conditionalFormatting>
  <conditionalFormatting sqref="H10:H1048576">
    <cfRule type="cellIs" dxfId="344" priority="2552" operator="lessThan">
      <formula>0</formula>
    </cfRule>
  </conditionalFormatting>
  <conditionalFormatting sqref="H10:H1048576">
    <cfRule type="cellIs" dxfId="343" priority="2551" operator="lessThan">
      <formula>0</formula>
    </cfRule>
  </conditionalFormatting>
  <conditionalFormatting sqref="H10:H1048576">
    <cfRule type="cellIs" dxfId="342" priority="2550" operator="lessThan">
      <formula>0</formula>
    </cfRule>
  </conditionalFormatting>
  <conditionalFormatting sqref="H10:H1048576">
    <cfRule type="cellIs" dxfId="341" priority="2549" operator="lessThan">
      <formula>0</formula>
    </cfRule>
  </conditionalFormatting>
  <conditionalFormatting sqref="H10:H1048576">
    <cfRule type="cellIs" dxfId="340" priority="2548" operator="lessThan">
      <formula>0</formula>
    </cfRule>
  </conditionalFormatting>
  <conditionalFormatting sqref="H10:H1048576">
    <cfRule type="cellIs" dxfId="339" priority="2547" operator="lessThan">
      <formula>0</formula>
    </cfRule>
  </conditionalFormatting>
  <conditionalFormatting sqref="H10:H1048576">
    <cfRule type="cellIs" dxfId="338" priority="2546" operator="lessThan">
      <formula>0</formula>
    </cfRule>
  </conditionalFormatting>
  <conditionalFormatting sqref="H10:H1048576">
    <cfRule type="cellIs" dxfId="337" priority="2545" operator="lessThan">
      <formula>0</formula>
    </cfRule>
  </conditionalFormatting>
  <conditionalFormatting sqref="H10:H1048576">
    <cfRule type="cellIs" dxfId="336" priority="2544" operator="lessThan">
      <formula>0</formula>
    </cfRule>
  </conditionalFormatting>
  <conditionalFormatting sqref="H10:H1048576">
    <cfRule type="cellIs" dxfId="335" priority="2543" operator="lessThan">
      <formula>0</formula>
    </cfRule>
  </conditionalFormatting>
  <conditionalFormatting sqref="H10:H1048576">
    <cfRule type="cellIs" dxfId="334" priority="2542" operator="lessThan">
      <formula>0</formula>
    </cfRule>
  </conditionalFormatting>
  <conditionalFormatting sqref="H10:H1048576">
    <cfRule type="cellIs" dxfId="333" priority="2541" operator="lessThan">
      <formula>0</formula>
    </cfRule>
  </conditionalFormatting>
  <conditionalFormatting sqref="H10:H1048576">
    <cfRule type="cellIs" dxfId="332" priority="2540" operator="lessThan">
      <formula>0</formula>
    </cfRule>
  </conditionalFormatting>
  <conditionalFormatting sqref="H10:H1048576">
    <cfRule type="cellIs" dxfId="331" priority="2539" operator="lessThan">
      <formula>0</formula>
    </cfRule>
  </conditionalFormatting>
  <conditionalFormatting sqref="H10:H1048576">
    <cfRule type="cellIs" dxfId="330" priority="2538" operator="lessThan">
      <formula>0</formula>
    </cfRule>
  </conditionalFormatting>
  <conditionalFormatting sqref="H10:H1048576">
    <cfRule type="cellIs" dxfId="329" priority="2537" operator="lessThan">
      <formula>0</formula>
    </cfRule>
  </conditionalFormatting>
  <conditionalFormatting sqref="H10:H1048576">
    <cfRule type="cellIs" dxfId="328" priority="2536" operator="lessThan">
      <formula>0</formula>
    </cfRule>
  </conditionalFormatting>
  <conditionalFormatting sqref="H10:H1048576">
    <cfRule type="cellIs" dxfId="327" priority="2535" operator="lessThan">
      <formula>0</formula>
    </cfRule>
  </conditionalFormatting>
  <conditionalFormatting sqref="H10:H1048576">
    <cfRule type="cellIs" dxfId="326" priority="2534" operator="lessThan">
      <formula>0</formula>
    </cfRule>
  </conditionalFormatting>
  <conditionalFormatting sqref="H10:H1048576">
    <cfRule type="cellIs" dxfId="325" priority="2533" operator="lessThan">
      <formula>0</formula>
    </cfRule>
  </conditionalFormatting>
  <conditionalFormatting sqref="H10:H1048576">
    <cfRule type="cellIs" dxfId="324" priority="2532" operator="lessThan">
      <formula>0</formula>
    </cfRule>
  </conditionalFormatting>
  <conditionalFormatting sqref="H1:H1048576">
    <cfRule type="cellIs" dxfId="323" priority="2531" operator="lessThan">
      <formula>0</formula>
    </cfRule>
  </conditionalFormatting>
  <conditionalFormatting sqref="H1:H1048576">
    <cfRule type="cellIs" dxfId="322" priority="2530" operator="lessThan">
      <formula>0</formula>
    </cfRule>
  </conditionalFormatting>
  <conditionalFormatting sqref="H1:H1048576">
    <cfRule type="cellIs" dxfId="321" priority="2529" operator="lessThan">
      <formula>0</formula>
    </cfRule>
  </conditionalFormatting>
  <conditionalFormatting sqref="H1:H1048576">
    <cfRule type="cellIs" dxfId="320" priority="2528" operator="lessThan">
      <formula>0</formula>
    </cfRule>
  </conditionalFormatting>
  <conditionalFormatting sqref="H1:H1048576">
    <cfRule type="cellIs" dxfId="319" priority="2527" operator="lessThan">
      <formula>0</formula>
    </cfRule>
  </conditionalFormatting>
  <conditionalFormatting sqref="H1:H1048576">
    <cfRule type="cellIs" dxfId="318" priority="2526" operator="lessThan">
      <formula>0</formula>
    </cfRule>
  </conditionalFormatting>
  <conditionalFormatting sqref="H1:H1048576">
    <cfRule type="cellIs" dxfId="317" priority="2525" operator="lessThan">
      <formula>0</formula>
    </cfRule>
  </conditionalFormatting>
  <conditionalFormatting sqref="H1:H1048576">
    <cfRule type="cellIs" dxfId="316" priority="2524" operator="lessThan">
      <formula>0</formula>
    </cfRule>
  </conditionalFormatting>
  <conditionalFormatting sqref="H1:H1048576">
    <cfRule type="cellIs" dxfId="315" priority="2523" operator="lessThan">
      <formula>0</formula>
    </cfRule>
  </conditionalFormatting>
  <conditionalFormatting sqref="H1:H1048576">
    <cfRule type="cellIs" dxfId="314" priority="2522" operator="lessThan">
      <formula>0</formula>
    </cfRule>
  </conditionalFormatting>
  <conditionalFormatting sqref="H1:H1048576">
    <cfRule type="cellIs" dxfId="313" priority="2521" operator="lessThan">
      <formula>0</formula>
    </cfRule>
  </conditionalFormatting>
  <conditionalFormatting sqref="H1:H1048576">
    <cfRule type="cellIs" dxfId="312" priority="2520" operator="lessThan">
      <formula>0</formula>
    </cfRule>
  </conditionalFormatting>
  <conditionalFormatting sqref="H1:H1048576">
    <cfRule type="cellIs" dxfId="311" priority="2519" operator="lessThan">
      <formula>0</formula>
    </cfRule>
  </conditionalFormatting>
  <conditionalFormatting sqref="H1:H1048576">
    <cfRule type="cellIs" dxfId="310" priority="2518" operator="lessThan">
      <formula>0</formula>
    </cfRule>
  </conditionalFormatting>
  <conditionalFormatting sqref="H1:H1048576">
    <cfRule type="cellIs" dxfId="309" priority="2517" operator="lessThan">
      <formula>0</formula>
    </cfRule>
  </conditionalFormatting>
  <conditionalFormatting sqref="H1:H1048576">
    <cfRule type="cellIs" dxfId="308" priority="2516" operator="lessThan">
      <formula>0</formula>
    </cfRule>
  </conditionalFormatting>
  <conditionalFormatting sqref="H1:H1048576">
    <cfRule type="cellIs" dxfId="307" priority="2515" operator="lessThan">
      <formula>0</formula>
    </cfRule>
  </conditionalFormatting>
  <conditionalFormatting sqref="H1:H1048576">
    <cfRule type="cellIs" dxfId="306" priority="2514" operator="lessThan">
      <formula>0</formula>
    </cfRule>
  </conditionalFormatting>
  <conditionalFormatting sqref="H1:H1048576">
    <cfRule type="cellIs" dxfId="305" priority="2513" operator="lessThan">
      <formula>0</formula>
    </cfRule>
  </conditionalFormatting>
  <conditionalFormatting sqref="H1:H1048576">
    <cfRule type="cellIs" dxfId="304" priority="2512" operator="lessThan">
      <formula>0</formula>
    </cfRule>
  </conditionalFormatting>
  <conditionalFormatting sqref="H1:H1048576">
    <cfRule type="cellIs" dxfId="303" priority="2511" operator="lessThan">
      <formula>0</formula>
    </cfRule>
  </conditionalFormatting>
  <conditionalFormatting sqref="H1:H1048576">
    <cfRule type="cellIs" dxfId="302" priority="2510" operator="lessThan">
      <formula>0</formula>
    </cfRule>
  </conditionalFormatting>
  <conditionalFormatting sqref="H1:H1048576">
    <cfRule type="cellIs" dxfId="301" priority="2509" operator="lessThan">
      <formula>0</formula>
    </cfRule>
  </conditionalFormatting>
  <conditionalFormatting sqref="H1:H1048576">
    <cfRule type="cellIs" dxfId="300" priority="2508" operator="lessThan">
      <formula>0</formula>
    </cfRule>
  </conditionalFormatting>
  <conditionalFormatting sqref="H1:H1048576">
    <cfRule type="cellIs" dxfId="299" priority="2507" operator="lessThan">
      <formula>0</formula>
    </cfRule>
  </conditionalFormatting>
  <conditionalFormatting sqref="H1:H1048576">
    <cfRule type="cellIs" dxfId="298" priority="2506" operator="lessThan">
      <formula>0</formula>
    </cfRule>
  </conditionalFormatting>
  <conditionalFormatting sqref="H1:H1048576">
    <cfRule type="cellIs" dxfId="297" priority="2505" operator="lessThan">
      <formula>0</formula>
    </cfRule>
  </conditionalFormatting>
  <conditionalFormatting sqref="H1:H1048576">
    <cfRule type="cellIs" dxfId="296" priority="2504" operator="lessThan">
      <formula>0</formula>
    </cfRule>
  </conditionalFormatting>
  <conditionalFormatting sqref="H1:H1048576">
    <cfRule type="cellIs" dxfId="295" priority="2503" operator="lessThan">
      <formula>0</formula>
    </cfRule>
  </conditionalFormatting>
  <conditionalFormatting sqref="H1:H1048576">
    <cfRule type="cellIs" dxfId="294" priority="2502" operator="lessThan">
      <formula>0</formula>
    </cfRule>
  </conditionalFormatting>
  <conditionalFormatting sqref="H1:H1048576">
    <cfRule type="cellIs" dxfId="293" priority="2501" operator="lessThan">
      <formula>0</formula>
    </cfRule>
  </conditionalFormatting>
  <conditionalFormatting sqref="H1:H1048576">
    <cfRule type="cellIs" dxfId="292" priority="2500" operator="lessThan">
      <formula>0</formula>
    </cfRule>
  </conditionalFormatting>
  <conditionalFormatting sqref="H1:H1048576">
    <cfRule type="cellIs" dxfId="291" priority="2499" operator="lessThan">
      <formula>0</formula>
    </cfRule>
  </conditionalFormatting>
  <conditionalFormatting sqref="H1:H1048576">
    <cfRule type="cellIs" dxfId="290" priority="2498" operator="lessThan">
      <formula>0</formula>
    </cfRule>
  </conditionalFormatting>
  <conditionalFormatting sqref="H1:H1048576">
    <cfRule type="cellIs" dxfId="289" priority="2497" operator="lessThan">
      <formula>0</formula>
    </cfRule>
  </conditionalFormatting>
  <conditionalFormatting sqref="H1:H1048576">
    <cfRule type="cellIs" dxfId="288" priority="2496" operator="lessThan">
      <formula>0</formula>
    </cfRule>
  </conditionalFormatting>
  <conditionalFormatting sqref="H1:H1048576">
    <cfRule type="cellIs" dxfId="287" priority="2495" operator="lessThan">
      <formula>0</formula>
    </cfRule>
  </conditionalFormatting>
  <conditionalFormatting sqref="H1:H1048576">
    <cfRule type="cellIs" dxfId="286" priority="2494" operator="lessThan">
      <formula>0</formula>
    </cfRule>
  </conditionalFormatting>
  <conditionalFormatting sqref="H1:H1048576">
    <cfRule type="cellIs" dxfId="285" priority="2493" operator="lessThan">
      <formula>0</formula>
    </cfRule>
  </conditionalFormatting>
  <conditionalFormatting sqref="H1:H1048576">
    <cfRule type="cellIs" dxfId="284" priority="2492" operator="lessThan">
      <formula>0</formula>
    </cfRule>
  </conditionalFormatting>
  <conditionalFormatting sqref="H1:H1048576">
    <cfRule type="cellIs" dxfId="283" priority="2491" operator="lessThan">
      <formula>0</formula>
    </cfRule>
  </conditionalFormatting>
  <conditionalFormatting sqref="H1:H1048576">
    <cfRule type="cellIs" dxfId="282" priority="2490" operator="lessThan">
      <formula>0</formula>
    </cfRule>
  </conditionalFormatting>
  <conditionalFormatting sqref="H1:H1048576">
    <cfRule type="cellIs" dxfId="281" priority="2489" operator="lessThan">
      <formula>0</formula>
    </cfRule>
  </conditionalFormatting>
  <conditionalFormatting sqref="H1:H1048576">
    <cfRule type="cellIs" dxfId="280" priority="2488" operator="lessThan">
      <formula>0</formula>
    </cfRule>
  </conditionalFormatting>
  <conditionalFormatting sqref="H1:H1048576">
    <cfRule type="cellIs" dxfId="279" priority="2487" operator="lessThan">
      <formula>0</formula>
    </cfRule>
  </conditionalFormatting>
  <conditionalFormatting sqref="H1:H1048576">
    <cfRule type="cellIs" dxfId="278" priority="2486" operator="lessThan">
      <formula>0</formula>
    </cfRule>
  </conditionalFormatting>
  <conditionalFormatting sqref="H1:H1048576">
    <cfRule type="cellIs" dxfId="277" priority="2485" operator="lessThan">
      <formula>0</formula>
    </cfRule>
  </conditionalFormatting>
  <conditionalFormatting sqref="H1:H1048576">
    <cfRule type="cellIs" dxfId="276" priority="2484" operator="lessThan">
      <formula>0</formula>
    </cfRule>
  </conditionalFormatting>
  <conditionalFormatting sqref="H1:H1048576">
    <cfRule type="cellIs" dxfId="275" priority="2483" operator="lessThan">
      <formula>0</formula>
    </cfRule>
  </conditionalFormatting>
  <conditionalFormatting sqref="H1:H1048576">
    <cfRule type="cellIs" dxfId="274" priority="2482" operator="lessThan">
      <formula>0</formula>
    </cfRule>
  </conditionalFormatting>
  <conditionalFormatting sqref="H1:H1048576">
    <cfRule type="cellIs" dxfId="273" priority="2481" operator="lessThan">
      <formula>0</formula>
    </cfRule>
  </conditionalFormatting>
  <conditionalFormatting sqref="H1:H1048576">
    <cfRule type="cellIs" dxfId="272" priority="2480" operator="lessThan">
      <formula>0</formula>
    </cfRule>
  </conditionalFormatting>
  <conditionalFormatting sqref="H1:H1048576">
    <cfRule type="cellIs" dxfId="271" priority="2479" operator="lessThan">
      <formula>0</formula>
    </cfRule>
  </conditionalFormatting>
  <conditionalFormatting sqref="H1:H1048576">
    <cfRule type="cellIs" dxfId="270" priority="2478" operator="lessThan">
      <formula>0</formula>
    </cfRule>
  </conditionalFormatting>
  <conditionalFormatting sqref="H1:H1048576">
    <cfRule type="cellIs" dxfId="269" priority="2477" operator="lessThan">
      <formula>0</formula>
    </cfRule>
  </conditionalFormatting>
  <conditionalFormatting sqref="H1:H1048576">
    <cfRule type="cellIs" dxfId="268" priority="2476" operator="lessThan">
      <formula>0</formula>
    </cfRule>
  </conditionalFormatting>
  <conditionalFormatting sqref="H1:H1048576">
    <cfRule type="cellIs" dxfId="267" priority="2475" operator="lessThan">
      <formula>0</formula>
    </cfRule>
  </conditionalFormatting>
  <conditionalFormatting sqref="H1:H1048576">
    <cfRule type="cellIs" dxfId="266" priority="2474" operator="lessThan">
      <formula>0</formula>
    </cfRule>
  </conditionalFormatting>
  <conditionalFormatting sqref="H1:H1048576">
    <cfRule type="cellIs" dxfId="265" priority="2473" operator="lessThan">
      <formula>0</formula>
    </cfRule>
  </conditionalFormatting>
  <conditionalFormatting sqref="H1:H1048576">
    <cfRule type="cellIs" dxfId="264" priority="2472" operator="lessThan">
      <formula>0</formula>
    </cfRule>
  </conditionalFormatting>
  <conditionalFormatting sqref="H1:H1048576">
    <cfRule type="cellIs" dxfId="263" priority="2471" operator="lessThan">
      <formula>0</formula>
    </cfRule>
  </conditionalFormatting>
  <conditionalFormatting sqref="H1:H1048576">
    <cfRule type="cellIs" dxfId="262" priority="2470" operator="lessThan">
      <formula>0</formula>
    </cfRule>
  </conditionalFormatting>
  <conditionalFormatting sqref="H1:H1048576">
    <cfRule type="cellIs" dxfId="261" priority="2469" operator="lessThan">
      <formula>0</formula>
    </cfRule>
  </conditionalFormatting>
  <conditionalFormatting sqref="H1:H1048576">
    <cfRule type="cellIs" dxfId="260" priority="2468" operator="lessThan">
      <formula>0</formula>
    </cfRule>
  </conditionalFormatting>
  <conditionalFormatting sqref="H1:H1048576">
    <cfRule type="cellIs" dxfId="259" priority="2467" operator="lessThan">
      <formula>0</formula>
    </cfRule>
  </conditionalFormatting>
  <conditionalFormatting sqref="H1:H1048576">
    <cfRule type="cellIs" dxfId="258" priority="2466" operator="lessThan">
      <formula>0</formula>
    </cfRule>
  </conditionalFormatting>
  <conditionalFormatting sqref="H1:H1048576">
    <cfRule type="cellIs" dxfId="257" priority="2465" operator="lessThan">
      <formula>0</formula>
    </cfRule>
  </conditionalFormatting>
  <conditionalFormatting sqref="H1:H1048576">
    <cfRule type="cellIs" dxfId="256" priority="2464" operator="lessThan">
      <formula>0</formula>
    </cfRule>
  </conditionalFormatting>
  <conditionalFormatting sqref="H1:H1048576">
    <cfRule type="cellIs" dxfId="255" priority="2463" operator="lessThan">
      <formula>0</formula>
    </cfRule>
  </conditionalFormatting>
  <conditionalFormatting sqref="H1:H1048576">
    <cfRule type="cellIs" dxfId="254" priority="2462" operator="lessThan">
      <formula>0</formula>
    </cfRule>
  </conditionalFormatting>
  <conditionalFormatting sqref="H1:H1048576">
    <cfRule type="cellIs" dxfId="253" priority="2461" operator="lessThan">
      <formula>0</formula>
    </cfRule>
  </conditionalFormatting>
  <conditionalFormatting sqref="H1:H1048576">
    <cfRule type="cellIs" dxfId="252" priority="2460" operator="lessThan">
      <formula>0</formula>
    </cfRule>
  </conditionalFormatting>
  <conditionalFormatting sqref="H1:H1048576">
    <cfRule type="cellIs" dxfId="251" priority="2459" operator="lessThan">
      <formula>0</formula>
    </cfRule>
  </conditionalFormatting>
  <conditionalFormatting sqref="H1:H1048576">
    <cfRule type="cellIs" dxfId="250" priority="2458" operator="lessThan">
      <formula>0</formula>
    </cfRule>
  </conditionalFormatting>
  <conditionalFormatting sqref="H1:H1048576">
    <cfRule type="cellIs" dxfId="249" priority="2457" operator="lessThan">
      <formula>0</formula>
    </cfRule>
  </conditionalFormatting>
  <conditionalFormatting sqref="H1:H1048576">
    <cfRule type="cellIs" dxfId="248" priority="2456" operator="lessThan">
      <formula>0</formula>
    </cfRule>
  </conditionalFormatting>
  <conditionalFormatting sqref="H1:H1048576">
    <cfRule type="cellIs" dxfId="247" priority="2455" operator="lessThan">
      <formula>0</formula>
    </cfRule>
  </conditionalFormatting>
  <conditionalFormatting sqref="H1:H1048576">
    <cfRule type="cellIs" dxfId="246" priority="2454" operator="lessThan">
      <formula>0</formula>
    </cfRule>
  </conditionalFormatting>
  <conditionalFormatting sqref="H1:H1048576">
    <cfRule type="cellIs" dxfId="245" priority="2453" operator="lessThan">
      <formula>0</formula>
    </cfRule>
  </conditionalFormatting>
  <conditionalFormatting sqref="H1:H1048576">
    <cfRule type="cellIs" dxfId="244" priority="2452" operator="lessThan">
      <formula>0</formula>
    </cfRule>
  </conditionalFormatting>
  <conditionalFormatting sqref="H1:H1048576">
    <cfRule type="cellIs" dxfId="243" priority="2451" operator="lessThan">
      <formula>0</formula>
    </cfRule>
  </conditionalFormatting>
  <conditionalFormatting sqref="H1:H1048576">
    <cfRule type="cellIs" dxfId="242" priority="2450" operator="lessThan">
      <formula>0</formula>
    </cfRule>
  </conditionalFormatting>
  <conditionalFormatting sqref="H1:H1048576">
    <cfRule type="cellIs" dxfId="241" priority="2449" operator="lessThan">
      <formula>0</formula>
    </cfRule>
  </conditionalFormatting>
  <conditionalFormatting sqref="H1:H1048576">
    <cfRule type="cellIs" dxfId="240" priority="2448" operator="lessThan">
      <formula>0</formula>
    </cfRule>
  </conditionalFormatting>
  <conditionalFormatting sqref="H1:H1048576">
    <cfRule type="cellIs" dxfId="239" priority="2447" operator="lessThan">
      <formula>0</formula>
    </cfRule>
  </conditionalFormatting>
  <conditionalFormatting sqref="H1:H1048576">
    <cfRule type="cellIs" dxfId="238" priority="2446" operator="lessThan">
      <formula>0</formula>
    </cfRule>
  </conditionalFormatting>
  <conditionalFormatting sqref="H1:H1048576">
    <cfRule type="cellIs" dxfId="237" priority="2445" operator="lessThan">
      <formula>0</formula>
    </cfRule>
  </conditionalFormatting>
  <conditionalFormatting sqref="H1:H1048576">
    <cfRule type="cellIs" dxfId="236" priority="2444" operator="lessThan">
      <formula>0</formula>
    </cfRule>
  </conditionalFormatting>
  <conditionalFormatting sqref="H1:H1048576">
    <cfRule type="cellIs" dxfId="235" priority="2443" operator="lessThan">
      <formula>0</formula>
    </cfRule>
  </conditionalFormatting>
  <conditionalFormatting sqref="H1:H1048576">
    <cfRule type="cellIs" dxfId="234" priority="2442" operator="lessThan">
      <formula>0</formula>
    </cfRule>
  </conditionalFormatting>
  <conditionalFormatting sqref="H1:H1048576">
    <cfRule type="cellIs" dxfId="233" priority="2441" operator="lessThan">
      <formula>0</formula>
    </cfRule>
  </conditionalFormatting>
  <conditionalFormatting sqref="H1:H1048576">
    <cfRule type="cellIs" dxfId="232" priority="2440" operator="lessThan">
      <formula>0</formula>
    </cfRule>
  </conditionalFormatting>
  <conditionalFormatting sqref="H1:H1048576">
    <cfRule type="cellIs" dxfId="231" priority="2439" operator="lessThan">
      <formula>0</formula>
    </cfRule>
  </conditionalFormatting>
  <conditionalFormatting sqref="H1:H1048576">
    <cfRule type="cellIs" dxfId="230" priority="2438" operator="lessThan">
      <formula>0</formula>
    </cfRule>
  </conditionalFormatting>
  <conditionalFormatting sqref="H1:H1048576">
    <cfRule type="cellIs" dxfId="229" priority="2437" operator="lessThan">
      <formula>0</formula>
    </cfRule>
  </conditionalFormatting>
  <conditionalFormatting sqref="H1:H1048576">
    <cfRule type="cellIs" dxfId="228" priority="2436" operator="lessThan">
      <formula>0</formula>
    </cfRule>
  </conditionalFormatting>
  <conditionalFormatting sqref="H1:H1048576">
    <cfRule type="cellIs" dxfId="227" priority="2435" operator="lessThan">
      <formula>0</formula>
    </cfRule>
  </conditionalFormatting>
  <conditionalFormatting sqref="H1:H1048576">
    <cfRule type="cellIs" dxfId="226" priority="2434" operator="lessThan">
      <formula>0</formula>
    </cfRule>
  </conditionalFormatting>
  <conditionalFormatting sqref="H1:H1048576">
    <cfRule type="cellIs" dxfId="225" priority="2433" operator="lessThan">
      <formula>0</formula>
    </cfRule>
  </conditionalFormatting>
  <conditionalFormatting sqref="H1:H1048576">
    <cfRule type="cellIs" dxfId="224" priority="2432" operator="lessThan">
      <formula>0</formula>
    </cfRule>
  </conditionalFormatting>
  <conditionalFormatting sqref="H1:H1048576">
    <cfRule type="cellIs" dxfId="223" priority="2431" operator="lessThan">
      <formula>0</formula>
    </cfRule>
  </conditionalFormatting>
  <conditionalFormatting sqref="H1:H1048576">
    <cfRule type="cellIs" dxfId="222" priority="2430" operator="lessThan">
      <formula>0</formula>
    </cfRule>
  </conditionalFormatting>
  <conditionalFormatting sqref="H1:H1048576">
    <cfRule type="cellIs" dxfId="221" priority="2429" operator="lessThan">
      <formula>0</formula>
    </cfRule>
  </conditionalFormatting>
  <conditionalFormatting sqref="H1:H1048576">
    <cfRule type="cellIs" dxfId="220" priority="2428" operator="lessThan">
      <formula>0</formula>
    </cfRule>
  </conditionalFormatting>
  <conditionalFormatting sqref="H1:H1048576">
    <cfRule type="cellIs" dxfId="219" priority="2427" operator="lessThan">
      <formula>0</formula>
    </cfRule>
  </conditionalFormatting>
  <conditionalFormatting sqref="H1:H1048576">
    <cfRule type="cellIs" dxfId="218" priority="2426" operator="lessThan">
      <formula>0</formula>
    </cfRule>
  </conditionalFormatting>
  <conditionalFormatting sqref="H1:H1048576">
    <cfRule type="cellIs" dxfId="217" priority="2425" operator="lessThan">
      <formula>0</formula>
    </cfRule>
  </conditionalFormatting>
  <conditionalFormatting sqref="H1:H1048576">
    <cfRule type="cellIs" dxfId="216" priority="2424" operator="lessThan">
      <formula>0</formula>
    </cfRule>
  </conditionalFormatting>
  <conditionalFormatting sqref="H1:H1048576">
    <cfRule type="cellIs" dxfId="215" priority="2423" operator="lessThan">
      <formula>0</formula>
    </cfRule>
  </conditionalFormatting>
  <conditionalFormatting sqref="H1:H1048576">
    <cfRule type="cellIs" dxfId="214" priority="2422" operator="lessThan">
      <formula>0</formula>
    </cfRule>
  </conditionalFormatting>
  <conditionalFormatting sqref="H1:H1048576">
    <cfRule type="cellIs" dxfId="213" priority="2421" operator="lessThan">
      <formula>0</formula>
    </cfRule>
  </conditionalFormatting>
  <conditionalFormatting sqref="H1:H1048576">
    <cfRule type="cellIs" dxfId="212" priority="2420" operator="lessThan">
      <formula>0</formula>
    </cfRule>
  </conditionalFormatting>
  <conditionalFormatting sqref="H1:H1048576">
    <cfRule type="cellIs" dxfId="211" priority="2419" operator="lessThan">
      <formula>0</formula>
    </cfRule>
  </conditionalFormatting>
  <conditionalFormatting sqref="H1:H1048576">
    <cfRule type="cellIs" dxfId="210" priority="2418" operator="lessThan">
      <formula>0</formula>
    </cfRule>
  </conditionalFormatting>
  <conditionalFormatting sqref="H1:H1048576">
    <cfRule type="cellIs" dxfId="209" priority="2417" operator="lessThan">
      <formula>0</formula>
    </cfRule>
  </conditionalFormatting>
  <conditionalFormatting sqref="H1:H1048576">
    <cfRule type="cellIs" dxfId="208" priority="2416" operator="lessThan">
      <formula>0</formula>
    </cfRule>
  </conditionalFormatting>
  <conditionalFormatting sqref="H1:H1048576">
    <cfRule type="cellIs" dxfId="207" priority="2415" operator="lessThan">
      <formula>0</formula>
    </cfRule>
  </conditionalFormatting>
  <conditionalFormatting sqref="H1:H1048576">
    <cfRule type="cellIs" dxfId="206" priority="2414" operator="lessThan">
      <formula>0</formula>
    </cfRule>
  </conditionalFormatting>
  <conditionalFormatting sqref="H1:H1048576">
    <cfRule type="cellIs" dxfId="205" priority="2413" operator="lessThan">
      <formula>0</formula>
    </cfRule>
  </conditionalFormatting>
  <conditionalFormatting sqref="H1:H1048576">
    <cfRule type="cellIs" dxfId="204" priority="2412" operator="lessThan">
      <formula>0</formula>
    </cfRule>
  </conditionalFormatting>
  <conditionalFormatting sqref="H1:H1048576">
    <cfRule type="cellIs" dxfId="203" priority="2411" operator="lessThan">
      <formula>0</formula>
    </cfRule>
  </conditionalFormatting>
  <conditionalFormatting sqref="H1:H1048576">
    <cfRule type="cellIs" dxfId="202" priority="2410" operator="lessThan">
      <formula>0</formula>
    </cfRule>
  </conditionalFormatting>
  <conditionalFormatting sqref="H1:H1048576">
    <cfRule type="cellIs" dxfId="201" priority="2409" operator="lessThan">
      <formula>0</formula>
    </cfRule>
  </conditionalFormatting>
  <conditionalFormatting sqref="H1:H1048576">
    <cfRule type="cellIs" dxfId="200" priority="2408" operator="lessThan">
      <formula>0</formula>
    </cfRule>
  </conditionalFormatting>
  <conditionalFormatting sqref="H1:H1048576">
    <cfRule type="cellIs" dxfId="199" priority="2407" operator="lessThan">
      <formula>0</formula>
    </cfRule>
  </conditionalFormatting>
  <conditionalFormatting sqref="H1:H1048576">
    <cfRule type="cellIs" dxfId="198" priority="2406" operator="lessThan">
      <formula>0</formula>
    </cfRule>
  </conditionalFormatting>
  <conditionalFormatting sqref="H1:H1048576">
    <cfRule type="cellIs" dxfId="197" priority="2405" operator="lessThan">
      <formula>0</formula>
    </cfRule>
  </conditionalFormatting>
  <conditionalFormatting sqref="H1:H1048576">
    <cfRule type="cellIs" dxfId="196" priority="2404" operator="lessThan">
      <formula>0</formula>
    </cfRule>
  </conditionalFormatting>
  <conditionalFormatting sqref="H1:H1048576">
    <cfRule type="cellIs" dxfId="195" priority="2403" operator="lessThan">
      <formula>0</formula>
    </cfRule>
  </conditionalFormatting>
  <conditionalFormatting sqref="H1:H1048576">
    <cfRule type="cellIs" dxfId="194" priority="2402" operator="lessThan">
      <formula>0</formula>
    </cfRule>
  </conditionalFormatting>
  <conditionalFormatting sqref="H1:H1048576">
    <cfRule type="cellIs" dxfId="193" priority="2401" operator="lessThan">
      <formula>0</formula>
    </cfRule>
  </conditionalFormatting>
  <conditionalFormatting sqref="H1:H1048576">
    <cfRule type="cellIs" dxfId="192" priority="2400" operator="lessThan">
      <formula>0</formula>
    </cfRule>
  </conditionalFormatting>
  <conditionalFormatting sqref="H1:H1048576">
    <cfRule type="cellIs" dxfId="191" priority="2399" operator="lessThan">
      <formula>0</formula>
    </cfRule>
  </conditionalFormatting>
  <conditionalFormatting sqref="H1:H1048576">
    <cfRule type="cellIs" dxfId="190" priority="2398" operator="lessThan">
      <formula>0</formula>
    </cfRule>
  </conditionalFormatting>
  <conditionalFormatting sqref="H1:H1048576">
    <cfRule type="cellIs" dxfId="189" priority="2397" operator="lessThan">
      <formula>0</formula>
    </cfRule>
  </conditionalFormatting>
  <conditionalFormatting sqref="H1:H1048576">
    <cfRule type="cellIs" dxfId="188" priority="2396" operator="lessThan">
      <formula>0</formula>
    </cfRule>
  </conditionalFormatting>
  <conditionalFormatting sqref="H1:H1048576">
    <cfRule type="cellIs" dxfId="187" priority="2395" operator="lessThan">
      <formula>0</formula>
    </cfRule>
  </conditionalFormatting>
  <conditionalFormatting sqref="H1:H1048576">
    <cfRule type="cellIs" dxfId="186" priority="2394" operator="lessThan">
      <formula>0</formula>
    </cfRule>
  </conditionalFormatting>
  <conditionalFormatting sqref="H1:H1048576">
    <cfRule type="cellIs" dxfId="185" priority="2393" operator="lessThan">
      <formula>0</formula>
    </cfRule>
  </conditionalFormatting>
  <conditionalFormatting sqref="H1:H1048576">
    <cfRule type="cellIs" dxfId="184" priority="2392" operator="lessThan">
      <formula>0</formula>
    </cfRule>
  </conditionalFormatting>
  <conditionalFormatting sqref="H1:H1048576">
    <cfRule type="cellIs" dxfId="183" priority="2391" operator="lessThan">
      <formula>0</formula>
    </cfRule>
  </conditionalFormatting>
  <conditionalFormatting sqref="H1:H1048576">
    <cfRule type="cellIs" dxfId="182" priority="2390" operator="lessThan">
      <formula>0</formula>
    </cfRule>
  </conditionalFormatting>
  <conditionalFormatting sqref="H1:H1048576">
    <cfRule type="cellIs" dxfId="181" priority="2389" operator="lessThan">
      <formula>0</formula>
    </cfRule>
  </conditionalFormatting>
  <conditionalFormatting sqref="H1:H1048576">
    <cfRule type="cellIs" dxfId="180" priority="2388" operator="lessThan">
      <formula>0</formula>
    </cfRule>
  </conditionalFormatting>
  <conditionalFormatting sqref="H1:H1048576">
    <cfRule type="cellIs" dxfId="179" priority="2387" operator="lessThan">
      <formula>0</formula>
    </cfRule>
  </conditionalFormatting>
  <conditionalFormatting sqref="H1:H1048576">
    <cfRule type="cellIs" dxfId="178" priority="2386" operator="lessThan">
      <formula>0</formula>
    </cfRule>
  </conditionalFormatting>
  <conditionalFormatting sqref="H1:H1048576">
    <cfRule type="cellIs" dxfId="177" priority="2385" operator="lessThan">
      <formula>0</formula>
    </cfRule>
  </conditionalFormatting>
  <conditionalFormatting sqref="H1:H1048576">
    <cfRule type="cellIs" dxfId="176" priority="2384" operator="lessThan">
      <formula>0</formula>
    </cfRule>
  </conditionalFormatting>
  <conditionalFormatting sqref="H1:H1048576">
    <cfRule type="cellIs" dxfId="175" priority="2383" operator="lessThan">
      <formula>0</formula>
    </cfRule>
  </conditionalFormatting>
  <conditionalFormatting sqref="H1:H1048576">
    <cfRule type="cellIs" dxfId="174" priority="2382" operator="lessThan">
      <formula>0</formula>
    </cfRule>
  </conditionalFormatting>
  <conditionalFormatting sqref="H1:H1048576">
    <cfRule type="cellIs" dxfId="173" priority="2381" operator="lessThan">
      <formula>0</formula>
    </cfRule>
  </conditionalFormatting>
  <conditionalFormatting sqref="H1:H1048576">
    <cfRule type="cellIs" dxfId="172" priority="2380" operator="lessThan">
      <formula>0</formula>
    </cfRule>
  </conditionalFormatting>
  <conditionalFormatting sqref="H1:H1048576">
    <cfRule type="cellIs" dxfId="171" priority="2379" operator="lessThan">
      <formula>0</formula>
    </cfRule>
  </conditionalFormatting>
  <conditionalFormatting sqref="H1:H1048576">
    <cfRule type="cellIs" dxfId="170" priority="2378" operator="lessThan">
      <formula>0</formula>
    </cfRule>
  </conditionalFormatting>
  <conditionalFormatting sqref="H1:H1048576">
    <cfRule type="cellIs" dxfId="169" priority="2377" operator="lessThan">
      <formula>0</formula>
    </cfRule>
  </conditionalFormatting>
  <conditionalFormatting sqref="H1:H1048576">
    <cfRule type="cellIs" dxfId="168" priority="2376" operator="lessThan">
      <formula>0</formula>
    </cfRule>
  </conditionalFormatting>
  <conditionalFormatting sqref="H1:H1048576">
    <cfRule type="cellIs" dxfId="167" priority="2375" operator="lessThan">
      <formula>0</formula>
    </cfRule>
  </conditionalFormatting>
  <conditionalFormatting sqref="H1:H1048576">
    <cfRule type="cellIs" dxfId="166" priority="2374" operator="lessThan">
      <formula>0</formula>
    </cfRule>
  </conditionalFormatting>
  <conditionalFormatting sqref="H1:H1048576">
    <cfRule type="cellIs" dxfId="165" priority="2373" operator="lessThan">
      <formula>0</formula>
    </cfRule>
  </conditionalFormatting>
  <conditionalFormatting sqref="H1:H1048576">
    <cfRule type="cellIs" dxfId="164" priority="2372" operator="lessThan">
      <formula>0</formula>
    </cfRule>
  </conditionalFormatting>
  <conditionalFormatting sqref="H1:H1048576">
    <cfRule type="cellIs" dxfId="163" priority="2371" operator="lessThan">
      <formula>0</formula>
    </cfRule>
  </conditionalFormatting>
  <conditionalFormatting sqref="H1:H1048576">
    <cfRule type="cellIs" dxfId="162" priority="2370" operator="lessThan">
      <formula>0</formula>
    </cfRule>
  </conditionalFormatting>
  <conditionalFormatting sqref="H1:H1048576">
    <cfRule type="cellIs" dxfId="161" priority="2369" operator="lessThan">
      <formula>0</formula>
    </cfRule>
  </conditionalFormatting>
  <conditionalFormatting sqref="H1:H1048576">
    <cfRule type="cellIs" dxfId="160" priority="2368" operator="lessThan">
      <formula>0</formula>
    </cfRule>
  </conditionalFormatting>
  <conditionalFormatting sqref="H1:H1048576">
    <cfRule type="cellIs" dxfId="159" priority="2367" operator="lessThan">
      <formula>0</formula>
    </cfRule>
  </conditionalFormatting>
  <conditionalFormatting sqref="H1:H1048576">
    <cfRule type="cellIs" dxfId="158" priority="2366" operator="lessThan">
      <formula>0</formula>
    </cfRule>
  </conditionalFormatting>
  <conditionalFormatting sqref="H1:H1048576">
    <cfRule type="cellIs" dxfId="157" priority="2365" operator="lessThan">
      <formula>0</formula>
    </cfRule>
  </conditionalFormatting>
  <conditionalFormatting sqref="H1:H1048576">
    <cfRule type="cellIs" dxfId="156" priority="2364" operator="lessThan">
      <formula>0</formula>
    </cfRule>
  </conditionalFormatting>
  <conditionalFormatting sqref="H1:H1048576">
    <cfRule type="cellIs" dxfId="155" priority="2363" operator="lessThan">
      <formula>0</formula>
    </cfRule>
  </conditionalFormatting>
  <conditionalFormatting sqref="H1:H1048576">
    <cfRule type="cellIs" dxfId="154" priority="2362" operator="lessThan">
      <formula>0</formula>
    </cfRule>
  </conditionalFormatting>
  <conditionalFormatting sqref="H1:H1048576">
    <cfRule type="cellIs" dxfId="153" priority="2361" operator="lessThan">
      <formula>0</formula>
    </cfRule>
  </conditionalFormatting>
  <conditionalFormatting sqref="H1:H1048576">
    <cfRule type="cellIs" dxfId="152" priority="2360" operator="lessThan">
      <formula>0</formula>
    </cfRule>
  </conditionalFormatting>
  <conditionalFormatting sqref="B1:E1048576">
    <cfRule type="cellIs" dxfId="151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6"/>
  <sheetViews>
    <sheetView tabSelected="1" zoomScale="85" zoomScaleNormal="85" zoomScaleSheetLayoutView="90" workbookViewId="0">
      <pane xSplit="6" ySplit="11" topLeftCell="H14" activePane="bottomRight" state="frozen"/>
      <selection pane="topRight" activeCell="F1" sqref="F1"/>
      <selection pane="bottomLeft" activeCell="A14" sqref="A14"/>
      <selection pane="bottomRight" activeCell="K32" sqref="K32"/>
    </sheetView>
  </sheetViews>
  <sheetFormatPr defaultRowHeight="15" outlineLevelCol="2"/>
  <cols>
    <col min="1" max="1" width="2.140625" style="265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400" t="s">
        <v>84</v>
      </c>
      <c r="C1" s="413" cm="1">
        <f t="array" ref="C1">_xll.BDP(B1&amp;" EQUITY","LAST_PRICE")</f>
        <v>332.92</v>
      </c>
      <c r="D1" s="32">
        <f t="shared" ref="D1:D10" si="0">C1/E1-1</f>
        <v>0</v>
      </c>
      <c r="E1" s="411">
        <f>_xll.BDP(B1&amp;" EQUITY","PX_YEST_CLOSE")</f>
        <v>332.92</v>
      </c>
      <c r="F1" t="s">
        <v>1134</v>
      </c>
      <c r="H1" s="403" cm="1">
        <f t="array" ref="H1">_xll.BDP(F1&amp;" EQUITY","LAST_PRICE")</f>
        <v>597.95000000000005</v>
      </c>
      <c r="I1" s="140">
        <f t="shared" ref="I1:I8" si="1">H1/J1-1</f>
        <v>0</v>
      </c>
      <c r="J1" s="399">
        <f>_xll.BDP(F1&amp;" EQUITY","PX_YEST_CLOSE")</f>
        <v>597.95000000000005</v>
      </c>
      <c r="K1" s="400" t="s">
        <v>6</v>
      </c>
      <c r="L1" s="413" cm="1">
        <f t="array" ref="L1">_xll.BDP(K1&amp;" EQUITY","LAST_PRICE")</f>
        <v>90.6</v>
      </c>
      <c r="M1" s="32">
        <f t="shared" ref="M1:M10" si="2">L1/N1-1</f>
        <v>0</v>
      </c>
      <c r="N1" s="411">
        <f>_xll.BDP(K1&amp;" EQUITY","PX_YEST_CLOSE")</f>
        <v>90.6</v>
      </c>
      <c r="P1" s="1" t="e">
        <f>S1/$M$6</f>
        <v>#DIV/0!</v>
      </c>
      <c r="Q1" t="s">
        <v>584</v>
      </c>
      <c r="R1" s="5">
        <f>SUM(U19:U40)</f>
        <v>2.0819792061902671E-2</v>
      </c>
      <c r="S1" s="5">
        <f>T1/R1/10000</f>
        <v>1.284409662668688E-2</v>
      </c>
      <c r="T1" s="206">
        <f>SUM(V19:V40)</f>
        <v>2.674114209906064</v>
      </c>
      <c r="U1" s="340">
        <f>SUM(U17:U18)</f>
        <v>-2.7188417510761523E-2</v>
      </c>
      <c r="V1" s="296">
        <f>SUM(V17:V18)</f>
        <v>1.0842329177265457</v>
      </c>
      <c r="W1" s="206"/>
      <c r="Z1" s="206" t="e">
        <f>#REF!+#REF!+#REF!+#REF!+#REF!+#REF!+#REF!+#REF!</f>
        <v>#REF!</v>
      </c>
      <c r="AF1" t="s">
        <v>1143</v>
      </c>
      <c r="AG1" s="197">
        <f>_xll.BDP(AG2&amp;" index","LAST_PRICE")</f>
        <v>25044.25</v>
      </c>
      <c r="AH1" s="197"/>
      <c r="AI1" s="197">
        <f>_xll.BDP(AI2&amp;" index","LAST_PRICE")</f>
        <v>6933.75</v>
      </c>
    </row>
    <row r="2" spans="1:39">
      <c r="B2" s="400" t="s">
        <v>42</v>
      </c>
      <c r="C2" s="413" cm="1">
        <f t="array" ref="C2">_xll.BDP(B2&amp;" EQUITY","LAST_PRICE")</f>
        <v>185.41</v>
      </c>
      <c r="D2" s="32">
        <f t="shared" si="0"/>
        <v>0</v>
      </c>
      <c r="E2" s="411">
        <f>_xll.BDP(B2&amp;" EQUITY","PX_YEST_CLOSE")</f>
        <v>185.41</v>
      </c>
      <c r="F2" t="s">
        <v>343</v>
      </c>
      <c r="H2" s="403" cm="1">
        <f t="array" ref="H2">_xll.BDP(F2&amp;" EQUITY","LAST_PRICE")</f>
        <v>394.69</v>
      </c>
      <c r="I2" s="140">
        <f t="shared" si="1"/>
        <v>0</v>
      </c>
      <c r="J2" s="399">
        <f>_xll.BDP(F2&amp;" EQUITY","PX_YEST_CLOSE")</f>
        <v>394.69</v>
      </c>
      <c r="K2" s="400" t="s">
        <v>37</v>
      </c>
      <c r="L2" s="413" cm="1">
        <f t="array" ref="L2">_xll.BDP(K2&amp;" EQUITY","LAST_PRICE")</f>
        <v>82.46</v>
      </c>
      <c r="M2" s="32">
        <f t="shared" si="2"/>
        <v>0</v>
      </c>
      <c r="N2" s="411">
        <f>_xll.BDP(K2&amp;" EQUITY","PX_YEST_CLOSE")</f>
        <v>82.46</v>
      </c>
      <c r="O2" s="49"/>
      <c r="P2" s="1"/>
      <c r="Q2" t="s">
        <v>1132</v>
      </c>
      <c r="R2" s="5">
        <f>SUM(U27:U31)</f>
        <v>2.7823537214022179E-3</v>
      </c>
      <c r="S2" s="5">
        <f>T2/R2/10000</f>
        <v>1.3613536977376313E-2</v>
      </c>
      <c r="T2" s="206">
        <f>SUM(V27:V31)</f>
        <v>0.37877675270449684</v>
      </c>
      <c r="U2" s="297"/>
      <c r="V2" s="296"/>
      <c r="W2" s="206" t="e">
        <f>W5/W6</f>
        <v>#VALUE!</v>
      </c>
      <c r="Z2" s="18" t="s">
        <v>380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580</v>
      </c>
      <c r="AH2" s="31"/>
      <c r="AI2" t="s">
        <v>2</v>
      </c>
      <c r="AL2" t="s">
        <v>97</v>
      </c>
    </row>
    <row r="3" spans="1:39" ht="15.75" thickBot="1">
      <c r="B3" s="400" t="s">
        <v>44</v>
      </c>
      <c r="C3" s="413" cm="1">
        <f t="array" ref="C3">_xll.BDP(B3&amp;" EQUITY","LAST_PRICE")</f>
        <v>348.85</v>
      </c>
      <c r="D3" s="32">
        <f t="shared" si="0"/>
        <v>0</v>
      </c>
      <c r="E3" s="411">
        <f>_xll.BDP(B3&amp;" EQUITY","PX_YEST_CLOSE")</f>
        <v>348.85</v>
      </c>
      <c r="F3" t="s">
        <v>335</v>
      </c>
      <c r="H3" s="403" cm="1">
        <f t="array" ref="H3">_xll.BDP(F3&amp;" EQUITY","LAST_PRICE")</f>
        <v>1413.01</v>
      </c>
      <c r="I3" s="140">
        <f t="shared" si="1"/>
        <v>0</v>
      </c>
      <c r="J3" s="399">
        <f>_xll.BDP(F3&amp;" EQUITY","PX_YEST_CLOSE")</f>
        <v>1413.01</v>
      </c>
      <c r="K3" s="400" t="s">
        <v>83</v>
      </c>
      <c r="L3" s="413" cm="1">
        <f t="array" ref="L3">_xll.BDP(K3&amp;" EQUITY","LAST_PRICE")</f>
        <v>401.65</v>
      </c>
      <c r="M3" s="32">
        <f t="shared" si="2"/>
        <v>0</v>
      </c>
      <c r="N3" s="411">
        <f>_xll.BDP(K3&amp;" EQUITY","PX_YEST_CLOSE")</f>
        <v>401.65</v>
      </c>
      <c r="O3" s="5"/>
      <c r="P3" s="1" t="e">
        <f>S3/$M$6</f>
        <v>#DIV/0!</v>
      </c>
      <c r="Q3" t="s">
        <v>1133</v>
      </c>
      <c r="R3" s="5">
        <f>R1-R2</f>
        <v>1.8037438340500454E-2</v>
      </c>
      <c r="S3" s="5">
        <f>T3/R3/10000</f>
        <v>1.2725407088697953E-2</v>
      </c>
      <c r="T3" s="206">
        <f>T1-T2</f>
        <v>2.2953374572015672</v>
      </c>
      <c r="U3" s="206" t="e">
        <f>U5/-U6</f>
        <v>#VALUE!</v>
      </c>
      <c r="W3" s="44" t="s">
        <v>98</v>
      </c>
      <c r="X3" s="5">
        <f>_xll.BDP("SPY Equity","LAST_PRICE")/_xll.BDP("SPY Equity","PX_YEST_CLOSE")-1</f>
        <v>0</v>
      </c>
      <c r="AC3" s="92" cm="1">
        <f t="array" ref="AC3">_xll.BDP("brl Curncy","LAST_PRICE")</f>
        <v>5.2191000000000001</v>
      </c>
      <c r="AD3" s="8">
        <f>AD5*$AC$3</f>
        <v>11722281623.3988</v>
      </c>
      <c r="AF3" s="3" t="s">
        <v>1144</v>
      </c>
      <c r="AG3">
        <v>25550</v>
      </c>
      <c r="AH3" s="20">
        <f>AG3/$AG$1-1</f>
        <v>2.0194256166585101E-2</v>
      </c>
      <c r="AI3">
        <v>6904</v>
      </c>
      <c r="AJ3" s="20">
        <f t="shared" ref="AJ3:AJ4" si="3">AI3/$AI$1-1</f>
        <v>-4.2906075356048401E-3</v>
      </c>
    </row>
    <row r="4" spans="1:39" ht="30.75" thickBot="1">
      <c r="B4" s="400" t="s">
        <v>334</v>
      </c>
      <c r="C4" s="413" cm="1">
        <f t="array" ref="C4">_xll.BDP(B4&amp;" EQUITY","LAST_PRICE")</f>
        <v>208.44</v>
      </c>
      <c r="D4" s="32">
        <f t="shared" si="0"/>
        <v>0</v>
      </c>
      <c r="E4" s="411">
        <f>_xll.BDP(B4&amp;" EQUITY","PX_YEST_CLOSE")</f>
        <v>208.44</v>
      </c>
      <c r="F4" t="s">
        <v>1135</v>
      </c>
      <c r="H4" s="403" cm="1">
        <f t="array" ref="H4">_xll.BDP(F4&amp;" EQUITY","LAST_PRICE")</f>
        <v>322.51</v>
      </c>
      <c r="I4" s="140">
        <f t="shared" si="1"/>
        <v>0</v>
      </c>
      <c r="J4" s="399">
        <f>_xll.BDP(F4&amp;" EQUITY","PX_YEST_CLOSE")</f>
        <v>322.51</v>
      </c>
      <c r="K4" s="400" t="s">
        <v>0</v>
      </c>
      <c r="L4" s="413" cm="1">
        <f t="array" ref="L4">_xll.BDP(K4&amp;" EQUITY","LAST_PRICE")</f>
        <v>690.62</v>
      </c>
      <c r="M4" s="32">
        <f t="shared" si="2"/>
        <v>0</v>
      </c>
      <c r="N4" s="411">
        <f>_xll.BDP(K4&amp;" EQUITY","PX_YEST_CLOSE")</f>
        <v>690.62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547</v>
      </c>
      <c r="AF4" s="3" t="s">
        <v>1145</v>
      </c>
      <c r="AG4">
        <v>24677</v>
      </c>
      <c r="AH4" s="20">
        <f t="shared" ref="AH4:AH5" si="4">AG4/$AG$1-1</f>
        <v>-1.4664044640985474E-2</v>
      </c>
      <c r="AI4">
        <v>6700</v>
      </c>
      <c r="AJ4" s="20">
        <f t="shared" si="3"/>
        <v>-3.3711916351180871E-2</v>
      </c>
    </row>
    <row r="5" spans="1:39">
      <c r="B5" s="400" t="s">
        <v>318</v>
      </c>
      <c r="C5" s="413" cm="1">
        <f t="array" ref="C5">_xll.BDP(B5&amp;" EQUITY","LAST_PRICE")</f>
        <v>210.32</v>
      </c>
      <c r="D5" s="32">
        <f t="shared" si="0"/>
        <v>0</v>
      </c>
      <c r="E5" s="411">
        <f>_xll.BDP(B5&amp;" EQUITY","PX_YEST_CLOSE")</f>
        <v>210.32</v>
      </c>
      <c r="F5" t="s">
        <v>1136</v>
      </c>
      <c r="H5" s="403" cm="1">
        <f t="array" ref="H5">_xll.BDP(F5&amp;" EQUITY","LAST_PRICE")</f>
        <v>1442.95</v>
      </c>
      <c r="I5" s="140">
        <f t="shared" si="1"/>
        <v>0</v>
      </c>
      <c r="J5" s="399">
        <f>_xll.BDP(F5&amp;" EQUITY","PX_YEST_CLOSE")</f>
        <v>1442.95</v>
      </c>
      <c r="K5" s="400" t="s">
        <v>3</v>
      </c>
      <c r="L5" s="412" cm="1">
        <f t="array" ref="L5">_xll.BDP(K5&amp;" EQUITY","LAST_PRICE")</f>
        <v>202.26</v>
      </c>
      <c r="M5" s="32">
        <f t="shared" si="2"/>
        <v>0</v>
      </c>
      <c r="N5" s="411">
        <f>_xll.BDP(K5&amp;" EQUITY","PX_YEST_CLOSE")</f>
        <v>202.26</v>
      </c>
      <c r="O5" s="26">
        <f>SUMIF(O12:O44,"&gt;0")</f>
        <v>1.6132408081159826E-2</v>
      </c>
      <c r="P5" s="19">
        <f>SUMIF($F$12:$F$44,"Long",P12:P44)</f>
        <v>0.5520286593499929</v>
      </c>
      <c r="R5" s="26">
        <f>SUMIF(R12:R44,"&gt;0")</f>
        <v>9.7201920768722055E-3</v>
      </c>
      <c r="S5" s="138" t="e">
        <f>SUMIF($F$12:$F$44,"Long",S12:S44)</f>
        <v>#VALUE!</v>
      </c>
      <c r="T5" t="s">
        <v>47</v>
      </c>
      <c r="U5" s="32" t="e">
        <f>SUMIF($F$12:$F$44,"Long",U12:U44)</f>
        <v>#VALUE!</v>
      </c>
      <c r="V5" s="38" t="e">
        <f>SUMIF($F$12:$F$44,"Long",V12:V44)</f>
        <v>#VALUE!</v>
      </c>
      <c r="W5" s="5" t="e">
        <f>V5/U5/10000</f>
        <v>#VALUE!</v>
      </c>
      <c r="X5" s="5" t="e">
        <f>W5-$X$3</f>
        <v>#VALUE!</v>
      </c>
      <c r="Y5" s="54" t="e">
        <f>$U5*X5*10000</f>
        <v>#VALUE!</v>
      </c>
      <c r="Z5" s="9" t="e">
        <f>U5*$X$3*10000</f>
        <v>#VALUE!</v>
      </c>
      <c r="AA5" s="32" t="e">
        <f>SUMIF($F$12:$F$44,"Long",AA12:AA44)</f>
        <v>#VALUE!</v>
      </c>
      <c r="AB5" s="206" t="e">
        <f>AA5/U5</f>
        <v>#VALUE!</v>
      </c>
      <c r="AC5" s="86" t="s">
        <v>111</v>
      </c>
      <c r="AD5" s="87">
        <v>2246035068</v>
      </c>
      <c r="AE5" s="88">
        <f>AD5</f>
        <v>2246035068</v>
      </c>
      <c r="AF5" s="3" t="s">
        <v>1146</v>
      </c>
      <c r="AG5">
        <v>22750</v>
      </c>
      <c r="AH5" s="20">
        <f t="shared" si="4"/>
        <v>-9.1607854098246122E-2</v>
      </c>
      <c r="AI5">
        <v>6265</v>
      </c>
      <c r="AJ5" s="20">
        <f>AI5/$AI$1-1</f>
        <v>-9.6448530737335503E-2</v>
      </c>
    </row>
    <row r="6" spans="1:39">
      <c r="B6" s="400" t="s">
        <v>27</v>
      </c>
      <c r="C6" s="413" cm="1">
        <f t="array" ref="C6">_xll.BDP(B6&amp;" EQUITY","LAST_PRICE")</f>
        <v>278.12</v>
      </c>
      <c r="D6" s="32">
        <f t="shared" si="0"/>
        <v>0</v>
      </c>
      <c r="E6" s="411">
        <f>_xll.BDP(B6&amp;" EQUITY","PX_YEST_CLOSE")</f>
        <v>278.12</v>
      </c>
      <c r="F6" t="s">
        <v>1137</v>
      </c>
      <c r="H6" s="403" cm="1">
        <f t="array" ref="H6">_xll.BDP(F6&amp;" EQUITY","LAST_PRICE")</f>
        <v>231.01</v>
      </c>
      <c r="I6" s="140">
        <f t="shared" si="1"/>
        <v>0</v>
      </c>
      <c r="J6" s="399">
        <f>_xll.BDP(F6&amp;" EQUITY","PX_YEST_CLOSE")</f>
        <v>231.01</v>
      </c>
      <c r="K6" s="400" t="s">
        <v>82</v>
      </c>
      <c r="L6" s="402" cm="1">
        <f t="array" ref="L6">_xll.BDP(K6&amp;" EQUITY","LAST_PRICE")</f>
        <v>609.65</v>
      </c>
      <c r="M6" s="32">
        <f t="shared" si="2"/>
        <v>0</v>
      </c>
      <c r="N6" s="411">
        <f>_xll.BDP(K6&amp;" EQUITY","PX_YEST_CLOSE")</f>
        <v>609.65</v>
      </c>
      <c r="O6" s="26">
        <f>SUMIF(O12:O44,"&lt;0")</f>
        <v>-2.8964892523934672E-2</v>
      </c>
      <c r="P6" s="19">
        <f>SUMIF($F$12:$F$44,"Short",P12:P44)</f>
        <v>1.2912304262686423</v>
      </c>
      <c r="R6" s="26">
        <f>SUMIF(R12:R44,"&lt;0")</f>
        <v>-2.6077986924496212E-3</v>
      </c>
      <c r="S6" s="138">
        <f>SUMIF($F$12:$F$44,"Short",S12:S44)</f>
        <v>-0.47200439951836914</v>
      </c>
      <c r="T6" t="s">
        <v>48</v>
      </c>
      <c r="U6" s="32">
        <f>SUMIF($F$12:$F$44,"Short",U12:U44)</f>
        <v>-2.855925181060541E-2</v>
      </c>
      <c r="V6" s="38">
        <f>SUMIF($F$12:$F$44,"Short",V12:V44)</f>
        <v>0.81922602675027312</v>
      </c>
      <c r="W6" s="5">
        <f>V6/U6/10000</f>
        <v>-2.8685136157735598E-3</v>
      </c>
      <c r="X6" s="5">
        <f>$X$3-W6</f>
        <v>2.8685136157735598E-3</v>
      </c>
      <c r="Y6" s="54">
        <f>-$U6*X6*10000</f>
        <v>0.81922602675027312</v>
      </c>
      <c r="Z6" s="9">
        <f>U6*$X$3*10000</f>
        <v>0</v>
      </c>
      <c r="AA6" s="32" t="e">
        <f>SUMIF($F$12:$F$44,"Short",AA12:AA44)</f>
        <v>#VALUE!</v>
      </c>
      <c r="AB6" s="206" t="e">
        <f>AA6/U6</f>
        <v>#VALUE!</v>
      </c>
      <c r="AC6" s="86" t="s">
        <v>112</v>
      </c>
      <c r="AD6" s="130">
        <v>150129038</v>
      </c>
      <c r="AE6" s="88">
        <f>AD6</f>
        <v>150129038</v>
      </c>
      <c r="AF6" s="3"/>
      <c r="AG6"/>
      <c r="AH6" s="31"/>
      <c r="AI6"/>
    </row>
    <row r="7" spans="1:39" ht="15.75" thickBot="1">
      <c r="B7" s="400" t="s">
        <v>38</v>
      </c>
      <c r="C7" s="412" cm="1">
        <f t="array" ref="C7">_xll.BDP(B7&amp;" EQUITY","LAST_PRICE")</f>
        <v>401.14</v>
      </c>
      <c r="D7" s="32">
        <f t="shared" si="0"/>
        <v>0</v>
      </c>
      <c r="E7" s="411">
        <f>_xll.BDP(B7&amp;" EQUITY","PX_YEST_CLOSE")</f>
        <v>401.14</v>
      </c>
      <c r="F7" t="s">
        <v>1142</v>
      </c>
      <c r="H7" s="403" cm="1">
        <f t="array" ref="H7">_xll.BDP(F7&amp;" EQUITY","LAST_PRICE")</f>
        <v>282.58</v>
      </c>
      <c r="I7" s="140">
        <f t="shared" si="1"/>
        <v>0</v>
      </c>
      <c r="J7" s="399">
        <f>_xll.BDP(F7&amp;" EQUITY","PX_YEST_CLOSE")</f>
        <v>282.58</v>
      </c>
      <c r="K7" s="400" t="s">
        <v>88</v>
      </c>
      <c r="L7" s="412" cm="1">
        <f t="array" ref="L7">_xll.BDP(K7&amp;" EQUITY","LAST_PRICE")</f>
        <v>102.55</v>
      </c>
      <c r="M7" s="32">
        <f t="shared" si="2"/>
        <v>0</v>
      </c>
      <c r="N7" s="411">
        <f>_xll.BDP(K7&amp;" EQUITY","PX_YEST_CLOSE")</f>
        <v>102.55</v>
      </c>
      <c r="O7" s="28">
        <f>O5+O6</f>
        <v>-1.2832484442774846E-2</v>
      </c>
      <c r="P7" s="137">
        <f>SUM(P12:P44)</f>
        <v>1.8432590856186353</v>
      </c>
      <c r="Q7" s="27"/>
      <c r="R7" s="28">
        <f>R5+R6</f>
        <v>7.1123933844225839E-3</v>
      </c>
      <c r="S7" s="137" t="e">
        <f>SUM(S12:S44)</f>
        <v>#VALUE!</v>
      </c>
      <c r="T7" s="366" t="s">
        <v>936</v>
      </c>
      <c r="U7" s="272" t="e">
        <f>U5+U6</f>
        <v>#VALUE!</v>
      </c>
      <c r="V7" s="273" t="e">
        <f>V5+V6</f>
        <v>#VALUE!</v>
      </c>
      <c r="W7" s="43" t="e">
        <f>V7/U7/10000</f>
        <v>#VALUE!</v>
      </c>
      <c r="X7" s="43"/>
      <c r="Y7" s="55" t="e">
        <f>Y5+Y6</f>
        <v>#VALUE!</v>
      </c>
      <c r="Z7" s="46" t="e">
        <f>Z5+Z6</f>
        <v>#VALUE!</v>
      </c>
      <c r="AA7" s="33" t="e">
        <f>AA5+AA6</f>
        <v>#VALUE!</v>
      </c>
      <c r="AB7" s="42"/>
      <c r="AC7" s="89" t="s">
        <v>113</v>
      </c>
      <c r="AD7" s="90">
        <f>AD5+AD6</f>
        <v>2396164106</v>
      </c>
      <c r="AE7" s="91">
        <f>AE5+AE6</f>
        <v>2396164106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400" t="s">
        <v>231</v>
      </c>
      <c r="C8" s="402" cm="1">
        <f t="array" ref="C8">_xll.BDP(B8&amp;" EQUITY","LAST_PRICE")</f>
        <v>322.86</v>
      </c>
      <c r="D8" s="32">
        <f t="shared" si="0"/>
        <v>0</v>
      </c>
      <c r="E8" s="411">
        <f>_xll.BDP(B8&amp;" EQUITY","PX_YEST_CLOSE")</f>
        <v>322.86</v>
      </c>
      <c r="F8" t="s">
        <v>282</v>
      </c>
      <c r="H8" s="403" cm="1">
        <f t="array" ref="H8">_xll.BDP(F8&amp;" EQUITY","LAST_PRICE")</f>
        <v>429.32</v>
      </c>
      <c r="I8" s="140">
        <f t="shared" si="1"/>
        <v>0</v>
      </c>
      <c r="J8" s="399">
        <f>_xll.BDP(F8&amp;" EQUITY","PX_YEST_CLOSE")</f>
        <v>429.32</v>
      </c>
      <c r="K8" s="400" t="s">
        <v>89</v>
      </c>
      <c r="L8" s="412" cm="1">
        <f t="array" ref="L8">_xll.BDP(K8&amp;" EQUITY","LAST_PRICE")</f>
        <v>265.02</v>
      </c>
      <c r="M8" s="32">
        <f t="shared" si="2"/>
        <v>0</v>
      </c>
      <c r="N8" s="411">
        <f>_xll.BDP(K8&amp;" EQUITY","PX_YEST_CLOSE")</f>
        <v>265.02</v>
      </c>
      <c r="O8" s="29">
        <f>O5-O6</f>
        <v>4.5097300605094495E-2</v>
      </c>
      <c r="P8" s="30"/>
      <c r="Q8" s="6"/>
      <c r="R8" s="29">
        <f>R5-R6</f>
        <v>1.2327990769321827E-2</v>
      </c>
      <c r="S8" s="30"/>
      <c r="T8" s="6" t="s">
        <v>15</v>
      </c>
      <c r="U8" s="34" t="e">
        <f>U5-U6</f>
        <v>#VALUE!</v>
      </c>
      <c r="V8" s="40"/>
      <c r="AA8" s="34" t="e">
        <f>AA5-AA6</f>
        <v>#VALUE!</v>
      </c>
      <c r="AB8" s="42"/>
      <c r="AD8" s="48">
        <f>AD5/AD7</f>
        <v>0.93734609510923039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400" t="s">
        <v>29</v>
      </c>
      <c r="C9" s="412" cm="1">
        <f t="array" ref="C9">_xll.BDP(B9&amp;" EQUITY","LAST_PRICE")</f>
        <v>661.46</v>
      </c>
      <c r="D9" s="32">
        <f t="shared" si="0"/>
        <v>0</v>
      </c>
      <c r="E9" s="411">
        <f>_xll.BDP(B9&amp;" EQUITY","PX_YEST_CLOSE")</f>
        <v>661.46</v>
      </c>
      <c r="F9" t="s">
        <v>1162</v>
      </c>
      <c r="H9" s="403" cm="1">
        <f t="array" ref="H9">_xll.BDP(F9&amp;" EQUITY","LAST_PRICE")</f>
        <v>203.34</v>
      </c>
      <c r="I9" s="140">
        <f t="shared" ref="I9:I10" si="5">H9/J9-1</f>
        <v>0</v>
      </c>
      <c r="J9" s="399">
        <f>_xll.BDP(F9&amp;" EQUITY","PX_YEST_CLOSE")</f>
        <v>203.34</v>
      </c>
      <c r="K9" s="400" t="s">
        <v>339</v>
      </c>
      <c r="L9" s="412" cm="1">
        <f t="array" ref="L9">_xll.BDP(K9&amp;" EQUITY","LAST_PRICE")</f>
        <v>84.68</v>
      </c>
      <c r="M9" s="32">
        <f t="shared" si="2"/>
        <v>0</v>
      </c>
      <c r="N9" s="411">
        <f>_xll.BDP(K9&amp;" EQUITY","PX_YEST_CLOSE")</f>
        <v>84.68</v>
      </c>
      <c r="O9" s="29"/>
      <c r="P9" s="45"/>
      <c r="Q9" s="393">
        <f>Options!AK31</f>
        <v>-1.1727076592808288</v>
      </c>
      <c r="R9" s="29"/>
      <c r="S9" s="45"/>
      <c r="T9" s="267" t="s">
        <v>806</v>
      </c>
      <c r="U9" s="268"/>
      <c r="V9" s="269"/>
      <c r="W9" s="121">
        <v>2</v>
      </c>
      <c r="X9" s="178">
        <v>0.25</v>
      </c>
      <c r="AD9" s="17"/>
      <c r="AF9" s="3"/>
      <c r="AG9" s="206"/>
      <c r="AH9" s="31"/>
      <c r="AI9"/>
    </row>
    <row r="10" spans="1:39">
      <c r="B10" s="400" t="s">
        <v>559</v>
      </c>
      <c r="C10" s="412" cm="1">
        <f t="array" ref="C10">_xll.BDP(B10&amp;" EQUITY","LAST_PRICE")</f>
        <v>142.82</v>
      </c>
      <c r="D10" s="32">
        <f t="shared" si="0"/>
        <v>0</v>
      </c>
      <c r="E10" s="411">
        <f>_xll.BDP(B10&amp;" EQUITY","PX_YEST_CLOSE")</f>
        <v>142.82</v>
      </c>
      <c r="F10" t="s">
        <v>273</v>
      </c>
      <c r="H10" s="403" cm="1">
        <f t="array" ref="H10">_xll.BDP(F10&amp;" EQUITY","LAST_PRICE")</f>
        <v>100.74</v>
      </c>
      <c r="I10" s="140">
        <f t="shared" si="5"/>
        <v>0</v>
      </c>
      <c r="J10" s="399">
        <f>_xll.BDP(F10&amp;" EQUITY","PX_YEST_CLOSE")</f>
        <v>100.74</v>
      </c>
      <c r="K10" s="400" t="s">
        <v>78</v>
      </c>
      <c r="L10" s="412" cm="1">
        <f t="array" ref="L10">_xll.BDP(K10&amp;" EQUITY","LAST_PRICE")</f>
        <v>97.39</v>
      </c>
      <c r="M10" s="32">
        <f t="shared" si="2"/>
        <v>0</v>
      </c>
      <c r="N10" s="411">
        <f>_xll.BDP(K10&amp;" EQUITY","PX_YEST_CLOSE")</f>
        <v>97.39</v>
      </c>
      <c r="P10" s="49">
        <f>SUM(Tabelad[D1 P&amp;L bps])</f>
        <v>1.8432590856186353</v>
      </c>
      <c r="Q10" s="6"/>
      <c r="S10" s="49" t="e">
        <f>SUM(Tabelad[Options P&amp;L bps])</f>
        <v>#VALUE!</v>
      </c>
      <c r="T10" s="270" t="s">
        <v>937</v>
      </c>
      <c r="U10" s="270" t="e">
        <f>U7+U9</f>
        <v>#VALUE!</v>
      </c>
      <c r="V10" s="271" t="e">
        <f>V7+V9</f>
        <v>#VALUE!</v>
      </c>
      <c r="W10" s="16">
        <f>AE7*W9/10000</f>
        <v>479232.82120000001</v>
      </c>
      <c r="X10" s="275"/>
      <c r="Y10" s="53">
        <v>0.35</v>
      </c>
      <c r="Z10" s="37" t="e">
        <f>SUM(Tabelad[Beta Adj])</f>
        <v>#VALUE!</v>
      </c>
      <c r="AA10" s="70" t="e">
        <f>AA7-SUM(#REF!)</f>
        <v>#VALUE!</v>
      </c>
      <c r="AD10" s="15">
        <f>SUM(Tabelad[Daily P&amp;L])</f>
        <v>414002.45457090699</v>
      </c>
      <c r="AE10" s="140"/>
      <c r="AF10" s="186" t="str">
        <f>_xll.BDP(B10&amp;" Equity","EXPECTED_REPORT_DT")</f>
        <v>10/03/2026</v>
      </c>
      <c r="AG10" s="140"/>
      <c r="AH10" s="19" t="e">
        <f>SUM(AH12:AH44)+#REF!+#REF!</f>
        <v>#VALUE!</v>
      </c>
      <c r="AI10"/>
    </row>
    <row r="11" spans="1:39" s="10" customFormat="1" ht="36" customHeight="1" thickBot="1">
      <c r="A11" s="313"/>
      <c r="B11" s="56" t="s">
        <v>117</v>
      </c>
      <c r="C11" s="56" t="s">
        <v>548</v>
      </c>
      <c r="D11" s="56" t="s">
        <v>549</v>
      </c>
      <c r="E11" s="56" t="s">
        <v>119</v>
      </c>
      <c r="F11" s="56" t="s">
        <v>120</v>
      </c>
      <c r="G11" s="56" t="s">
        <v>121</v>
      </c>
      <c r="H11" s="56" t="s">
        <v>385</v>
      </c>
      <c r="I11" s="345" t="s">
        <v>122</v>
      </c>
      <c r="J11" s="346" t="s">
        <v>51</v>
      </c>
      <c r="K11" s="358" t="s">
        <v>123</v>
      </c>
      <c r="L11" s="347" t="s">
        <v>124</v>
      </c>
      <c r="M11" s="348" t="s">
        <v>125</v>
      </c>
      <c r="N11" s="347" t="s">
        <v>126</v>
      </c>
      <c r="O11" s="56" t="s">
        <v>99</v>
      </c>
      <c r="P11" s="346" t="s">
        <v>100</v>
      </c>
      <c r="Q11" s="347" t="s">
        <v>127</v>
      </c>
      <c r="R11" s="56" t="s">
        <v>101</v>
      </c>
      <c r="S11" s="346" t="s">
        <v>102</v>
      </c>
      <c r="T11" s="56" t="s">
        <v>11</v>
      </c>
      <c r="U11" s="56" t="s">
        <v>103</v>
      </c>
      <c r="V11" s="346" t="s">
        <v>104</v>
      </c>
      <c r="W11" s="56" t="s">
        <v>128</v>
      </c>
      <c r="X11" s="345" t="s">
        <v>129</v>
      </c>
      <c r="Y11" s="349" t="s">
        <v>130</v>
      </c>
      <c r="Z11" s="56" t="s">
        <v>132</v>
      </c>
      <c r="AA11" s="56" t="s">
        <v>131</v>
      </c>
      <c r="AB11" s="349" t="s">
        <v>375</v>
      </c>
      <c r="AC11" s="56" t="s">
        <v>379</v>
      </c>
      <c r="AD11" s="56" t="s">
        <v>381</v>
      </c>
      <c r="AE11" s="10" t="s">
        <v>133</v>
      </c>
      <c r="AF11" s="10" t="s">
        <v>134</v>
      </c>
      <c r="AG11" s="56" t="s">
        <v>135</v>
      </c>
      <c r="AH11" s="350" t="s">
        <v>136</v>
      </c>
      <c r="AI11" s="56" t="s">
        <v>479</v>
      </c>
      <c r="AJ11" s="10" t="s">
        <v>137</v>
      </c>
    </row>
    <row r="12" spans="1:39">
      <c r="B12" s="39" t="s">
        <v>336</v>
      </c>
      <c r="C12" t="s">
        <v>579</v>
      </c>
      <c r="E12" t="s">
        <v>138</v>
      </c>
      <c r="F12" s="21" t="str">
        <f t="shared" ref="F12:F14" si="6">IF(T12&gt;0,"Long","Short")</f>
        <v>Long</v>
      </c>
      <c r="G12" s="15"/>
      <c r="H12" s="365">
        <v>3378</v>
      </c>
      <c r="I12" s="35" cm="1">
        <f t="array" ref="I12">_xll.BDP(B12&amp;" Equity","LAST_PRICE")</f>
        <v>162.51</v>
      </c>
      <c r="J12" s="50">
        <f t="shared" ref="J12:J44" si="7">I12/K12-1</f>
        <v>0</v>
      </c>
      <c r="K12" s="357">
        <f>_xll.BDP(B12&amp;" equity","PX_YEST_CLOSE")</f>
        <v>162.51</v>
      </c>
      <c r="L12" s="52">
        <f>_xll.BDP(E12&amp;" Curncy","PX_LAST")</f>
        <v>1</v>
      </c>
      <c r="M12" s="51">
        <v>1</v>
      </c>
      <c r="N12" s="15">
        <f t="shared" ref="N12:N44" si="8">IFERROR(IF(((I12/L12)*H12*M12)&lt;&gt;0,((I12/L12)*H12*M12),0),"-")</f>
        <v>548958.77999999991</v>
      </c>
      <c r="O12" s="285">
        <f>IFERROR(IF(Tabelad[[#This Row],[D1 Exp USD]]&lt;&gt;0,N12/$AE$7,0),"-")</f>
        <v>2.2909899143610656E-4</v>
      </c>
      <c r="P12" s="19">
        <f>IFERROR(IF(Tabelad[[#This Row],[D1 Exp USD]]&lt;&gt;0,((I12-K12)/L12*M12*H12)/$AD$7*10000,0),"-")</f>
        <v>0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8">
        <f t="shared" ref="R12:R15" si="9">Q12/$AE$7</f>
        <v>0</v>
      </c>
      <c r="S12" s="19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44" si="10">N12+Q12</f>
        <v>548958.77999999991</v>
      </c>
      <c r="U12" s="47">
        <f t="shared" ref="U12:U44" si="11">T12/$AE$7</f>
        <v>2.2909899143610656E-4</v>
      </c>
      <c r="V12" s="19">
        <f t="shared" ref="V12:V44" si="12">P12+S12</f>
        <v>0</v>
      </c>
      <c r="W12" s="15">
        <f t="shared" ref="W12:W44" si="13">$W$10/(I12/L12*M12)</f>
        <v>2948.9435800873794</v>
      </c>
      <c r="X12" s="18"/>
      <c r="Y12" s="303">
        <f>Tabelad[[#This Row],[Exp %]]*$Y$10*$AD$7/Tabelad[[#This Row],[Price Today]]</f>
        <v>1182.2999999999997</v>
      </c>
      <c r="Z12" s="196">
        <f>Tabelad[[#This Row],[Vol 10d]]/16*Tabelad[[#This Row],[Exp %]]*100</f>
        <v>4.7895656210939427E-2</v>
      </c>
      <c r="AA12" s="18">
        <f>Tabelad[[#This Row],[Exp %]]*Tabelad[[#This Row],[Beta Adj2]]</f>
        <v>1.9753306083179271E-4</v>
      </c>
      <c r="AB12" s="35">
        <f>_xll.BDP($B12&amp;" Equity","volatility_10d")</f>
        <v>33.449754386577162</v>
      </c>
      <c r="AC12" s="35">
        <f>_xll.BDP(B12&amp;" EQUITY","eqy_beta")</f>
        <v>0.86221706867218018</v>
      </c>
      <c r="AD12" s="15">
        <f>Tabelad[[#This Row],[D1 P&amp;L bps]]*$AD$5/10000</f>
        <v>0</v>
      </c>
      <c r="AE12" s="207"/>
      <c r="AF12" s="186" t="str">
        <f>_xll.BDP(B12&amp;" Equity","EXPECTED_REPORT_DT")</f>
        <v>20/02/2026</v>
      </c>
      <c r="AG12" s="140" t="e">
        <f>_xll.BDP(B12&amp;" Index","CHG_PCT_1D_PRE_FROM_REGULAR")/100</f>
        <v>#VALUE!</v>
      </c>
      <c r="AH12" s="19" t="e">
        <f t="shared" ref="AH12:AH44" si="14">(T12*AG12)/$AD$7*10000</f>
        <v>#VALUE!</v>
      </c>
      <c r="AI12" s="364" t="str">
        <f>_xll.BDP(B12&amp;" Equity","DVD_EX_DT")</f>
        <v>12/06/2025</v>
      </c>
    </row>
    <row r="13" spans="1:39">
      <c r="B13" s="39" t="s">
        <v>809</v>
      </c>
      <c r="C13" t="s">
        <v>579</v>
      </c>
      <c r="E13" t="s">
        <v>138</v>
      </c>
      <c r="F13" s="21" t="str">
        <f t="shared" si="6"/>
        <v>Long</v>
      </c>
      <c r="G13" s="15"/>
      <c r="H13" s="365">
        <v>3910</v>
      </c>
      <c r="I13" s="35" cm="1">
        <f t="array" ref="I13">_xll.BDP(B13&amp;" Equity","LAST_PRICE")</f>
        <v>145.93</v>
      </c>
      <c r="J13" s="50">
        <f t="shared" si="7"/>
        <v>0</v>
      </c>
      <c r="K13" s="357">
        <f>_xll.BDP(B13&amp;" equity","PX_YEST_CLOSE")</f>
        <v>145.93</v>
      </c>
      <c r="L13" s="52">
        <f>_xll.BDP(E13&amp;" Curncy","PX_LAST")</f>
        <v>1</v>
      </c>
      <c r="M13" s="51">
        <v>1</v>
      </c>
      <c r="N13" s="15">
        <f t="shared" si="8"/>
        <v>570586.30000000005</v>
      </c>
      <c r="O13" s="285">
        <f>IFERROR(IF(Tabelad[[#This Row],[D1 Exp USD]]&lt;&gt;0,N13/$AE$7,0),"-")</f>
        <v>2.3812488408922025E-4</v>
      </c>
      <c r="P13" s="19">
        <f>IFERROR(IF(Tabelad[[#This Row],[D1 Exp USD]]&lt;&gt;0,((I13-K13)/L13*M13*H13)/$AD$7*10000,0),"-")</f>
        <v>0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8">
        <f t="shared" si="9"/>
        <v>0</v>
      </c>
      <c r="S13" s="19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10"/>
        <v>570586.30000000005</v>
      </c>
      <c r="U13" s="47">
        <f t="shared" si="11"/>
        <v>2.3812488408922025E-4</v>
      </c>
      <c r="V13" s="19">
        <f t="shared" si="12"/>
        <v>0</v>
      </c>
      <c r="W13" s="15">
        <f t="shared" si="13"/>
        <v>3283.9910998423902</v>
      </c>
      <c r="X13" s="18"/>
      <c r="Y13" s="303">
        <f>Tabelad[[#This Row],[Exp %]]*$Y$10*$AD$7/Tabelad[[#This Row],[Price Today]]</f>
        <v>1368.5</v>
      </c>
      <c r="Z13" s="196">
        <f>Tabelad[[#This Row],[Vol 10d]]/16*Tabelad[[#This Row],[Exp %]]*100</f>
        <v>6.988896880406073E-2</v>
      </c>
      <c r="AA13" s="18">
        <f>Tabelad[[#This Row],[Exp %]]*Tabelad[[#This Row],[Beta Adj2]]</f>
        <v>2.4708122802956866E-4</v>
      </c>
      <c r="AB13" s="35">
        <f>_xll.BDP($B13&amp;" Equity","volatility_10d")</f>
        <v>46.959539954925397</v>
      </c>
      <c r="AC13" s="35">
        <f>_xll.BDP(B13&amp;" EQUITY","eqy_beta")</f>
        <v>1.0376119613647461</v>
      </c>
      <c r="AD13" s="15">
        <f>Tabelad[[#This Row],[D1 P&amp;L bps]]*$AD$5/10000</f>
        <v>0</v>
      </c>
      <c r="AE13" s="207"/>
      <c r="AF13" s="186" t="str">
        <f>_xll.BDP(B13&amp;" Equity","EXPECTED_REPORT_DT")</f>
        <v>26/02/2026</v>
      </c>
      <c r="AG13" s="140" t="e">
        <f>_xll.BDP(B13&amp;" Index","CHG_PCT_1D_PRE_FROM_REGULAR")/100</f>
        <v>#VALUE!</v>
      </c>
      <c r="AH13" s="19" t="e">
        <f t="shared" si="14"/>
        <v>#VALUE!</v>
      </c>
      <c r="AI13" s="364" t="str">
        <f>_xll.BDP(B13&amp;" Equity","DVD_EX_DT")</f>
        <v>#N/A Field Not Applicable</v>
      </c>
    </row>
    <row r="14" spans="1:39" ht="15.75" thickBot="1">
      <c r="B14" s="39" t="s">
        <v>7</v>
      </c>
      <c r="C14" t="s">
        <v>579</v>
      </c>
      <c r="E14" t="s">
        <v>138</v>
      </c>
      <c r="F14" s="21" t="str">
        <f t="shared" si="6"/>
        <v>Long</v>
      </c>
      <c r="G14" s="15"/>
      <c r="H14" s="365"/>
      <c r="I14" s="35" cm="1">
        <f t="array" ref="I14">_xll.BDP(B14&amp;" Equity","LAST_PRICE")</f>
        <v>33.68</v>
      </c>
      <c r="J14" s="50">
        <f t="shared" si="7"/>
        <v>0</v>
      </c>
      <c r="K14" s="357">
        <f>_xll.BDP(B14&amp;" equity","PX_YEST_CLOSE")</f>
        <v>33.68</v>
      </c>
      <c r="L14" s="52">
        <f>_xll.BDP(E14&amp;" Curncy","PX_LAST")</f>
        <v>1</v>
      </c>
      <c r="M14" s="51">
        <v>1</v>
      </c>
      <c r="N14" s="15">
        <f t="shared" si="8"/>
        <v>0</v>
      </c>
      <c r="O14" s="285">
        <f>IFERROR(IF(Tabelad[[#This Row],[D1 Exp USD]]&lt;&gt;0,N14/$AE$7,0),"-")</f>
        <v>0</v>
      </c>
      <c r="P14" s="19">
        <f>IFERROR(IF(Tabelad[[#This Row],[D1 Exp USD]]&lt;&gt;0,((I14-K14)/L14*M14*H14)/$AD$7*10000,0),"-")</f>
        <v>0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550590.54803848267</v>
      </c>
      <c r="R14" s="18">
        <f t="shared" si="9"/>
        <v>2.2977998320724476E-4</v>
      </c>
      <c r="S14" s="19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-1.263147770343255E-2</v>
      </c>
      <c r="T14" s="13">
        <f t="shared" si="10"/>
        <v>550590.54803848267</v>
      </c>
      <c r="U14" s="47">
        <f t="shared" si="11"/>
        <v>2.2977998320724476E-4</v>
      </c>
      <c r="V14" s="19">
        <f t="shared" si="12"/>
        <v>-1.263147770343255E-2</v>
      </c>
      <c r="W14" s="15">
        <f t="shared" si="13"/>
        <v>14229.003004750593</v>
      </c>
      <c r="X14" s="18"/>
      <c r="Y14" s="303">
        <f>Tabelad[[#This Row],[Exp %]]*$Y$10*$AD$7/Tabelad[[#This Row],[Price Today]]</f>
        <v>5721.6951251029959</v>
      </c>
      <c r="Z14" s="196">
        <f>Tabelad[[#This Row],[Vol 10d]]/16*Tabelad[[#This Row],[Exp %]]*100</f>
        <v>2.3164377823465053E-2</v>
      </c>
      <c r="AA14" s="18">
        <f>Tabelad[[#This Row],[Exp %]]*Tabelad[[#This Row],[Beta Adj2]]</f>
        <v>2.6205554035013402E-4</v>
      </c>
      <c r="AB14" s="35">
        <f>_xll.BDP($B14&amp;" Equity","volatility_10d")</f>
        <v>16.129779452597472</v>
      </c>
      <c r="AC14" s="35">
        <f>_xll.BDP(B14&amp;" EQUITY","eqy_beta")</f>
        <v>1.1404628753662109</v>
      </c>
      <c r="AD14" s="15">
        <f>Tabelad[[#This Row],[D1 P&amp;L bps]]*$AD$5/10000</f>
        <v>0</v>
      </c>
      <c r="AE14" s="207"/>
      <c r="AF14" s="186" t="str">
        <f>_xll.BDP(B14&amp;" Equity","EXPECTED_REPORT_DT")</f>
        <v>#N/A N/A</v>
      </c>
      <c r="AG14" s="140">
        <f>_xll.BDP(B14&amp;" Index","CHG_PCT_1D_PRE_FROM_REGULAR")/100</f>
        <v>1.4845379999999999E-3</v>
      </c>
      <c r="AH14" s="19">
        <f t="shared" si="14"/>
        <v>3.4111711671051671E-3</v>
      </c>
      <c r="AI14" s="364" t="str">
        <f>_xll.BDP(B14&amp;" Equity","DVD_EX_DT")</f>
        <v>19/12/2025</v>
      </c>
    </row>
    <row r="15" spans="1:39" s="422" customFormat="1">
      <c r="A15" s="420"/>
      <c r="B15" s="421" t="s">
        <v>1130</v>
      </c>
      <c r="C15" s="422" t="s">
        <v>26</v>
      </c>
      <c r="E15" s="422" t="s">
        <v>138</v>
      </c>
      <c r="F15" s="423" t="s">
        <v>47</v>
      </c>
      <c r="G15" s="442"/>
      <c r="H15" s="425"/>
      <c r="I15" s="426" cm="1">
        <f t="array" ref="I15">_xll.BDP(B15&amp;" index","LAST_PRICE")</f>
        <v>25044.25</v>
      </c>
      <c r="J15" s="427">
        <f t="shared" si="7"/>
        <v>-4.7291188538841622E-3</v>
      </c>
      <c r="K15" s="428">
        <f>_xll.BDP(B15&amp;" index","PX_YEST_CLOSE")</f>
        <v>25163.25</v>
      </c>
      <c r="L15" s="429">
        <f>_xll.BDP(E15&amp;" Curncy","PX_LAST")</f>
        <v>1</v>
      </c>
      <c r="M15" s="430">
        <v>20</v>
      </c>
      <c r="N15" s="424">
        <f t="shared" si="8"/>
        <v>0</v>
      </c>
      <c r="O15" s="431">
        <f>IFERROR(IF(Tabelad[[#This Row],[D1 Exp USD]]&lt;&gt;0,N15/$AE$7,0),"-")</f>
        <v>0</v>
      </c>
      <c r="P15" s="432">
        <f>IFERROR(IF(Tabelad[[#This Row],[D1 Exp USD]]&lt;&gt;0,((I15-K15)/L15*M15*H15)/$AD$7*10000,0),"-")</f>
        <v>0</v>
      </c>
      <c r="Q15" s="424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0</v>
      </c>
      <c r="R15" s="433">
        <f t="shared" si="9"/>
        <v>0</v>
      </c>
      <c r="S15" s="432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0</v>
      </c>
      <c r="T15" s="434">
        <f t="shared" si="10"/>
        <v>0</v>
      </c>
      <c r="U15" s="435">
        <f t="shared" si="11"/>
        <v>0</v>
      </c>
      <c r="V15" s="498">
        <f t="shared" si="12"/>
        <v>0</v>
      </c>
      <c r="W15" s="443">
        <f t="shared" si="13"/>
        <v>0.95677215568443852</v>
      </c>
      <c r="X15" s="444"/>
      <c r="Y15" s="436">
        <f>Tabelad[[#This Row],[Exp %]]*$Y$10*$AD$7/Tabelad[[#This Row],[Price Today]]</f>
        <v>0</v>
      </c>
      <c r="Z15" s="437">
        <f>Tabelad[[#This Row],[Vol 10d]]/16*Tabelad[[#This Row],[Exp %]]*100</f>
        <v>0</v>
      </c>
      <c r="AA15" s="433" t="e">
        <f>Tabelad[[#This Row],[Exp %]]*Tabelad[[#This Row],[Beta Adj2]]</f>
        <v>#VALUE!</v>
      </c>
      <c r="AB15" s="426">
        <f>_xll.BDP($B15&amp;" index","volatility_10d")</f>
        <v>20.418216705322266</v>
      </c>
      <c r="AC15" s="426" t="str">
        <f>_xll.BDP(B15&amp;" index","eqy_beta")</f>
        <v>#N/A Field Not Applicable</v>
      </c>
      <c r="AD15" s="424">
        <f>Tabelad[[#This Row],[D1 P&amp;L bps]]*$AD$5/10000</f>
        <v>0</v>
      </c>
      <c r="AE15" s="445"/>
      <c r="AF15" s="439" t="str">
        <f>_xll.BDP(B15&amp;" index","EXPECTED_REPORT_DT")</f>
        <v>#N/A Field Not Applicable</v>
      </c>
      <c r="AG15" s="440" t="e">
        <f>_xll.BDP(B15&amp;" Index","CHG_PCT_1D_PRE_FROM_REGULAR")/100</f>
        <v>#VALUE!</v>
      </c>
      <c r="AH15" s="432" t="e">
        <f t="shared" si="14"/>
        <v>#VALUE!</v>
      </c>
      <c r="AI15" s="441" t="str">
        <f>_xll.BDP(B15&amp;" index","DVD_EX_DT")</f>
        <v>#N/A Field Not Applicable</v>
      </c>
    </row>
    <row r="16" spans="1:39" s="422" customFormat="1">
      <c r="A16" s="420"/>
      <c r="B16" s="421" t="s">
        <v>1100</v>
      </c>
      <c r="C16" s="422" t="s">
        <v>26</v>
      </c>
      <c r="E16" s="422" t="s">
        <v>138</v>
      </c>
      <c r="F16" s="423" t="s">
        <v>47</v>
      </c>
      <c r="G16" s="442"/>
      <c r="H16" s="425"/>
      <c r="I16" s="426" cm="1">
        <f t="array" ref="I16">_xll.BDP(B16&amp;" index","LAST_PRICE")</f>
        <v>25044.25</v>
      </c>
      <c r="J16" s="427">
        <f t="shared" ref="J16" si="15">I16/K16-1</f>
        <v>-4.7291188538841622E-3</v>
      </c>
      <c r="K16" s="428">
        <f>_xll.BDP(B16&amp;" index","PX_YEST_CLOSE")</f>
        <v>25163.25</v>
      </c>
      <c r="L16" s="429">
        <f>_xll.BDP(E16&amp;" Curncy","PX_LAST")</f>
        <v>1</v>
      </c>
      <c r="M16" s="430">
        <v>20</v>
      </c>
      <c r="N16" s="424">
        <f t="shared" ref="N16" si="16">IFERROR(IF(((I16/L16)*H16*M16)&lt;&gt;0,((I16/L16)*H16*M16),0),"-")</f>
        <v>0</v>
      </c>
      <c r="O16" s="431">
        <f>IFERROR(IF(Tabelad[[#This Row],[D1 Exp USD]]&lt;&gt;0,N16/$AE$7,0),"-")</f>
        <v>0</v>
      </c>
      <c r="P16" s="432">
        <f>IFERROR(IF(Tabelad[[#This Row],[D1 Exp USD]]&lt;&gt;0,((I16-K16)/L16*M16*H16)/$AD$7*10000,0),"-")</f>
        <v>0</v>
      </c>
      <c r="Q16" s="424" t="e">
        <f>IF(SUM(SUMIFS(Options!$AL$4:$AL$28, Options!$D$4:$D$28, B16), SUMIFS(Options!$AL$4:$AL$28, Options!$D$4:$D$28, B16 &amp; " US"))=0,0,SUM(SUMIFS(Options!$AL$4:$AL$28, Options!$D$4:$D$28, B16), SUMIFS(Options!$AL$4:$AL$28, Options!$D$4:$D$28, B16 &amp; " US")))</f>
        <v>#VALUE!</v>
      </c>
      <c r="R16" s="433" t="e">
        <f t="shared" ref="R16" si="17">Q16/$AE$7</f>
        <v>#VALUE!</v>
      </c>
      <c r="S16" s="432" t="e">
        <f>IF(SUM(SUMIFS(Options!$AK$4:$AK$28, Options!$D$4:$D$28, B16), SUMIFS(Options!$AK$4:$AK$28, Options!$D$4:$D$28, B16 &amp; " US"))=0,0,SUM(SUMIFS(Options!$AK$4:$AK$28, Options!$D$4:$D$28, B16), SUMIFS(Options!AK$4:$AK$28, Options!$D$4:$D$28, B16 &amp; " US")))</f>
        <v>#VALUE!</v>
      </c>
      <c r="T16" s="434" t="e">
        <f t="shared" ref="T16" si="18">N16+Q16</f>
        <v>#VALUE!</v>
      </c>
      <c r="U16" s="435" t="e">
        <f t="shared" ref="U16" si="19">T16/$AE$7</f>
        <v>#VALUE!</v>
      </c>
      <c r="V16" s="499" t="e">
        <f t="shared" si="12"/>
        <v>#VALUE!</v>
      </c>
      <c r="W16" s="443">
        <f t="shared" ref="W16" si="20">$W$10/(I16/L16*M16)</f>
        <v>0.95677215568443852</v>
      </c>
      <c r="X16" s="444"/>
      <c r="Y16" s="436" t="e">
        <f>Tabelad[[#This Row],[Exp %]]*$Y$10*$AD$7/Tabelad[[#This Row],[Price Today]]</f>
        <v>#VALUE!</v>
      </c>
      <c r="Z16" s="437" t="e">
        <f>Tabelad[[#This Row],[Vol 10d]]/16*Tabelad[[#This Row],[Exp %]]*100</f>
        <v>#VALUE!</v>
      </c>
      <c r="AA16" s="433" t="e">
        <f>Tabelad[[#This Row],[Exp %]]*Tabelad[[#This Row],[Beta Adj2]]</f>
        <v>#VALUE!</v>
      </c>
      <c r="AB16" s="426">
        <f>_xll.BDP($B16&amp;" index","volatility_10d")</f>
        <v>20.418216705322266</v>
      </c>
      <c r="AC16" s="426" t="str">
        <f>_xll.BDP(B16&amp;" index","eqy_beta")</f>
        <v>#N/A Field Not Applicable</v>
      </c>
      <c r="AD16" s="424">
        <f>Tabelad[[#This Row],[D1 P&amp;L bps]]*$AD$5/10000</f>
        <v>0</v>
      </c>
      <c r="AE16" s="445"/>
      <c r="AF16" s="439" t="str">
        <f>_xll.BDP(B16&amp;" index","EXPECTED_REPORT_DT")</f>
        <v>#N/A Field Not Applicable</v>
      </c>
      <c r="AG16" s="440" t="e">
        <f>_xll.BDP(B16&amp;" Index","CHG_PCT_1D_PRE_FROM_REGULAR")/100</f>
        <v>#VALUE!</v>
      </c>
      <c r="AH16" s="432" t="e">
        <f t="shared" ref="AH16" si="21">(T16*AG16)/$AD$7*10000</f>
        <v>#VALUE!</v>
      </c>
      <c r="AI16" s="441" t="str">
        <f>_xll.BDP(B16&amp;" index","DVD_EX_DT")</f>
        <v>#N/A Field Not Applicable</v>
      </c>
    </row>
    <row r="17" spans="1:35" s="422" customFormat="1">
      <c r="A17" s="420"/>
      <c r="B17" s="421" t="s">
        <v>580</v>
      </c>
      <c r="C17" s="422" t="s">
        <v>26</v>
      </c>
      <c r="E17" s="422" t="s">
        <v>138</v>
      </c>
      <c r="F17" s="423" t="s">
        <v>48</v>
      </c>
      <c r="G17" s="442"/>
      <c r="H17" s="425">
        <v>-130</v>
      </c>
      <c r="I17" s="426" cm="1">
        <f t="array" ref="I17">_xll.BDP(B17&amp;" INDEX","LAST_PRICE")</f>
        <v>25044.25</v>
      </c>
      <c r="J17" s="427">
        <f t="shared" ref="J17" si="22">I17/K17-1</f>
        <v>-4.7291188538841622E-3</v>
      </c>
      <c r="K17" s="428">
        <f>_xll.BDP(B17&amp;" index","PX_YEST_CLOSE")</f>
        <v>25163.25</v>
      </c>
      <c r="L17" s="429">
        <f>_xll.BDP(E17&amp;" Curncy","PX_LAST")</f>
        <v>1</v>
      </c>
      <c r="M17" s="430">
        <v>20</v>
      </c>
      <c r="N17" s="424">
        <f t="shared" ref="N17" si="23">IFERROR(IF(((I17/L17)*H17*M17)&lt;&gt;0,((I17/L17)*H17*M17),0),"-")</f>
        <v>-65115050</v>
      </c>
      <c r="O17" s="431">
        <f>IFERROR(IF(Tabelad[[#This Row],[D1 Exp USD]]&lt;&gt;0,N17/$AE$7,0),"-")</f>
        <v>-2.7174703868133147E-2</v>
      </c>
      <c r="P17" s="432">
        <f>IFERROR(IF(Tabelad[[#This Row],[D1 Exp USD]]&lt;&gt;0,((I17-K17)/L17*M17*H17)/$AD$7*10000,0),"-")</f>
        <v>1.2912304262686423</v>
      </c>
      <c r="Q17" s="424">
        <f>IF(SUM(SUMIFS(Options!$AL$4:$AL$28, Options!$D$4:$D$28, B17), SUMIFS(Options!$AL$4:$AL$28, Options!$D$4:$D$28, B17 &amp; " US"))=0,0,SUM(SUMIFS(Options!$AL$4:$AL$28, Options!$D$4:$D$28, B17), SUMIFS(Options!$AL$4:$AL$28, Options!$D$4:$D$28, B17 &amp; " US")))</f>
        <v>0</v>
      </c>
      <c r="R17" s="433">
        <f t="shared" ref="R17" si="24">Q17/$AE$7</f>
        <v>0</v>
      </c>
      <c r="S17" s="432">
        <f>IF(SUM(SUMIFS(Options!$AK$4:$AK$28, Options!$D$4:$D$28, B17), SUMIFS(Options!$AK$4:$AK$28, Options!$D$4:$D$28, B17 &amp; " US"))=0,0,SUM(SUMIFS(Options!$AK$4:$AK$28, Options!$D$4:$D$28, B17), SUMIFS(Options!AK$4:$AK$28, Options!$D$4:$D$28, B17 &amp; " US")))</f>
        <v>0</v>
      </c>
      <c r="T17" s="434">
        <f t="shared" ref="T17" si="25">N17+Q17</f>
        <v>-65115050</v>
      </c>
      <c r="U17" s="435">
        <f t="shared" ref="U17" si="26">T17/$AE$7</f>
        <v>-2.7174703868133147E-2</v>
      </c>
      <c r="V17" s="499">
        <f t="shared" si="12"/>
        <v>1.2912304262686423</v>
      </c>
      <c r="W17" s="443">
        <f t="shared" ref="W17" si="27">$W$10/(I17/L17*M17)</f>
        <v>0.95677215568443852</v>
      </c>
      <c r="X17" s="444"/>
      <c r="Y17" s="436">
        <f>Tabelad[[#This Row],[Exp %]]*$Y$10*$AD$7/Tabelad[[#This Row],[Price Today]]</f>
        <v>-910</v>
      </c>
      <c r="Z17" s="437">
        <f>Tabelad[[#This Row],[Vol 10d]]/16*Tabelad[[#This Row],[Exp %]]*100</f>
        <v>-3.4678687030156361</v>
      </c>
      <c r="AA17" s="433" t="e">
        <f>Tabelad[[#This Row],[Exp %]]*Tabelad[[#This Row],[Beta Adj2]]</f>
        <v>#VALUE!</v>
      </c>
      <c r="AB17" s="426">
        <f>_xll.BDP($B17&amp;" index","volatility_10d")</f>
        <v>20.418216705322266</v>
      </c>
      <c r="AC17" s="426" t="str">
        <f>_xll.BDP(B17&amp;" INDEX","eqy_beta")</f>
        <v>#N/A Field Not Applicable</v>
      </c>
      <c r="AD17" s="424">
        <f>Tabelad[[#This Row],[D1 P&amp;L bps]]*$AD$5/10000</f>
        <v>290014.88182679593</v>
      </c>
      <c r="AE17" s="445"/>
      <c r="AF17" s="439" t="str">
        <f>_xll.BDP(B17&amp;" index","EXPECTED_REPORT_DT")</f>
        <v>#N/A Field Not Applicable</v>
      </c>
      <c r="AG17" s="440" t="e">
        <f>_xll.BDP(B17&amp;" Index","CHG_PCT_1D_PRE_FROM_REGULAR")/100</f>
        <v>#VALUE!</v>
      </c>
      <c r="AH17" s="432" t="e">
        <f t="shared" ref="AH17" si="28">(T17*AG17)/$AD$7*10000</f>
        <v>#VALUE!</v>
      </c>
      <c r="AI17" s="441" t="str">
        <f>_xll.BDP(B17&amp;" index","DVD_EX_DT")</f>
        <v>#N/A Field Not Applicable</v>
      </c>
    </row>
    <row r="18" spans="1:35" s="422" customFormat="1" ht="15.75" thickBot="1">
      <c r="A18" s="420"/>
      <c r="B18" s="421" t="s">
        <v>82</v>
      </c>
      <c r="C18" s="422" t="s">
        <v>26</v>
      </c>
      <c r="E18" s="422" t="s">
        <v>138</v>
      </c>
      <c r="F18" s="423" t="s">
        <v>48</v>
      </c>
      <c r="G18" s="424"/>
      <c r="H18" s="425"/>
      <c r="I18" s="426" cm="1">
        <f t="array" ref="I18">_xll.BDP(B18&amp;" Equity","LAST_PRICE")</f>
        <v>609.65</v>
      </c>
      <c r="J18" s="427">
        <f t="shared" ref="J18" si="29">I18/K18-1</f>
        <v>0</v>
      </c>
      <c r="K18" s="428">
        <f>_xll.BDP(B18&amp;" equity","PX_YEST_CLOSE")</f>
        <v>609.65</v>
      </c>
      <c r="L18" s="429">
        <f>_xll.BDP(E18&amp;" Curncy","PX_LAST")</f>
        <v>1</v>
      </c>
      <c r="M18" s="430">
        <v>1</v>
      </c>
      <c r="N18" s="424">
        <f t="shared" ref="N18" si="30">IFERROR(IF(((I18/L18)*H18*M18)&lt;&gt;0,((I18/L18)*H18*M18),0),"-")</f>
        <v>0</v>
      </c>
      <c r="O18" s="431">
        <f>IFERROR(IF(Tabelad[[#This Row],[D1 Exp USD]]&lt;&gt;0,N18/$AE$7,0),"-")</f>
        <v>0</v>
      </c>
      <c r="P18" s="432">
        <f>IFERROR(IF(Tabelad[[#This Row],[D1 Exp USD]]&lt;&gt;0,((I18-K18)/L18*M18*H18)/$AD$7*10000,0),"-")</f>
        <v>0</v>
      </c>
      <c r="Q18" s="424">
        <f>IF(SUM(SUMIFS(Options!$AL$4:$AL$28, Options!$D$4:$D$28, B18), SUMIFS(Options!$AL$4:$AL$28, Options!$D$4:$D$28, B18 &amp; " US"))=0,0,SUM(SUMIFS(Options!$AL$4:$AL$28, Options!$D$4:$D$28, B18), SUMIFS(Options!$AL$4:$AL$28, Options!$D$4:$D$28, B18 &amp; " US")))</f>
        <v>-32860.138228628784</v>
      </c>
      <c r="R18" s="433">
        <f t="shared" ref="R18" si="31">Q18/$AE$7</f>
        <v>-1.3713642628377133E-5</v>
      </c>
      <c r="S18" s="432">
        <f>IF(SUM(SUMIFS(Options!$AK$4:$AK$28, Options!$D$4:$D$28, B18), SUMIFS(Options!$AK$4:$AK$28, Options!$D$4:$D$28, B18 &amp; " US"))=0,0,SUM(SUMIFS(Options!$AK$4:$AK$28, Options!$D$4:$D$28, B18), SUMIFS(Options!AK$4:$AK$28, Options!$D$4:$D$28, B18 &amp; " US")))</f>
        <v>-0.2069975085420965</v>
      </c>
      <c r="T18" s="434">
        <f t="shared" ref="T18" si="32">N18+Q18</f>
        <v>-32860.138228628784</v>
      </c>
      <c r="U18" s="435">
        <f t="shared" ref="U18" si="33">T18/$AE$7</f>
        <v>-1.3713642628377133E-5</v>
      </c>
      <c r="V18" s="484">
        <f t="shared" ref="V18" si="34">P18+S18</f>
        <v>-0.2069975085420965</v>
      </c>
      <c r="W18" s="424">
        <f t="shared" ref="W18" si="35">$W$10/(I18/L18*M18)</f>
        <v>786.07860444517348</v>
      </c>
      <c r="X18" s="433"/>
      <c r="Y18" s="436">
        <f>Tabelad[[#This Row],[Exp %]]*$Y$10*$AD$7/Tabelad[[#This Row],[Price Today]]</f>
        <v>-18.865001853555441</v>
      </c>
      <c r="Z18" s="437">
        <f>Tabelad[[#This Row],[Vol 10d]]/16*Tabelad[[#This Row],[Exp %]]*100</f>
        <v>-1.858396395705286E-3</v>
      </c>
      <c r="AA18" s="433">
        <f>Tabelad[[#This Row],[Exp %]]*Tabelad[[#This Row],[Beta Adj2]]</f>
        <v>-1.3728532328439321E-5</v>
      </c>
      <c r="AB18" s="426">
        <f>_xll.BDP($B18&amp;" Equity","volatility_10d")</f>
        <v>21.682308003094963</v>
      </c>
      <c r="AC18" s="426">
        <f>_xll.BDP(B18&amp;" EQUITY","eqy_beta")</f>
        <v>1.0010857582092285</v>
      </c>
      <c r="AD18" s="424">
        <f>Tabelad[[#This Row],[D1 P&amp;L bps]]*$AD$5/10000</f>
        <v>0</v>
      </c>
      <c r="AE18" s="438"/>
      <c r="AF18" s="439" t="str">
        <f>_xll.BDP(B18&amp;" Equity","EXPECTED_REPORT_DT")</f>
        <v>#N/A N/A</v>
      </c>
      <c r="AG18" s="440">
        <f>_xll.BDP(B18&amp;" Index","CHG_PCT_1D_PRE_FROM_REGULAR")/100</f>
        <v>-4.1335510000000001E-3</v>
      </c>
      <c r="AH18" s="432">
        <f t="shared" ref="AH18" si="36">(T18*AG18)/$AD$7*10000</f>
        <v>5.668604120017092E-4</v>
      </c>
      <c r="AI18" s="441" t="str">
        <f>_xll.BDP(B18&amp;" Equity","DVD_EX_DT")</f>
        <v>22/12/2025</v>
      </c>
    </row>
    <row r="19" spans="1:35">
      <c r="B19" s="39" t="s">
        <v>816</v>
      </c>
      <c r="C19" t="s">
        <v>913</v>
      </c>
      <c r="E19" t="s">
        <v>138</v>
      </c>
      <c r="F19" s="21" t="s">
        <v>47</v>
      </c>
      <c r="G19" s="15"/>
      <c r="H19" s="365">
        <v>14500</v>
      </c>
      <c r="I19" s="35" cm="1">
        <f t="array" ref="I19">_xll.BDP(B19&amp;" Equity","LAST_PRICE")</f>
        <v>323.10000000000002</v>
      </c>
      <c r="J19" s="50">
        <f t="shared" si="7"/>
        <v>0</v>
      </c>
      <c r="K19" s="357">
        <f>_xll.BDP(B19&amp;" equity","PX_YEST_CLOSE")</f>
        <v>323.10000000000002</v>
      </c>
      <c r="L19" s="52">
        <f>_xll.BDP(E19&amp;" Curncy","PX_LAST")</f>
        <v>1</v>
      </c>
      <c r="M19" s="51">
        <v>1</v>
      </c>
      <c r="N19" s="15">
        <f t="shared" si="8"/>
        <v>4684950</v>
      </c>
      <c r="O19" s="285">
        <f>IFERROR(IF(Tabelad[[#This Row],[D1 Exp USD]]&lt;&gt;0,N19/$AE$7,0),"-")</f>
        <v>1.9551874549280138E-3</v>
      </c>
      <c r="P19" s="19">
        <f>IFERROR(IF(Tabelad[[#This Row],[D1 Exp USD]]&lt;&gt;0,((I19-K19)/L19*M19*H19)/$AD$7*10000,0),"-")</f>
        <v>0</v>
      </c>
      <c r="Q19" s="15">
        <f>IF(SUM(SUMIFS(Options!$AL$4:$AL$28, Options!$D$4:$D$28, B19), SUMIFS(Options!$AL$4:$AL$28, Options!$D$4:$D$28, B19 &amp; " US"))=0,0,SUM(SUMIFS(Options!$AL$4:$AL$28, Options!$D$4:$D$28, B19), SUMIFS(Options!$AL$4:$AL$28, Options!$D$4:$D$28, B19 &amp; " US")))</f>
        <v>-7169.5886766538024</v>
      </c>
      <c r="R19" s="18">
        <f t="shared" ref="R19:R33" si="37">Q19/$AE$7</f>
        <v>-2.9921108736672655E-6</v>
      </c>
      <c r="S19" s="19">
        <f>IF(SUM(SUMIFS(Options!$AK$4:$AK$28, Options!$D$4:$D$28, B19), SUMIFS(Options!$AK$4:$AK$28, Options!$D$4:$D$28, B19 &amp; " US"))=0,0,SUM(SUMIFS(Options!$AK$4:$AK$28, Options!$D$4:$D$28, B19), SUMIFS(Options!AK$4:$AK$28, Options!$D$4:$D$28, B19 &amp; " US")))</f>
        <v>-4.9454041859351677E-2</v>
      </c>
      <c r="T19" s="13">
        <f t="shared" si="10"/>
        <v>4677780.4113233462</v>
      </c>
      <c r="U19" s="47">
        <f t="shared" si="11"/>
        <v>1.9521953440543467E-3</v>
      </c>
      <c r="V19" s="19">
        <f t="shared" si="12"/>
        <v>-4.9454041859351677E-2</v>
      </c>
      <c r="W19" s="15">
        <f t="shared" si="13"/>
        <v>1483.2337393995665</v>
      </c>
      <c r="X19" s="18"/>
      <c r="Y19" s="303">
        <f>Tabelad[[#This Row],[Exp %]]*$Y$10*$AD$7/Tabelad[[#This Row],[Price Today]]</f>
        <v>5067.2335003502658</v>
      </c>
      <c r="Z19" s="196">
        <f>Tabelad[[#This Row],[Vol 10d]]/16*Tabelad[[#This Row],[Exp %]]*100</f>
        <v>0.27932689011986755</v>
      </c>
      <c r="AA19" s="18">
        <f>Tabelad[[#This Row],[Exp %]]*Tabelad[[#This Row],[Beta Adj2]]</f>
        <v>2.0148642316701526E-3</v>
      </c>
      <c r="AB19" s="35">
        <f>_xll.BDP($B19&amp;" Equity","volatility_10d")</f>
        <v>22.893355706074583</v>
      </c>
      <c r="AC19" s="35">
        <f>_xll.BDP(B19&amp;" EQUITY","eqy_beta")</f>
        <v>1.0321017503738403</v>
      </c>
      <c r="AD19" s="15">
        <f>Tabelad[[#This Row],[D1 P&amp;L bps]]*$AD$5/10000</f>
        <v>0</v>
      </c>
      <c r="AE19" s="207"/>
      <c r="AF19" s="186" t="str">
        <f>_xll.BDP(B19&amp;" Equity","EXPECTED_REPORT_DT")</f>
        <v>24/04/2026</v>
      </c>
      <c r="AG19" s="140">
        <f>_xll.BDP(B19&amp;" Index","CHG_PCT_1D_PRE_FROM_REGULAR")/100</f>
        <v>-4.9520459999999999E-3</v>
      </c>
      <c r="AH19" s="19">
        <f t="shared" si="14"/>
        <v>-9.6673611447429517E-2</v>
      </c>
      <c r="AI19" s="364" t="str">
        <f>_xll.BDP(B19&amp;" Equity","DVD_EX_DT")</f>
        <v>09/03/2026</v>
      </c>
    </row>
    <row r="20" spans="1:35">
      <c r="B20" s="39" t="s">
        <v>27</v>
      </c>
      <c r="C20" t="s">
        <v>913</v>
      </c>
      <c r="E20" t="s">
        <v>138</v>
      </c>
      <c r="F20" s="21" t="s">
        <v>47</v>
      </c>
      <c r="G20" s="15"/>
      <c r="H20" s="365">
        <v>0</v>
      </c>
      <c r="I20" s="35" cm="1">
        <f t="array" ref="I20">_xll.BDP(B20&amp;" Equity","LAST_PRICE")</f>
        <v>278.12</v>
      </c>
      <c r="J20" s="50">
        <f t="shared" si="7"/>
        <v>0</v>
      </c>
      <c r="K20" s="357">
        <f>_xll.BDP(B20&amp;" equity","PX_YEST_CLOSE")</f>
        <v>278.12</v>
      </c>
      <c r="L20" s="52">
        <f>_xll.BDP(E20&amp;" Curncy","PX_LAST")</f>
        <v>1</v>
      </c>
      <c r="M20" s="51">
        <v>1</v>
      </c>
      <c r="N20" s="15">
        <f t="shared" si="8"/>
        <v>0</v>
      </c>
      <c r="O20" s="285">
        <f>IFERROR(IF(Tabelad[[#This Row],[D1 Exp USD]]&lt;&gt;0,N20/$AE$7,0),"-")</f>
        <v>0</v>
      </c>
      <c r="P20" s="19">
        <f>IFERROR(IF(Tabelad[[#This Row],[D1 Exp USD]]&lt;&gt;0,((I20-K20)/L20*M20*H20)/$AD$7*10000,0),"-")</f>
        <v>0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2289454.7119259834</v>
      </c>
      <c r="R20" s="18">
        <f t="shared" si="37"/>
        <v>9.5546657517871334E-4</v>
      </c>
      <c r="S20" s="19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0.11320176248395986</v>
      </c>
      <c r="T20" s="13">
        <f t="shared" si="10"/>
        <v>2289454.7119259834</v>
      </c>
      <c r="U20" s="47">
        <f t="shared" si="11"/>
        <v>9.5546657517871334E-4</v>
      </c>
      <c r="V20" s="19">
        <f t="shared" si="12"/>
        <v>0.11320176248395986</v>
      </c>
      <c r="W20" s="15">
        <f t="shared" si="13"/>
        <v>1723.1152782971378</v>
      </c>
      <c r="X20" s="18"/>
      <c r="Y20" s="303">
        <f>Tabelad[[#This Row],[Exp %]]*$Y$10*$AD$7/Tabelad[[#This Row],[Price Today]]</f>
        <v>2881.1633437871933</v>
      </c>
      <c r="Z20" s="196">
        <f>Tabelad[[#This Row],[Vol 10d]]/16*Tabelad[[#This Row],[Exp %]]*100</f>
        <v>0.14260779897969911</v>
      </c>
      <c r="AA20" s="18">
        <f>Tabelad[[#This Row],[Exp %]]*Tabelad[[#This Row],[Beta Adj2]]</f>
        <v>1.0186373824361472E-3</v>
      </c>
      <c r="AB20" s="35">
        <f>_xll.BDP($B20&amp;" Equity","volatility_10d")</f>
        <v>23.880738928501032</v>
      </c>
      <c r="AC20" s="35" cm="1">
        <f t="array" ref="AC20">_xll.BDP(B20&amp;" EQUITY","eqy_beta")</f>
        <v>1.066115140914917</v>
      </c>
      <c r="AD20" s="15">
        <f>Tabelad[[#This Row],[D1 P&amp;L bps]]*$AD$5/10000</f>
        <v>0</v>
      </c>
      <c r="AE20" s="207"/>
      <c r="AF20" s="186" t="str">
        <f>_xll.BDP(B20&amp;" Equity","EXPECTED_REPORT_DT")</f>
        <v>01/05/2026</v>
      </c>
      <c r="AG20" s="140">
        <f>_xll.BDP(B20&amp;" Index","CHG_PCT_1D_PRE_FROM_REGULAR")/100</f>
        <v>-3.8472869999999996E-3</v>
      </c>
      <c r="AH20" s="19">
        <f t="shared" si="14"/>
        <v>-3.6759541336195863E-2</v>
      </c>
      <c r="AI20" s="364" t="str">
        <f>_xll.BDP(B20&amp;" Equity","DVD_EX_DT")</f>
        <v>09/02/2026</v>
      </c>
    </row>
    <row r="21" spans="1:35">
      <c r="B21" s="39" t="s">
        <v>318</v>
      </c>
      <c r="C21" t="s">
        <v>913</v>
      </c>
      <c r="E21" t="s">
        <v>138</v>
      </c>
      <c r="F21" s="21" t="s">
        <v>47</v>
      </c>
      <c r="G21" s="15"/>
      <c r="H21" s="365"/>
      <c r="I21" s="35" cm="1">
        <f t="array" ref="I21">_xll.BDP(B21&amp;" Equity","LAST_PRICE")</f>
        <v>210.32</v>
      </c>
      <c r="J21" s="50">
        <f t="shared" si="7"/>
        <v>0</v>
      </c>
      <c r="K21" s="357">
        <f>_xll.BDP(B21&amp;" equity","PX_YEST_CLOSE")</f>
        <v>210.32</v>
      </c>
      <c r="L21" s="52">
        <f>_xll.BDP(E21&amp;" Curncy","PX_LAST")</f>
        <v>1</v>
      </c>
      <c r="M21" s="51">
        <v>1</v>
      </c>
      <c r="N21" s="15">
        <f t="shared" si="8"/>
        <v>0</v>
      </c>
      <c r="O21" s="285">
        <f>IFERROR(IF(Tabelad[[#This Row],[D1 Exp USD]]&lt;&gt;0,N21/$AE$7,0),"-")</f>
        <v>0</v>
      </c>
      <c r="P21" s="19">
        <f>IFERROR(IF(Tabelad[[#This Row],[D1 Exp USD]]&lt;&gt;0,((I21-K21)/L21*M21*H21)/$AD$7*10000,0),"-")</f>
        <v>0</v>
      </c>
      <c r="Q21" s="15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888849.03725981712</v>
      </c>
      <c r="R21" s="18">
        <f t="shared" si="37"/>
        <v>3.7094664552988555E-4</v>
      </c>
      <c r="S21" s="19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-0.45541538547694116</v>
      </c>
      <c r="T21" s="13">
        <f t="shared" si="10"/>
        <v>888849.03725981712</v>
      </c>
      <c r="U21" s="47">
        <f t="shared" si="11"/>
        <v>3.7094664552988555E-4</v>
      </c>
      <c r="V21" s="19">
        <f t="shared" si="12"/>
        <v>-0.45541538547694116</v>
      </c>
      <c r="W21" s="15">
        <f t="shared" si="13"/>
        <v>2278.5889178394827</v>
      </c>
      <c r="X21" s="18"/>
      <c r="Y21" s="303">
        <f>Tabelad[[#This Row],[Exp %]]*$Y$10*$AD$7/Tabelad[[#This Row],[Price Today]]</f>
        <v>1479.161102324724</v>
      </c>
      <c r="Z21" s="196">
        <f>Tabelad[[#This Row],[Vol 10d]]/16*Tabelad[[#This Row],[Exp %]]*100</f>
        <v>9.8350765322724354E-2</v>
      </c>
      <c r="AA21" s="18">
        <f>Tabelad[[#This Row],[Exp %]]*Tabelad[[#This Row],[Beta Adj2]]</f>
        <v>4.7381032728721959E-4</v>
      </c>
      <c r="AB21" s="35">
        <f>_xll.BDP($B21&amp;" Equity","volatility_10d")</f>
        <v>42.421525147254918</v>
      </c>
      <c r="AC21" s="35">
        <f>_xll.BDP(B21&amp;" EQUITY","eqy_beta")</f>
        <v>1.2773004770278931</v>
      </c>
      <c r="AD21" s="15">
        <f>Tabelad[[#This Row],[D1 P&amp;L bps]]*$AD$5/10000</f>
        <v>0</v>
      </c>
      <c r="AE21" s="207"/>
      <c r="AF21" s="186" t="str">
        <f>_xll.BDP(B21&amp;" Equity","EXPECTED_REPORT_DT")</f>
        <v>01/05/2026</v>
      </c>
      <c r="AG21" s="140">
        <f>_xll.BDP(B21&amp;" Index","CHG_PCT_1D_PRE_FROM_REGULAR")/100</f>
        <v>-9.5113500000000003E-5</v>
      </c>
      <c r="AH21" s="19">
        <f t="shared" si="14"/>
        <v>-3.5282033769606767E-4</v>
      </c>
      <c r="AI21" s="364" t="str">
        <f>_xll.BDP(B21&amp;" Equity","DVD_EX_DT")</f>
        <v>#N/A Field Not Applicable</v>
      </c>
    </row>
    <row r="22" spans="1:35">
      <c r="B22" s="39" t="s">
        <v>1141</v>
      </c>
      <c r="C22" t="s">
        <v>913</v>
      </c>
      <c r="E22" t="s">
        <v>138</v>
      </c>
      <c r="F22" s="21" t="s">
        <v>48</v>
      </c>
      <c r="G22" s="15"/>
      <c r="H22" s="365"/>
      <c r="I22" s="35" cm="1">
        <f t="array" ref="I22">_xll.BDP(B22&amp;" Equity","LAST_PRICE")</f>
        <v>82.2</v>
      </c>
      <c r="J22" s="50">
        <f t="shared" si="7"/>
        <v>0</v>
      </c>
      <c r="K22" s="357">
        <f>_xll.BDP(B22&amp;" equity","PX_YEST_CLOSE")</f>
        <v>82.2</v>
      </c>
      <c r="L22" s="52">
        <f>_xll.BDP(E22&amp;" Curncy","PX_LAST")</f>
        <v>1</v>
      </c>
      <c r="M22" s="51">
        <v>1</v>
      </c>
      <c r="N22" s="15">
        <f t="shared" si="8"/>
        <v>0</v>
      </c>
      <c r="O22" s="285">
        <f>IFERROR(IF(Tabelad[[#This Row],[D1 Exp USD]]&lt;&gt;0,N22/$AE$7,0),"-")</f>
        <v>0</v>
      </c>
      <c r="P22" s="19">
        <f>IFERROR(IF(Tabelad[[#This Row],[D1 Exp USD]]&lt;&gt;0,((I22-K22)/L22*M22*H22)/$AD$7*10000,0),"-")</f>
        <v>0</v>
      </c>
      <c r="Q22" s="15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-319250.01847743988</v>
      </c>
      <c r="R22" s="18">
        <f>Q22/$AE$7</f>
        <v>-1.3323378715090388E-4</v>
      </c>
      <c r="S22" s="19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-2.086668432884034E-2</v>
      </c>
      <c r="T22" s="13">
        <f t="shared" si="10"/>
        <v>-319250.01847743988</v>
      </c>
      <c r="U22" s="47">
        <f t="shared" si="11"/>
        <v>-1.3323378715090388E-4</v>
      </c>
      <c r="V22" s="19">
        <f t="shared" si="12"/>
        <v>-2.086668432884034E-2</v>
      </c>
      <c r="W22" s="15">
        <f t="shared" si="13"/>
        <v>5830.0829829683698</v>
      </c>
      <c r="X22" s="18"/>
      <c r="Y22" s="303">
        <f>Tabelad[[#This Row],[Exp %]]*$Y$10*$AD$7/Tabelad[[#This Row],[Price Today]]</f>
        <v>-1359.3370616436002</v>
      </c>
      <c r="Z22" s="196">
        <f>Tabelad[[#This Row],[Vol 10d]]/16*Tabelad[[#This Row],[Exp %]]*100</f>
        <v>-2.0627430551390526E-2</v>
      </c>
      <c r="AA22" s="18">
        <f>Tabelad[[#This Row],[Exp %]]*Tabelad[[#This Row],[Beta Adj2]]</f>
        <v>-1.4723593232813417E-4</v>
      </c>
      <c r="AB22" s="35">
        <f>_xll.BDP($B22&amp;" Equity","volatility_10d")</f>
        <v>24.771410907087567</v>
      </c>
      <c r="AC22" s="35" cm="1">
        <f t="array" ref="AC22">_xll.BDP(B22&amp;" EQUITY","eqy_beta")</f>
        <v>1.1050945520401001</v>
      </c>
      <c r="AD22" s="15">
        <f>Tabelad[[#This Row],[D1 P&amp;L bps]]*$AD$5/10000</f>
        <v>0</v>
      </c>
      <c r="AE22" s="207"/>
      <c r="AF22" s="186" t="str">
        <f>_xll.BDP(B22&amp;" Equity","EXPECTED_REPORT_DT")</f>
        <v>17/04/2026</v>
      </c>
      <c r="AG22" s="140">
        <f>_xll.BDP(B22&amp;" Index","CHG_PCT_1D_PRE_FROM_REGULAR")/100</f>
        <v>-3.5278989999999997E-3</v>
      </c>
      <c r="AH22" s="19">
        <f t="shared" si="14"/>
        <v>4.7003534445588663E-3</v>
      </c>
      <c r="AI22" s="364" t="str">
        <f>_xll.BDP(B22&amp;" Equity","DVD_EX_DT")</f>
        <v>#N/A Field Not Applicable</v>
      </c>
    </row>
    <row r="23" spans="1:35">
      <c r="B23" s="39" t="s">
        <v>342</v>
      </c>
      <c r="C23" t="s">
        <v>913</v>
      </c>
      <c r="E23" t="s">
        <v>138</v>
      </c>
      <c r="F23" s="21" t="s">
        <v>47</v>
      </c>
      <c r="G23" s="15"/>
      <c r="H23" s="365">
        <v>-300</v>
      </c>
      <c r="I23" s="35" cm="1">
        <f t="array" ref="I23">_xll.BDP(B23&amp;" Equity","LAST_PRICE")</f>
        <v>1970.15</v>
      </c>
      <c r="J23" s="50">
        <f t="shared" ref="J23" si="38">I23/K23-1</f>
        <v>-6.5628660725718935E-2</v>
      </c>
      <c r="K23" s="357">
        <v>2108.5300000000002</v>
      </c>
      <c r="L23" s="52">
        <f>_xll.BDP(E23&amp;" Curncy","PX_LAST")</f>
        <v>1</v>
      </c>
      <c r="M23" s="51">
        <v>1</v>
      </c>
      <c r="N23" s="15">
        <f t="shared" ref="N23" si="39">IFERROR(IF(((I23/L23)*H23*M23)&lt;&gt;0,((I23/L23)*H23*M23),0),"-")</f>
        <v>-591045</v>
      </c>
      <c r="O23" s="285">
        <f>IFERROR(IF(Tabelad[[#This Row],[D1 Exp USD]]&lt;&gt;0,N23/$AE$7,0),"-")</f>
        <v>-2.4666298878278913E-4</v>
      </c>
      <c r="P23" s="19">
        <f>IFERROR(IF(Tabelad[[#This Row],[D1 Exp USD]]&lt;&gt;0,((I23-K23)/L23*M23*H23)/$AD$7*10000,0),"-")</f>
        <v>0.17325190664549597</v>
      </c>
      <c r="Q23" s="15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923897.88590446138</v>
      </c>
      <c r="R23" s="18">
        <f>Q23/$AE$7</f>
        <v>3.8557371074502751E-4</v>
      </c>
      <c r="S23" s="19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-0.39630414774950889</v>
      </c>
      <c r="T23" s="13">
        <f t="shared" ref="T23" si="40">N23+Q23</f>
        <v>332852.88590446138</v>
      </c>
      <c r="U23" s="47">
        <f t="shared" ref="U23" si="41">T23/$AE$7</f>
        <v>1.3891072196223832E-4</v>
      </c>
      <c r="V23" s="19">
        <f t="shared" ref="V23" si="42">P23+S23</f>
        <v>-0.22305224110401292</v>
      </c>
      <c r="W23" s="15">
        <f t="shared" ref="W23" si="43">$W$10/(I23/L23*M23)</f>
        <v>243.24687013679161</v>
      </c>
      <c r="X23" s="18"/>
      <c r="Y23" s="303">
        <f>Tabelad[[#This Row],[Exp %]]*$Y$10*$AD$7/Tabelad[[#This Row],[Price Today]]</f>
        <v>59.131797105073964</v>
      </c>
      <c r="Z23" s="196">
        <f>Tabelad[[#This Row],[Vol 10d]]/16*Tabelad[[#This Row],[Exp %]]*100</f>
        <v>2.9897023459212836E-2</v>
      </c>
      <c r="AA23" s="18">
        <f>Tabelad[[#This Row],[Exp %]]*Tabelad[[#This Row],[Beta Adj2]]</f>
        <v>1.3301166683435322E-4</v>
      </c>
      <c r="AB23" s="35">
        <f>_xll.BDP($B23&amp;" Equity","volatility_10d")</f>
        <v>34.435957756913922</v>
      </c>
      <c r="AC23" s="35" cm="1">
        <f t="array" ref="AC23">_xll.BDP(B23&amp;" EQUITY","eqy_beta")</f>
        <v>0.95753347873687744</v>
      </c>
      <c r="AD23" s="15">
        <f>Tabelad[[#This Row],[D1 P&amp;L bps]]*$AD$5/10000</f>
        <v>38912.98579236462</v>
      </c>
      <c r="AE23" s="207"/>
      <c r="AF23" s="186" t="str">
        <f>_xll.BDP(B23&amp;" Equity","EXPECTED_REPORT_DT")</f>
        <v>24/02/2026</v>
      </c>
      <c r="AG23" s="140">
        <f>_xll.BDP(B23&amp;" Index","CHG_PCT_1D_PRE_FROM_REGULAR")/100</f>
        <v>4.9996069999999997E-3</v>
      </c>
      <c r="AH23" s="19">
        <f t="shared" ref="AH23" si="44">(T23*AG23)/$AD$7*10000</f>
        <v>6.9449901789746041E-3</v>
      </c>
      <c r="AI23" s="364" t="str">
        <f>_xll.BDP(B23&amp;" Equity","DVD_EX_DT")</f>
        <v>29/03/2018</v>
      </c>
    </row>
    <row r="24" spans="1:35">
      <c r="B24" s="39" t="s">
        <v>29</v>
      </c>
      <c r="C24" t="s">
        <v>913</v>
      </c>
      <c r="E24" t="s">
        <v>138</v>
      </c>
      <c r="F24" s="21" t="s">
        <v>47</v>
      </c>
      <c r="G24" s="15"/>
      <c r="H24" s="365">
        <v>4450</v>
      </c>
      <c r="I24" s="35" cm="1">
        <f t="array" ref="I24">_xll.BDP(B24&amp;" Equity","LAST_PRICE")</f>
        <v>661.46</v>
      </c>
      <c r="J24" s="50">
        <f t="shared" si="7"/>
        <v>0</v>
      </c>
      <c r="K24" s="357">
        <f>_xll.BDP(B24&amp;" equity","PX_YEST_CLOSE")</f>
        <v>661.46</v>
      </c>
      <c r="L24" s="52">
        <f>_xll.BDP(E24&amp;" Curncy","PX_LAST")</f>
        <v>1</v>
      </c>
      <c r="M24" s="51">
        <v>1</v>
      </c>
      <c r="N24" s="15">
        <f t="shared" si="8"/>
        <v>2943497</v>
      </c>
      <c r="O24" s="285">
        <f>IFERROR(IF(Tabelad[[#This Row],[D1 Exp USD]]&lt;&gt;0,N24/$AE$7,0),"-")</f>
        <v>1.228420454437773E-3</v>
      </c>
      <c r="P24" s="19">
        <f>IFERROR(IF(Tabelad[[#This Row],[D1 Exp USD]]&lt;&gt;0,((I24-K24)/L24*M24*H24)/$AD$7*10000,0),"-")</f>
        <v>0</v>
      </c>
      <c r="Q24" s="15">
        <f>IF(SUM(SUMIFS(Options!$AL$4:$AL$28, Options!$D$4:$D$28, B24), SUMIFS(Options!$AL$4:$AL$28, Options!$D$4:$D$28, B24 &amp; " US"))=0,0,SUM(SUMIFS(Options!$AL$4:$AL$28, Options!$D$4:$D$28, B24), SUMIFS(Options!$AL$4:$AL$28, Options!$D$4:$D$28, B24 &amp; " US")))</f>
        <v>3146802.9686960578</v>
      </c>
      <c r="R24" s="18">
        <f t="shared" si="37"/>
        <v>1.3132668838567677E-3</v>
      </c>
      <c r="S24" s="19">
        <f>IF(SUM(SUMIFS(Options!$AK$4:$AK$28, Options!$D$4:$D$28, B24), SUMIFS(Options!$AK$4:$AK$28, Options!$D$4:$D$28, B24 &amp; " US"))=0,0,SUM(SUMIFS(Options!$AK$4:$AK$28, Options!$D$4:$D$28, B24), SUMIFS(Options!AK$4:$AK$28, Options!$D$4:$D$28, B24 &amp; " US")))</f>
        <v>-0.12986380992053825</v>
      </c>
      <c r="T24" s="13">
        <f t="shared" si="10"/>
        <v>6090299.9686960578</v>
      </c>
      <c r="U24" s="47">
        <f t="shared" si="11"/>
        <v>2.5416873382945408E-3</v>
      </c>
      <c r="V24" s="19">
        <f t="shared" si="12"/>
        <v>-0.12986380992053825</v>
      </c>
      <c r="W24" s="15">
        <f t="shared" si="13"/>
        <v>724.50763644060112</v>
      </c>
      <c r="X24" s="18"/>
      <c r="Y24" s="303">
        <f>Tabelad[[#This Row],[Exp %]]*$Y$10*$AD$7/Tabelad[[#This Row],[Price Today]]</f>
        <v>3222.5758005678654</v>
      </c>
      <c r="Z24" s="196">
        <f>Tabelad[[#This Row],[Vol 10d]]/16*Tabelad[[#This Row],[Exp %]]*100</f>
        <v>1.0182582840269363</v>
      </c>
      <c r="AA24" s="18">
        <f>Tabelad[[#This Row],[Exp %]]*Tabelad[[#This Row],[Beta Adj2]]</f>
        <v>3.0204561684653354E-3</v>
      </c>
      <c r="AB24" s="35">
        <f>_xll.BDP($B24&amp;" Equity","volatility_10d")</f>
        <v>64.099672288421274</v>
      </c>
      <c r="AC24" s="35" cm="1">
        <f t="array" ref="AC24">_xll.BDP(B24&amp;" EQUITY","eqy_beta")</f>
        <v>1.1883665323257446</v>
      </c>
      <c r="AD24" s="15">
        <f>Tabelad[[#This Row],[D1 P&amp;L bps]]*$AD$5/10000</f>
        <v>0</v>
      </c>
      <c r="AE24" s="207"/>
      <c r="AF24" s="186" t="str">
        <f>_xll.BDP(B24&amp;" Equity","EXPECTED_REPORT_DT")</f>
        <v>30/04/2026</v>
      </c>
      <c r="AG24" s="140" t="e">
        <f>_xll.BDP(B24&amp;" Index","CHG_PCT_1D_PRE_FROM_REGULAR")/100</f>
        <v>#VALUE!</v>
      </c>
      <c r="AH24" s="19" t="e">
        <f t="shared" si="14"/>
        <v>#VALUE!</v>
      </c>
      <c r="AI24" s="364" t="str">
        <f>_xll.BDP(B24&amp;" Equity","DVD_EX_DT")</f>
        <v>15/12/2025</v>
      </c>
    </row>
    <row r="25" spans="1:35">
      <c r="B25" s="39" t="s">
        <v>37</v>
      </c>
      <c r="C25" t="s">
        <v>913</v>
      </c>
      <c r="E25" t="s">
        <v>138</v>
      </c>
      <c r="F25" s="21" t="s">
        <v>47</v>
      </c>
      <c r="G25" s="15"/>
      <c r="H25" s="365">
        <v>-11500</v>
      </c>
      <c r="I25" s="35" cm="1">
        <f t="array" ref="I25">_xll.BDP(B25&amp;" Equity","LAST_PRICE")</f>
        <v>82.46</v>
      </c>
      <c r="J25" s="50">
        <f>I25/K25-1</f>
        <v>0</v>
      </c>
      <c r="K25" s="357">
        <f>_xll.BDP(B25&amp;" equity","PX_YEST_CLOSE")</f>
        <v>82.46</v>
      </c>
      <c r="L25" s="52">
        <f>_xll.BDP(E25&amp;" Curncy","PX_LAST")</f>
        <v>1</v>
      </c>
      <c r="M25" s="51">
        <v>1</v>
      </c>
      <c r="N25" s="15">
        <f>IFERROR(IF(((I25/L25)*H25*M25)&lt;&gt;0,((I25/L25)*H25*M25),0),"-")</f>
        <v>-948289.99999999988</v>
      </c>
      <c r="O25" s="285">
        <f>IFERROR(IF(Tabelad[[#This Row],[D1 Exp USD]]&lt;&gt;0,N25/$AE$7,0),"-")</f>
        <v>-3.9575336164392069E-4</v>
      </c>
      <c r="P25" s="19">
        <f>IFERROR(IF(Tabelad[[#This Row],[D1 Exp USD]]&lt;&gt;0,((I25-K25)/L25*M25*H25)/$AD$7*10000,0),"-")</f>
        <v>0</v>
      </c>
      <c r="Q25" s="15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0</v>
      </c>
      <c r="R25" s="18">
        <f t="shared" ref="R25" si="45">Q25/$AE$7</f>
        <v>0</v>
      </c>
      <c r="S25" s="19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0</v>
      </c>
      <c r="T25" s="13">
        <f>N25+Q25</f>
        <v>-948289.99999999988</v>
      </c>
      <c r="U25" s="47">
        <f>T25/$AE$7</f>
        <v>-3.9575336164392069E-4</v>
      </c>
      <c r="V25" s="19">
        <f>P25+S25</f>
        <v>0</v>
      </c>
      <c r="W25" s="15">
        <f>$W$10/(I25/L25*M25)</f>
        <v>5811.7004753820038</v>
      </c>
      <c r="X25" s="18"/>
      <c r="Y25" s="303">
        <f>Tabelad[[#This Row],[Exp %]]*$Y$10*$AD$7/Tabelad[[#This Row],[Price Today]]</f>
        <v>-4025.0000000000005</v>
      </c>
      <c r="Z25" s="196">
        <f>Tabelad[[#This Row],[Vol 10d]]/16*Tabelad[[#This Row],[Exp %]]*100</f>
        <v>-0.10907833326031204</v>
      </c>
      <c r="AA25" s="18">
        <f>Tabelad[[#This Row],[Exp %]]*Tabelad[[#This Row],[Beta Adj2]]</f>
        <v>-3.9545470462527268E-4</v>
      </c>
      <c r="AB25" s="35">
        <f>_xll.BDP($B25&amp;" Equity","volatility_10d")</f>
        <v>44.099520087849186</v>
      </c>
      <c r="AC25" s="35">
        <f>_xll.BDP(B25&amp;" EQUITY","eqy_beta")</f>
        <v>0.99924534559249878</v>
      </c>
      <c r="AD25" s="15">
        <f>Tabelad[[#This Row],[D1 P&amp;L bps]]*$AD$5/10000</f>
        <v>0</v>
      </c>
      <c r="AE25" s="207"/>
      <c r="AF25" s="186" t="str">
        <f>_xll.BDP(B25&amp;" Equity","EXPECTED_REPORT_DT")</f>
        <v>#N/A N/A</v>
      </c>
      <c r="AG25" s="140">
        <f>_xll.BDP(B25&amp;" Index","CHG_PCT_1D_PRE_FROM_REGULAR")/100</f>
        <v>3.2743670000000002E-3</v>
      </c>
      <c r="AH25" s="19">
        <f>(T25*AG25)/$AD$7*10000</f>
        <v>-1.2958417475059197E-2</v>
      </c>
      <c r="AI25" s="364" t="str">
        <f>_xll.BDP(B25&amp;" Equity","DVD_EX_DT")</f>
        <v>21/03/2024</v>
      </c>
    </row>
    <row r="26" spans="1:35" ht="15.75" thickBot="1">
      <c r="B26" s="39" t="s">
        <v>38</v>
      </c>
      <c r="C26" t="s">
        <v>913</v>
      </c>
      <c r="E26" t="s">
        <v>138</v>
      </c>
      <c r="F26" s="21" t="s">
        <v>47</v>
      </c>
      <c r="G26" s="15"/>
      <c r="H26" s="365">
        <v>2980</v>
      </c>
      <c r="I26" s="35" cm="1">
        <f t="array" ref="I26">_xll.BDP(B26&amp;" Equity","LAST_PRICE")</f>
        <v>401.14</v>
      </c>
      <c r="J26" s="50">
        <f t="shared" si="7"/>
        <v>0</v>
      </c>
      <c r="K26" s="357">
        <f>_xll.BDP(B26&amp;" equity","PX_YEST_CLOSE")</f>
        <v>401.14</v>
      </c>
      <c r="L26" s="52">
        <f>_xll.BDP(E26&amp;" Curncy","PX_LAST")</f>
        <v>1</v>
      </c>
      <c r="M26" s="51">
        <v>1</v>
      </c>
      <c r="N26" s="15">
        <f t="shared" si="8"/>
        <v>1195397.2</v>
      </c>
      <c r="O26" s="285">
        <f>IFERROR(IF(Tabelad[[#This Row],[D1 Exp USD]]&lt;&gt;0,N26/$AE$7,0),"-")</f>
        <v>4.9887952039959313E-4</v>
      </c>
      <c r="P26" s="19">
        <f>IFERROR(IF(Tabelad[[#This Row],[D1 Exp USD]]&lt;&gt;0,((I26-K26)/L26*M26*H26)/$AD$7*10000,0),"-")</f>
        <v>0</v>
      </c>
      <c r="Q26" s="15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18">
        <f t="shared" si="37"/>
        <v>0</v>
      </c>
      <c r="S26" s="19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13">
        <f t="shared" si="10"/>
        <v>1195397.2</v>
      </c>
      <c r="U26" s="47">
        <f t="shared" si="11"/>
        <v>4.9887952039959313E-4</v>
      </c>
      <c r="V26" s="19">
        <f t="shared" si="12"/>
        <v>0</v>
      </c>
      <c r="W26" s="15">
        <f t="shared" si="13"/>
        <v>1194.6772229146932</v>
      </c>
      <c r="X26" s="18"/>
      <c r="Y26" s="303">
        <f>Tabelad[[#This Row],[Exp %]]*$Y$10*$AD$7/Tabelad[[#This Row],[Price Today]]</f>
        <v>1042.9999999999998</v>
      </c>
      <c r="Z26" s="196">
        <f>Tabelad[[#This Row],[Vol 10d]]/16*Tabelad[[#This Row],[Exp %]]*100</f>
        <v>0.20192038862150632</v>
      </c>
      <c r="AA26" s="18">
        <f>Tabelad[[#This Row],[Exp %]]*Tabelad[[#This Row],[Beta Adj2]]</f>
        <v>5.0993346824602882E-4</v>
      </c>
      <c r="AB26" s="35">
        <f>_xll.BDP($B26&amp;" Equity","volatility_10d")</f>
        <v>64.75964808810653</v>
      </c>
      <c r="AC26" s="35" cm="1">
        <f t="array" ref="AC26">_xll.BDP(B26&amp;" EQUITY","eqy_beta")</f>
        <v>1.0221575498580933</v>
      </c>
      <c r="AD26" s="15">
        <f>Tabelad[[#This Row],[D1 P&amp;L bps]]*$AD$5/10000</f>
        <v>0</v>
      </c>
      <c r="AE26" s="207"/>
      <c r="AF26" s="186" t="str">
        <f>_xll.BDP(B26&amp;" Equity","EXPECTED_REPORT_DT")</f>
        <v>30/04/2026</v>
      </c>
      <c r="AG26" s="140" t="e">
        <f>_xll.BDP(B26&amp;" Index","CHG_PCT_1D_PRE_FROM_REGULAR")/100</f>
        <v>#VALUE!</v>
      </c>
      <c r="AH26" s="19" t="e">
        <f t="shared" si="14"/>
        <v>#VALUE!</v>
      </c>
      <c r="AI26" s="364" t="str">
        <f>_xll.BDP(B26&amp;" Equity","DVD_EX_DT")</f>
        <v>19/02/2026</v>
      </c>
    </row>
    <row r="27" spans="1:35">
      <c r="B27" s="362" t="s">
        <v>933</v>
      </c>
      <c r="C27" t="s">
        <v>805</v>
      </c>
      <c r="E27" t="s">
        <v>779</v>
      </c>
      <c r="F27" s="21" t="s">
        <v>47</v>
      </c>
      <c r="G27" s="15"/>
      <c r="H27" s="365">
        <v>1563</v>
      </c>
      <c r="I27" s="35" cm="1">
        <f t="array" ref="I27">_xll.BDP(B27&amp;" Equity","LAST_PRICE")</f>
        <v>887000</v>
      </c>
      <c r="J27" s="50">
        <f t="shared" si="7"/>
        <v>5.7210965435041672E-2</v>
      </c>
      <c r="K27" s="357">
        <f>_xll.BDP(B27&amp;" equity","PX_YEST_CLOSE")</f>
        <v>839000</v>
      </c>
      <c r="L27" s="52">
        <f>_xll.BDP(E27&amp;" Curncy","PX_LAST")</f>
        <v>1465.05</v>
      </c>
      <c r="M27" s="51">
        <v>1</v>
      </c>
      <c r="N27" s="15">
        <f t="shared" si="8"/>
        <v>946302.85655779659</v>
      </c>
      <c r="O27" s="285">
        <f>IFERROR(IF(Tabelad[[#This Row],[D1 Exp USD]]&lt;&gt;0,N27/$AE$7,0),"-")</f>
        <v>3.9492405974542904E-4</v>
      </c>
      <c r="P27" s="19">
        <f>IFERROR(IF(Tabelad[[#This Row],[D1 Exp USD]]&lt;&gt;0,((I27-K27)/L27*M27*H27)/$AD$7*10000,0),"-")</f>
        <v>0.2137131326694543</v>
      </c>
      <c r="Q27" s="15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0</v>
      </c>
      <c r="R27" s="18">
        <f t="shared" si="37"/>
        <v>0</v>
      </c>
      <c r="S27" s="186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0</v>
      </c>
      <c r="T27" s="446">
        <f t="shared" si="10"/>
        <v>946302.85655779659</v>
      </c>
      <c r="U27" s="483">
        <f t="shared" si="11"/>
        <v>3.9492405974542904E-4</v>
      </c>
      <c r="V27" s="448">
        <f t="shared" si="12"/>
        <v>0.2137131326694543</v>
      </c>
      <c r="W27" s="15">
        <f t="shared" si="13"/>
        <v>791.54458252430675</v>
      </c>
      <c r="X27" s="18"/>
      <c r="Y27" s="303">
        <f>Tabelad[[#This Row],[Exp %]]*$Y$10*$AD$7/Tabelad[[#This Row],[Price Today]]</f>
        <v>0.37340022524828498</v>
      </c>
      <c r="Z27" s="196">
        <f>Tabelad[[#This Row],[Vol 10d]]/16*Tabelad[[#This Row],[Exp %]]*100</f>
        <v>0.23776743638975087</v>
      </c>
      <c r="AA27" s="18">
        <f>Tabelad[[#This Row],[Exp %]]*Tabelad[[#This Row],[Beta Adj2]]</f>
        <v>6.6338751169947553E-4</v>
      </c>
      <c r="AB27" s="35">
        <f>_xll.BDP($B27&amp;" Equity","volatility_10d")</f>
        <v>96.32938</v>
      </c>
      <c r="AC27" s="35">
        <f>_xll.BDP(B27&amp;" EQUITY","eqy_beta")</f>
        <v>1.6797850000000001</v>
      </c>
      <c r="AD27" s="15">
        <f>Tabelad[[#This Row],[D1 P&amp;L bps]]*$AD$5/10000</f>
        <v>48000.719046773083</v>
      </c>
      <c r="AE27" s="207"/>
      <c r="AF27" s="186" t="str">
        <f>_xll.BDP(B27&amp;" Equity","EXPECTED_REPORT_DT")</f>
        <v>23/04/2026</v>
      </c>
      <c r="AG27" s="140" t="e">
        <f>_xll.BDP(B27&amp;" Index","CHG_PCT_1D_PRE_FROM_REGULAR")/100</f>
        <v>#VALUE!</v>
      </c>
      <c r="AH27" s="19" t="e">
        <f t="shared" si="14"/>
        <v>#VALUE!</v>
      </c>
      <c r="AI27" s="364" t="str">
        <f>_xll.BDP(B27&amp;" Equity","DVD_EX_DT")</f>
        <v>26/02/2026</v>
      </c>
    </row>
    <row r="28" spans="1:35">
      <c r="B28" s="362" t="s">
        <v>530</v>
      </c>
      <c r="C28" t="s">
        <v>805</v>
      </c>
      <c r="E28" t="s">
        <v>779</v>
      </c>
      <c r="F28" s="21" t="s">
        <v>47</v>
      </c>
      <c r="G28" s="15"/>
      <c r="H28" s="365">
        <v>1180</v>
      </c>
      <c r="I28" s="35" cm="1">
        <f t="array" ref="I28">_xll.BDP(B28&amp;" Equity","LAST_PRICE")</f>
        <v>551000</v>
      </c>
      <c r="J28" s="50">
        <f t="shared" si="7"/>
        <v>4.5540796963946972E-2</v>
      </c>
      <c r="K28" s="357">
        <f>_xll.BDP(B28&amp;" equity","PX_YEST_CLOSE")</f>
        <v>527000</v>
      </c>
      <c r="L28" s="52">
        <f>_xll.BDP(E28&amp;" Curncy","PX_LAST")</f>
        <v>1465.05</v>
      </c>
      <c r="M28" s="51">
        <v>1</v>
      </c>
      <c r="N28" s="15">
        <f t="shared" si="8"/>
        <v>443793.72717654688</v>
      </c>
      <c r="O28" s="285">
        <f>IFERROR(IF(Tabelad[[#This Row],[D1 Exp USD]]&lt;&gt;0,N28/$AE$7,0),"-")</f>
        <v>1.8521007224225021E-4</v>
      </c>
      <c r="P28" s="19">
        <f>IFERROR(IF(Tabelad[[#This Row],[D1 Exp USD]]&lt;&gt;0,((I28-K28)/L28*M28*H28)/$AD$7*10000,0),"-")</f>
        <v>8.0672263771579031E-2</v>
      </c>
      <c r="Q28" s="15">
        <f>IF(SUM(SUMIFS(Options!$AL$4:$AL$28, Options!$D$4:$D$28, B28), SUMIFS(Options!$AL$4:$AL$28, Options!$D$4:$D$28, B28 &amp; " US"))=0,0,SUM(SUMIFS(Options!$AL$4:$AL$28, Options!$D$4:$D$28, B28), SUMIFS(Options!$AL$4:$AL$28, Options!$D$4:$D$28, B28 &amp; " US")))</f>
        <v>0</v>
      </c>
      <c r="R28" s="18">
        <f t="shared" si="37"/>
        <v>0</v>
      </c>
      <c r="S28" s="186">
        <f>IF(SUM(SUMIFS(Options!$AK$4:$AK$28, Options!$D$4:$D$28, B28), SUMIFS(Options!$AK$4:$AK$28, Options!$D$4:$D$28, B28 &amp; " US"))=0,0,SUM(SUMIFS(Options!$AK$4:$AK$28, Options!$D$4:$D$28, B28), SUMIFS(Options!AK$4:$AK$28, Options!$D$4:$D$28, B28 &amp; " US")))</f>
        <v>0</v>
      </c>
      <c r="T28" s="449">
        <f t="shared" si="10"/>
        <v>443793.72717654688</v>
      </c>
      <c r="U28" s="487">
        <f t="shared" si="11"/>
        <v>1.8521007224225021E-4</v>
      </c>
      <c r="V28" s="450">
        <f t="shared" si="12"/>
        <v>8.0672263771579031E-2</v>
      </c>
      <c r="W28" s="15">
        <f t="shared" si="13"/>
        <v>1274.2287562596371</v>
      </c>
      <c r="X28" s="18"/>
      <c r="Y28" s="303">
        <f>Tabelad[[#This Row],[Exp %]]*$Y$10*$AD$7/Tabelad[[#This Row],[Price Today]]</f>
        <v>0.28190164158219855</v>
      </c>
      <c r="Z28" s="196">
        <f>Tabelad[[#This Row],[Vol 10d]]/16*Tabelad[[#This Row],[Exp %]]*100</f>
        <v>0.12289139742824391</v>
      </c>
      <c r="AA28" s="18">
        <f>Tabelad[[#This Row],[Exp %]]*Tabelad[[#This Row],[Beta Adj2]]</f>
        <v>3.6884382155964664E-4</v>
      </c>
      <c r="AB28" s="35">
        <f>_xll.BDP($B28&amp;" Equity","volatility_10d")</f>
        <v>106.1639</v>
      </c>
      <c r="AC28" s="35">
        <f>_xll.BDP(B28&amp;" EQUITY","eqy_beta")</f>
        <v>1.9914890000000001</v>
      </c>
      <c r="AD28" s="15">
        <f>Tabelad[[#This Row],[D1 P&amp;L bps]]*$AD$5/10000</f>
        <v>18119.273344591245</v>
      </c>
      <c r="AE28" s="207"/>
      <c r="AF28" s="186" t="str">
        <f>_xll.BDP(B28&amp;" Equity","EXPECTED_REPORT_DT")</f>
        <v>11/03/2026</v>
      </c>
      <c r="AG28" s="140" t="e">
        <f>_xll.BDP(B28&amp;" Index","CHG_PCT_1D_PRE_FROM_REGULAR")/100</f>
        <v>#VALUE!</v>
      </c>
      <c r="AH28" s="19" t="e">
        <f t="shared" si="14"/>
        <v>#VALUE!</v>
      </c>
      <c r="AI28" s="364" t="str">
        <f>_xll.BDP(B28&amp;" Equity","DVD_EX_DT")</f>
        <v>#N/A N/A</v>
      </c>
    </row>
    <row r="29" spans="1:35">
      <c r="B29" s="362" t="s">
        <v>1091</v>
      </c>
      <c r="C29" t="s">
        <v>805</v>
      </c>
      <c r="E29" t="s">
        <v>779</v>
      </c>
      <c r="F29" s="21" t="s">
        <v>47</v>
      </c>
      <c r="G29" s="15"/>
      <c r="H29" s="365">
        <v>7080</v>
      </c>
      <c r="I29" s="35" cm="1">
        <f t="array" ref="I29">_xll.BDP(B29&amp;" Equity","LAST_PRICE")</f>
        <v>163500</v>
      </c>
      <c r="J29" s="50">
        <f t="shared" si="7"/>
        <v>1.552795031055898E-2</v>
      </c>
      <c r="K29" s="357">
        <f>_xll.BDP(B29&amp;" equity","PX_YEST_CLOSE")</f>
        <v>161000</v>
      </c>
      <c r="L29" s="52">
        <f>_xll.BDP(E29&amp;" Curncy","PX_LAST")</f>
        <v>1465.05</v>
      </c>
      <c r="M29" s="51">
        <v>1</v>
      </c>
      <c r="N29" s="15">
        <f t="shared" si="8"/>
        <v>790130.02969181945</v>
      </c>
      <c r="O29" s="285">
        <f>IFERROR(IF(Tabelad[[#This Row],[D1 Exp USD]]&lt;&gt;0,N29/$AE$7,0),"-")</f>
        <v>3.2974787816632934E-4</v>
      </c>
      <c r="P29" s="19">
        <f>IFERROR(IF(Tabelad[[#This Row],[D1 Exp USD]]&lt;&gt;0,((I29-K29)/L29*M29*H29)/$AD$7*10000,0),"-")</f>
        <v>5.0420164857236903E-2</v>
      </c>
      <c r="Q29" s="15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0</v>
      </c>
      <c r="R29" s="18">
        <f>Q29/$AE$7</f>
        <v>0</v>
      </c>
      <c r="S29" s="186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0</v>
      </c>
      <c r="T29" s="449">
        <f t="shared" si="10"/>
        <v>790130.02969181945</v>
      </c>
      <c r="U29" s="487">
        <f t="shared" si="11"/>
        <v>3.2974787816632934E-4</v>
      </c>
      <c r="V29" s="450">
        <f t="shared" si="12"/>
        <v>5.0420164857236903E-2</v>
      </c>
      <c r="W29" s="15">
        <f t="shared" si="13"/>
        <v>4294.189875835229</v>
      </c>
      <c r="X29" s="18"/>
      <c r="Y29" s="303">
        <f>Tabelad[[#This Row],[Exp %]]*$Y$10*$AD$7/Tabelad[[#This Row],[Price Today]]</f>
        <v>1.6914098494931911</v>
      </c>
      <c r="Z29" s="196">
        <f>Tabelad[[#This Row],[Vol 10d]]/16*Tabelad[[#This Row],[Exp %]]*100</f>
        <v>0.15499370340966698</v>
      </c>
      <c r="AA29" s="18">
        <f>Tabelad[[#This Row],[Exp %]]*Tabelad[[#This Row],[Beta Adj2]]</f>
        <v>3.8106027523566999E-4</v>
      </c>
      <c r="AB29" s="35">
        <f>_xll.BDP($B29&amp;" Equity","volatility_10d")</f>
        <v>75.205920000000006</v>
      </c>
      <c r="AC29" s="35">
        <f>_xll.BDP(B29&amp;" EQUITY","eqy_beta")</f>
        <v>1.1556109999999999</v>
      </c>
      <c r="AD29" s="15">
        <f>Tabelad[[#This Row],[D1 P&amp;L bps]]*$AD$5/10000</f>
        <v>11324.54584036953</v>
      </c>
      <c r="AE29" s="207"/>
      <c r="AF29" s="186" t="str">
        <f>_xll.BDP(B29&amp;" Equity","EXPECTED_REPORT_DT")</f>
        <v>07/04/2026</v>
      </c>
      <c r="AG29" s="140" t="e">
        <f>_xll.BDP(B29&amp;" Index","CHG_PCT_1D_PRE_FROM_REGULAR")/100</f>
        <v>#VALUE!</v>
      </c>
      <c r="AH29" s="19" t="e">
        <f t="shared" si="14"/>
        <v>#VALUE!</v>
      </c>
      <c r="AI29" s="364" t="str">
        <f>_xll.BDP(B29&amp;" Equity","DVD_EX_DT")</f>
        <v>29/12/2025</v>
      </c>
    </row>
    <row r="30" spans="1:35" ht="15.75" thickBot="1">
      <c r="B30" s="362" t="s">
        <v>1147</v>
      </c>
      <c r="C30" t="s">
        <v>805</v>
      </c>
      <c r="E30" t="s">
        <v>1148</v>
      </c>
      <c r="F30" s="21" t="s">
        <v>47</v>
      </c>
      <c r="G30" s="15"/>
      <c r="H30" s="365">
        <v>1400</v>
      </c>
      <c r="I30" s="35" cm="1">
        <f t="array" ref="I30">_xll.BDP(B30&amp;" Equity","LAST_PRICE")</f>
        <v>17810</v>
      </c>
      <c r="J30" s="50">
        <f t="shared" ref="J30" si="46">I30/K30-1</f>
        <v>5.3846153846153877E-2</v>
      </c>
      <c r="K30" s="357">
        <f>_xll.BDP(B30&amp;" equity","PX_YEST_CLOSE")</f>
        <v>16900</v>
      </c>
      <c r="L30" s="52">
        <f>_xll.BDP(E30&amp;" Curncy","PX_LAST")</f>
        <v>156.51</v>
      </c>
      <c r="M30" s="51">
        <v>1</v>
      </c>
      <c r="N30" s="15">
        <f t="shared" ref="N30" si="47">IFERROR(IF(((I30/L30)*H30*M30)&lt;&gt;0,((I30/L30)*H30*M30),0),"-")</f>
        <v>159312.50399335509</v>
      </c>
      <c r="O30" s="285">
        <f>IFERROR(IF(Tabelad[[#This Row],[D1 Exp USD]]&lt;&gt;0,N30/$AE$7,0),"-")</f>
        <v>6.6486474609329241E-5</v>
      </c>
      <c r="P30" s="19">
        <f>IFERROR(IF(Tabelad[[#This Row],[D1 Exp USD]]&lt;&gt;0,((I30-K30)/L30*M30*H30)/$AD$7*10000,0),"-")</f>
        <v>3.3971191406226613E-2</v>
      </c>
      <c r="Q30" s="15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0</v>
      </c>
      <c r="R30" s="18">
        <f>Q30/$AE$7</f>
        <v>0</v>
      </c>
      <c r="S30" s="186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0</v>
      </c>
      <c r="T30" s="451">
        <f t="shared" ref="T30" si="48">N30+Q30</f>
        <v>159312.50399335509</v>
      </c>
      <c r="U30" s="486">
        <f t="shared" ref="U30" si="49">T30/$AE$7</f>
        <v>6.6486474609329241E-5</v>
      </c>
      <c r="V30" s="485">
        <f t="shared" ref="V30" si="50">P30+S30</f>
        <v>3.3971191406226613E-2</v>
      </c>
      <c r="W30" s="15">
        <f t="shared" ref="W30" si="51">$W$10/(I30/L30*M30)</f>
        <v>4211.3828661432899</v>
      </c>
      <c r="X30" s="18"/>
      <c r="Y30" s="303">
        <f>Tabelad[[#This Row],[Exp %]]*$Y$10*$AD$7/Tabelad[[#This Row],[Price Today]]</f>
        <v>3.1307903648329183</v>
      </c>
      <c r="Z30" s="196">
        <f>Tabelad[[#This Row],[Vol 10d]]/16*Tabelad[[#This Row],[Exp %]]*100</f>
        <v>2.8429475259190644E-2</v>
      </c>
      <c r="AA30" s="18">
        <f>Tabelad[[#This Row],[Exp %]]*Tabelad[[#This Row],[Beta Adj2]]</f>
        <v>8.9170462989489414E-5</v>
      </c>
      <c r="AB30" s="35">
        <f>_xll.BDP($B30&amp;" Equity","volatility_10d")</f>
        <v>68.415660000000003</v>
      </c>
      <c r="AC30" s="35">
        <f>_xll.BDP(B30&amp;" EQUITY","eqy_beta")</f>
        <v>1.3411820000000001</v>
      </c>
      <c r="AD30" s="15">
        <f>Tabelad[[#This Row],[D1 P&amp;L bps]]*$AD$5/10000</f>
        <v>7630.0487200125199</v>
      </c>
      <c r="AE30" s="207"/>
      <c r="AF30" s="186" t="str">
        <f>_xll.BDP(B30&amp;" Equity","EXPECTED_REPORT_DT")</f>
        <v>08/05/2026</v>
      </c>
      <c r="AG30" s="140" t="e">
        <f>_xll.BDP(B30&amp;" Index","CHG_PCT_1D_PRE_FROM_REGULAR")/100</f>
        <v>#VALUE!</v>
      </c>
      <c r="AH30" s="19" t="e">
        <f t="shared" ref="AH30" si="52">(T30*AG30)/$AD$7*10000</f>
        <v>#VALUE!</v>
      </c>
      <c r="AI30" s="364" t="str">
        <f>_xll.BDP(B30&amp;" Equity","DVD_EX_DT")</f>
        <v>30/03/2026</v>
      </c>
    </row>
    <row r="31" spans="1:35">
      <c r="B31" s="39" t="s">
        <v>432</v>
      </c>
      <c r="C31" t="s">
        <v>805</v>
      </c>
      <c r="E31" t="s">
        <v>138</v>
      </c>
      <c r="F31" s="21" t="s">
        <v>47</v>
      </c>
      <c r="G31" s="15"/>
      <c r="H31" s="365">
        <v>34700</v>
      </c>
      <c r="I31" s="35" cm="1">
        <f t="array" ref="I31">_xll.BDP(B31&amp;" Equity","LAST_PRICE")</f>
        <v>124.71</v>
      </c>
      <c r="J31" s="50">
        <f t="shared" si="7"/>
        <v>0</v>
      </c>
      <c r="K31" s="357">
        <f>_xll.BDP(B31&amp;" equity","PX_YEST_CLOSE")</f>
        <v>124.71</v>
      </c>
      <c r="L31" s="52">
        <f>_xll.BDP(E31&amp;" Curncy","PX_LAST")</f>
        <v>1</v>
      </c>
      <c r="M31" s="51">
        <v>1</v>
      </c>
      <c r="N31" s="15">
        <f t="shared" si="8"/>
        <v>4327437</v>
      </c>
      <c r="O31" s="285">
        <f>IFERROR(IF(Tabelad[[#This Row],[D1 Exp USD]]&lt;&gt;0,N31/$AE$7,0),"-")</f>
        <v>1.8059852366388799E-3</v>
      </c>
      <c r="P31" s="19">
        <f>IFERROR(IF(Tabelad[[#This Row],[D1 Exp USD]]&lt;&gt;0,((I31-K31)/L31*M31*H31)/$AD$7*10000,0),"-")</f>
        <v>0</v>
      </c>
      <c r="Q31" s="15">
        <f>IF(SUM(SUMIFS(Options!$AL$4:$AL$28, Options!$D$4:$D$28, B31), SUMIFS(Options!$AL$4:$AL$28, Options!$D$4:$D$28, B31 &amp; " US"))=0,0,SUM(SUMIFS(Options!$AL$4:$AL$28, Options!$D$4:$D$28, B31), SUMIFS(Options!$AL$4:$AL$28, Options!$D$4:$D$28, B31 &amp; " US")))</f>
        <v>0</v>
      </c>
      <c r="R31" s="18">
        <f t="shared" si="37"/>
        <v>0</v>
      </c>
      <c r="S31" s="19">
        <f>IF(SUM(SUMIFS(Options!$AK$4:$AK$28, Options!$D$4:$D$28, B31), SUMIFS(Options!$AK$4:$AK$28, Options!$D$4:$D$28, B31 &amp; " US"))=0,0,SUM(SUMIFS(Options!$AK$4:$AK$28, Options!$D$4:$D$28, B31), SUMIFS(Options!AK$4:$AK$28, Options!$D$4:$D$28, B31 &amp; " US")))</f>
        <v>0</v>
      </c>
      <c r="T31" s="13">
        <f t="shared" si="10"/>
        <v>4327437</v>
      </c>
      <c r="U31" s="47">
        <f t="shared" si="11"/>
        <v>1.8059852366388799E-3</v>
      </c>
      <c r="V31" s="19">
        <f t="shared" si="12"/>
        <v>0</v>
      </c>
      <c r="W31" s="15">
        <f t="shared" si="13"/>
        <v>3842.777814128779</v>
      </c>
      <c r="X31" s="18"/>
      <c r="Y31" s="303">
        <f>Tabelad[[#This Row],[Exp %]]*$Y$10*$AD$7/Tabelad[[#This Row],[Price Today]]</f>
        <v>12145</v>
      </c>
      <c r="Z31" s="196">
        <f>Tabelad[[#This Row],[Vol 10d]]/16*Tabelad[[#This Row],[Exp %]]*100</f>
        <v>0.49219804787299604</v>
      </c>
      <c r="AA31" s="18">
        <f>Tabelad[[#This Row],[Exp %]]*Tabelad[[#This Row],[Beta Adj2]]</f>
        <v>1.6302231646418293E-3</v>
      </c>
      <c r="AB31" s="35">
        <f>_xll.BDP($B31&amp;" Equity","volatility_10d")</f>
        <v>43.605942098532417</v>
      </c>
      <c r="AC31" s="35">
        <f>_xll.BDP(B31&amp;" EQUITY","eqy_beta")</f>
        <v>0.90267801284790039</v>
      </c>
      <c r="AD31" s="15">
        <f>Tabelad[[#This Row],[D1 P&amp;L bps]]*$AD$5/10000</f>
        <v>0</v>
      </c>
      <c r="AE31" s="207"/>
      <c r="AF31" s="186" t="str">
        <f>_xll.BDP(B31&amp;" Equity","EXPECTED_REPORT_DT")</f>
        <v>#N/A N/A</v>
      </c>
      <c r="AG31" s="140">
        <f>_xll.BDP(B31&amp;" Index","CHG_PCT_1D_PRE_FROM_REGULAR")/100</f>
        <v>-1.0023249999999999E-2</v>
      </c>
      <c r="AH31" s="19">
        <f t="shared" si="14"/>
        <v>-0.18101841523140649</v>
      </c>
      <c r="AI31" s="364" t="str">
        <f>_xll.BDP(B31&amp;" Equity","DVD_EX_DT")</f>
        <v>16/12/2025</v>
      </c>
    </row>
    <row r="32" spans="1:35">
      <c r="B32" s="39" t="s">
        <v>735</v>
      </c>
      <c r="C32" t="s">
        <v>736</v>
      </c>
      <c r="E32" t="s">
        <v>138</v>
      </c>
      <c r="F32" s="21" t="s">
        <v>47</v>
      </c>
      <c r="G32" s="15"/>
      <c r="H32" s="365">
        <v>4450</v>
      </c>
      <c r="I32" s="35" cm="1">
        <f t="array" ref="I32">_xll.BDP(B32&amp;" Equity","LAST_PRICE")</f>
        <v>551.99</v>
      </c>
      <c r="J32" s="50">
        <f t="shared" si="7"/>
        <v>0</v>
      </c>
      <c r="K32" s="357">
        <f>_xll.BDP(B32&amp;" equity","PX_YEST_CLOSE")</f>
        <v>551.99</v>
      </c>
      <c r="L32" s="52">
        <f>_xll.BDP(E32&amp;" Curncy","PX_LAST")</f>
        <v>1</v>
      </c>
      <c r="M32" s="51">
        <v>1</v>
      </c>
      <c r="N32" s="15">
        <f t="shared" si="8"/>
        <v>2456355.5</v>
      </c>
      <c r="O32" s="285">
        <f>IFERROR(IF(Tabelad[[#This Row],[D1 Exp USD]]&lt;&gt;0,N32/$AE$7,0),"-")</f>
        <v>1.0251198963582172E-3</v>
      </c>
      <c r="P32" s="19">
        <f>IFERROR(IF(Tabelad[[#This Row],[D1 Exp USD]]&lt;&gt;0,((I32-K32)/L32*M32*H32)/$AD$7*10000,0),"-")</f>
        <v>0</v>
      </c>
      <c r="Q32" s="15">
        <f>IF(SUM(SUMIFS(Options!$AL$4:$AL$28, Options!$D$4:$D$28, B32), SUMIFS(Options!$AL$4:$AL$28, Options!$D$4:$D$28, B32 &amp; " US"))=0,0,SUM(SUMIFS(Options!$AL$4:$AL$28, Options!$D$4:$D$28, B32), SUMIFS(Options!$AL$4:$AL$28, Options!$D$4:$D$28, B32 &amp; " US")))</f>
        <v>0</v>
      </c>
      <c r="R32" s="18">
        <f t="shared" si="37"/>
        <v>0</v>
      </c>
      <c r="S32" s="19">
        <f>IF(SUM(SUMIFS(Options!$AK$4:$AK$28, Options!$D$4:$D$28, B32), SUMIFS(Options!$AK$4:$AK$28, Options!$D$4:$D$28, B32 &amp; " US"))=0,0,SUM(SUMIFS(Options!$AK$4:$AK$28, Options!$D$4:$D$28, B32), SUMIFS(Options!AK$4:$AK$28, Options!$D$4:$D$28, B32 &amp; " US")))</f>
        <v>0</v>
      </c>
      <c r="T32" s="13">
        <f t="shared" si="10"/>
        <v>2456355.5</v>
      </c>
      <c r="U32" s="47">
        <f t="shared" si="11"/>
        <v>1.0251198963582172E-3</v>
      </c>
      <c r="V32" s="19">
        <f t="shared" si="12"/>
        <v>0</v>
      </c>
      <c r="W32" s="15">
        <f t="shared" si="13"/>
        <v>868.1911288247976</v>
      </c>
      <c r="X32" s="18"/>
      <c r="Y32" s="303">
        <f>Tabelad[[#This Row],[Exp %]]*$Y$10*$AD$7/Tabelad[[#This Row],[Price Today]]</f>
        <v>1557.5</v>
      </c>
      <c r="Z32" s="196">
        <f>Tabelad[[#This Row],[Vol 10d]]/16*Tabelad[[#This Row],[Exp %]]*100</f>
        <v>0.38995883374829882</v>
      </c>
      <c r="AA32" s="18">
        <f>Tabelad[[#This Row],[Exp %]]*Tabelad[[#This Row],[Beta Adj2]]</f>
        <v>2.0696995281452545E-3</v>
      </c>
      <c r="AB32" s="35">
        <f>_xll.BDP($B32&amp;" Equity","volatility_10d")</f>
        <v>60.864503382856107</v>
      </c>
      <c r="AC32" s="35">
        <f>_xll.BDP(B32&amp;" EQUITY","eqy_beta")</f>
        <v>2.0189828872680664</v>
      </c>
      <c r="AD32" s="15">
        <f>Tabelad[[#This Row],[D1 P&amp;L bps]]*$AD$5/10000</f>
        <v>0</v>
      </c>
      <c r="AE32" s="207"/>
      <c r="AF32" s="186" t="str">
        <f>_xll.BDP(B32&amp;" Equity","EXPECTED_REPORT_DT")</f>
        <v>06/05/2026</v>
      </c>
      <c r="AG32" s="140" t="e">
        <f>_xll.BDP(B32&amp;" Index","CHG_PCT_1D_PRE_FROM_REGULAR")/100</f>
        <v>#VALUE!</v>
      </c>
      <c r="AH32" s="19" t="e">
        <f t="shared" si="14"/>
        <v>#VALUE!</v>
      </c>
      <c r="AI32" s="364" t="str">
        <f>_xll.BDP(B32&amp;" Equity","DVD_EX_DT")</f>
        <v>#N/A N/A</v>
      </c>
    </row>
    <row r="33" spans="2:35">
      <c r="B33" s="39" t="s">
        <v>1004</v>
      </c>
      <c r="C33" t="s">
        <v>736</v>
      </c>
      <c r="E33" t="s">
        <v>138</v>
      </c>
      <c r="F33" s="21" t="s">
        <v>47</v>
      </c>
      <c r="G33" s="15"/>
      <c r="H33" s="365">
        <v>44721</v>
      </c>
      <c r="I33" s="35" cm="1">
        <f t="array" ref="I33">_xll.BDP(B33&amp;" Equity","LAST_PRICE")</f>
        <v>84.82</v>
      </c>
      <c r="J33" s="50">
        <f t="shared" si="7"/>
        <v>0</v>
      </c>
      <c r="K33" s="357">
        <f>_xll.BDP(B33&amp;" equity","PX_YEST_CLOSE")</f>
        <v>84.82</v>
      </c>
      <c r="L33" s="52">
        <f>_xll.BDP(E33&amp;" Curncy","PX_LAST")</f>
        <v>1</v>
      </c>
      <c r="M33" s="51">
        <v>1</v>
      </c>
      <c r="N33" s="15">
        <f t="shared" si="8"/>
        <v>3793235.2199999997</v>
      </c>
      <c r="O33" s="285">
        <f>IFERROR(IF(Tabelad[[#This Row],[D1 Exp USD]]&lt;&gt;0,N33/$AE$7,0),"-")</f>
        <v>1.5830448384155872E-3</v>
      </c>
      <c r="P33" s="19">
        <f>IFERROR(IF(Tabelad[[#This Row],[D1 Exp USD]]&lt;&gt;0,((I33-K33)/L33*M33*H33)/$AD$7*10000,0),"-")</f>
        <v>0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0</v>
      </c>
      <c r="R33" s="18">
        <f t="shared" si="37"/>
        <v>0</v>
      </c>
      <c r="S33" s="19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0</v>
      </c>
      <c r="T33" s="13">
        <f t="shared" si="10"/>
        <v>3793235.2199999997</v>
      </c>
      <c r="U33" s="47">
        <f t="shared" si="11"/>
        <v>1.5830448384155872E-3</v>
      </c>
      <c r="V33" s="19">
        <f t="shared" si="12"/>
        <v>0</v>
      </c>
      <c r="W33" s="15">
        <f t="shared" si="13"/>
        <v>5649.9978920066023</v>
      </c>
      <c r="X33" s="18"/>
      <c r="Y33" s="303">
        <f>Tabelad[[#This Row],[Exp %]]*$Y$10*$AD$7/Tabelad[[#This Row],[Price Today]]</f>
        <v>15652.350000000002</v>
      </c>
      <c r="Z33" s="196">
        <f>Tabelad[[#This Row],[Vol 10d]]/16*Tabelad[[#This Row],[Exp %]]*100</f>
        <v>0.30328725607453677</v>
      </c>
      <c r="AA33" s="18">
        <f>Tabelad[[#This Row],[Exp %]]*Tabelad[[#This Row],[Beta Adj2]]</f>
        <v>1.4702026618789827E-3</v>
      </c>
      <c r="AB33" s="35">
        <f>_xll.BDP($B33&amp;" Equity","volatility_10d")</f>
        <v>30.653560653717033</v>
      </c>
      <c r="AC33" s="35">
        <f>_xll.BDP(B33&amp;" EQUITY","eqy_beta")</f>
        <v>0.92871826887130737</v>
      </c>
      <c r="AD33" s="15">
        <f>Tabelad[[#This Row],[D1 P&amp;L bps]]*$AD$5/10000</f>
        <v>0</v>
      </c>
      <c r="AE33" s="207"/>
      <c r="AF33" s="186" t="str">
        <f>_xll.BDP(B33&amp;" Equity","EXPECTED_REPORT_DT")</f>
        <v>11/02/2026</v>
      </c>
      <c r="AG33" s="140">
        <f>_xll.BDP(B33&amp;" Index","CHG_PCT_1D_PRE_FROM_REGULAR")/100</f>
        <v>-4.0084450000000002E-3</v>
      </c>
      <c r="AH33" s="19">
        <f t="shared" si="14"/>
        <v>-6.3455481673227676E-2</v>
      </c>
      <c r="AI33" s="364" t="str">
        <f>_xll.BDP(B33&amp;" Equity","DVD_EX_DT")</f>
        <v>02/01/2026</v>
      </c>
    </row>
    <row r="34" spans="2:35">
      <c r="B34" s="39" t="s">
        <v>84</v>
      </c>
      <c r="C34" t="s">
        <v>552</v>
      </c>
      <c r="E34" t="s">
        <v>138</v>
      </c>
      <c r="F34" s="21" t="s">
        <v>47</v>
      </c>
      <c r="G34" s="15"/>
      <c r="H34" s="365">
        <v>16500</v>
      </c>
      <c r="I34" s="35" cm="1">
        <f t="array" ref="I34">_xll.BDP(B34&amp;" Equity","LAST_PRICE")</f>
        <v>332.92</v>
      </c>
      <c r="J34" s="50">
        <f t="shared" si="7"/>
        <v>0</v>
      </c>
      <c r="K34" s="357">
        <f>_xll.BDP(B34&amp;" equity","PX_YEST_CLOSE")</f>
        <v>332.92</v>
      </c>
      <c r="L34" s="52">
        <f>_xll.BDP(E34&amp;" Curncy","PX_LAST")</f>
        <v>1</v>
      </c>
      <c r="M34" s="51">
        <v>1</v>
      </c>
      <c r="N34" s="15">
        <f t="shared" si="8"/>
        <v>5493180</v>
      </c>
      <c r="O34" s="285">
        <f>IFERROR(IF(Tabelad[[#This Row],[D1 Exp USD]]&lt;&gt;0,N34/$AE$7,0),"-")</f>
        <v>2.292489060429987E-3</v>
      </c>
      <c r="P34" s="19">
        <f>IFERROR(IF(Tabelad[[#This Row],[D1 Exp USD]]&lt;&gt;0,((I34-K34)/L34*M34*H34)/$AD$7*10000,0),"-")</f>
        <v>0</v>
      </c>
      <c r="Q34" s="15">
        <f>IF(SUM(SUMIFS(Options!$AL$4:$AL$28, Options!$D$4:$D$28, B34), SUMIFS(Options!$AL$4:$AL$28, Options!$D$4:$D$28, B34 &amp; " US"))=0,0,SUM(SUMIFS(Options!$AL$4:$AL$28, Options!$D$4:$D$28, B34), SUMIFS(Options!$AL$4:$AL$28, Options!$D$4:$D$28, B34 &amp; " US")))</f>
        <v>-5393210.7510566711</v>
      </c>
      <c r="R34" s="18">
        <f t="shared" ref="R34:R44" si="53">Q34/$AE$7</f>
        <v>-2.250768525224153E-3</v>
      </c>
      <c r="S34" s="19">
        <f>IF(SUM(SUMIFS(Options!$AK$4:$AK$28, Options!$D$4:$D$28, B34), SUMIFS(Options!$AK$4:$AK$28, Options!$D$4:$D$28, B34 &amp; " US"))=0,0,SUM(SUMIFS(Options!$AK$4:$AK$28, Options!$D$4:$D$28, B34), SUMIFS(Options!AK$4:$AK$28, Options!$D$4:$D$28, B34 &amp; " US")))</f>
        <v>-0.62583359639058023</v>
      </c>
      <c r="T34" s="13">
        <f t="shared" si="10"/>
        <v>99969.248943328857</v>
      </c>
      <c r="U34" s="47">
        <f t="shared" si="11"/>
        <v>4.1720535205834045E-5</v>
      </c>
      <c r="V34" s="19">
        <f t="shared" si="12"/>
        <v>-0.62583359639058023</v>
      </c>
      <c r="W34" s="15">
        <f t="shared" si="13"/>
        <v>1439.4834230445751</v>
      </c>
      <c r="X34" s="18"/>
      <c r="Y34" s="303">
        <f>Tabelad[[#This Row],[Exp %]]*$Y$10*$AD$7/Tabelad[[#This Row],[Price Today]]</f>
        <v>105.09803295135498</v>
      </c>
      <c r="Z34" s="196">
        <f>Tabelad[[#This Row],[Vol 10d]]/16*Tabelad[[#This Row],[Exp %]]*100</f>
        <v>1.3396421820042062E-2</v>
      </c>
      <c r="AA34" s="18">
        <f>Tabelad[[#This Row],[Exp %]]*Tabelad[[#This Row],[Beta Adj2]]</f>
        <v>8.4675039383626187E-5</v>
      </c>
      <c r="AB34" s="35">
        <f>_xll.BDP($B34&amp;" Equity","volatility_10d")</f>
        <v>51.375838795735326</v>
      </c>
      <c r="AC34" s="35">
        <f>_xll.BDP(B34&amp;" EQUITY","eqy_beta")</f>
        <v>2.0295770168304443</v>
      </c>
      <c r="AD34" s="15">
        <f>Tabelad[[#This Row],[D1 P&amp;L bps]]*$AD$5/10000</f>
        <v>0</v>
      </c>
      <c r="AE34" s="207"/>
      <c r="AF34" s="186" t="str">
        <f>_xll.BDP(B34&amp;" Equity","EXPECTED_REPORT_DT")</f>
        <v>04/03/2026</v>
      </c>
      <c r="AG34" s="140">
        <f>_xll.BDP(B34&amp;" Index","CHG_PCT_1D_PRE_FROM_REGULAR")/100</f>
        <v>-1.32765E-2</v>
      </c>
      <c r="AH34" s="19">
        <f t="shared" si="14"/>
        <v>-5.539026856602557E-3</v>
      </c>
      <c r="AI34" s="364" t="str">
        <f>_xll.BDP(B34&amp;" Equity","DVD_EX_DT")</f>
        <v>22/12/2025</v>
      </c>
    </row>
    <row r="35" spans="2:35">
      <c r="B35" s="39" t="s">
        <v>44</v>
      </c>
      <c r="C35" t="s">
        <v>552</v>
      </c>
      <c r="E35" t="s">
        <v>138</v>
      </c>
      <c r="F35" s="21" t="s">
        <v>47</v>
      </c>
      <c r="G35" s="15"/>
      <c r="H35" s="365"/>
      <c r="I35" s="35" cm="1">
        <f t="array" ref="I35">_xll.BDP(B35&amp;" Equity","LAST_PRICE")</f>
        <v>348.85</v>
      </c>
      <c r="J35" s="50">
        <f t="shared" si="7"/>
        <v>0</v>
      </c>
      <c r="K35" s="357">
        <f>_xll.BDP(B35&amp;" equity","PX_YEST_CLOSE")</f>
        <v>348.85</v>
      </c>
      <c r="L35" s="52">
        <f>_xll.BDP(E35&amp;" Curncy","PX_LAST")</f>
        <v>1</v>
      </c>
      <c r="M35" s="51">
        <v>1</v>
      </c>
      <c r="N35" s="15">
        <f t="shared" si="8"/>
        <v>0</v>
      </c>
      <c r="O35" s="285">
        <f>IFERROR(IF(Tabelad[[#This Row],[D1 Exp USD]]&lt;&gt;0,N35/$AE$7,0),"-")</f>
        <v>0</v>
      </c>
      <c r="P35" s="19">
        <f>IFERROR(IF(Tabelad[[#This Row],[D1 Exp USD]]&lt;&gt;0,((I35-K35)/L35*M35*H35)/$AD$7*10000,0),"-")</f>
        <v>0</v>
      </c>
      <c r="Q35" s="15">
        <f>IF(SUM(SUMIFS(Options!$AL$4:$AL$28, Options!$D$4:$D$28, B35), SUMIFS(Options!$AL$4:$AL$28, Options!$D$4:$D$28, B35 &amp; " US"))=0,0,SUM(SUMIFS(Options!$AL$4:$AL$28, Options!$D$4:$D$28, B35), SUMIFS(Options!$AL$4:$AL$28, Options!$D$4:$D$28, B35 &amp; " US")))</f>
        <v>13721626.566894349</v>
      </c>
      <c r="R35" s="18">
        <f t="shared" si="53"/>
        <v>5.7264970009922806E-3</v>
      </c>
      <c r="S35" s="19">
        <f>IF(SUM(SUMIFS(Options!$AK$4:$AK$28, Options!$D$4:$D$28, B35), SUMIFS(Options!$AK$4:$AK$28, Options!$D$4:$D$28, B35 &amp; " US"))=0,0,SUM(SUMIFS(Options!$AK$4:$AK$28, Options!$D$4:$D$28, B35), SUMIFS(Options!AK$4:$AK$28, Options!$D$4:$D$28, B35 &amp; " US")))</f>
        <v>3.6203175643429812</v>
      </c>
      <c r="T35" s="13">
        <f t="shared" si="10"/>
        <v>13721626.566894349</v>
      </c>
      <c r="U35" s="47">
        <f t="shared" si="11"/>
        <v>5.7264970009922806E-3</v>
      </c>
      <c r="V35" s="19">
        <f t="shared" si="12"/>
        <v>3.6203175643429812</v>
      </c>
      <c r="W35" s="15">
        <f t="shared" si="13"/>
        <v>1373.7503832592804</v>
      </c>
      <c r="X35" s="18"/>
      <c r="Y35" s="303">
        <f>Tabelad[[#This Row],[Exp %]]*$Y$10*$AD$7/Tabelad[[#This Row],[Price Today]]</f>
        <v>13766.860537230965</v>
      </c>
      <c r="Z35" s="196">
        <f>Tabelad[[#This Row],[Vol 10d]]/16*Tabelad[[#This Row],[Exp %]]*100</f>
        <v>1.6134808971543835</v>
      </c>
      <c r="AA35" s="18">
        <f>Tabelad[[#This Row],[Exp %]]*Tabelad[[#This Row],[Beta Adj2]]</f>
        <v>8.3502528748968432E-3</v>
      </c>
      <c r="AB35" s="35">
        <f>_xll.BDP($B35&amp;" Equity","volatility_10d")</f>
        <v>45.08112786926602</v>
      </c>
      <c r="AC35" s="35" cm="1">
        <f t="array" ref="AC35">_xll.BDP(B35&amp;" EQUITY","eqy_beta")</f>
        <v>1.4581781625747681</v>
      </c>
      <c r="AD35" s="15">
        <f>Tabelad[[#This Row],[D1 P&amp;L bps]]*$AD$5/10000</f>
        <v>0</v>
      </c>
      <c r="AE35" s="207"/>
      <c r="AF35" s="186" t="str">
        <f>_xll.BDP(B35&amp;" Equity","EXPECTED_REPORT_DT")</f>
        <v>17/04/2026</v>
      </c>
      <c r="AG35" s="140" t="e">
        <f>_xll.BDP(B35&amp;" Index","CHG_PCT_1D_PRE_FROM_REGULAR")/100</f>
        <v>#VALUE!</v>
      </c>
      <c r="AH35" s="19" t="e">
        <f t="shared" si="14"/>
        <v>#VALUE!</v>
      </c>
      <c r="AI35" s="364" t="str">
        <f>_xll.BDP(B35&amp;" Equity","DVD_EX_DT")</f>
        <v>17/03/2026</v>
      </c>
    </row>
    <row r="36" spans="2:35">
      <c r="B36" s="39" t="s">
        <v>345</v>
      </c>
      <c r="C36" t="s">
        <v>552</v>
      </c>
      <c r="E36" t="s">
        <v>138</v>
      </c>
      <c r="F36" s="21" t="s">
        <v>47</v>
      </c>
      <c r="G36" s="15"/>
      <c r="H36" s="365">
        <v>1500</v>
      </c>
      <c r="I36" s="35" cm="1">
        <f t="array" ref="I36">_xll.BDP(B36&amp;" Equity","LAST_PRICE")</f>
        <v>50.59</v>
      </c>
      <c r="J36" s="50">
        <f t="shared" si="7"/>
        <v>0</v>
      </c>
      <c r="K36" s="357">
        <f>_xll.BDP(B36&amp;" equity","PX_YEST_CLOSE")</f>
        <v>50.59</v>
      </c>
      <c r="L36" s="52">
        <f>_xll.BDP(E36&amp;" Curncy","PX_LAST")</f>
        <v>1</v>
      </c>
      <c r="M36" s="51">
        <v>1</v>
      </c>
      <c r="N36" s="15">
        <f t="shared" si="8"/>
        <v>75885</v>
      </c>
      <c r="O36" s="285">
        <f>IFERROR(IF(Tabelad[[#This Row],[D1 Exp USD]]&lt;&gt;0,N36/$AE$7,0),"-")</f>
        <v>3.166936680588103E-5</v>
      </c>
      <c r="P36" s="19">
        <f>IFERROR(IF(Tabelad[[#This Row],[D1 Exp USD]]&lt;&gt;0,((I36-K36)/L36*M36*H36)/$AD$7*10000,0),"-")</f>
        <v>0</v>
      </c>
      <c r="Q36" s="15">
        <f>IF(SUM(SUMIFS(Options!$AL$4:$AL$28, Options!$D$4:$D$28, B36), SUMIFS(Options!$AL$4:$AL$28, Options!$D$4:$D$28, B36 &amp; " US"))=0,0,SUM(SUMIFS(Options!$AL$4:$AL$28, Options!$D$4:$D$28, B36), SUMIFS(Options!$AL$4:$AL$28, Options!$D$4:$D$28, B36 &amp; " US")))</f>
        <v>566491.66078120493</v>
      </c>
      <c r="R36" s="18">
        <f>Q36/$AE$7</f>
        <v>2.3641605320883849E-4</v>
      </c>
      <c r="S36" s="19">
        <f>IF(SUM(SUMIFS(Options!$AK$4:$AK$28, Options!$D$4:$D$28, B36), SUMIFS(Options!$AK$4:$AK$28, Options!$D$4:$D$28, B36 &amp; " US"))=0,0,SUM(SUMIFS(Options!$AK$4:$AK$28, Options!$D$4:$D$28, B36), SUMIFS(Options!AK$4:$AK$28, Options!$D$4:$D$28, B36 &amp; " US")))</f>
        <v>5.3783878857586183E-2</v>
      </c>
      <c r="T36" s="13">
        <f t="shared" si="10"/>
        <v>642376.66078120493</v>
      </c>
      <c r="U36" s="47">
        <f t="shared" si="11"/>
        <v>2.6808542001471956E-4</v>
      </c>
      <c r="V36" s="19">
        <f t="shared" si="12"/>
        <v>5.3783878857586183E-2</v>
      </c>
      <c r="W36" s="15">
        <f t="shared" si="13"/>
        <v>9472.8764815180857</v>
      </c>
      <c r="X36" s="18"/>
      <c r="Y36" s="303">
        <f>Tabelad[[#This Row],[Exp %]]*$Y$10*$AD$7/Tabelad[[#This Row],[Price Today]]</f>
        <v>4444.1951230168361</v>
      </c>
      <c r="Z36" s="196">
        <f>Tabelad[[#This Row],[Vol 10d]]/16*Tabelad[[#This Row],[Exp %]]*100</f>
        <v>0.12010490641477614</v>
      </c>
      <c r="AA36" s="18">
        <f>Tabelad[[#This Row],[Exp %]]*Tabelad[[#This Row],[Beta Adj2]]</f>
        <v>3.9319771036617059E-4</v>
      </c>
      <c r="AB36" s="35">
        <f>_xll.BDP($B36&amp;" Equity","volatility_10d")</f>
        <v>71.681574571675924</v>
      </c>
      <c r="AC36" s="35">
        <f>_xll.BDP(B36&amp;" EQUITY","eqy_beta")</f>
        <v>1.4666881561279297</v>
      </c>
      <c r="AD36" s="15">
        <f>Tabelad[[#This Row],[D1 P&amp;L bps]]*$AD$5/10000</f>
        <v>0</v>
      </c>
      <c r="AE36" s="207"/>
      <c r="AF36" s="186" t="str">
        <f>_xll.BDP(B36&amp;" Equity","EXPECTED_REPORT_DT")</f>
        <v>24/04/2026</v>
      </c>
      <c r="AG36" s="140" t="e">
        <f>_xll.BDP(B36&amp;" Index","CHG_PCT_1D_PRE_FROM_REGULAR")/100</f>
        <v>#VALUE!</v>
      </c>
      <c r="AH36" s="19" t="e">
        <f t="shared" si="14"/>
        <v>#VALUE!</v>
      </c>
      <c r="AI36" s="364" t="str">
        <f>_xll.BDP(B36&amp;" Equity","DVD_EX_DT")</f>
        <v>03/09/2024</v>
      </c>
    </row>
    <row r="37" spans="2:35">
      <c r="B37" s="39" t="s">
        <v>42</v>
      </c>
      <c r="C37" t="s">
        <v>552</v>
      </c>
      <c r="E37" t="s">
        <v>138</v>
      </c>
      <c r="F37" s="21" t="s">
        <v>47</v>
      </c>
      <c r="G37" s="15"/>
      <c r="H37" s="365">
        <v>25027</v>
      </c>
      <c r="I37" s="35" cm="1">
        <f t="array" ref="I37">_xll.BDP(B37&amp;" Equity","LAST_PRICE")</f>
        <v>185.41</v>
      </c>
      <c r="J37" s="50">
        <f t="shared" si="7"/>
        <v>0</v>
      </c>
      <c r="K37" s="357">
        <f>_xll.BDP(B37&amp;" equity","PX_YEST_CLOSE")</f>
        <v>185.41</v>
      </c>
      <c r="L37" s="52">
        <f>_xll.BDP(E37&amp;" Curncy","PX_LAST")</f>
        <v>1</v>
      </c>
      <c r="M37" s="51">
        <v>1</v>
      </c>
      <c r="N37" s="15">
        <f t="shared" si="8"/>
        <v>4640256.07</v>
      </c>
      <c r="O37" s="285">
        <f>IFERROR(IF(Tabelad[[#This Row],[D1 Exp USD]]&lt;&gt;0,N37/$AE$7,0),"-")</f>
        <v>1.9365351723535083E-3</v>
      </c>
      <c r="P37" s="19">
        <f>IFERROR(IF(Tabelad[[#This Row],[D1 Exp USD]]&lt;&gt;0,((I37-K37)/L37*M37*H37)/$AD$7*10000,0),"-")</f>
        <v>0</v>
      </c>
      <c r="Q37" s="15">
        <f>IF(SUM(SUMIFS(Options!$AL$4:$AL$28, Options!$D$4:$D$28, B37), SUMIFS(Options!$AL$4:$AL$28, Options!$D$4:$D$28, B37 &amp; " US"))=0,0,SUM(SUMIFS(Options!$AL$4:$AL$28, Options!$D$4:$D$28, B37), SUMIFS(Options!$AL$4:$AL$28, Options!$D$4:$D$28, B37 &amp; " US")))</f>
        <v>1203461.9785264134</v>
      </c>
      <c r="R37" s="18">
        <f t="shared" si="53"/>
        <v>5.0224522415344679E-4</v>
      </c>
      <c r="S37" s="19">
        <f>IF(SUM(SUMIFS(Options!$AK$4:$AK$28, Options!$D$4:$D$28, B37), SUMIFS(Options!$AK$4:$AK$28, Options!$D$4:$D$28, B37 &amp; " US"))=0,0,SUM(SUMIFS(Options!$AK$4:$AK$28, Options!$D$4:$D$28, B37), SUMIFS(Options!AK$4:$AK$28, Options!$D$4:$D$28, B37 &amp; " US")))</f>
        <v>0.25666021724473653</v>
      </c>
      <c r="T37" s="13">
        <f t="shared" si="10"/>
        <v>5843718.0485264137</v>
      </c>
      <c r="U37" s="47">
        <f t="shared" si="11"/>
        <v>2.4387803965069551E-3</v>
      </c>
      <c r="V37" s="19">
        <f t="shared" si="12"/>
        <v>0.25666021724473653</v>
      </c>
      <c r="W37" s="15">
        <f t="shared" si="13"/>
        <v>2584.7193851464322</v>
      </c>
      <c r="X37" s="18"/>
      <c r="Y37" s="303">
        <f>Tabelad[[#This Row],[Exp %]]*$Y$10*$AD$7/Tabelad[[#This Row],[Price Today]]</f>
        <v>11031.2351921916</v>
      </c>
      <c r="Z37" s="196">
        <f>Tabelad[[#This Row],[Vol 10d]]/16*Tabelad[[#This Row],[Exp %]]*100</f>
        <v>0.83598721012676891</v>
      </c>
      <c r="AA37" s="18">
        <f>Tabelad[[#This Row],[Exp %]]*Tabelad[[#This Row],[Beta Adj2]]</f>
        <v>4.4956097016307294E-3</v>
      </c>
      <c r="AB37" s="35">
        <f>_xll.BDP($B37&amp;" Equity","volatility_10d")</f>
        <v>54.846247662095138</v>
      </c>
      <c r="AC37" s="35" cm="1">
        <f t="array" ref="AC37">_xll.BDP(B37&amp;" EQUITY","eqy_beta")</f>
        <v>1.8433843851089478</v>
      </c>
      <c r="AD37" s="15">
        <f>Tabelad[[#This Row],[D1 P&amp;L bps]]*$AD$5/10000</f>
        <v>0</v>
      </c>
      <c r="AE37" s="207"/>
      <c r="AF37" s="186" t="str">
        <f>_xll.BDP(B37&amp;" Equity","EXPECTED_REPORT_DT")</f>
        <v>25/02/2026</v>
      </c>
      <c r="AG37" s="140">
        <f>_xll.BDP(B37&amp;" Index","CHG_PCT_1D_PRE_FROM_REGULAR")/100</f>
        <v>-7.9283820000000012E-3</v>
      </c>
      <c r="AH37" s="19">
        <f t="shared" si="14"/>
        <v>-0.19335582597618609</v>
      </c>
      <c r="AI37" s="364" t="str">
        <f>_xll.BDP(B37&amp;" Equity","DVD_EX_DT")</f>
        <v>04/12/2025</v>
      </c>
    </row>
    <row r="38" spans="2:35">
      <c r="B38" s="39" t="s">
        <v>85</v>
      </c>
      <c r="C38" t="s">
        <v>552</v>
      </c>
      <c r="E38" t="s">
        <v>138</v>
      </c>
      <c r="F38" s="21" t="s">
        <v>48</v>
      </c>
      <c r="G38" s="15"/>
      <c r="H38" s="365">
        <v>3500</v>
      </c>
      <c r="I38" s="35" cm="1">
        <f t="array" ref="I38">_xll.BDP(B38&amp;" Equity","LAST_PRICE")</f>
        <v>80.28</v>
      </c>
      <c r="J38" s="50">
        <f t="shared" si="7"/>
        <v>0</v>
      </c>
      <c r="K38" s="357">
        <f>_xll.BDP(B38&amp;" equity","PX_YEST_CLOSE")</f>
        <v>80.28</v>
      </c>
      <c r="L38" s="52">
        <f>_xll.BDP(E38&amp;" Curncy","PX_LAST")</f>
        <v>1</v>
      </c>
      <c r="M38" s="51">
        <v>1</v>
      </c>
      <c r="N38" s="15">
        <f t="shared" si="8"/>
        <v>280980</v>
      </c>
      <c r="O38" s="285">
        <f>IFERROR(IF(Tabelad[[#This Row],[D1 Exp USD]]&lt;&gt;0,N38/$AE$7,0),"-")</f>
        <v>1.1726241925435136E-4</v>
      </c>
      <c r="P38" s="19">
        <f>IFERROR(IF(Tabelad[[#This Row],[D1 Exp USD]]&lt;&gt;0,((I38-K38)/L38*M38*H38)/$AD$7*10000,0),"-")</f>
        <v>0</v>
      </c>
      <c r="Q38" s="15">
        <f>IF(SUM(SUMIFS(Options!$AL$4:$AL$28, Options!$D$4:$D$28, B38), SUMIFS(Options!$AL$4:$AL$28, Options!$D$4:$D$28, B38 &amp; " US"))=0,0,SUM(SUMIFS(Options!$AL$4:$AL$28, Options!$D$4:$D$28, B38), SUMIFS(Options!$AL$4:$AL$28, Options!$D$4:$D$28, B38 &amp; " US")))</f>
        <v>-496223.12608212233</v>
      </c>
      <c r="R38" s="18">
        <f t="shared" si="53"/>
        <v>-2.0709062657252005E-4</v>
      </c>
      <c r="S38" s="19">
        <f>IF(SUM(SUMIFS(Options!$AK$4:$AK$28, Options!$D$4:$D$28, B38), SUMIFS(Options!$AK$4:$AK$28, Options!$D$4:$D$28, B38 &amp; " US"))=0,0,SUM(SUMIFS(Options!$AK$4:$AK$28, Options!$D$4:$D$28, B38), SUMIFS(Options!AK$4:$AK$28, Options!$D$4:$D$28, B38 &amp; " US")))</f>
        <v>-0.24414020664743227</v>
      </c>
      <c r="T38" s="13">
        <f t="shared" si="10"/>
        <v>-215243.12608212233</v>
      </c>
      <c r="U38" s="47">
        <f t="shared" si="11"/>
        <v>-8.982820731816869E-5</v>
      </c>
      <c r="V38" s="19">
        <f t="shared" si="12"/>
        <v>-0.24414020664743227</v>
      </c>
      <c r="W38" s="15">
        <f t="shared" si="13"/>
        <v>5969.5169556552064</v>
      </c>
      <c r="X38" s="18"/>
      <c r="Y38" s="303">
        <f>Tabelad[[#This Row],[Exp %]]*$Y$10*$AD$7/Tabelad[[#This Row],[Price Today]]</f>
        <v>-938.40426169335842</v>
      </c>
      <c r="Z38" s="196">
        <f>Tabelad[[#This Row],[Vol 10d]]/16*Tabelad[[#This Row],[Exp %]]*100</f>
        <v>-3.2587521029142232E-2</v>
      </c>
      <c r="AA38" s="18">
        <f>Tabelad[[#This Row],[Exp %]]*Tabelad[[#This Row],[Beta Adj2]]</f>
        <v>-1.7816349836805189E-4</v>
      </c>
      <c r="AB38" s="35">
        <f>_xll.BDP($B38&amp;" Equity","volatility_10d")</f>
        <v>58.044165862009478</v>
      </c>
      <c r="AC38" s="35">
        <f>_xll.BDP(B38&amp;" EQUITY","eqy_beta")</f>
        <v>1.9833803176879883</v>
      </c>
      <c r="AD38" s="15">
        <f>Tabelad[[#This Row],[D1 P&amp;L bps]]*$AD$5/10000</f>
        <v>0</v>
      </c>
      <c r="AE38" s="207"/>
      <c r="AF38" s="186" t="str">
        <f>_xll.BDP(B38&amp;" Equity","EXPECTED_REPORT_DT")</f>
        <v>05/03/2026</v>
      </c>
      <c r="AG38" s="140">
        <f>_xll.BDP(B38&amp;" Index","CHG_PCT_1D_PRE_FROM_REGULAR")/100</f>
        <v>-1.295467E-2</v>
      </c>
      <c r="AH38" s="19">
        <f t="shared" si="14"/>
        <v>1.1636947824984601E-2</v>
      </c>
      <c r="AI38" s="364" t="str">
        <f>_xll.BDP(B38&amp;" Equity","DVD_EX_DT")</f>
        <v>09/01/2026</v>
      </c>
    </row>
    <row r="39" spans="2:35">
      <c r="B39" s="39" t="s">
        <v>799</v>
      </c>
      <c r="C39" t="s">
        <v>800</v>
      </c>
      <c r="E39" t="s">
        <v>138</v>
      </c>
      <c r="F39" s="21" t="s">
        <v>47</v>
      </c>
      <c r="G39" s="15"/>
      <c r="H39" s="365">
        <v>39000</v>
      </c>
      <c r="I39" s="35" cm="1">
        <f t="array" ref="I39">_xll.BDP(B39&amp;" Equity","LAST_PRICE")</f>
        <v>14.45</v>
      </c>
      <c r="J39" s="50">
        <f t="shared" si="7"/>
        <v>0</v>
      </c>
      <c r="K39" s="357">
        <f>_xll.BDP(B39&amp;" equity","PX_YEST_CLOSE")</f>
        <v>14.45</v>
      </c>
      <c r="L39" s="52">
        <f>_xll.BDP(E39&amp;" Curncy","PX_LAST")</f>
        <v>1</v>
      </c>
      <c r="M39" s="51">
        <v>1</v>
      </c>
      <c r="N39" s="15">
        <f t="shared" si="8"/>
        <v>563550</v>
      </c>
      <c r="O39" s="285">
        <f>IFERROR(IF(Tabelad[[#This Row],[D1 Exp USD]]&lt;&gt;0,N39/$AE$7,0),"-")</f>
        <v>2.3518839907035985E-4</v>
      </c>
      <c r="P39" s="19">
        <f>IFERROR(IF(Tabelad[[#This Row],[D1 Exp USD]]&lt;&gt;0,((I39-K39)/L39*M39*H39)/$AD$7*10000,0),"-")</f>
        <v>0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0</v>
      </c>
      <c r="R39" s="18">
        <f t="shared" si="53"/>
        <v>0</v>
      </c>
      <c r="S39" s="19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0</v>
      </c>
      <c r="T39" s="13">
        <f t="shared" si="10"/>
        <v>563550</v>
      </c>
      <c r="U39" s="47">
        <f t="shared" si="11"/>
        <v>2.3518839907035985E-4</v>
      </c>
      <c r="V39" s="19">
        <f t="shared" si="12"/>
        <v>0</v>
      </c>
      <c r="W39" s="15">
        <f t="shared" si="13"/>
        <v>33164.901121107272</v>
      </c>
      <c r="X39" s="18"/>
      <c r="Y39" s="303">
        <f>Tabelad[[#This Row],[Exp %]]*$Y$10*$AD$7/Tabelad[[#This Row],[Price Today]]</f>
        <v>13650</v>
      </c>
      <c r="Z39" s="196">
        <f>Tabelad[[#This Row],[Vol 10d]]/16*Tabelad[[#This Row],[Exp %]]*100</f>
        <v>0.23560138307206824</v>
      </c>
      <c r="AA39" s="18">
        <f>Tabelad[[#This Row],[Exp %]]*Tabelad[[#This Row],[Beta Adj2]]</f>
        <v>4.7852682566644993E-4</v>
      </c>
      <c r="AB39" s="35">
        <f>_xll.BDP($B39&amp;" Equity","volatility_10d")</f>
        <v>160.28095535551299</v>
      </c>
      <c r="AC39" s="35">
        <f>_xll.BDP(B39&amp;" EQUITY","eqy_beta")</f>
        <v>2.0346531867980957</v>
      </c>
      <c r="AD39" s="15">
        <f>Tabelad[[#This Row],[D1 P&amp;L bps]]*$AD$5/10000</f>
        <v>0</v>
      </c>
      <c r="AE39" s="207"/>
      <c r="AF39" s="186" t="str">
        <f>_xll.BDP(B39&amp;" Equity","EXPECTED_REPORT_DT")</f>
        <v>24/02/2026</v>
      </c>
      <c r="AG39" s="140">
        <f>_xll.BDP(B39&amp;" Index","CHG_PCT_1D_PRE_FROM_REGULAR")/100</f>
        <v>-2.076126E-2</v>
      </c>
      <c r="AH39" s="19">
        <f t="shared" si="14"/>
        <v>-4.8828075020834992E-2</v>
      </c>
      <c r="AI39" s="364" t="str">
        <f>_xll.BDP(B39&amp;" Equity","DVD_EX_DT")</f>
        <v>12/10/2017</v>
      </c>
    </row>
    <row r="40" spans="2:35">
      <c r="B40" s="39" t="s">
        <v>1131</v>
      </c>
      <c r="C40" t="s">
        <v>800</v>
      </c>
      <c r="E40" t="s">
        <v>138</v>
      </c>
      <c r="F40" s="21" t="s">
        <v>47</v>
      </c>
      <c r="G40" s="15"/>
      <c r="H40" s="365">
        <v>31500</v>
      </c>
      <c r="I40" s="35" cm="1">
        <f t="array" ref="I40">_xll.BDP(B40&amp;" Equity","LAST_PRICE")</f>
        <v>66.92</v>
      </c>
      <c r="J40" s="50">
        <f t="shared" si="7"/>
        <v>0</v>
      </c>
      <c r="K40" s="357">
        <f>_xll.BDP(B40&amp;" equity","PX_YEST_CLOSE")</f>
        <v>66.92</v>
      </c>
      <c r="L40" s="52">
        <f>_xll.BDP(E40&amp;" Curncy","PX_LAST")</f>
        <v>1</v>
      </c>
      <c r="M40" s="51">
        <v>1</v>
      </c>
      <c r="N40" s="15">
        <f t="shared" si="8"/>
        <v>2107980</v>
      </c>
      <c r="O40" s="285">
        <f>IFERROR(IF(Tabelad[[#This Row],[D1 Exp USD]]&lt;&gt;0,N40/$AE$7,0),"-")</f>
        <v>8.7973106463017851E-4</v>
      </c>
      <c r="P40" s="19">
        <f>IFERROR(IF(Tabelad[[#This Row],[D1 Exp USD]]&lt;&gt;0,((I40-K40)/L40*M40*H40)/$AD$7*10000,0),"-")</f>
        <v>0</v>
      </c>
      <c r="Q40" s="15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0</v>
      </c>
      <c r="R40" s="18">
        <f t="shared" ref="R40" si="54">Q40/$AE$7</f>
        <v>0</v>
      </c>
      <c r="S40" s="19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0</v>
      </c>
      <c r="T40" s="13">
        <f t="shared" si="10"/>
        <v>2107980</v>
      </c>
      <c r="U40" s="47">
        <f t="shared" si="11"/>
        <v>8.7973106463017851E-4</v>
      </c>
      <c r="V40" s="19">
        <f t="shared" si="12"/>
        <v>0</v>
      </c>
      <c r="W40" s="15">
        <f t="shared" si="13"/>
        <v>7161.2794560669454</v>
      </c>
      <c r="X40" s="18"/>
      <c r="Y40" s="303">
        <f>Tabelad[[#This Row],[Exp %]]*$Y$10*$AD$7/Tabelad[[#This Row],[Price Today]]</f>
        <v>11025</v>
      </c>
      <c r="Z40" s="196">
        <f>Tabelad[[#This Row],[Vol 10d]]/16*Tabelad[[#This Row],[Exp %]]*100</f>
        <v>0.17297507748604282</v>
      </c>
      <c r="AA40" s="18">
        <f>Tabelad[[#This Row],[Exp %]]*Tabelad[[#This Row],[Beta Adj2]]</f>
        <v>6.0845993729738228E-4</v>
      </c>
      <c r="AB40" s="35">
        <f>_xll.BDP($B40&amp;" Equity","volatility_10d")</f>
        <v>31.459628414282832</v>
      </c>
      <c r="AC40" s="35">
        <f>_xll.BDP(B40&amp;" EQUITY","eqy_beta")</f>
        <v>0.6916431188583374</v>
      </c>
      <c r="AD40" s="15">
        <f>Tabelad[[#This Row],[D1 P&amp;L bps]]*$AD$5/10000</f>
        <v>0</v>
      </c>
      <c r="AE40" s="207"/>
      <c r="AF40" s="186" t="str">
        <f>_xll.BDP(B40&amp;" Equity","EXPECTED_REPORT_DT")</f>
        <v>10/02/2026</v>
      </c>
      <c r="AG40" s="140">
        <f>_xll.BDP(B40&amp;" Index","CHG_PCT_1D_PRE_FROM_REGULAR")/100</f>
        <v>0</v>
      </c>
      <c r="AH40" s="19">
        <f t="shared" si="14"/>
        <v>0</v>
      </c>
      <c r="AI40" s="364" t="str">
        <f>_xll.BDP(B40&amp;" Equity","DVD_EX_DT")</f>
        <v>13/03/2026</v>
      </c>
    </row>
    <row r="41" spans="2:35">
      <c r="B41" s="39" t="s">
        <v>36</v>
      </c>
      <c r="C41" t="s">
        <v>914</v>
      </c>
      <c r="E41" t="s">
        <v>138</v>
      </c>
      <c r="F41" s="21" t="s">
        <v>47</v>
      </c>
      <c r="G41" s="15"/>
      <c r="H41" s="365">
        <v>23500</v>
      </c>
      <c r="I41" s="35" cm="1">
        <f t="array" ref="I41">_xll.BDP(B41&amp;" Equity","LAST_PRICE")</f>
        <v>54.26</v>
      </c>
      <c r="J41" s="50">
        <f t="shared" si="7"/>
        <v>0</v>
      </c>
      <c r="K41" s="357">
        <f>_xll.BDP(B41&amp;" equity","PX_YEST_CLOSE")</f>
        <v>54.26</v>
      </c>
      <c r="L41" s="52">
        <f>_xll.BDP(E41&amp;" Curncy","PX_LAST")</f>
        <v>1</v>
      </c>
      <c r="M41" s="51">
        <v>1</v>
      </c>
      <c r="N41" s="15">
        <f t="shared" si="8"/>
        <v>1275110</v>
      </c>
      <c r="O41" s="285">
        <f>IFERROR(IF(Tabelad[[#This Row],[D1 Exp USD]]&lt;&gt;0,N41/$AE$7,0),"-")</f>
        <v>5.3214635709095289E-4</v>
      </c>
      <c r="P41" s="19">
        <f>IFERROR(IF(Tabelad[[#This Row],[D1 Exp USD]]&lt;&gt;0,((I41-K41)/L41*M41*H41)/$AD$7*10000,0),"-")</f>
        <v>0</v>
      </c>
      <c r="Q41" s="15">
        <f>IF(SUM(SUMIFS(Options!$AL$4:$AL$28, Options!$D$4:$D$28, B41), SUMIFS(Options!$AL$4:$AL$28, Options!$D$4:$D$28, B41 &amp; " US"))=0,0,SUM(SUMIFS(Options!$AL$4:$AL$28, Options!$D$4:$D$28, B41), SUMIFS(Options!$AL$4:$AL$28, Options!$D$4:$D$28, B41 &amp; " US")))</f>
        <v>0</v>
      </c>
      <c r="R41" s="18">
        <f t="shared" si="53"/>
        <v>0</v>
      </c>
      <c r="S41" s="19">
        <f>IF(SUM(SUMIFS(Options!$AK$4:$AK$28, Options!$D$4:$D$28, B41), SUMIFS(Options!$AK$4:$AK$28, Options!$D$4:$D$28, B41 &amp; " US"))=0,0,SUM(SUMIFS(Options!$AK$4:$AK$28, Options!$D$4:$D$28, B41), SUMIFS(Options!AK$4:$AK$28, Options!$D$4:$D$28, B41 &amp; " US")))</f>
        <v>0</v>
      </c>
      <c r="T41" s="13">
        <f t="shared" si="10"/>
        <v>1275110</v>
      </c>
      <c r="U41" s="47">
        <f t="shared" si="11"/>
        <v>5.3214635709095289E-4</v>
      </c>
      <c r="V41" s="19">
        <f t="shared" si="12"/>
        <v>0</v>
      </c>
      <c r="W41" s="15">
        <f t="shared" si="13"/>
        <v>8832.1566752672315</v>
      </c>
      <c r="X41" s="18"/>
      <c r="Y41" s="303">
        <f>Tabelad[[#This Row],[Exp %]]*$Y$10*$AD$7/Tabelad[[#This Row],[Price Today]]</f>
        <v>8225</v>
      </c>
      <c r="Z41" s="196">
        <f>Tabelad[[#This Row],[Vol 10d]]/16*Tabelad[[#This Row],[Exp %]]*100</f>
        <v>5.6849357149424656E-2</v>
      </c>
      <c r="AA41" s="18">
        <f>Tabelad[[#This Row],[Exp %]]*Tabelad[[#This Row],[Beta Adj2]]</f>
        <v>5.3208755118739617E-4</v>
      </c>
      <c r="AB41" s="35">
        <f>_xll.BDP($B41&amp;" Equity","volatility_10d")</f>
        <v>17.092848654704408</v>
      </c>
      <c r="AC41" s="35">
        <f>_xll.BDP(B41&amp;" EQUITY","eqy_beta")</f>
        <v>0.99988949298858643</v>
      </c>
      <c r="AD41" s="15">
        <f>Tabelad[[#This Row],[D1 P&amp;L bps]]*$AD$5/10000</f>
        <v>0</v>
      </c>
      <c r="AE41" s="207"/>
      <c r="AF41" s="186" t="str">
        <f>_xll.BDP(B41&amp;" Equity","EXPECTED_REPORT_DT")</f>
        <v>#N/A N/A</v>
      </c>
      <c r="AG41" s="140">
        <f>_xll.BDP(B41&amp;" Index","CHG_PCT_1D_PRE_FROM_REGULAR")/100</f>
        <v>-1.4743460000000001E-3</v>
      </c>
      <c r="AH41" s="19">
        <f t="shared" si="14"/>
        <v>-7.8456785299161804E-3</v>
      </c>
      <c r="AI41" s="364" t="str">
        <f>_xll.BDP(B41&amp;" Equity","DVD_EX_DT")</f>
        <v>22/12/2025</v>
      </c>
    </row>
    <row r="42" spans="2:35">
      <c r="B42" s="39" t="s">
        <v>6</v>
      </c>
      <c r="C42" t="s">
        <v>914</v>
      </c>
      <c r="E42" t="s">
        <v>138</v>
      </c>
      <c r="F42" s="21" t="s">
        <v>47</v>
      </c>
      <c r="G42" s="15"/>
      <c r="H42" s="365">
        <v>15000</v>
      </c>
      <c r="I42" s="35" cm="1">
        <f t="array" ref="I42">_xll.BDP(B42&amp;" Equity","LAST_PRICE")</f>
        <v>90.6</v>
      </c>
      <c r="J42" s="50">
        <f t="shared" si="7"/>
        <v>0</v>
      </c>
      <c r="K42" s="357">
        <f>_xll.BDP(B42&amp;" equity","PX_YEST_CLOSE")</f>
        <v>90.6</v>
      </c>
      <c r="L42" s="52">
        <f>_xll.BDP(E42&amp;" Curncy","PX_LAST")</f>
        <v>1</v>
      </c>
      <c r="M42" s="51">
        <v>1</v>
      </c>
      <c r="N42" s="15">
        <f t="shared" si="8"/>
        <v>1359000</v>
      </c>
      <c r="O42" s="285">
        <f>IFERROR(IF(Tabelad[[#This Row],[D1 Exp USD]]&lt;&gt;0,N42/$AE$7,0),"-")</f>
        <v>5.6715648005788133E-4</v>
      </c>
      <c r="P42" s="19">
        <f>IFERROR(IF(Tabelad[[#This Row],[D1 Exp USD]]&lt;&gt;0,((I42-K42)/L42*M42*H42)/$AD$7*10000,0),"-")</f>
        <v>0</v>
      </c>
      <c r="Q42" s="15">
        <f>IF(SUM(SUMIFS(Options!$AL$4:$AL$28, Options!$D$4:$D$28, B42), SUMIFS(Options!$AL$4:$AL$28, Options!$D$4:$D$28, B42 &amp; " US"))=0,0,SUM(SUMIFS(Options!$AL$4:$AL$28, Options!$D$4:$D$28, B42), SUMIFS(Options!$AL$4:$AL$28, Options!$D$4:$D$28, B42 &amp; " US")))</f>
        <v>0</v>
      </c>
      <c r="R42" s="18">
        <f>Q42/$AE$7</f>
        <v>0</v>
      </c>
      <c r="S42" s="19">
        <f>IF(SUM(SUMIFS(Options!$AK$4:$AK$28, Options!$D$4:$D$28, B42), SUMIFS(Options!$AK$4:$AK$28, Options!$D$4:$D$28, B42 &amp; " US"))=0,0,SUM(SUMIFS(Options!$AK$4:$AK$28, Options!$D$4:$D$28, B42), SUMIFS(Options!AK$4:$AK$28, Options!$D$4:$D$28, B42 &amp; " US")))</f>
        <v>0</v>
      </c>
      <c r="T42" s="13">
        <f t="shared" si="10"/>
        <v>1359000</v>
      </c>
      <c r="U42" s="47">
        <f t="shared" si="11"/>
        <v>5.6715648005788133E-4</v>
      </c>
      <c r="V42" s="19">
        <f t="shared" si="12"/>
        <v>0</v>
      </c>
      <c r="W42" s="15">
        <f t="shared" si="13"/>
        <v>5289.5454878587198</v>
      </c>
      <c r="X42" s="18"/>
      <c r="Y42" s="303">
        <f>Tabelad[[#This Row],[Exp %]]*$Y$10*$AD$7/Tabelad[[#This Row],[Price Today]]</f>
        <v>5250</v>
      </c>
      <c r="Z42" s="196">
        <f>Tabelad[[#This Row],[Vol 10d]]/16*Tabelad[[#This Row],[Exp %]]*100</f>
        <v>6.6345646495298866E-2</v>
      </c>
      <c r="AA42" s="18">
        <f>Tabelad[[#This Row],[Exp %]]*Tabelad[[#This Row],[Beta Adj2]]</f>
        <v>5.6497898825292583E-4</v>
      </c>
      <c r="AB42" s="35">
        <f>_xll.BDP($B42&amp;" Equity","volatility_10d")</f>
        <v>18.716710136441481</v>
      </c>
      <c r="AC42" s="35">
        <f>_xll.BDP(B42&amp;" EQUITY","eqy_beta")</f>
        <v>0.99616068601608276</v>
      </c>
      <c r="AD42" s="15">
        <f>Tabelad[[#This Row],[D1 P&amp;L bps]]*$AD$5/10000</f>
        <v>0</v>
      </c>
      <c r="AE42" s="207"/>
      <c r="AF42" s="186" t="str">
        <f>_xll.BDP(B42&amp;" Equity","EXPECTED_REPORT_DT")</f>
        <v>#N/A N/A</v>
      </c>
      <c r="AG42" s="140">
        <f>_xll.BDP(B42&amp;" Index","CHG_PCT_1D_PRE_FROM_REGULAR")/100</f>
        <v>0</v>
      </c>
      <c r="AH42" s="19">
        <f t="shared" si="14"/>
        <v>0</v>
      </c>
      <c r="AI42" s="364" t="str">
        <f>_xll.BDP(B42&amp;" Equity","DVD_EX_DT")</f>
        <v>22/12/2025</v>
      </c>
    </row>
    <row r="43" spans="2:35">
      <c r="B43" s="39" t="s">
        <v>926</v>
      </c>
      <c r="C43" t="s">
        <v>914</v>
      </c>
      <c r="E43" t="s">
        <v>138</v>
      </c>
      <c r="F43" s="21" t="s">
        <v>48</v>
      </c>
      <c r="G43" s="15"/>
      <c r="H43" s="365">
        <v>-13470</v>
      </c>
      <c r="I43" s="35" cm="1">
        <f t="array" ref="I43">_xll.BDP(B43&amp;" Equity","LAST_PRICE")</f>
        <v>24.64</v>
      </c>
      <c r="J43" s="50">
        <f t="shared" si="7"/>
        <v>0</v>
      </c>
      <c r="K43" s="357">
        <f>_xll.BDP(B43&amp;" equity","PX_YEST_CLOSE")</f>
        <v>24.64</v>
      </c>
      <c r="L43" s="52">
        <f>_xll.BDP(E43&amp;" Curncy","PX_LAST")</f>
        <v>1</v>
      </c>
      <c r="M43" s="51">
        <v>1</v>
      </c>
      <c r="N43" s="15">
        <f t="shared" si="8"/>
        <v>-331900.79999999999</v>
      </c>
      <c r="O43" s="285">
        <f>IFERROR(IF(Tabelad[[#This Row],[D1 Exp USD]]&lt;&gt;0,N43/$AE$7,0),"-")</f>
        <v>-1.3851338444179165E-4</v>
      </c>
      <c r="P43" s="19">
        <f>IFERROR(IF(Tabelad[[#This Row],[D1 Exp USD]]&lt;&gt;0,((I43-K43)/L43*M43*H43)/$AD$7*10000,0),"-")</f>
        <v>0</v>
      </c>
      <c r="Q43" s="15">
        <f>IF(SUM(SUMIFS(Options!$AL$4:$AL$28, Options!$D$4:$D$28, B43), SUMIFS(Options!$AL$4:$AL$28, Options!$D$4:$D$28, B43 &amp; " US"))=0,0,SUM(SUMIFS(Options!$AL$4:$AL$28, Options!$D$4:$D$28, B43), SUMIFS(Options!$AL$4:$AL$28, Options!$D$4:$D$28, B43 &amp; " US")))</f>
        <v>0</v>
      </c>
      <c r="R43" s="18">
        <f t="shared" si="53"/>
        <v>0</v>
      </c>
      <c r="S43" s="19">
        <f>IF(SUM(SUMIFS(Options!$AK$4:$AK$28, Options!$D$4:$D$28, B43), SUMIFS(Options!$AK$4:$AK$28, Options!$D$4:$D$28, B43 &amp; " US"))=0,0,SUM(SUMIFS(Options!$AK$4:$AK$28, Options!$D$4:$D$28, B43), SUMIFS(Options!AK$4:$AK$28, Options!$D$4:$D$28, B43 &amp; " US")))</f>
        <v>0</v>
      </c>
      <c r="T43" s="13">
        <f t="shared" si="10"/>
        <v>-331900.79999999999</v>
      </c>
      <c r="U43" s="47">
        <f t="shared" si="11"/>
        <v>-1.3851338444179165E-4</v>
      </c>
      <c r="V43" s="19">
        <f t="shared" si="12"/>
        <v>0</v>
      </c>
      <c r="W43" s="15">
        <f t="shared" si="13"/>
        <v>19449.383977272726</v>
      </c>
      <c r="X43" s="18"/>
      <c r="Y43" s="303">
        <f>Tabelad[[#This Row],[Exp %]]*$Y$10*$AD$7/Tabelad[[#This Row],[Price Today]]</f>
        <v>-4714.5</v>
      </c>
      <c r="Z43" s="196">
        <f>Tabelad[[#This Row],[Vol 10d]]/16*Tabelad[[#This Row],[Exp %]]*100</f>
        <v>-2.2034523239357891E-2</v>
      </c>
      <c r="AA43" s="18">
        <f>Tabelad[[#This Row],[Exp %]]*Tabelad[[#This Row],[Beta Adj2]]</f>
        <v>-5.1078891860866003E-5</v>
      </c>
      <c r="AB43" s="35">
        <f>_xll.BDP($B43&amp;" Equity","volatility_10d")</f>
        <v>25.452585196045192</v>
      </c>
      <c r="AC43" s="35">
        <f>_xll.BDP(B43&amp;" EQUITY","eqy_beta")</f>
        <v>0.36876502633094788</v>
      </c>
      <c r="AD43" s="15">
        <f>Tabelad[[#This Row],[D1 P&amp;L bps]]*$AD$5/10000</f>
        <v>0</v>
      </c>
      <c r="AE43" s="207"/>
      <c r="AF43" s="186" t="str">
        <f>_xll.BDP(B43&amp;" Equity","EXPECTED_REPORT_DT")</f>
        <v>11/02/2026</v>
      </c>
      <c r="AG43" s="140" t="e">
        <f>_xll.BDP(B43&amp;" Index","CHG_PCT_1D_PRE_FROM_REGULAR")/100</f>
        <v>#VALUE!</v>
      </c>
      <c r="AH43" s="19" t="e">
        <f t="shared" si="14"/>
        <v>#VALUE!</v>
      </c>
      <c r="AI43" s="364" t="str">
        <f>_xll.BDP(B43&amp;" Equity","DVD_EX_DT")</f>
        <v>28/11/2025</v>
      </c>
    </row>
    <row r="44" spans="2:35">
      <c r="B44" s="39" t="s">
        <v>4</v>
      </c>
      <c r="C44" t="s">
        <v>914</v>
      </c>
      <c r="E44" t="s">
        <v>138</v>
      </c>
      <c r="F44" s="21" t="s">
        <v>48</v>
      </c>
      <c r="G44" s="15"/>
      <c r="H44" s="365">
        <v>-27500</v>
      </c>
      <c r="I44" s="35" cm="1">
        <f t="array" ref="I44">_xll.BDP(B44&amp;" Equity","LAST_PRICE")</f>
        <v>87.94</v>
      </c>
      <c r="J44" s="50">
        <f t="shared" si="7"/>
        <v>0</v>
      </c>
      <c r="K44" s="357">
        <f>_xll.BDP(B44&amp;" equity","PX_YEST_CLOSE")</f>
        <v>87.94</v>
      </c>
      <c r="L44" s="52">
        <f>_xll.BDP(E44&amp;" Curncy","PX_LAST")</f>
        <v>1</v>
      </c>
      <c r="M44" s="51">
        <v>1</v>
      </c>
      <c r="N44" s="15">
        <f t="shared" si="8"/>
        <v>-2418350</v>
      </c>
      <c r="O44" s="285">
        <f>IFERROR(IF(Tabelad[[#This Row],[D1 Exp USD]]&lt;&gt;0,N44/$AE$7,0),"-")</f>
        <v>-1.0092589209330222E-3</v>
      </c>
      <c r="P44" s="19">
        <f>IFERROR(IF(Tabelad[[#This Row],[D1 Exp USD]]&lt;&gt;0,((I44-K44)/L44*M44*H44)/$AD$7*10000,0),"-")</f>
        <v>0</v>
      </c>
      <c r="Q44" s="15">
        <f>IF(SUM(SUMIFS(Options!$AL$4:$AL$28, Options!$D$4:$D$28, B44), SUMIFS(Options!$AL$4:$AL$28, Options!$D$4:$D$28, B44 &amp; " US"))=0,0,SUM(SUMIFS(Options!$AL$4:$AL$28, Options!$D$4:$D$28, B44), SUMIFS(Options!$AL$4:$AL$28, Options!$D$4:$D$28, B44 &amp; " US")))</f>
        <v>0</v>
      </c>
      <c r="R44" s="18">
        <f t="shared" si="53"/>
        <v>0</v>
      </c>
      <c r="S44" s="19">
        <f>IF(SUM(SUMIFS(Options!$AK$4:$AK$28, Options!$D$4:$D$28, B44), SUMIFS(Options!$AK$4:$AK$28, Options!$D$4:$D$28, B44 &amp; " US"))=0,0,SUM(SUMIFS(Options!$AK$4:$AK$28, Options!$D$4:$D$28, B44), SUMIFS(Options!AK$4:$AK$28, Options!$D$4:$D$28, B44 &amp; " US")))</f>
        <v>0</v>
      </c>
      <c r="T44" s="13">
        <f t="shared" si="10"/>
        <v>-2418350</v>
      </c>
      <c r="U44" s="47">
        <f t="shared" si="11"/>
        <v>-1.0092589209330222E-3</v>
      </c>
      <c r="V44" s="19">
        <f t="shared" si="12"/>
        <v>0</v>
      </c>
      <c r="W44" s="15">
        <f t="shared" si="13"/>
        <v>5449.5431112121905</v>
      </c>
      <c r="X44" s="18"/>
      <c r="Y44" s="303">
        <f>Tabelad[[#This Row],[Exp %]]*$Y$10*$AD$7/Tabelad[[#This Row],[Price Today]]</f>
        <v>-9624.9999999999982</v>
      </c>
      <c r="Z44" s="196">
        <f>Tabelad[[#This Row],[Vol 10d]]/16*Tabelad[[#This Row],[Exp %]]*100</f>
        <v>-9.534665435779871E-2</v>
      </c>
      <c r="AA44" s="18">
        <f>Tabelad[[#This Row],[Exp %]]*Tabelad[[#This Row],[Beta Adj2]]</f>
        <v>-1.011863577912974E-3</v>
      </c>
      <c r="AB44" s="35">
        <f>_xll.BDP($B44&amp;" Equity","volatility_10d")</f>
        <v>15.115511372586814</v>
      </c>
      <c r="AC44" s="35">
        <f>_xll.BDP(B44&amp;" EQUITY","eqy_beta")</f>
        <v>1.0025807619094849</v>
      </c>
      <c r="AD44" s="15">
        <f>Tabelad[[#This Row],[D1 P&amp;L bps]]*$AD$5/10000</f>
        <v>0</v>
      </c>
      <c r="AE44" s="207"/>
      <c r="AF44" s="186" t="str">
        <f>_xll.BDP(B44&amp;" Equity","EXPECTED_REPORT_DT")</f>
        <v>#N/A N/A</v>
      </c>
      <c r="AG44" s="140">
        <f>_xll.BDP(B44&amp;" Index","CHG_PCT_1D_PRE_FROM_REGULAR")/100</f>
        <v>6.8225560000000009E-4</v>
      </c>
      <c r="AH44" s="19">
        <f t="shared" si="14"/>
        <v>-6.8857255065651176E-3</v>
      </c>
      <c r="AI44" s="364" t="str">
        <f>_xll.BDP(B44&amp;" Equity","DVD_EX_DT")</f>
        <v>22/12/2025</v>
      </c>
    </row>
    <row r="45" spans="2:35">
      <c r="C45" s="39"/>
      <c r="D45" s="39"/>
      <c r="E45" s="39"/>
      <c r="H45" s="13"/>
      <c r="I45" s="52"/>
      <c r="K45" s="52"/>
      <c r="L45" s="52"/>
      <c r="M45" s="35"/>
      <c r="S45" s="207"/>
      <c r="U45" s="70"/>
      <c r="V45" s="64"/>
      <c r="X45" s="52"/>
      <c r="Y45" s="363"/>
      <c r="Z45" s="18"/>
      <c r="AG45" s="52"/>
      <c r="AI45" s="47"/>
    </row>
    <row r="46" spans="2:35">
      <c r="C46" s="20"/>
      <c r="D46" s="20"/>
      <c r="E46" s="20"/>
      <c r="H46" s="13"/>
      <c r="L46" s="3"/>
      <c r="S46" s="206"/>
    </row>
    <row r="47" spans="2:35">
      <c r="C47" s="20"/>
      <c r="D47" s="20"/>
      <c r="E47" s="20"/>
      <c r="H47" s="13"/>
      <c r="L47" s="3"/>
      <c r="S47" s="206"/>
    </row>
    <row r="48" spans="2:35">
      <c r="C48" s="20"/>
      <c r="D48" s="20"/>
      <c r="E48" s="20"/>
      <c r="H48" s="13"/>
      <c r="L48" s="3"/>
      <c r="S48" s="206"/>
    </row>
    <row r="49" spans="3:19">
      <c r="C49" s="20"/>
      <c r="D49" s="20"/>
      <c r="E49" s="20"/>
      <c r="H49" s="17">
        <f>SUM(H51:H69)</f>
        <v>120</v>
      </c>
      <c r="I49" s="3">
        <f>J49/H49</f>
        <v>25110.625</v>
      </c>
      <c r="J49" s="17">
        <f>SUM(J51:J69)</f>
        <v>3013275</v>
      </c>
      <c r="S49" s="206"/>
    </row>
    <row r="50" spans="3:19">
      <c r="C50" s="20"/>
      <c r="D50" s="20"/>
      <c r="E50" s="20"/>
      <c r="H50" s="13"/>
      <c r="S50" s="206"/>
    </row>
    <row r="51" spans="3:19">
      <c r="C51" s="20"/>
      <c r="D51" s="20"/>
      <c r="E51" s="20"/>
      <c r="H51" s="13">
        <v>20</v>
      </c>
      <c r="I51" s="3">
        <v>25250</v>
      </c>
      <c r="J51" s="17">
        <f>H51*I51</f>
        <v>505000</v>
      </c>
      <c r="K51" s="3" t="s">
        <v>269</v>
      </c>
    </row>
    <row r="52" spans="3:19">
      <c r="C52" s="20"/>
      <c r="D52" s="20"/>
      <c r="E52" s="20"/>
      <c r="H52">
        <v>10</v>
      </c>
      <c r="I52" s="3">
        <v>25240</v>
      </c>
      <c r="J52" s="17">
        <f t="shared" ref="J52:J66" si="55">H52*I52</f>
        <v>252400</v>
      </c>
      <c r="K52" s="3" t="s">
        <v>269</v>
      </c>
    </row>
    <row r="53" spans="3:19">
      <c r="C53" s="20"/>
      <c r="D53" s="20"/>
      <c r="E53" s="20"/>
      <c r="H53">
        <v>5</v>
      </c>
      <c r="I53" s="3">
        <v>25275</v>
      </c>
      <c r="J53" s="17">
        <f t="shared" si="55"/>
        <v>126375</v>
      </c>
      <c r="K53" s="3" t="s">
        <v>269</v>
      </c>
    </row>
    <row r="54" spans="3:19">
      <c r="C54" s="20"/>
      <c r="D54" s="20"/>
      <c r="E54" s="20"/>
      <c r="H54" s="13">
        <v>5</v>
      </c>
      <c r="I54" s="3">
        <v>25290</v>
      </c>
      <c r="J54" s="17">
        <f t="shared" si="55"/>
        <v>126450</v>
      </c>
      <c r="K54" s="3" t="s">
        <v>269</v>
      </c>
    </row>
    <row r="55" spans="3:19">
      <c r="C55" s="20"/>
      <c r="D55" s="20"/>
      <c r="E55" s="20"/>
      <c r="H55" s="13">
        <v>5</v>
      </c>
      <c r="I55" s="3">
        <v>25300</v>
      </c>
      <c r="J55" s="17">
        <f t="shared" si="55"/>
        <v>126500</v>
      </c>
      <c r="K55" s="3" t="s">
        <v>269</v>
      </c>
    </row>
    <row r="56" spans="3:19">
      <c r="H56" s="13">
        <v>10</v>
      </c>
      <c r="I56" s="3">
        <v>25000</v>
      </c>
      <c r="J56" s="17">
        <f t="shared" si="55"/>
        <v>250000</v>
      </c>
      <c r="K56" s="3" t="s">
        <v>269</v>
      </c>
    </row>
    <row r="57" spans="3:19">
      <c r="H57" s="13">
        <v>5</v>
      </c>
      <c r="I57" s="3">
        <v>24990</v>
      </c>
      <c r="J57" s="17">
        <f t="shared" si="55"/>
        <v>124950</v>
      </c>
      <c r="K57" s="3" t="s">
        <v>269</v>
      </c>
    </row>
    <row r="58" spans="3:19">
      <c r="H58" s="13">
        <v>5</v>
      </c>
      <c r="I58" s="3">
        <v>24946</v>
      </c>
      <c r="J58" s="17">
        <f t="shared" si="55"/>
        <v>124730</v>
      </c>
      <c r="K58" s="3" t="s">
        <v>269</v>
      </c>
    </row>
    <row r="59" spans="3:19">
      <c r="H59" s="13">
        <v>5</v>
      </c>
      <c r="I59" s="3">
        <v>24950</v>
      </c>
      <c r="J59" s="17">
        <f t="shared" si="55"/>
        <v>124750</v>
      </c>
    </row>
    <row r="60" spans="3:19">
      <c r="H60" s="13">
        <v>5</v>
      </c>
      <c r="I60" s="3">
        <v>24995</v>
      </c>
      <c r="J60" s="17">
        <f t="shared" si="55"/>
        <v>124975</v>
      </c>
    </row>
    <row r="61" spans="3:19">
      <c r="H61" s="13">
        <v>5</v>
      </c>
      <c r="I61" s="3">
        <v>24990</v>
      </c>
      <c r="J61" s="17">
        <f t="shared" si="55"/>
        <v>124950</v>
      </c>
    </row>
    <row r="62" spans="3:19">
      <c r="H62" s="13">
        <v>5</v>
      </c>
      <c r="I62" s="3">
        <v>25020</v>
      </c>
      <c r="J62" s="17">
        <f t="shared" si="55"/>
        <v>125100</v>
      </c>
    </row>
    <row r="63" spans="3:19">
      <c r="H63" s="13">
        <v>10</v>
      </c>
      <c r="I63" s="3">
        <v>25037</v>
      </c>
      <c r="J63" s="17">
        <f t="shared" si="55"/>
        <v>250370</v>
      </c>
    </row>
    <row r="64" spans="3:19">
      <c r="H64" s="13">
        <v>10</v>
      </c>
      <c r="I64" s="3">
        <v>25100</v>
      </c>
      <c r="J64" s="17">
        <f t="shared" si="55"/>
        <v>251000</v>
      </c>
    </row>
    <row r="65" spans="8:10">
      <c r="H65" s="13">
        <v>5</v>
      </c>
      <c r="I65" s="3">
        <v>25093</v>
      </c>
      <c r="J65" s="17">
        <f t="shared" si="55"/>
        <v>125465</v>
      </c>
    </row>
    <row r="66" spans="8:10">
      <c r="H66" s="13">
        <v>10</v>
      </c>
      <c r="I66" s="3">
        <v>25026</v>
      </c>
      <c r="J66" s="17">
        <f t="shared" si="55"/>
        <v>250260</v>
      </c>
    </row>
  </sheetData>
  <phoneticPr fontId="5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4">
    <cfRule type="colorScale" priority="578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4">
    <cfRule type="colorScale" priority="578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8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4">
    <cfRule type="dataBar" priority="57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4">
    <cfRule type="colorScale" priority="578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4">
    <cfRule type="dataBar" priority="578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4">
    <cfRule type="colorScale" priority="578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4">
    <cfRule type="colorScale" priority="57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8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4">
    <cfRule type="colorScale" priority="57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4">
    <cfRule type="colorScale" priority="578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AB12:AB44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9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A26" sqref="AA26"/>
    </sheetView>
  </sheetViews>
  <sheetFormatPr defaultRowHeight="15" outlineLevelCol="1"/>
  <cols>
    <col min="1" max="1" width="5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1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6" t="e">
        <f>'Master P&amp;L'!V10</f>
        <v>#VALUE!</v>
      </c>
      <c r="C1" s="94"/>
      <c r="D1" s="94"/>
      <c r="E1" s="262"/>
      <c r="F1" s="94"/>
      <c r="G1" s="94"/>
      <c r="H1" s="265">
        <f>548-256</f>
        <v>292</v>
      </c>
      <c r="I1" s="161"/>
      <c r="J1" s="160" t="s">
        <v>376</v>
      </c>
      <c r="K1" s="73" t="e">
        <f>_xll.BDP(B1&amp;" index","PX_YEST_CLOSE")</f>
        <v>#VALUE!</v>
      </c>
      <c r="L1" s="73" t="e">
        <f>_xll.BDP($B1&amp;" Index","mid")</f>
        <v>#VALUE!</v>
      </c>
      <c r="O1" s="161" t="e">
        <f>#REF!-#REF!-#REF!</f>
        <v>#REF!</v>
      </c>
      <c r="P1" s="161"/>
      <c r="Q1" s="161"/>
      <c r="R1" s="161" t="e">
        <f>#REF!-#REF!-#REF!</f>
        <v>#REF!</v>
      </c>
      <c r="S1" s="94"/>
      <c r="T1" s="94"/>
      <c r="U1" s="94"/>
      <c r="V1" s="49">
        <f>SUM(V4:V28)</f>
        <v>19.254778871142975</v>
      </c>
      <c r="W1" s="49">
        <f>SUM(W4:W28)</f>
        <v>11.303007140530115</v>
      </c>
      <c r="X1" s="49">
        <f>SUM(X4:X28)</f>
        <v>30.480000000000047</v>
      </c>
      <c r="Y1" s="199"/>
      <c r="AG1" s="42"/>
      <c r="AI1" s="343" t="e">
        <f>SUM(AI4:AI28)*252</f>
        <v>#VALUE!</v>
      </c>
      <c r="AJ1" s="343"/>
      <c r="AK1" s="291" t="s">
        <v>574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4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141</v>
      </c>
      <c r="W2" s="117" t="s">
        <v>141</v>
      </c>
      <c r="X2" s="35"/>
      <c r="Y2" s="200"/>
      <c r="AG2" s="108" t="s">
        <v>141</v>
      </c>
      <c r="AH2" s="108" t="s">
        <v>141</v>
      </c>
      <c r="AI2" s="108" t="s">
        <v>141</v>
      </c>
      <c r="AJ2" s="108"/>
      <c r="AK2" s="108" t="s">
        <v>141</v>
      </c>
      <c r="AL2" s="13"/>
      <c r="AR2" s="112"/>
      <c r="AS2" s="58"/>
    </row>
    <row r="3" spans="1:56" s="10" customFormat="1" ht="60">
      <c r="A3" s="132"/>
      <c r="B3" s="10" t="s">
        <v>142</v>
      </c>
      <c r="C3" s="10" t="s">
        <v>143</v>
      </c>
      <c r="D3" s="10" t="s">
        <v>144</v>
      </c>
      <c r="E3" s="263" t="s">
        <v>145</v>
      </c>
      <c r="F3" s="10" t="s">
        <v>146</v>
      </c>
      <c r="G3" s="10" t="s">
        <v>147</v>
      </c>
      <c r="H3" s="10" t="s">
        <v>148</v>
      </c>
      <c r="I3" s="59" t="s">
        <v>64</v>
      </c>
      <c r="J3" s="66" t="s">
        <v>149</v>
      </c>
      <c r="K3" s="66" t="s">
        <v>150</v>
      </c>
      <c r="L3" s="82" t="s">
        <v>151</v>
      </c>
      <c r="M3" s="66" t="s">
        <v>152</v>
      </c>
      <c r="N3" s="279"/>
      <c r="O3" s="10" t="s">
        <v>51</v>
      </c>
      <c r="P3" s="66" t="s">
        <v>153</v>
      </c>
      <c r="Q3" s="66" t="s">
        <v>154</v>
      </c>
      <c r="R3" s="66" t="s">
        <v>155</v>
      </c>
      <c r="S3" s="59" t="s">
        <v>124</v>
      </c>
      <c r="T3" s="10" t="s">
        <v>125</v>
      </c>
      <c r="U3" s="59" t="s">
        <v>156</v>
      </c>
      <c r="V3" s="118" t="s">
        <v>157</v>
      </c>
      <c r="W3" s="118" t="s">
        <v>158</v>
      </c>
      <c r="X3" s="67" t="s">
        <v>159</v>
      </c>
      <c r="Y3" s="201" t="s">
        <v>160</v>
      </c>
      <c r="Z3" s="119" t="s">
        <v>161</v>
      </c>
      <c r="AA3" s="119" t="s">
        <v>162</v>
      </c>
      <c r="AB3" s="68" t="s">
        <v>163</v>
      </c>
      <c r="AC3" s="68" t="s">
        <v>459</v>
      </c>
      <c r="AD3" s="10" t="s">
        <v>458</v>
      </c>
      <c r="AE3" s="10" t="s">
        <v>460</v>
      </c>
      <c r="AF3" s="10" t="s">
        <v>164</v>
      </c>
      <c r="AG3" s="93" t="s">
        <v>165</v>
      </c>
      <c r="AH3" s="10" t="s">
        <v>173</v>
      </c>
      <c r="AI3" s="67" t="s">
        <v>169</v>
      </c>
      <c r="AJ3" s="67" t="s">
        <v>793</v>
      </c>
      <c r="AK3" s="67" t="s">
        <v>104</v>
      </c>
      <c r="AL3" s="59" t="s">
        <v>166</v>
      </c>
      <c r="AM3" s="71" t="s">
        <v>172</v>
      </c>
      <c r="AN3" s="115" t="s">
        <v>167</v>
      </c>
      <c r="AO3" s="10" t="s">
        <v>168</v>
      </c>
      <c r="AP3" s="69" t="s">
        <v>170</v>
      </c>
      <c r="AQ3" s="10" t="s">
        <v>171</v>
      </c>
      <c r="AR3" s="113" t="s">
        <v>174</v>
      </c>
      <c r="AS3" s="109">
        <v>0.01</v>
      </c>
      <c r="AT3" s="109">
        <v>0.05</v>
      </c>
      <c r="AU3" s="110">
        <v>0.01</v>
      </c>
      <c r="AV3" s="255" t="s">
        <v>73</v>
      </c>
      <c r="AW3" s="10" t="s">
        <v>175</v>
      </c>
      <c r="AX3" s="10" t="s">
        <v>176</v>
      </c>
      <c r="AY3" s="10" t="s">
        <v>177</v>
      </c>
      <c r="AZ3" s="10" t="s">
        <v>354</v>
      </c>
      <c r="BA3" s="10" t="s">
        <v>518</v>
      </c>
      <c r="BB3" s="10" t="s">
        <v>521</v>
      </c>
      <c r="BC3" s="10" t="s">
        <v>522</v>
      </c>
      <c r="BD3" s="10" t="s">
        <v>523</v>
      </c>
    </row>
    <row r="4" spans="1:56" ht="15.75" customHeight="1">
      <c r="A4" s="264"/>
      <c r="B4" s="72" t="s">
        <v>895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ASHR US</v>
      </c>
      <c r="E4" s="72" t="str" cm="1">
        <f t="array" ref="E4">_xll.BDP($B4&amp;" Equity","mifid_Maturity_date")</f>
        <v>20/02/2026</v>
      </c>
      <c r="F4" s="72" cm="1">
        <f t="array" ref="F4">_xll.BDP($B4&amp;" Equity","opt_days_expire")</f>
        <v>11</v>
      </c>
      <c r="G4" s="72" t="str" cm="1">
        <f t="array" ref="G4">_xll.BDP(B4&amp;" Equity","QUOTED_CURRENCY_REALTIME")</f>
        <v>USD</v>
      </c>
      <c r="H4" s="41">
        <v>1000</v>
      </c>
      <c r="I4" s="337">
        <v>0.48</v>
      </c>
      <c r="J4" s="14">
        <f>VLOOKUP(B4,Precificação!$B:$O,14,FALSE)</f>
        <v>0.14026709347870439</v>
      </c>
      <c r="K4" s="14">
        <f>+J4</f>
        <v>0.14026709347870439</v>
      </c>
      <c r="L4" s="73" cm="1">
        <f t="array" ref="L4">_xll.BDP($B4&amp;" Equity","mid")</f>
        <v>0.11</v>
      </c>
      <c r="M4" s="74">
        <f t="shared" ref="M4:M28" si="0">L4/Z4</f>
        <v>3.2660332541567696E-3</v>
      </c>
      <c r="N4" s="280"/>
      <c r="O4" s="74">
        <f t="shared" ref="O4:O28" si="1">L4/K4-1</f>
        <v>-0.21578185394780136</v>
      </c>
      <c r="P4" s="73" cm="1">
        <f t="array" ref="P4">_xll.BDP($B4&amp;" Equity","bid")</f>
        <v>0.06</v>
      </c>
      <c r="Q4" s="73" cm="1">
        <f t="array" ref="Q4">_xll.BDP($B4&amp;" Equity","ask")</f>
        <v>0.15</v>
      </c>
      <c r="R4" s="75">
        <f t="shared" ref="R4:R28" si="2">(Q4/P4-1)</f>
        <v>1.5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8" si="3">(L4/S4)*H4*T4</f>
        <v>11000</v>
      </c>
      <c r="V4" s="111">
        <f>U4/'Master P&amp;L'!$AD$7*10000</f>
        <v>4.5906705523448818E-2</v>
      </c>
      <c r="W4" s="111">
        <f>(Y4*H4*T4/S4)/'Master P&amp;L'!$AD$7*10000</f>
        <v>4.5906705523448818E-2</v>
      </c>
      <c r="X4" s="116">
        <f t="shared" ref="X4:X28" si="4">IF(C4="Put",IF(Z4&lt;AA4,AA4-Z4,0),IF(Z4&gt;AA4,Z4-AA4,0))</f>
        <v>0</v>
      </c>
      <c r="Y4" s="202">
        <f t="shared" ref="Y4:Y28" si="5">L4-X4</f>
        <v>0.11</v>
      </c>
      <c r="Z4" s="76">
        <f>_xll.BDP(D4&amp;" Equity","LAST_PRICE")</f>
        <v>33.68</v>
      </c>
      <c r="AA4" s="76" cm="1">
        <f t="array" ref="AA4">_xll.BDP(B4&amp;" Equity","OPT_STRIKE_PX")</f>
        <v>35</v>
      </c>
      <c r="AB4" s="75">
        <f t="shared" ref="AB4:AB28" si="6">AA4/Z4-1</f>
        <v>3.9192399049881255E-2</v>
      </c>
      <c r="AC4" s="252" cm="1">
        <f t="array" ref="AC4">_xll.BDP($D4&amp;" Equity","volatility_10d")</f>
        <v>16.129779452597472</v>
      </c>
      <c r="AD4" s="76" cm="1">
        <f t="array" ref="AD4">_xll.BDP(B4&amp;" Equity","ivol_mid")</f>
        <v>19.381699999999999</v>
      </c>
      <c r="AE4" s="76">
        <f t="shared" ref="AE4:AE28" si="7">AD4/AC4</f>
        <v>1.2016097341541054</v>
      </c>
      <c r="AF4" s="77" cm="1">
        <f t="array" ref="AF4">_xll.BDP(B4&amp;" Equity","DELTA_MID_RT")</f>
        <v>0.16347700357437134</v>
      </c>
      <c r="AG4" s="74">
        <f>AL4/'Master P&amp;L'!$AE$7</f>
        <v>2.2977998320724476E-4</v>
      </c>
      <c r="AH4" s="74">
        <f>AM4/'Master P&amp;L'!$AE$7</f>
        <v>1.4055798563906874E-3</v>
      </c>
      <c r="AI4" s="355">
        <f>AO4/'Master P&amp;L'!$AD$7*10000</f>
        <v>-4.8761266106593501E-3</v>
      </c>
      <c r="AJ4" s="278" t="e">
        <f t="shared" ref="AJ4:AJ19" si="8">(252*AI4)/$AI$1</f>
        <v>#VALUE!</v>
      </c>
      <c r="AK4" s="77">
        <f>AP4/'Master P&amp;L'!$AD$7*10000</f>
        <v>-1.263147770343255E-2</v>
      </c>
      <c r="AL4" s="41">
        <f t="shared" ref="AL4:AL28" si="9">Z4*AF4*H4*T4/S4</f>
        <v>550590.54803848267</v>
      </c>
      <c r="AM4" s="41">
        <f t="shared" ref="AM4:AM28" si="10">IF(C4="Put",-Z4*H4*T4/S4,Z4*H4*T4/S4)</f>
        <v>3368000</v>
      </c>
      <c r="AN4" s="77" cm="1">
        <f t="array" ref="AN4">_xll.BDP($B4&amp;" Equity","theta_mid_rt")</f>
        <v>-1.1683999560773373E-2</v>
      </c>
      <c r="AO4" s="41">
        <f t="shared" ref="AO4:AO28" si="11">AN4*H4*T4/S4</f>
        <v>-1168.3999560773373</v>
      </c>
      <c r="AP4" s="41">
        <f t="shared" ref="AP4:AP28" si="12">(L4-K4)*T4/S4*H4</f>
        <v>-3026.7093478704392</v>
      </c>
      <c r="AQ4" s="73" t="str" cm="1">
        <f t="array" ref="AQ4">_xll.BDP($D4&amp;" Equity","EXPECTED_REPORT_DT")</f>
        <v>#N/A N/A</v>
      </c>
      <c r="AR4" s="190" cm="1">
        <f t="array" ref="AR4">_xll.BDP($B4&amp;" Equity","GAMMA_LAST")</f>
        <v>6.5936999999999996E-2</v>
      </c>
      <c r="AS4" s="72">
        <f t="shared" ref="AS4:AS28" si="13">$Z4*($AR4*$Z4*$AS$3)*$H4*$T4/$S4</f>
        <v>74795.134828800001</v>
      </c>
      <c r="AT4" s="72">
        <f t="shared" ref="AT4:AT28" si="14">$Z4*($AR4*$Z4*$AT$3)*$H4*$T4/$S4</f>
        <v>373975.67414399999</v>
      </c>
      <c r="AU4" s="72" t="s">
        <v>95</v>
      </c>
      <c r="AV4" s="251" t="e" cm="1">
        <f t="array" ref="AV4">_xll.BDP($D4&amp;" Equity","EST_PE_NXT_YR")*(AA4/Z4)</f>
        <v>#VALUE!</v>
      </c>
      <c r="AW4" s="72"/>
      <c r="AX4" s="41"/>
      <c r="AY4" s="251">
        <v>0.09</v>
      </c>
      <c r="AZ4" s="282"/>
      <c r="BA4" s="41">
        <f t="shared" ref="BA4:BA28" si="15">+AY4</f>
        <v>0.09</v>
      </c>
      <c r="BB4" s="274">
        <f t="shared" ref="BB4:BB28" si="16">+J4</f>
        <v>0.14026709347870439</v>
      </c>
      <c r="BC4" s="274">
        <f t="shared" ref="BC4:BC28" si="17">(BB4-BA4)*H4*100</f>
        <v>5026.7093478704392</v>
      </c>
      <c r="BD4" s="274">
        <f>BC4/'Master P&amp;L'!$AD$7*10000</f>
        <v>2.09781514349687E-2</v>
      </c>
    </row>
    <row r="5" spans="1:56" s="58" customFormat="1">
      <c r="A5" s="284"/>
      <c r="B5" t="s">
        <v>774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129</v>
      </c>
      <c r="G5" t="str" cm="1">
        <f t="array" ref="G5">_xll.BDP(B5&amp;" Equity","QUOTED_CURRENCY_REALTIME")</f>
        <v>USD</v>
      </c>
      <c r="H5" s="15">
        <v>120</v>
      </c>
      <c r="I5" s="338">
        <v>37.5</v>
      </c>
      <c r="J5" s="14">
        <f>VLOOKUP(B5,Precificação!$B:$O,14,FALSE)</f>
        <v>25.35</v>
      </c>
      <c r="K5" s="14">
        <f t="shared" ref="K5:K28" si="18">+J5</f>
        <v>25.35</v>
      </c>
      <c r="L5" s="73" cm="1">
        <f t="array" ref="L5">_xll.BDP($B5&amp;" Equity","mid")</f>
        <v>36.270000000000003</v>
      </c>
      <c r="M5" s="18">
        <f t="shared" si="0"/>
        <v>0.10894509191397334</v>
      </c>
      <c r="N5" s="278"/>
      <c r="O5" s="18">
        <f t="shared" si="1"/>
        <v>0.43076923076923079</v>
      </c>
      <c r="P5" s="35" cm="1">
        <f t="array" ref="P5">_xll.BDP($B5&amp;" Equity","bid")</f>
        <v>35.799999999999997</v>
      </c>
      <c r="Q5" s="35" cm="1">
        <f t="array" ref="Q5">_xll.BDP($B5&amp;" Equity","ask")</f>
        <v>36.75</v>
      </c>
      <c r="R5" s="39">
        <f t="shared" si="2"/>
        <v>2.6536312849162025E-2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435240.00000000006</v>
      </c>
      <c r="V5" s="122">
        <f>U5/'Master P&amp;L'!$AD$7*10000</f>
        <v>1.816403137456897</v>
      </c>
      <c r="W5" s="122">
        <f>(Y5*H5*T5/S5)/'Master P&amp;L'!$AD$7*10000</f>
        <v>1.816403137456897</v>
      </c>
      <c r="X5" s="341">
        <f t="shared" si="4"/>
        <v>0</v>
      </c>
      <c r="Y5" s="203">
        <f t="shared" si="5"/>
        <v>36.270000000000003</v>
      </c>
      <c r="Z5" s="36">
        <f>_xll.BDP(D5&amp;" Equity","LAST_PRICE")</f>
        <v>332.92</v>
      </c>
      <c r="AA5" s="36" cm="1">
        <f t="array" ref="AA5">_xll.BDP(B5&amp;" Equity","OPT_STRIKE_PX")</f>
        <v>350</v>
      </c>
      <c r="AB5" s="39">
        <f t="shared" si="6"/>
        <v>5.1303616484440706E-2</v>
      </c>
      <c r="AC5" s="253" cm="1">
        <f t="array" ref="AC5">_xll.BDP($D5&amp;" Equity","volatility_10d")</f>
        <v>51.375838795735326</v>
      </c>
      <c r="AD5" s="36" cm="1">
        <f t="array" ref="AD5">_xll.BDP(B5&amp;" Equity","ivol_mid")</f>
        <v>52.606560000000002</v>
      </c>
      <c r="AE5" s="36">
        <f t="shared" si="7"/>
        <v>1.0239552527630329</v>
      </c>
      <c r="AF5" s="37" cm="1">
        <f t="array" ref="AF5">_xll.BDP(B5&amp;" Equity","DELTA_MID_RT")</f>
        <v>0.51431000232696533</v>
      </c>
      <c r="AG5" s="18">
        <f>AL5/'Master P&amp;L'!$AE$7</f>
        <v>8.5749094836675582E-4</v>
      </c>
      <c r="AH5" s="18">
        <f>AM5/'Master P&amp;L'!$AE$7</f>
        <v>1.6672647712218088E-3</v>
      </c>
      <c r="AI5" s="354">
        <f>AO5/'Master P&amp;L'!$AD$7*10000</f>
        <v>-7.803772803500475E-3</v>
      </c>
      <c r="AJ5" s="278" t="e">
        <f t="shared" si="8"/>
        <v>#VALUE!</v>
      </c>
      <c r="AK5" s="37">
        <f>AP5/'Master P&amp;L'!$AD$7*10000</f>
        <v>0.54687406289024854</v>
      </c>
      <c r="AL5" s="15">
        <f t="shared" si="9"/>
        <v>2054689.0316963196</v>
      </c>
      <c r="AM5" s="15">
        <f t="shared" si="10"/>
        <v>3995040</v>
      </c>
      <c r="AN5" s="37" cm="1">
        <f t="array" ref="AN5">_xll.BDP($B5&amp;" Equity","theta_mid_rt")</f>
        <v>-0.15582600235939026</v>
      </c>
      <c r="AO5" s="15">
        <f t="shared" si="11"/>
        <v>-1869.9120283126831</v>
      </c>
      <c r="AP5" s="15">
        <f t="shared" si="12"/>
        <v>131040.00000000003</v>
      </c>
      <c r="AQ5" s="35" t="str" cm="1">
        <f t="array" ref="AQ5">_xll.BDP($D5&amp;" Equity","EXPECTED_REPORT_DT")</f>
        <v>04/03/2026</v>
      </c>
      <c r="AR5" s="65" cm="1">
        <f t="array" ref="AR5">_xll.BDP($B5&amp;" Equity","GAMMA_LAST")</f>
        <v>1.259E-2</v>
      </c>
      <c r="AS5">
        <f t="shared" si="13"/>
        <v>167450.61544512</v>
      </c>
      <c r="AT5">
        <f t="shared" si="14"/>
        <v>837253.07722560014</v>
      </c>
      <c r="AU5" t="s">
        <v>95</v>
      </c>
      <c r="AV5" s="207" cm="1">
        <f t="array" ref="AV5">_xll.BDP($D5&amp;" Equity","EST_PE_NXT_YR")*(AA5/Z5)</f>
        <v>24.778761061946902</v>
      </c>
      <c r="AW5"/>
      <c r="AX5" s="15"/>
      <c r="AY5" s="207">
        <v>27.02</v>
      </c>
      <c r="AZ5" s="283"/>
      <c r="BA5" s="15">
        <f t="shared" si="15"/>
        <v>27.02</v>
      </c>
      <c r="BB5" s="342">
        <f t="shared" si="16"/>
        <v>25.35</v>
      </c>
      <c r="BC5" s="342">
        <f t="shared" si="17"/>
        <v>-20039.999999999978</v>
      </c>
      <c r="BD5" s="342">
        <f>BC5/'Master P&amp;L'!$AD$7*10000</f>
        <v>-8.3633670789992121E-2</v>
      </c>
    </row>
    <row r="6" spans="1:56" s="312" customFormat="1">
      <c r="A6" s="447">
        <f>(L6-X6)/Z6</f>
        <v>2.4570467379550594E-2</v>
      </c>
      <c r="B6" s="312" t="s">
        <v>1166</v>
      </c>
      <c r="C6" s="312" t="str" cm="1">
        <f t="array" ref="C6">_xll.BDP($B6&amp;" Equity","opt_put_call")</f>
        <v>Call</v>
      </c>
      <c r="D6" s="312" t="str" cm="1">
        <f t="array" ref="D6">_xll.BDP(B6&amp;" Equity","OPT_UNDL_TICKER")</f>
        <v>AVGO US</v>
      </c>
      <c r="E6" s="312" t="str" cm="1">
        <f t="array" ref="E6">_xll.BDP($B6&amp;" Equity","mifid_Maturity_date")</f>
        <v>13/02/2026</v>
      </c>
      <c r="F6" s="312" cm="1">
        <f t="array" ref="F6">_xll.BDP($B6&amp;" Equity","opt_days_expire")</f>
        <v>4</v>
      </c>
      <c r="G6" s="312" t="str" cm="1">
        <f t="array" ref="G6">_xll.BDP(B6&amp;" Equity","QUOTED_CURRENCY_REALTIME")</f>
        <v>USD</v>
      </c>
      <c r="H6" s="401">
        <v>-400</v>
      </c>
      <c r="I6" s="489">
        <v>4.1399999999999997</v>
      </c>
      <c r="J6" s="121">
        <f>VLOOKUP(B6,Precificação!$B:$O,14,FALSE)</f>
        <v>4.0750000000000002</v>
      </c>
      <c r="K6" s="121">
        <f t="shared" si="18"/>
        <v>4.0750000000000002</v>
      </c>
      <c r="L6" s="121" cm="1">
        <f t="array" ref="L6">_xll.BDP($B6&amp;" Equity","mid")</f>
        <v>11.1</v>
      </c>
      <c r="M6" s="340">
        <f t="shared" ref="M6" si="19">L6/Z6</f>
        <v>3.3341343265649401E-2</v>
      </c>
      <c r="N6" s="404"/>
      <c r="O6" s="340">
        <f t="shared" ref="O6" si="20">L6/K6-1</f>
        <v>1.723926380368098</v>
      </c>
      <c r="P6" s="121" cm="1">
        <f t="array" ref="P6">_xll.BDP($B6&amp;" Equity","bid")</f>
        <v>10.75</v>
      </c>
      <c r="Q6" s="121" cm="1">
        <f t="array" ref="Q6">_xll.BDP($B6&amp;" Equity","ask")</f>
        <v>11.45</v>
      </c>
      <c r="R6" s="405">
        <f t="shared" ref="R6" si="21">(Q6/P6-1)</f>
        <v>6.5116279069767469E-2</v>
      </c>
      <c r="S6" s="121" cm="1">
        <f t="array" ref="S6">_xll.BDP(G6&amp;" Curncy","PX_LAST")</f>
        <v>1</v>
      </c>
      <c r="T6" s="401" cm="1">
        <f t="array" ref="T6">_xll.BDP(B6&amp;" Equity","OPT_MULTIPLIER")</f>
        <v>100</v>
      </c>
      <c r="U6" s="401">
        <f t="shared" ref="U6" si="22">(L6/S6)*H6*T6</f>
        <v>-444000</v>
      </c>
      <c r="V6" s="417">
        <f>U6/'Master P&amp;L'!$AD$7*10000</f>
        <v>-1.852961568401025</v>
      </c>
      <c r="W6" s="417">
        <f>(Y6*H6*T6/S6)/'Master P&amp;L'!$AD$7*10000</f>
        <v>-1.3655158224793114</v>
      </c>
      <c r="X6" s="410">
        <f t="shared" ref="X6" si="23">IF(C6="Put",IF(Z6&lt;AA6,AA6-Z6,0),IF(Z6&gt;AA6,Z6-AA6,0))</f>
        <v>2.9200000000000159</v>
      </c>
      <c r="Y6" s="416">
        <f t="shared" ref="Y6" si="24">L6-X6</f>
        <v>8.1799999999999837</v>
      </c>
      <c r="Z6" s="409">
        <f>_xll.BDP(D6&amp;" Equity","LAST_PRICE")</f>
        <v>332.92</v>
      </c>
      <c r="AA6" s="409" cm="1">
        <f t="array" ref="AA6">_xll.BDP(B6&amp;" Equity","OPT_STRIKE_PX")</f>
        <v>330</v>
      </c>
      <c r="AB6" s="405">
        <f t="shared" ref="AB6" si="25">AA6/Z6-1</f>
        <v>-8.7708758860988167E-3</v>
      </c>
      <c r="AC6" s="415" cm="1">
        <f t="array" ref="AC6">_xll.BDP($D6&amp;" Equity","volatility_10d")</f>
        <v>51.375838795735326</v>
      </c>
      <c r="AD6" s="409" cm="1">
        <f t="array" ref="AD6">_xll.BDP(B6&amp;" Equity","ivol_mid")</f>
        <v>52.00112</v>
      </c>
      <c r="AE6" s="409">
        <f t="shared" ref="AE6" si="26">AD6/AC6</f>
        <v>1.0121707249734788</v>
      </c>
      <c r="AF6" s="414" cm="1">
        <f t="array" ref="AF6">_xll.BDP(B6&amp;" Equity","DELTA_MID_RT")</f>
        <v>0.55928599834442139</v>
      </c>
      <c r="AG6" s="340">
        <f>AL6/'Master P&amp;L'!$AE$7</f>
        <v>-3.108259473590909E-3</v>
      </c>
      <c r="AH6" s="340">
        <f>AM6/'Master P&amp;L'!$AE$7</f>
        <v>-5.557549237406029E-3</v>
      </c>
      <c r="AI6" s="488">
        <f>AO6/'Master P&amp;L'!$AD$7*10000</f>
        <v>0.11492751617755703</v>
      </c>
      <c r="AJ6" s="404" t="e">
        <f t="shared" ref="AJ6" si="27">(252*AI6)/$AI$1</f>
        <v>#VALUE!</v>
      </c>
      <c r="AK6" s="414">
        <f>AP6/'Master P&amp;L'!$AD$7*10000</f>
        <v>-1.1727076592808288</v>
      </c>
      <c r="AL6" s="401">
        <f t="shared" ref="AL6" si="28">Z6*AF6*H6*T6/S6</f>
        <v>-7447899.7827529907</v>
      </c>
      <c r="AM6" s="401">
        <f t="shared" ref="AM6" si="29">IF(C6="Put",-Z6*H6*T6/S6,Z6*H6*T6/S6)</f>
        <v>-13316800</v>
      </c>
      <c r="AN6" s="414" cm="1">
        <f t="array" ref="AN6">_xll.BDP($B6&amp;" Equity","theta_mid_rt")</f>
        <v>-0.68846297264099121</v>
      </c>
      <c r="AO6" s="401">
        <f t="shared" ref="AO6" si="30">AN6*H6*T6/S6</f>
        <v>27538.518905639648</v>
      </c>
      <c r="AP6" s="401">
        <f t="shared" ref="AP6" si="31">(L6-K6)*T6/S6*H6</f>
        <v>-281000</v>
      </c>
      <c r="AQ6" s="121" t="str" cm="1">
        <f t="array" ref="AQ6">_xll.BDP($D6&amp;" Equity","EXPECTED_REPORT_DT")</f>
        <v>04/03/2026</v>
      </c>
      <c r="AR6" s="407" cm="1">
        <f t="array" ref="AR6">_xll.BDP($B6&amp;" Equity","GAMMA_LAST")</f>
        <v>5.4377000000000002E-2</v>
      </c>
      <c r="AS6" s="312">
        <f t="shared" si="13"/>
        <v>-2410765.71778112</v>
      </c>
      <c r="AT6" s="312">
        <f t="shared" si="14"/>
        <v>-12053828.588905601</v>
      </c>
      <c r="AU6" s="312" t="s">
        <v>95</v>
      </c>
      <c r="AV6" s="296" cm="1">
        <f t="array" ref="AV6">_xll.BDP($D6&amp;" Equity","EST_PE_NXT_YR")*(AA6/Z6)</f>
        <v>23.362831858407077</v>
      </c>
      <c r="AX6" s="401"/>
      <c r="AY6" s="296">
        <v>4.5</v>
      </c>
      <c r="AZ6" s="408"/>
      <c r="BA6" s="401">
        <f t="shared" ref="BA6" si="32">+AY6</f>
        <v>4.5</v>
      </c>
      <c r="BB6" s="406">
        <f t="shared" ref="BB6" si="33">+J6</f>
        <v>4.0750000000000002</v>
      </c>
      <c r="BC6" s="406">
        <f t="shared" ref="BC6" si="34">(BB6-BA6)*H6*100</f>
        <v>16999.999999999993</v>
      </c>
      <c r="BD6" s="406">
        <f>BC6/'Master P&amp;L'!$AD$7*10000</f>
        <v>7.094672671805724E-2</v>
      </c>
    </row>
    <row r="7" spans="1:56" ht="15.75" customHeight="1">
      <c r="A7" s="264" t="s">
        <v>95</v>
      </c>
      <c r="B7" s="72" t="s">
        <v>1169</v>
      </c>
      <c r="C7" s="72" t="str" cm="1">
        <f t="array" ref="C7">_xll.BDP($B7&amp;" Equity","opt_put_call")</f>
        <v>Put</v>
      </c>
      <c r="D7" s="72" t="str" cm="1">
        <f t="array" ref="D7">_xll.BDP(B7&amp;" Equity","OPT_UNDL_TICKER")</f>
        <v>GOOG US</v>
      </c>
      <c r="E7" s="72" t="str" cm="1">
        <f t="array" ref="E7">_xll.BDP($B7&amp;" Equity","mifid_Maturity_date")</f>
        <v>06/02/2026</v>
      </c>
      <c r="F7" s="72" t="str" cm="1">
        <f t="array" ref="F7">_xll.BDP($B7&amp;" Equity","opt_days_expire")</f>
        <v>#N/A N/A</v>
      </c>
      <c r="G7" s="72" t="str" cm="1">
        <f t="array" ref="G7">_xll.BDP(B7&amp;" Equity","QUOTED_CURRENCY_REALTIME")</f>
        <v>USD</v>
      </c>
      <c r="H7" s="41">
        <v>100</v>
      </c>
      <c r="I7" s="337">
        <v>1.18</v>
      </c>
      <c r="J7" s="14">
        <f>VLOOKUP(B7,Precificação!$B:$O,14,FALSE)</f>
        <v>1.1850000000000001</v>
      </c>
      <c r="K7" s="14">
        <f t="shared" si="18"/>
        <v>1.1850000000000001</v>
      </c>
      <c r="L7" s="73">
        <v>0</v>
      </c>
      <c r="M7" s="74">
        <f t="shared" ref="M7" si="35">L7/Z7</f>
        <v>0</v>
      </c>
      <c r="N7" s="280"/>
      <c r="O7" s="74">
        <f t="shared" ref="O7" si="36">L7/K7-1</f>
        <v>-1</v>
      </c>
      <c r="P7" s="73" t="str" cm="1">
        <f t="array" ref="P7">_xll.BDP($B7&amp;" Equity","bid")</f>
        <v>#N/A N/A</v>
      </c>
      <c r="Q7" s="73" cm="1">
        <f t="array" ref="Q7">_xll.BDP($B7&amp;" Equity","ask")</f>
        <v>0.01</v>
      </c>
      <c r="R7" s="75" t="e">
        <f t="shared" ref="R7" si="37">(Q7/P7-1)</f>
        <v>#VALUE!</v>
      </c>
      <c r="S7" s="35" cm="1">
        <f t="array" ref="S7">_xll.BDP(G7&amp;" Curncy","PX_LAST")</f>
        <v>1</v>
      </c>
      <c r="T7" s="41" cm="1">
        <f t="array" ref="T7">_xll.BDP(B7&amp;" Equity","OPT_MULTIPLIER")</f>
        <v>100</v>
      </c>
      <c r="U7" s="41">
        <f t="shared" ref="U7" si="38">(L7/S7)*H7*T7</f>
        <v>0</v>
      </c>
      <c r="V7" s="111">
        <f>U7/'Master P&amp;L'!$AD$7*10000</f>
        <v>0</v>
      </c>
      <c r="W7" s="111">
        <f>(Y7*H7*T7/S7)/'Master P&amp;L'!$AD$7*10000</f>
        <v>0</v>
      </c>
      <c r="X7" s="116">
        <f t="shared" ref="X7" si="39">IF(C7="Put",IF(Z7&lt;AA7,AA7-Z7,0),IF(Z7&gt;AA7,Z7-AA7,0))</f>
        <v>0</v>
      </c>
      <c r="Y7" s="202">
        <f t="shared" ref="Y7" si="40">L7-X7</f>
        <v>0</v>
      </c>
      <c r="Z7" s="76">
        <f>_xll.BDP(D7&amp;" Equity","LAST_PRICE")</f>
        <v>323.10000000000002</v>
      </c>
      <c r="AA7" s="76" cm="1">
        <f t="array" ref="AA7">_xll.BDP(B7&amp;" Equity","OPT_STRIKE_PX")</f>
        <v>300</v>
      </c>
      <c r="AB7" s="75">
        <f t="shared" ref="AB7" si="41">AA7/Z7-1</f>
        <v>-7.1494893221912825E-2</v>
      </c>
      <c r="AC7" s="252" cm="1">
        <f t="array" ref="AC7">_xll.BDP($D7&amp;" Equity","volatility_10d")</f>
        <v>22.893355706074583</v>
      </c>
      <c r="AD7" s="76" cm="1">
        <f t="array" ref="AD7">_xll.BDP(B7&amp;" Equity","ivol_mid")</f>
        <v>682.9298</v>
      </c>
      <c r="AE7" s="76">
        <f t="shared" ref="AE7" si="42">AD7/AC7</f>
        <v>29.830917265606004</v>
      </c>
      <c r="AF7" s="77" cm="1">
        <f t="array" ref="AF7">_xll.BDP(B7&amp;" Equity","DELTA_MID_RT")</f>
        <v>-2.2189998999238014E-3</v>
      </c>
      <c r="AG7" s="74">
        <f>AL7/'Master P&amp;L'!$AE$7</f>
        <v>-2.9921108736672655E-6</v>
      </c>
      <c r="AH7" s="74">
        <f>AM7/'Master P&amp;L'!$AE$7</f>
        <v>-1.348405141329665E-3</v>
      </c>
      <c r="AI7" s="355" t="e">
        <f>AO7/'Master P&amp;L'!$AD$7*10000</f>
        <v>#VALUE!</v>
      </c>
      <c r="AJ7" s="278" t="e">
        <f t="shared" ref="AJ7" si="43">(252*AI7)/$AI$1</f>
        <v>#VALUE!</v>
      </c>
      <c r="AK7" s="77">
        <f>AP7/'Master P&amp;L'!$AD$7*10000</f>
        <v>-4.9454041859351677E-2</v>
      </c>
      <c r="AL7" s="41">
        <f t="shared" ref="AL7" si="44">Z7*AF7*H7*T7/S7</f>
        <v>-7169.5886766538024</v>
      </c>
      <c r="AM7" s="41">
        <f t="shared" ref="AM7" si="45">IF(C7="Put",-Z7*H7*T7/S7,Z7*H7*T7/S7)</f>
        <v>-3231000.0000000005</v>
      </c>
      <c r="AN7" s="77" t="str" cm="1">
        <f t="array" ref="AN7">_xll.BDP($B7&amp;" Equity","theta_mid_rt")</f>
        <v>#N/A N/A</v>
      </c>
      <c r="AO7" s="41" t="e">
        <f t="shared" ref="AO7" si="46">AN7*H7*T7/S7</f>
        <v>#VALUE!</v>
      </c>
      <c r="AP7" s="41">
        <f t="shared" ref="AP7" si="47">(L7-K7)*T7/S7*H7</f>
        <v>-11850</v>
      </c>
      <c r="AQ7" s="73" t="str" cm="1">
        <f t="array" ref="AQ7">_xll.BDP($D7&amp;" Equity","EXPECTED_REPORT_DT")</f>
        <v>24/04/2026</v>
      </c>
      <c r="AR7" s="190" cm="1">
        <f t="array" ref="AR7">_xll.BDP($B7&amp;" Equity","GAMMA_LAST")</f>
        <v>3.774E-3</v>
      </c>
      <c r="AS7" s="72">
        <f t="shared" si="13"/>
        <v>39398.148414000003</v>
      </c>
      <c r="AT7" s="72">
        <f t="shared" si="14"/>
        <v>196990.74207000004</v>
      </c>
      <c r="AU7" s="72" t="s">
        <v>95</v>
      </c>
      <c r="AV7" s="251" cm="1">
        <f t="array" ref="AV7">_xll.BDP($D7&amp;" Equity","EST_PE_NXT_YR")*(AA7/Z7)</f>
        <v>21.252479455936523</v>
      </c>
      <c r="AW7" s="72"/>
      <c r="AX7" s="41"/>
      <c r="AY7" s="251">
        <v>0.05</v>
      </c>
      <c r="AZ7" s="282"/>
      <c r="BA7" s="41">
        <f t="shared" ref="BA7" si="48">+AY7</f>
        <v>0.05</v>
      </c>
      <c r="BB7" s="274">
        <f t="shared" ref="BB7" si="49">+J7</f>
        <v>1.1850000000000001</v>
      </c>
      <c r="BC7" s="274">
        <f t="shared" ref="BC7" si="50">(BB7-BA7)*H7*100</f>
        <v>11350</v>
      </c>
      <c r="BD7" s="274">
        <f>BC7/'Master P&amp;L'!$AD$7*10000</f>
        <v>4.736737342646765E-2</v>
      </c>
    </row>
    <row r="8" spans="1:56" s="58" customFormat="1">
      <c r="A8" s="284"/>
      <c r="B8" t="s">
        <v>1043</v>
      </c>
      <c r="C8" t="str" cm="1">
        <f t="array" ref="C8">_xll.BDP($B8&amp;" Equity","opt_put_call")</f>
        <v>Call</v>
      </c>
      <c r="D8" t="str" cm="1">
        <f t="array" ref="D8">_xll.BDP(B8&amp;" Equity","OPT_UNDL_TICKER")</f>
        <v>NVDA US</v>
      </c>
      <c r="E8" t="str" cm="1">
        <f t="array" ref="E8">_xll.BDP($B8&amp;" Equity","mifid_Maturity_date")</f>
        <v>15/05/2026</v>
      </c>
      <c r="F8" cm="1">
        <f t="array" ref="F8">_xll.BDP($B8&amp;" Equity","opt_days_expire")</f>
        <v>95</v>
      </c>
      <c r="G8" t="str" cm="1">
        <f t="array" ref="G8">_xll.BDP(B8&amp;" Equity","QUOTED_CURRENCY_REALTIME")</f>
        <v>USD</v>
      </c>
      <c r="H8" s="15">
        <v>150</v>
      </c>
      <c r="I8" s="338">
        <v>14.91</v>
      </c>
      <c r="J8" s="14">
        <f>VLOOKUP(B8,Precificação!$B:$O,14,FALSE)</f>
        <v>8.0500000000000007</v>
      </c>
      <c r="K8" s="14">
        <f t="shared" si="18"/>
        <v>8.0500000000000007</v>
      </c>
      <c r="L8" s="73" cm="1">
        <f t="array" ref="L8">_xll.BDP($B8&amp;" Equity","mid")</f>
        <v>12.15</v>
      </c>
      <c r="M8" s="18">
        <f t="shared" si="0"/>
        <v>6.5530446038509257E-2</v>
      </c>
      <c r="N8" s="278"/>
      <c r="O8" s="18">
        <f t="shared" si="1"/>
        <v>0.50931677018633525</v>
      </c>
      <c r="P8" s="35" cm="1">
        <f t="array" ref="P8">_xll.BDP($B8&amp;" Equity","bid")</f>
        <v>12.1</v>
      </c>
      <c r="Q8" s="35" cm="1">
        <f t="array" ref="Q8">_xll.BDP($B8&amp;" Equity","ask")</f>
        <v>12.2</v>
      </c>
      <c r="R8" s="39">
        <f t="shared" si="2"/>
        <v>8.2644628099173278E-3</v>
      </c>
      <c r="S8" s="35" cm="1">
        <f t="array" ref="S8">_xll.BDP(G8&amp;" Curncy","PX_LAST")</f>
        <v>1</v>
      </c>
      <c r="T8" s="15" cm="1">
        <f t="array" ref="T8">_xll.BDP(B8&amp;" Equity","OPT_MULTIPLIER")</f>
        <v>100</v>
      </c>
      <c r="U8" s="15">
        <f t="shared" si="3"/>
        <v>182250</v>
      </c>
      <c r="V8" s="122">
        <f>U8/'Master P&amp;L'!$AD$7*10000</f>
        <v>0.76059064378623154</v>
      </c>
      <c r="W8" s="122">
        <f>(Y8*H8*T8/S8)/'Master P&amp;L'!$AD$7*10000</f>
        <v>0.76059064378623154</v>
      </c>
      <c r="X8" s="341">
        <f t="shared" si="4"/>
        <v>0</v>
      </c>
      <c r="Y8" s="203">
        <f t="shared" si="5"/>
        <v>12.15</v>
      </c>
      <c r="Z8" s="36">
        <f>_xll.BDP(D8&amp;" Equity","LAST_PRICE")</f>
        <v>185.41</v>
      </c>
      <c r="AA8" s="36" cm="1">
        <f t="array" ref="AA8">_xll.BDP(B8&amp;" Equity","OPT_STRIKE_PX")</f>
        <v>200</v>
      </c>
      <c r="AB8" s="39">
        <f t="shared" si="6"/>
        <v>7.8690469769699511E-2</v>
      </c>
      <c r="AC8" s="253" cm="1">
        <f t="array" ref="AC8">_xll.BDP($D8&amp;" Equity","volatility_10d")</f>
        <v>54.846247662095138</v>
      </c>
      <c r="AD8" s="36" cm="1">
        <f t="array" ref="AD8">_xll.BDP(B8&amp;" Equity","ivol_mid")</f>
        <v>44.922269999999997</v>
      </c>
      <c r="AE8" s="36">
        <f t="shared" si="7"/>
        <v>0.81905822029546582</v>
      </c>
      <c r="AF8" s="37" cm="1">
        <f t="array" ref="AF8">_xll.BDP(B8&amp;" Equity","DELTA_MID_RT")</f>
        <v>0.43272098898887634</v>
      </c>
      <c r="AG8" s="18">
        <f>AL8/'Master P&amp;L'!$AE$7</f>
        <v>5.0224522415344679E-4</v>
      </c>
      <c r="AH8" s="18">
        <f>AM8/'Master P&amp;L'!$AE$7</f>
        <v>1.160667582423088E-3</v>
      </c>
      <c r="AI8" s="354">
        <f>AO8/'Master P&amp;L'!$AD$7*10000</f>
        <v>-5.3262628294115299E-3</v>
      </c>
      <c r="AJ8" s="278" t="e">
        <f t="shared" si="8"/>
        <v>#VALUE!</v>
      </c>
      <c r="AK8" s="37">
        <f>AP8/'Master P&amp;L'!$AD$7*10000</f>
        <v>0.25666021724473653</v>
      </c>
      <c r="AL8" s="15">
        <f t="shared" si="9"/>
        <v>1203461.9785264134</v>
      </c>
      <c r="AM8" s="15">
        <f t="shared" si="10"/>
        <v>2781150</v>
      </c>
      <c r="AN8" s="37" cm="1">
        <f t="array" ref="AN8">_xll.BDP($B8&amp;" Equity","theta_mid_rt")</f>
        <v>-8.5083998739719391E-2</v>
      </c>
      <c r="AO8" s="15">
        <f t="shared" si="11"/>
        <v>-1276.2599810957909</v>
      </c>
      <c r="AP8" s="15">
        <f t="shared" si="12"/>
        <v>61499.999999999993</v>
      </c>
      <c r="AQ8" s="35" t="str" cm="1">
        <f t="array" ref="AQ8">_xll.BDP($D8&amp;" Equity","EXPECTED_REPORT_DT")</f>
        <v>25/02/2026</v>
      </c>
      <c r="AR8" s="65" cm="1">
        <f t="array" ref="AR8">_xll.BDP($B8&amp;" Equity","GAMMA_LAST")</f>
        <v>1.6875000000000001E-2</v>
      </c>
      <c r="AS8">
        <f t="shared" si="13"/>
        <v>87016.447378125013</v>
      </c>
      <c r="AT8">
        <f t="shared" si="14"/>
        <v>435082.23689062509</v>
      </c>
      <c r="AU8" t="s">
        <v>95</v>
      </c>
      <c r="AV8" s="207" cm="1">
        <f t="array" ref="AV8">_xll.BDP($D8&amp;" Equity","EST_PE_NXT_YR")*(AA8/Z8)</f>
        <v>25.859839668994049</v>
      </c>
      <c r="AW8"/>
      <c r="AX8" s="15"/>
      <c r="AY8" s="207">
        <v>7.53</v>
      </c>
      <c r="AZ8" s="283"/>
      <c r="BA8" s="15">
        <f t="shared" si="15"/>
        <v>7.53</v>
      </c>
      <c r="BB8" s="342">
        <f t="shared" si="16"/>
        <v>8.0500000000000007</v>
      </c>
      <c r="BC8" s="342">
        <f t="shared" si="17"/>
        <v>7800.0000000000073</v>
      </c>
      <c r="BD8" s="342">
        <f>BC8/'Master P&amp;L'!$AD$7*10000</f>
        <v>3.2552027552991011E-2</v>
      </c>
    </row>
    <row r="9" spans="1:56" ht="15.75" customHeight="1">
      <c r="A9" s="264"/>
      <c r="B9" s="72" t="s">
        <v>1139</v>
      </c>
      <c r="C9" s="72" t="str" cm="1">
        <f t="array" ref="C9">_xll.BDP($B9&amp;" Equity","opt_put_call")</f>
        <v>Call</v>
      </c>
      <c r="D9" s="72" t="str" cm="1">
        <f t="array" ref="D9">_xll.BDP(B9&amp;" Equity","OPT_UNDL_TICKER")</f>
        <v>NFLX US</v>
      </c>
      <c r="E9" s="72" t="str" cm="1">
        <f t="array" ref="E9">_xll.BDP($B9&amp;" Equity","mifid_Maturity_date")</f>
        <v>15/05/2026</v>
      </c>
      <c r="F9" s="72" cm="1">
        <f t="array" ref="F9">_xll.BDP($B9&amp;" Equity","opt_days_expire")</f>
        <v>95</v>
      </c>
      <c r="G9" s="72" t="str" cm="1">
        <f t="array" ref="G9">_xll.BDP(B9&amp;" Equity","QUOTED_CURRENCY_REALTIME")</f>
        <v>USD</v>
      </c>
      <c r="H9" s="41">
        <v>-200</v>
      </c>
      <c r="I9" s="337">
        <v>3.22</v>
      </c>
      <c r="J9" s="14">
        <f>VLOOKUP(B9,Precificação!$B:$O,14,FALSE)</f>
        <v>3.2750000000000004</v>
      </c>
      <c r="K9" s="14">
        <f t="shared" si="18"/>
        <v>3.2750000000000004</v>
      </c>
      <c r="L9" s="73" cm="1">
        <f t="array" ref="L9">_xll.BDP($B9&amp;" Equity","mid")</f>
        <v>3.77</v>
      </c>
      <c r="M9" s="74">
        <f t="shared" si="0"/>
        <v>4.5863746958637465E-2</v>
      </c>
      <c r="N9" s="280"/>
      <c r="O9" s="74">
        <f t="shared" si="1"/>
        <v>0.15114503816793889</v>
      </c>
      <c r="P9" s="73" cm="1">
        <f t="array" ref="P9">_xll.BDP($B9&amp;" Equity","bid")</f>
        <v>3.55</v>
      </c>
      <c r="Q9" s="73" cm="1">
        <f t="array" ref="Q9">_xll.BDP($B9&amp;" Equity","ask")</f>
        <v>4</v>
      </c>
      <c r="R9" s="75">
        <f t="shared" si="2"/>
        <v>0.12676056338028174</v>
      </c>
      <c r="S9" s="35" cm="1">
        <f t="array" ref="S9">_xll.BDP(G9&amp;" Curncy","PX_LAST")</f>
        <v>1</v>
      </c>
      <c r="T9" s="41" cm="1">
        <f t="array" ref="T9">_xll.BDP(B9&amp;" Equity","OPT_MULTIPLIER")</f>
        <v>100</v>
      </c>
      <c r="U9" s="41">
        <f t="shared" si="3"/>
        <v>-75400</v>
      </c>
      <c r="V9" s="111">
        <f>U9/'Master P&amp;L'!$AD$7*10000</f>
        <v>-0.31466959967891284</v>
      </c>
      <c r="W9" s="111">
        <f>(Y9*H9*T9/S9)/'Master P&amp;L'!$AD$7*10000</f>
        <v>-0.31466959967891284</v>
      </c>
      <c r="X9" s="116">
        <f t="shared" si="4"/>
        <v>0</v>
      </c>
      <c r="Y9" s="202">
        <f t="shared" si="5"/>
        <v>3.77</v>
      </c>
      <c r="Z9" s="76">
        <f>_xll.BDP(D9&amp;" Equity","LAST_PRICE")</f>
        <v>82.2</v>
      </c>
      <c r="AA9" s="76" cm="1">
        <f t="array" ref="AA9">_xll.BDP(B9&amp;" Equity","OPT_STRIKE_PX")</f>
        <v>90</v>
      </c>
      <c r="AB9" s="75">
        <f t="shared" si="6"/>
        <v>9.4890510948905105E-2</v>
      </c>
      <c r="AC9" s="252" cm="1">
        <f t="array" ref="AC9">_xll.BDP($D9&amp;" Equity","volatility_10d")</f>
        <v>24.771410907087567</v>
      </c>
      <c r="AD9" s="76" cm="1">
        <f t="array" ref="AD9">_xll.BDP(B9&amp;" Equity","ivol_mid")</f>
        <v>37.455629999999999</v>
      </c>
      <c r="AE9" s="76">
        <f t="shared" si="7"/>
        <v>1.512050732212562</v>
      </c>
      <c r="AF9" s="77" cm="1">
        <f t="array" ref="AF9">_xll.BDP(B9&amp;" Equity","DELTA_MID_RT")</f>
        <v>0.37773001194000244</v>
      </c>
      <c r="AG9" s="74">
        <f>AL9/'Master P&amp;L'!$AE$7</f>
        <v>-2.5915926963199573E-4</v>
      </c>
      <c r="AH9" s="74">
        <f>AM9/'Master P&amp;L'!$AE$7</f>
        <v>-6.8609658073227138E-4</v>
      </c>
      <c r="AI9" s="355">
        <f>AO9/'Master P&amp;L'!$AD$7*10000</f>
        <v>2.545819003531292E-3</v>
      </c>
      <c r="AJ9" s="278" t="e">
        <f t="shared" si="8"/>
        <v>#VALUE!</v>
      </c>
      <c r="AK9" s="77">
        <f>AP9/'Master P&amp;L'!$AD$7*10000</f>
        <v>-4.13160349711039E-2</v>
      </c>
      <c r="AL9" s="41">
        <f t="shared" si="9"/>
        <v>-620988.13962936401</v>
      </c>
      <c r="AM9" s="41">
        <f t="shared" si="10"/>
        <v>-1644000</v>
      </c>
      <c r="AN9" s="77" cm="1">
        <f t="array" ref="AN9">_xll.BDP($B9&amp;" Equity","theta_mid_rt")</f>
        <v>-3.0501000583171844E-2</v>
      </c>
      <c r="AO9" s="41">
        <f t="shared" si="11"/>
        <v>610.02001166343689</v>
      </c>
      <c r="AP9" s="41">
        <f t="shared" si="12"/>
        <v>-9899.9999999999927</v>
      </c>
      <c r="AQ9" s="73" t="str" cm="1">
        <f t="array" ref="AQ9">_xll.BDP($D9&amp;" Equity","EXPECTED_REPORT_DT")</f>
        <v>17/04/2026</v>
      </c>
      <c r="AR9" s="190" cm="1">
        <f t="array" ref="AR9">_xll.BDP($B9&amp;" Equity","GAMMA_LAST")</f>
        <v>1.942E-2</v>
      </c>
      <c r="AS9" s="72">
        <f t="shared" si="13"/>
        <v>-26243.566560000007</v>
      </c>
      <c r="AT9" s="72">
        <f t="shared" si="14"/>
        <v>-131217.8328</v>
      </c>
      <c r="AU9" s="72" t="s">
        <v>95</v>
      </c>
      <c r="AV9" s="251" cm="1">
        <f t="array" ref="AV9">_xll.BDP($D9&amp;" Equity","EST_PE_NXT_YR")*(AA9/Z9)</f>
        <v>23.677979479084449</v>
      </c>
      <c r="AW9" s="72"/>
      <c r="AX9" s="41"/>
      <c r="AY9" s="251">
        <v>3.65</v>
      </c>
      <c r="AZ9" s="282"/>
      <c r="BA9" s="41">
        <f t="shared" si="15"/>
        <v>3.65</v>
      </c>
      <c r="BB9" s="274">
        <f t="shared" si="16"/>
        <v>3.2750000000000004</v>
      </c>
      <c r="BC9" s="274">
        <f t="shared" si="17"/>
        <v>7499.9999999999918</v>
      </c>
      <c r="BD9" s="274">
        <f>BC9/'Master P&amp;L'!$AD$7*10000</f>
        <v>3.1300026493260524E-2</v>
      </c>
    </row>
    <row r="10" spans="1:56" s="58" customFormat="1">
      <c r="A10" s="284"/>
      <c r="B10" t="s">
        <v>1140</v>
      </c>
      <c r="C10" t="str" cm="1">
        <f t="array" ref="C10">_xll.BDP($B10&amp;" Equity","opt_put_call")</f>
        <v>Put</v>
      </c>
      <c r="D10" t="str" cm="1">
        <f t="array" ref="D10">_xll.BDP(B10&amp;" Equity","OPT_UNDL_TICKER")</f>
        <v>NFLX US</v>
      </c>
      <c r="E10" t="str" cm="1">
        <f t="array" ref="E10">_xll.BDP($B10&amp;" Equity","mifid_Maturity_date")</f>
        <v>15/05/2026</v>
      </c>
      <c r="F10" cm="1">
        <f t="array" ref="F10">_xll.BDP($B10&amp;" Equity","opt_days_expire")</f>
        <v>95</v>
      </c>
      <c r="G10" t="str" cm="1">
        <f t="array" ref="G10">_xll.BDP(B10&amp;" Equity","QUOTED_CURRENCY_REALTIME")</f>
        <v>USD</v>
      </c>
      <c r="H10" s="15">
        <v>-200</v>
      </c>
      <c r="I10" s="338">
        <v>2.13</v>
      </c>
      <c r="J10" s="14">
        <f>VLOOKUP(B10,Precificação!$B:$O,14,FALSE)</f>
        <v>2.1949999999999998</v>
      </c>
      <c r="K10" s="14">
        <f t="shared" si="18"/>
        <v>2.1949999999999998</v>
      </c>
      <c r="L10" s="73" cm="1">
        <f t="array" ref="L10">_xll.BDP($B10&amp;" Equity","mid")</f>
        <v>1.95</v>
      </c>
      <c r="M10" s="18">
        <f t="shared" si="0"/>
        <v>2.3722627737226276E-2</v>
      </c>
      <c r="N10" s="278"/>
      <c r="O10" s="18">
        <f t="shared" si="1"/>
        <v>-0.11161731207289294</v>
      </c>
      <c r="P10" s="35" cm="1">
        <f t="array" ref="P10">_xll.BDP($B10&amp;" Equity","bid")</f>
        <v>1.88</v>
      </c>
      <c r="Q10" s="35" cm="1">
        <f t="array" ref="Q10">_xll.BDP($B10&amp;" Equity","ask")</f>
        <v>2.02</v>
      </c>
      <c r="R10" s="39">
        <f t="shared" si="2"/>
        <v>7.4468085106383031E-2</v>
      </c>
      <c r="S10" s="35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3"/>
        <v>-39000</v>
      </c>
      <c r="V10" s="122">
        <f>U10/'Master P&amp;L'!$AD$7*10000</f>
        <v>-0.1627601377649549</v>
      </c>
      <c r="W10" s="122">
        <f>(Y10*H10*T10/S10)/'Master P&amp;L'!$AD$7*10000</f>
        <v>-0.1627601377649549</v>
      </c>
      <c r="X10" s="341">
        <f t="shared" si="4"/>
        <v>0</v>
      </c>
      <c r="Y10" s="203">
        <f t="shared" si="5"/>
        <v>1.95</v>
      </c>
      <c r="Z10" s="36">
        <f>_xll.BDP(D10&amp;" Equity","LAST_PRICE")</f>
        <v>82.2</v>
      </c>
      <c r="AA10" s="36" cm="1">
        <f t="array" ref="AA10">_xll.BDP(B10&amp;" Equity","OPT_STRIKE_PX")</f>
        <v>70</v>
      </c>
      <c r="AB10" s="39">
        <f t="shared" si="6"/>
        <v>-0.14841849148418496</v>
      </c>
      <c r="AC10" s="253" cm="1">
        <f t="array" ref="AC10">_xll.BDP($D10&amp;" Equity","volatility_10d")</f>
        <v>24.771410907087567</v>
      </c>
      <c r="AD10" s="36" cm="1">
        <f t="array" ref="AD10">_xll.BDP(B10&amp;" Equity","ivol_mid")</f>
        <v>41.32734</v>
      </c>
      <c r="AE10" s="36">
        <f t="shared" si="7"/>
        <v>1.6683482485115722</v>
      </c>
      <c r="AF10" s="37" cm="1">
        <f t="array" ref="AF10">_xll.BDP(B10&amp;" Equity","DELTA_MID_RT")</f>
        <v>-0.1835390031337738</v>
      </c>
      <c r="AG10" s="18">
        <f>AL10/'Master P&amp;L'!$AE$7</f>
        <v>1.2592548248109185E-4</v>
      </c>
      <c r="AH10" s="18">
        <f>AM10/'Master P&amp;L'!$AE$7</f>
        <v>6.8609658073227138E-4</v>
      </c>
      <c r="AI10" s="354">
        <f>AO10/'Master P&amp;L'!$AD$7*10000</f>
        <v>1.987843871841608E-3</v>
      </c>
      <c r="AJ10" s="278" t="e">
        <f t="shared" si="8"/>
        <v>#VALUE!</v>
      </c>
      <c r="AK10" s="37">
        <f>AP10/'Master P&amp;L'!$AD$7*10000</f>
        <v>2.044935064226356E-2</v>
      </c>
      <c r="AL10" s="15">
        <f t="shared" si="9"/>
        <v>301738.12115192413</v>
      </c>
      <c r="AM10" s="15">
        <f t="shared" si="10"/>
        <v>1644000</v>
      </c>
      <c r="AN10" s="37" cm="1">
        <f t="array" ref="AN10">_xll.BDP($B10&amp;" Equity","theta_mid_rt")</f>
        <v>-2.3816000670194626E-2</v>
      </c>
      <c r="AO10" s="15">
        <f t="shared" si="11"/>
        <v>476.32001340389252</v>
      </c>
      <c r="AP10" s="15">
        <f t="shared" si="12"/>
        <v>4899.9999999999982</v>
      </c>
      <c r="AQ10" s="35" t="str" cm="1">
        <f t="array" ref="AQ10">_xll.BDP($D10&amp;" Equity","EXPECTED_REPORT_DT")</f>
        <v>17/04/2026</v>
      </c>
      <c r="AR10" s="65" cm="1">
        <f t="array" ref="AR10">_xll.BDP($B10&amp;" Equity","GAMMA_LAST")</f>
        <v>1.2331E-2</v>
      </c>
      <c r="AS10">
        <f t="shared" si="13"/>
        <v>-16663.718807999998</v>
      </c>
      <c r="AT10">
        <f t="shared" si="14"/>
        <v>-83318.594040000011</v>
      </c>
      <c r="AU10" t="s">
        <v>95</v>
      </c>
      <c r="AV10" s="207" cm="1">
        <f t="array" ref="AV10">_xll.BDP($D10&amp;" Equity","EST_PE_NXT_YR")*(AA10/Z10)</f>
        <v>18.416206261510126</v>
      </c>
      <c r="AW10"/>
      <c r="AX10" s="15"/>
      <c r="AY10" s="207">
        <v>2.2999999999999998</v>
      </c>
      <c r="AZ10" s="283"/>
      <c r="BA10" s="15">
        <f t="shared" si="15"/>
        <v>2.2999999999999998</v>
      </c>
      <c r="BB10" s="342">
        <f t="shared" si="16"/>
        <v>2.1949999999999998</v>
      </c>
      <c r="BC10" s="342">
        <f t="shared" si="17"/>
        <v>2099.9999999999995</v>
      </c>
      <c r="BD10" s="342">
        <f>BC10/'Master P&amp;L'!$AD$7*10000</f>
        <v>8.764007418112953E-3</v>
      </c>
    </row>
    <row r="11" spans="1:56" ht="15.75" customHeight="1">
      <c r="A11" s="264"/>
      <c r="B11" s="72" t="s">
        <v>1094</v>
      </c>
      <c r="C11" s="72" t="str" cm="1">
        <f t="array" ref="C11">_xll.BDP($B11&amp;" Equity","opt_put_call")</f>
        <v>Call</v>
      </c>
      <c r="D11" s="72" t="str" cm="1">
        <f t="array" ref="D11">_xll.BDP(B11&amp;" Equity","OPT_UNDL_TICKER")</f>
        <v>META US</v>
      </c>
      <c r="E11" s="72" t="str" cm="1">
        <f t="array" ref="E11">_xll.BDP($B11&amp;" Equity","mifid_Maturity_date")</f>
        <v>17/07/2026</v>
      </c>
      <c r="F11" s="72" cm="1">
        <f t="array" ref="F11">_xll.BDP($B11&amp;" Equity","opt_days_expire")</f>
        <v>158</v>
      </c>
      <c r="G11" s="72" t="str" cm="1">
        <f t="array" ref="G11">_xll.BDP(B11&amp;" Equity","QUOTED_CURRENCY_REALTIME")</f>
        <v>USD</v>
      </c>
      <c r="H11" s="41">
        <v>135</v>
      </c>
      <c r="I11" s="337">
        <v>55</v>
      </c>
      <c r="J11" s="14">
        <f>VLOOKUP(B11,Precificação!$B:$O,14,FALSE)</f>
        <v>33.575000000000003</v>
      </c>
      <c r="K11" s="14">
        <f t="shared" si="18"/>
        <v>33.575000000000003</v>
      </c>
      <c r="L11" s="73" cm="1">
        <f t="array" ref="L11">_xll.BDP($B11&amp;" Equity","mid")</f>
        <v>31.27</v>
      </c>
      <c r="M11" s="74">
        <f t="shared" si="0"/>
        <v>4.7274211592537717E-2</v>
      </c>
      <c r="N11" s="280"/>
      <c r="O11" s="74">
        <f t="shared" si="1"/>
        <v>-6.8652271034996382E-2</v>
      </c>
      <c r="P11" s="73" cm="1">
        <f t="array" ref="P11">_xll.BDP($B11&amp;" Equity","bid")</f>
        <v>31.05</v>
      </c>
      <c r="Q11" s="73" cm="1">
        <f t="array" ref="Q11">_xll.BDP($B11&amp;" Equity","ask")</f>
        <v>31.5</v>
      </c>
      <c r="R11" s="75">
        <f t="shared" si="2"/>
        <v>1.449275362318847E-2</v>
      </c>
      <c r="S11" s="35" cm="1">
        <f t="array" ref="S11">_xll.BDP(G11&amp;" Curncy","PX_LAST")</f>
        <v>1</v>
      </c>
      <c r="T11" s="41" cm="1">
        <f t="array" ref="T11">_xll.BDP(B11&amp;" Equity","OPT_MULTIPLIER")</f>
        <v>100</v>
      </c>
      <c r="U11" s="41">
        <f t="shared" si="3"/>
        <v>422145</v>
      </c>
      <c r="V11" s="111">
        <f>U11/'Master P&amp;L'!$AD$7*10000</f>
        <v>1.7617532911996638</v>
      </c>
      <c r="W11" s="111">
        <f>(Y11*H11*T11/S11)/'Master P&amp;L'!$AD$7*10000</f>
        <v>1.7617532911996638</v>
      </c>
      <c r="X11" s="116">
        <f t="shared" si="4"/>
        <v>0</v>
      </c>
      <c r="Y11" s="202">
        <f t="shared" si="5"/>
        <v>31.27</v>
      </c>
      <c r="Z11" s="76">
        <f>_xll.BDP(D11&amp;" Equity","LAST_PRICE")</f>
        <v>661.46</v>
      </c>
      <c r="AA11" s="76" cm="1">
        <f t="array" ref="AA11">_xll.BDP(B11&amp;" Equity","OPT_STRIKE_PX")</f>
        <v>750</v>
      </c>
      <c r="AB11" s="75">
        <f t="shared" si="6"/>
        <v>0.1338554107580201</v>
      </c>
      <c r="AC11" s="252" cm="1">
        <f t="array" ref="AC11">_xll.BDP($D11&amp;" Equity","volatility_10d")</f>
        <v>64.099672288421274</v>
      </c>
      <c r="AD11" s="76" cm="1">
        <f t="array" ref="AD11">_xll.BDP(B11&amp;" Equity","ivol_mid")</f>
        <v>33.971589999999999</v>
      </c>
      <c r="AE11" s="76">
        <f t="shared" si="7"/>
        <v>0.52998071264923607</v>
      </c>
      <c r="AF11" s="77" cm="1">
        <f t="array" ref="AF11">_xll.BDP(B11&amp;" Equity","DELTA_MID_RT")</f>
        <v>0.35239699482917786</v>
      </c>
      <c r="AG11" s="74">
        <f>AL11/'Master P&amp;L'!$AE$7</f>
        <v>1.3132668838567677E-3</v>
      </c>
      <c r="AH11" s="74">
        <f>AM11/'Master P&amp;L'!$AE$7</f>
        <v>3.7266687943617832E-3</v>
      </c>
      <c r="AI11" s="355">
        <f>AO11/'Master P&amp;L'!$AD$7*10000</f>
        <v>-1.0028416165757642E-2</v>
      </c>
      <c r="AJ11" s="278" t="e">
        <f t="shared" si="8"/>
        <v>#VALUE!</v>
      </c>
      <c r="AK11" s="77">
        <f>AP11/'Master P&amp;L'!$AD$7*10000</f>
        <v>-0.12986380992053825</v>
      </c>
      <c r="AL11" s="41">
        <f t="shared" si="9"/>
        <v>3146802.9686960578</v>
      </c>
      <c r="AM11" s="41">
        <f t="shared" si="10"/>
        <v>8929710</v>
      </c>
      <c r="AN11" s="77" cm="1">
        <f t="array" ref="AN11">_xll.BDP($B11&amp;" Equity","theta_mid_rt")</f>
        <v>-0.17799800634384155</v>
      </c>
      <c r="AO11" s="41">
        <f t="shared" si="11"/>
        <v>-2402.973085641861</v>
      </c>
      <c r="AP11" s="41">
        <f t="shared" si="12"/>
        <v>-31117.500000000047</v>
      </c>
      <c r="AQ11" s="73" t="str" cm="1">
        <f t="array" ref="AQ11">_xll.BDP($D11&amp;" Equity","EXPECTED_REPORT_DT")</f>
        <v>30/04/2026</v>
      </c>
      <c r="AR11" s="190" cm="1">
        <f t="array" ref="AR11">_xll.BDP($B11&amp;" Equity","GAMMA_LAST")</f>
        <v>1.6451E-2</v>
      </c>
      <c r="AS11" s="72">
        <f t="shared" si="13"/>
        <v>971702.32961046626</v>
      </c>
      <c r="AT11" s="72">
        <f t="shared" si="14"/>
        <v>4858511.6480523301</v>
      </c>
      <c r="AU11" s="72" t="s">
        <v>95</v>
      </c>
      <c r="AV11" s="251" cm="1">
        <f t="array" ref="AV11">_xll.BDP($D11&amp;" Equity","EST_PE_NXT_YR")*(AA11/Z11)</f>
        <v>19.948930737312477</v>
      </c>
      <c r="AW11" s="72"/>
      <c r="AX11" s="41"/>
      <c r="AY11" s="251">
        <v>35.67</v>
      </c>
      <c r="AZ11" s="282"/>
      <c r="BA11" s="41">
        <f t="shared" si="15"/>
        <v>35.67</v>
      </c>
      <c r="BB11" s="274">
        <f t="shared" si="16"/>
        <v>33.575000000000003</v>
      </c>
      <c r="BC11" s="274">
        <f t="shared" si="17"/>
        <v>-28282.499999999982</v>
      </c>
      <c r="BD11" s="274">
        <f>BC11/'Master P&amp;L'!$AD$7*10000</f>
        <v>-0.11803239990608549</v>
      </c>
    </row>
    <row r="12" spans="1:56" s="58" customFormat="1">
      <c r="A12" s="284"/>
      <c r="B12" t="s">
        <v>935</v>
      </c>
      <c r="C12" t="str" cm="1">
        <f t="array" ref="C12">_xll.BDP($B12&amp;" Equity","opt_put_call")</f>
        <v>Put</v>
      </c>
      <c r="D12" t="str" cm="1">
        <f t="array" ref="D12">_xll.BDP(B12&amp;" Equity","OPT_UNDL_TICKER")</f>
        <v>MRVL US</v>
      </c>
      <c r="E12" t="str" cm="1">
        <f t="array" ref="E12">_xll.BDP($B12&amp;" Equity","mifid_Maturity_date")</f>
        <v>20/03/2026</v>
      </c>
      <c r="F12" cm="1">
        <f t="array" ref="F12">_xll.BDP($B12&amp;" Equity","opt_days_expire")</f>
        <v>39</v>
      </c>
      <c r="G12" t="str" cm="1">
        <f t="array" ref="G12">_xll.BDP(B12&amp;" Equity","QUOTED_CURRENCY_REALTIME")</f>
        <v>USD</v>
      </c>
      <c r="H12" s="15">
        <v>450</v>
      </c>
      <c r="I12" s="338">
        <v>4.82</v>
      </c>
      <c r="J12" s="14">
        <f>VLOOKUP(B12,Precificação!$B:$O,14,FALSE)</f>
        <v>4.6749999999999998</v>
      </c>
      <c r="K12" s="14">
        <f t="shared" si="18"/>
        <v>4.6749999999999998</v>
      </c>
      <c r="L12" s="73" cm="1">
        <f t="array" ref="L12">_xll.BDP($B12&amp;" Equity","mid")</f>
        <v>2.75</v>
      </c>
      <c r="M12" s="18">
        <f t="shared" si="0"/>
        <v>3.425510712506228E-2</v>
      </c>
      <c r="N12" s="278"/>
      <c r="O12" s="18">
        <f t="shared" si="1"/>
        <v>-0.41176470588235292</v>
      </c>
      <c r="P12" s="35" cm="1">
        <f t="array" ref="P12">_xll.BDP($B12&amp;" Equity","bid")</f>
        <v>2.66</v>
      </c>
      <c r="Q12" s="35" cm="1">
        <f t="array" ref="Q12">_xll.BDP($B12&amp;" Equity","ask")</f>
        <v>2.85</v>
      </c>
      <c r="R12" s="39">
        <f t="shared" si="2"/>
        <v>7.1428571428571397E-2</v>
      </c>
      <c r="S12" s="35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3"/>
        <v>123750</v>
      </c>
      <c r="V12" s="122">
        <f>U12/'Master P&amp;L'!$AD$7*10000</f>
        <v>0.51645043713879923</v>
      </c>
      <c r="W12" s="122">
        <f>(Y12*H12*T12/S12)/'Master P&amp;L'!$AD$7*10000</f>
        <v>0.51645043713879923</v>
      </c>
      <c r="X12" s="341">
        <f t="shared" si="4"/>
        <v>0</v>
      </c>
      <c r="Y12" s="203">
        <f t="shared" si="5"/>
        <v>2.75</v>
      </c>
      <c r="Z12" s="36">
        <f>_xll.BDP(D12&amp;" Equity","LAST_PRICE")</f>
        <v>80.28</v>
      </c>
      <c r="AA12" s="36" cm="1">
        <f t="array" ref="AA12">_xll.BDP(B12&amp;" Equity","OPT_STRIKE_PX")</f>
        <v>70</v>
      </c>
      <c r="AB12" s="39">
        <f t="shared" si="6"/>
        <v>-0.12805181863477832</v>
      </c>
      <c r="AC12" s="253" cm="1">
        <f t="array" ref="AC12">_xll.BDP($D12&amp;" Equity","volatility_10d")</f>
        <v>58.044165862009478</v>
      </c>
      <c r="AD12" s="36" cm="1">
        <f t="array" ref="AD12">_xll.BDP(B12&amp;" Equity","ivol_mid")</f>
        <v>67.060239999999993</v>
      </c>
      <c r="AE12" s="36">
        <f t="shared" si="7"/>
        <v>1.1553312723870433</v>
      </c>
      <c r="AF12" s="37" cm="1">
        <f t="array" ref="AF12">_xll.BDP(B12&amp;" Equity","DELTA_MID_RT")</f>
        <v>-0.23060999810695648</v>
      </c>
      <c r="AG12" s="18">
        <f>AL12/'Master P&amp;L'!$AE$7</f>
        <v>-3.4768139505766846E-4</v>
      </c>
      <c r="AH12" s="18">
        <f>AM12/'Master P&amp;L'!$AE$7</f>
        <v>-1.5076596761273745E-3</v>
      </c>
      <c r="AI12" s="354">
        <f>AO12/'Master P&amp;L'!$AD$7*10000</f>
        <v>-1.2368706571736018E-2</v>
      </c>
      <c r="AJ12" s="278" t="e">
        <f t="shared" si="8"/>
        <v>#VALUE!</v>
      </c>
      <c r="AK12" s="37">
        <f>AP12/'Master P&amp;L'!$AD$7*10000</f>
        <v>-0.36151530599715936</v>
      </c>
      <c r="AL12" s="15">
        <f t="shared" si="9"/>
        <v>-833101.67916119099</v>
      </c>
      <c r="AM12" s="15">
        <f t="shared" si="10"/>
        <v>-3612600</v>
      </c>
      <c r="AN12" s="37" cm="1">
        <f t="array" ref="AN12">_xll.BDP($B12&amp;" Equity","theta_mid_rt")</f>
        <v>-6.586100161075592E-2</v>
      </c>
      <c r="AO12" s="15">
        <f t="shared" si="11"/>
        <v>-2963.7450724840164</v>
      </c>
      <c r="AP12" s="15">
        <f t="shared" si="12"/>
        <v>-86624.999999999985</v>
      </c>
      <c r="AQ12" s="35" t="str" cm="1">
        <f t="array" ref="AQ12">_xll.BDP($D12&amp;" Equity","EXPECTED_REPORT_DT")</f>
        <v>05/03/2026</v>
      </c>
      <c r="AR12" s="65" cm="1">
        <f t="array" ref="AR12">_xll.BDP($B12&amp;" Equity","GAMMA_LAST")</f>
        <v>1.3363E-2</v>
      </c>
      <c r="AS12">
        <f t="shared" si="13"/>
        <v>38755.309526640005</v>
      </c>
      <c r="AT12">
        <f t="shared" si="14"/>
        <v>193776.54763320004</v>
      </c>
      <c r="AU12" t="s">
        <v>95</v>
      </c>
      <c r="AV12" s="207" cm="1">
        <f t="array" ref="AV12">_xll.BDP($D12&amp;" Equity","EST_PE_NXT_YR")*(AA12/Z12)</f>
        <v>19.768426998023159</v>
      </c>
      <c r="AW12"/>
      <c r="AX12" s="15"/>
      <c r="AY12" s="207">
        <v>4.58</v>
      </c>
      <c r="AZ12" s="283"/>
      <c r="BA12" s="15">
        <f t="shared" si="15"/>
        <v>4.58</v>
      </c>
      <c r="BB12" s="342">
        <f t="shared" si="16"/>
        <v>4.6749999999999998</v>
      </c>
      <c r="BC12" s="342">
        <f t="shared" si="17"/>
        <v>4274.9999999999891</v>
      </c>
      <c r="BD12" s="342">
        <f>BC12/'Master P&amp;L'!$AD$7*10000</f>
        <v>1.7841015101158472E-2</v>
      </c>
    </row>
    <row r="13" spans="1:56" ht="15.75" customHeight="1">
      <c r="A13" s="264"/>
      <c r="B13" s="72" t="s">
        <v>1138</v>
      </c>
      <c r="C13" s="72" t="str" cm="1">
        <f t="array" ref="C13">_xll.BDP($B13&amp;" Equity","opt_put_call")</f>
        <v>Put</v>
      </c>
      <c r="D13" s="72" t="str" cm="1">
        <f t="array" ref="D13">_xll.BDP(B13&amp;" Equity","OPT_UNDL_TICKER")</f>
        <v>MRVL US</v>
      </c>
      <c r="E13" s="72" t="str" cm="1">
        <f t="array" ref="E13">_xll.BDP($B13&amp;" Equity","mifid_Maturity_date")</f>
        <v>20/03/2026</v>
      </c>
      <c r="F13" s="72" cm="1">
        <f t="array" ref="F13">_xll.BDP($B13&amp;" Equity","opt_days_expire")</f>
        <v>39</v>
      </c>
      <c r="G13" s="72" t="str" cm="1">
        <f t="array" ref="G13">_xll.BDP(B13&amp;" Equity","QUOTED_CURRENCY_REALTIME")</f>
        <v>USD</v>
      </c>
      <c r="H13" s="41">
        <v>-450</v>
      </c>
      <c r="I13" s="337">
        <v>1.66</v>
      </c>
      <c r="J13" s="14">
        <f>VLOOKUP(B13,Precificação!$B:$O,14,FALSE)</f>
        <v>1.585</v>
      </c>
      <c r="K13" s="14">
        <f t="shared" si="18"/>
        <v>1.585</v>
      </c>
      <c r="L13" s="73" cm="1">
        <f t="array" ref="L13">_xll.BDP($B13&amp;" Equity","mid")</f>
        <v>0.96</v>
      </c>
      <c r="M13" s="74">
        <f t="shared" si="0"/>
        <v>1.1958146487294468E-2</v>
      </c>
      <c r="N13" s="280"/>
      <c r="O13" s="74">
        <f t="shared" si="1"/>
        <v>-0.39432176656151419</v>
      </c>
      <c r="P13" s="73" cm="1">
        <f t="array" ref="P13">_xll.BDP($B13&amp;" Equity","bid")</f>
        <v>0.81</v>
      </c>
      <c r="Q13" s="73" cm="1">
        <f t="array" ref="Q13">_xll.BDP($B13&amp;" Equity","ask")</f>
        <v>1.1100000000000001</v>
      </c>
      <c r="R13" s="75">
        <f t="shared" si="2"/>
        <v>0.37037037037037046</v>
      </c>
      <c r="S13" s="35" cm="1">
        <f t="array" ref="S13">_xll.BDP(G13&amp;" Curncy","PX_LAST")</f>
        <v>1</v>
      </c>
      <c r="T13" s="41" cm="1">
        <f t="array" ref="T13">_xll.BDP(B13&amp;" Equity","OPT_MULTIPLIER")</f>
        <v>100</v>
      </c>
      <c r="U13" s="41">
        <f t="shared" si="3"/>
        <v>-43200</v>
      </c>
      <c r="V13" s="111">
        <f>U13/'Master P&amp;L'!$AD$7*10000</f>
        <v>-0.18028815260118083</v>
      </c>
      <c r="W13" s="111">
        <f>(Y13*H13*T13/S13)/'Master P&amp;L'!$AD$7*10000</f>
        <v>-0.18028815260118083</v>
      </c>
      <c r="X13" s="116">
        <f t="shared" si="4"/>
        <v>0</v>
      </c>
      <c r="Y13" s="202">
        <f t="shared" si="5"/>
        <v>0.96</v>
      </c>
      <c r="Z13" s="76">
        <f>_xll.BDP(D13&amp;" Equity","LAST_PRICE")</f>
        <v>80.28</v>
      </c>
      <c r="AA13" s="76" cm="1">
        <f t="array" ref="AA13">_xll.BDP(B13&amp;" Equity","OPT_STRIKE_PX")</f>
        <v>60</v>
      </c>
      <c r="AB13" s="75">
        <f t="shared" si="6"/>
        <v>-0.25261584454409569</v>
      </c>
      <c r="AC13" s="252" cm="1">
        <f t="array" ref="AC13">_xll.BDP($D13&amp;" Equity","volatility_10d")</f>
        <v>58.044165862009478</v>
      </c>
      <c r="AD13" s="76" cm="1">
        <f t="array" ref="AD13">_xll.BDP(B13&amp;" Equity","ivol_mid")</f>
        <v>72.814959999999999</v>
      </c>
      <c r="AE13" s="76">
        <f t="shared" si="7"/>
        <v>1.254475086662554</v>
      </c>
      <c r="AF13" s="77" cm="1">
        <f t="array" ref="AF13">_xll.BDP(B13&amp;" Equity","DELTA_MID_RT")</f>
        <v>-9.3250997364521027E-2</v>
      </c>
      <c r="AG13" s="74">
        <f>AL13/'Master P&amp;L'!$AE$7</f>
        <v>1.4059076848514844E-4</v>
      </c>
      <c r="AH13" s="74">
        <f>AM13/'Master P&amp;L'!$AE$7</f>
        <v>1.5076596761273745E-3</v>
      </c>
      <c r="AI13" s="355">
        <f>AO13/'Master P&amp;L'!$AD$7*10000</f>
        <v>7.3747244969877513E-3</v>
      </c>
      <c r="AJ13" s="278" t="e">
        <f t="shared" si="8"/>
        <v>#VALUE!</v>
      </c>
      <c r="AK13" s="77">
        <f>AP13/'Master P&amp;L'!$AD$7*10000</f>
        <v>0.11737509934972709</v>
      </c>
      <c r="AL13" s="41">
        <f t="shared" si="9"/>
        <v>336878.55307906866</v>
      </c>
      <c r="AM13" s="41">
        <f t="shared" si="10"/>
        <v>3612600</v>
      </c>
      <c r="AN13" s="77" cm="1">
        <f t="array" ref="AN13">_xll.BDP($B13&amp;" Equity","theta_mid_rt")</f>
        <v>-3.9269000291824341E-2</v>
      </c>
      <c r="AO13" s="41">
        <f t="shared" si="11"/>
        <v>1767.1050131320953</v>
      </c>
      <c r="AP13" s="41">
        <f t="shared" si="12"/>
        <v>28125</v>
      </c>
      <c r="AQ13" s="73" t="str" cm="1">
        <f t="array" ref="AQ13">_xll.BDP($D13&amp;" Equity","EXPECTED_REPORT_DT")</f>
        <v>05/03/2026</v>
      </c>
      <c r="AR13" s="190" cm="1">
        <f t="array" ref="AR13">_xll.BDP($B13&amp;" Equity","GAMMA_LAST")</f>
        <v>6.7720000000000002E-3</v>
      </c>
      <c r="AS13" s="72">
        <f t="shared" si="13"/>
        <v>-19640.12243616</v>
      </c>
      <c r="AT13" s="72">
        <f t="shared" si="14"/>
        <v>-98200.612180800017</v>
      </c>
      <c r="AU13" s="72" t="s">
        <v>95</v>
      </c>
      <c r="AV13" s="251" cm="1">
        <f t="array" ref="AV13">_xll.BDP($D13&amp;" Equity","EST_PE_NXT_YR")*(AA13/Z13)</f>
        <v>16.944365998305564</v>
      </c>
      <c r="AW13" s="72"/>
      <c r="AX13" s="41"/>
      <c r="AY13" s="251">
        <v>1.6</v>
      </c>
      <c r="AZ13" s="282"/>
      <c r="BA13" s="41">
        <f t="shared" si="15"/>
        <v>1.6</v>
      </c>
      <c r="BB13" s="274">
        <f t="shared" si="16"/>
        <v>1.585</v>
      </c>
      <c r="BC13" s="274">
        <f t="shared" si="17"/>
        <v>675.00000000000557</v>
      </c>
      <c r="BD13" s="274">
        <f>BC13/'Master P&amp;L'!$AD$7*10000</f>
        <v>2.8170023843934735E-3</v>
      </c>
    </row>
    <row r="14" spans="1:56" s="58" customFormat="1">
      <c r="A14" s="284"/>
      <c r="B14" t="s">
        <v>1095</v>
      </c>
      <c r="C14" t="str" cm="1">
        <f t="array" ref="C14">_xll.BDP($B14&amp;" Equity","opt_put_call")</f>
        <v>Call</v>
      </c>
      <c r="D14" t="str" cm="1">
        <f t="array" ref="D14">_xll.BDP(B14&amp;" Equity","OPT_UNDL_TICKER")</f>
        <v>AAPL US</v>
      </c>
      <c r="E14" t="str" cm="1">
        <f t="array" ref="E14">_xll.BDP($B14&amp;" Equity","mifid_Maturity_date")</f>
        <v>17/04/2026</v>
      </c>
      <c r="F14" cm="1">
        <f t="array" ref="F14">_xll.BDP($B14&amp;" Equity","opt_days_expire")</f>
        <v>67</v>
      </c>
      <c r="G14" t="str" cm="1">
        <f t="array" ref="G14">_xll.BDP(B14&amp;" Equity","QUOTED_CURRENCY_REALTIME")</f>
        <v>USD</v>
      </c>
      <c r="H14" s="15">
        <v>350</v>
      </c>
      <c r="I14" s="338">
        <v>9.99</v>
      </c>
      <c r="J14" s="14">
        <f>VLOOKUP(B14,Precificação!$B:$O,14,FALSE)</f>
        <v>23.674999999999997</v>
      </c>
      <c r="K14" s="14">
        <f t="shared" si="18"/>
        <v>23.674999999999997</v>
      </c>
      <c r="L14" s="73" cm="1">
        <f t="array" ref="L14">_xll.BDP($B14&amp;" Equity","mid")</f>
        <v>24.85</v>
      </c>
      <c r="M14" s="18">
        <f t="shared" si="0"/>
        <v>8.9349920897454346E-2</v>
      </c>
      <c r="N14" s="278"/>
      <c r="O14" s="18">
        <f t="shared" si="1"/>
        <v>4.9630411826821819E-2</v>
      </c>
      <c r="P14" s="35" cm="1">
        <f t="array" ref="P14">_xll.BDP($B14&amp;" Equity","bid")</f>
        <v>24.7</v>
      </c>
      <c r="Q14" s="35" cm="1">
        <f t="array" ref="Q14">_xll.BDP($B14&amp;" Equity","ask")</f>
        <v>25</v>
      </c>
      <c r="R14" s="39">
        <f t="shared" si="2"/>
        <v>1.2145748987854255E-2</v>
      </c>
      <c r="S14" s="35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3"/>
        <v>869750</v>
      </c>
      <c r="V14" s="122">
        <f>U14/'Master P&amp;L'!$AD$7*10000</f>
        <v>3.6297597390017824</v>
      </c>
      <c r="W14" s="122">
        <f>(Y14*H14*T14/S14)/'Master P&amp;L'!$AD$7*10000</f>
        <v>0.98302949873166956</v>
      </c>
      <c r="X14" s="341">
        <f t="shared" si="4"/>
        <v>18.120000000000005</v>
      </c>
      <c r="Y14" s="203">
        <f t="shared" si="5"/>
        <v>6.7299999999999969</v>
      </c>
      <c r="Z14" s="36">
        <f>_xll.BDP(D14&amp;" Equity","LAST_PRICE")</f>
        <v>278.12</v>
      </c>
      <c r="AA14" s="36" cm="1">
        <f t="array" ref="AA14">_xll.BDP(B14&amp;" Equity","OPT_STRIKE_PX")</f>
        <v>260</v>
      </c>
      <c r="AB14" s="39">
        <f t="shared" si="6"/>
        <v>-6.5151733064864104E-2</v>
      </c>
      <c r="AC14" s="253" cm="1">
        <f t="array" ref="AC14">_xll.BDP($D14&amp;" Equity","volatility_10d")</f>
        <v>23.880738928501032</v>
      </c>
      <c r="AD14" s="36" cm="1">
        <f t="array" ref="AD14">_xll.BDP(B14&amp;" Equity","ivol_mid")</f>
        <v>26.90841</v>
      </c>
      <c r="AE14" s="36">
        <f t="shared" si="7"/>
        <v>1.1267829726945979</v>
      </c>
      <c r="AF14" s="37" cm="1">
        <f t="array" ref="AF14">_xll.BDP(B14&amp;" Equity","DELTA_MID_RT")</f>
        <v>0.75405502319335938</v>
      </c>
      <c r="AG14" s="18">
        <f>AL14/'Master P&amp;L'!$AE$7</f>
        <v>3.0632803439418514E-3</v>
      </c>
      <c r="AH14" s="18">
        <f>AM14/'Master P&amp;L'!$AE$7</f>
        <v>4.0624095718759592E-3</v>
      </c>
      <c r="AI14" s="354">
        <f>AO14/'Master P&amp;L'!$AD$7*10000</f>
        <v>-1.7523778849368055E-2</v>
      </c>
      <c r="AJ14" s="278" t="e">
        <f t="shared" si="8"/>
        <v>#VALUE!</v>
      </c>
      <c r="AK14" s="37">
        <f>AP14/'Master P&amp;L'!$AD$7*10000</f>
        <v>0.1716284786047127</v>
      </c>
      <c r="AL14" s="15">
        <f t="shared" si="9"/>
        <v>7340122.4067687988</v>
      </c>
      <c r="AM14" s="15">
        <f t="shared" si="10"/>
        <v>9734200</v>
      </c>
      <c r="AN14" s="37" cm="1">
        <f t="array" ref="AN14">_xll.BDP($B14&amp;" Equity","theta_mid_rt")</f>
        <v>-0.11997099965810776</v>
      </c>
      <c r="AO14" s="15">
        <f t="shared" si="11"/>
        <v>-4198.9849880337715</v>
      </c>
      <c r="AP14" s="15">
        <f t="shared" si="12"/>
        <v>41125.000000000153</v>
      </c>
      <c r="AQ14" s="35" t="str" cm="1">
        <f t="array" ref="AQ14">_xll.BDP($D14&amp;" Equity","EXPECTED_REPORT_DT")</f>
        <v>01/05/2026</v>
      </c>
      <c r="AR14" s="65" cm="1">
        <f t="array" ref="AR14">_xll.BDP($B14&amp;" Equity","GAMMA_LAST")</f>
        <v>2.6876000000000001E-2</v>
      </c>
      <c r="AS14">
        <f t="shared" si="13"/>
        <v>727607.41820703994</v>
      </c>
      <c r="AT14">
        <f t="shared" si="14"/>
        <v>3638037.0910352003</v>
      </c>
      <c r="AU14" t="s">
        <v>95</v>
      </c>
      <c r="AV14" s="207" cm="1">
        <f t="array" ref="AV14">_xll.BDP($D14&amp;" Equity","EST_PE_NXT_YR")*(AA14/Z14)</f>
        <v>27.98407060596276</v>
      </c>
      <c r="AW14"/>
      <c r="AX14" s="15"/>
      <c r="AY14" s="207">
        <v>23.9</v>
      </c>
      <c r="AZ14" s="283"/>
      <c r="BA14" s="15">
        <f t="shared" si="15"/>
        <v>23.9</v>
      </c>
      <c r="BB14" s="342">
        <f t="shared" si="16"/>
        <v>23.674999999999997</v>
      </c>
      <c r="BC14" s="342">
        <f t="shared" si="17"/>
        <v>-7875.00000000005</v>
      </c>
      <c r="BD14" s="342">
        <f>BC14/'Master P&amp;L'!$AD$7*10000</f>
        <v>-3.2865027817923796E-2</v>
      </c>
    </row>
    <row r="15" spans="1:56" ht="15.75" customHeight="1">
      <c r="A15" s="264"/>
      <c r="B15" s="72" t="s">
        <v>1096</v>
      </c>
      <c r="C15" s="72" t="str" cm="1">
        <f t="array" ref="C15">_xll.BDP($B15&amp;" Equity","opt_put_call")</f>
        <v>Call</v>
      </c>
      <c r="D15" s="72" t="str" cm="1">
        <f t="array" ref="D15">_xll.BDP(B15&amp;" Equity","OPT_UNDL_TICKER")</f>
        <v>AAPL US</v>
      </c>
      <c r="E15" s="72" t="str" cm="1">
        <f t="array" ref="E15">_xll.BDP($B15&amp;" Equity","mifid_Maturity_date")</f>
        <v>17/04/2026</v>
      </c>
      <c r="F15" s="72" cm="1">
        <f t="array" ref="F15">_xll.BDP($B15&amp;" Equity","opt_days_expire")</f>
        <v>67</v>
      </c>
      <c r="G15" s="72" t="str" cm="1">
        <f t="array" ref="G15">_xll.BDP(B15&amp;" Equity","QUOTED_CURRENCY_REALTIME")</f>
        <v>USD</v>
      </c>
      <c r="H15" s="41">
        <v>-350</v>
      </c>
      <c r="I15" s="337">
        <v>3.3</v>
      </c>
      <c r="J15" s="14">
        <f>VLOOKUP(B15,Precificação!$B:$O,14,FALSE)</f>
        <v>11.05</v>
      </c>
      <c r="K15" s="14">
        <f t="shared" si="18"/>
        <v>11.05</v>
      </c>
      <c r="L15" s="73" cm="1">
        <f t="array" ref="L15">_xll.BDP($B15&amp;" Equity","mid")</f>
        <v>11.45</v>
      </c>
      <c r="M15" s="74">
        <f t="shared" si="0"/>
        <v>4.1169279447720405E-2</v>
      </c>
      <c r="N15" s="280"/>
      <c r="O15" s="74">
        <f t="shared" si="1"/>
        <v>3.6199095022624306E-2</v>
      </c>
      <c r="P15" s="73" cm="1">
        <f t="array" ref="P15">_xll.BDP($B15&amp;" Equity","bid")</f>
        <v>11.4</v>
      </c>
      <c r="Q15" s="73" cm="1">
        <f t="array" ref="Q15">_xll.BDP($B15&amp;" Equity","ask")</f>
        <v>11.5</v>
      </c>
      <c r="R15" s="75">
        <f t="shared" si="2"/>
        <v>8.7719298245614308E-3</v>
      </c>
      <c r="S15" s="35" cm="1">
        <f t="array" ref="S15">_xll.BDP(G15&amp;" Curncy","PX_LAST")</f>
        <v>1</v>
      </c>
      <c r="T15" s="41" cm="1">
        <f t="array" ref="T15">_xll.BDP(B15&amp;" Equity","OPT_MULTIPLIER")</f>
        <v>100</v>
      </c>
      <c r="U15" s="41">
        <f t="shared" si="3"/>
        <v>-400749.99999999994</v>
      </c>
      <c r="V15" s="111">
        <f>U15/'Master P&amp;L'!$AD$7*10000</f>
        <v>-1.6724647489565556</v>
      </c>
      <c r="W15" s="111">
        <f>(Y15*H15*T15/S15)/'Master P&amp;L'!$AD$7*10000</f>
        <v>-1.6724647489565556</v>
      </c>
      <c r="X15" s="116">
        <f t="shared" si="4"/>
        <v>0</v>
      </c>
      <c r="Y15" s="202">
        <f t="shared" si="5"/>
        <v>11.45</v>
      </c>
      <c r="Z15" s="76">
        <f>_xll.BDP(D15&amp;" Equity","LAST_PRICE")</f>
        <v>278.12</v>
      </c>
      <c r="AA15" s="76" cm="1">
        <f t="array" ref="AA15">_xll.BDP(B15&amp;" Equity","OPT_STRIKE_PX")</f>
        <v>280</v>
      </c>
      <c r="AB15" s="75">
        <f t="shared" si="6"/>
        <v>6.7596720839924185E-3</v>
      </c>
      <c r="AC15" s="252" cm="1">
        <f t="array" ref="AC15">_xll.BDP($D15&amp;" Equity","volatility_10d")</f>
        <v>23.880738928501032</v>
      </c>
      <c r="AD15" s="76" cm="1">
        <f t="array" ref="AD15">_xll.BDP(B15&amp;" Equity","ivol_mid")</f>
        <v>23.874970000000001</v>
      </c>
      <c r="AE15" s="76">
        <f t="shared" si="7"/>
        <v>0.99975842755459521</v>
      </c>
      <c r="AF15" s="77" cm="1">
        <f t="array" ref="AF15">_xll.BDP(B15&amp;" Equity","DELTA_MID_RT")</f>
        <v>0.51885801553726196</v>
      </c>
      <c r="AG15" s="74">
        <f>AL15/'Master P&amp;L'!$AE$7</f>
        <v>-2.1078137687631378E-3</v>
      </c>
      <c r="AH15" s="74">
        <f>AM15/'Master P&amp;L'!$AE$7</f>
        <v>-4.0624095718759592E-3</v>
      </c>
      <c r="AI15" s="355">
        <f>AO15/'Master P&amp;L'!$AD$7*10000</f>
        <v>1.6824118833625192E-2</v>
      </c>
      <c r="AJ15" s="278" t="e">
        <f t="shared" si="8"/>
        <v>#VALUE!</v>
      </c>
      <c r="AK15" s="77">
        <f>AP15/'Master P&amp;L'!$AD$7*10000</f>
        <v>-5.8426716120752835E-2</v>
      </c>
      <c r="AL15" s="41">
        <f t="shared" si="9"/>
        <v>-5050667.6948428154</v>
      </c>
      <c r="AM15" s="41">
        <f t="shared" si="10"/>
        <v>-9734200</v>
      </c>
      <c r="AN15" s="77" cm="1">
        <f t="array" ref="AN15">_xll.BDP($B15&amp;" Equity","theta_mid_rt")</f>
        <v>-0.11518099904060364</v>
      </c>
      <c r="AO15" s="41">
        <f t="shared" si="11"/>
        <v>4031.3349664211273</v>
      </c>
      <c r="AP15" s="41">
        <f t="shared" si="12"/>
        <v>-13999.999999999951</v>
      </c>
      <c r="AQ15" s="73" t="str" cm="1">
        <f t="array" ref="AQ15">_xll.BDP($D15&amp;" Equity","EXPECTED_REPORT_DT")</f>
        <v>01/05/2026</v>
      </c>
      <c r="AR15" s="190" cm="1">
        <f t="array" ref="AR15">_xll.BDP($B15&amp;" Equity","GAMMA_LAST")</f>
        <v>3.8121000000000002E-2</v>
      </c>
      <c r="AS15" s="72">
        <f t="shared" si="13"/>
        <v>-1032040.57112184</v>
      </c>
      <c r="AT15" s="72">
        <f t="shared" si="14"/>
        <v>-5160202.8556092</v>
      </c>
      <c r="AU15" s="72" t="s">
        <v>95</v>
      </c>
      <c r="AV15" s="251" cm="1">
        <f t="array" ref="AV15">_xll.BDP($D15&amp;" Equity","EST_PE_NXT_YR")*(AA15/Z15)</f>
        <v>30.136691421806045</v>
      </c>
      <c r="AW15" s="72"/>
      <c r="AX15" s="41"/>
      <c r="AY15" s="251">
        <v>11.38</v>
      </c>
      <c r="AZ15" s="282"/>
      <c r="BA15" s="41">
        <f t="shared" si="15"/>
        <v>11.38</v>
      </c>
      <c r="BB15" s="274">
        <f t="shared" si="16"/>
        <v>11.05</v>
      </c>
      <c r="BC15" s="274">
        <f t="shared" si="17"/>
        <v>11550.000000000004</v>
      </c>
      <c r="BD15" s="274">
        <f>BC15/'Master P&amp;L'!$AD$7*10000</f>
        <v>4.8202040799621274E-2</v>
      </c>
    </row>
    <row r="16" spans="1:56" s="58" customFormat="1">
      <c r="A16" s="284" t="s">
        <v>95</v>
      </c>
      <c r="B16" t="s">
        <v>1164</v>
      </c>
      <c r="C16" t="str" cm="1">
        <f t="array" ref="C16">_xll.BDP($B16&amp;" Equity","opt_put_call")</f>
        <v>Call</v>
      </c>
      <c r="D16" t="str" cm="1">
        <f t="array" ref="D16">_xll.BDP(B16&amp;" Equity","OPT_UNDL_TICKER")</f>
        <v>MELI US</v>
      </c>
      <c r="E16" t="str" cm="1">
        <f t="array" ref="E16">_xll.BDP($B16&amp;" Equity","mifid_Maturity_date")</f>
        <v>20/02/2026</v>
      </c>
      <c r="F16" cm="1">
        <f t="array" ref="F16">_xll.BDP($B16&amp;" Equity","opt_days_expire")</f>
        <v>11</v>
      </c>
      <c r="G16" t="str" cm="1">
        <f t="array" ref="G16">_xll.BDP(B16&amp;" Equity","QUOTED_CURRENCY_REALTIME")</f>
        <v>USD</v>
      </c>
      <c r="H16" s="15">
        <v>30</v>
      </c>
      <c r="I16" s="338">
        <v>42.09</v>
      </c>
      <c r="J16" s="14">
        <f>VLOOKUP(B16,Precificação!$B:$O,14,FALSE)</f>
        <v>44.153659129876466</v>
      </c>
      <c r="K16" s="14">
        <f t="shared" si="18"/>
        <v>44.153659129876466</v>
      </c>
      <c r="L16" s="73" cm="1">
        <f t="array" ref="L16">_xll.BDP($B16&amp;" Equity","mid")</f>
        <v>12.5</v>
      </c>
      <c r="M16" s="18">
        <f t="shared" ref="M16" si="51">L16/Z16</f>
        <v>6.344694566403573E-3</v>
      </c>
      <c r="N16" s="278"/>
      <c r="O16" s="18">
        <f t="shared" ref="O16" si="52">L16/K16-1</f>
        <v>-0.71689775555788748</v>
      </c>
      <c r="P16" s="35" cm="1">
        <f t="array" ref="P16">_xll.BDP($B16&amp;" Equity","bid")</f>
        <v>5</v>
      </c>
      <c r="Q16" s="35" cm="1">
        <f t="array" ref="Q16">_xll.BDP($B16&amp;" Equity","ask")</f>
        <v>20</v>
      </c>
      <c r="R16" s="39">
        <f t="shared" ref="R16" si="53">(Q16/P16-1)</f>
        <v>3</v>
      </c>
      <c r="S16" s="35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ref="U16" si="54">(L16/S16)*H16*T16</f>
        <v>37500</v>
      </c>
      <c r="V16" s="122">
        <f>U16/'Master P&amp;L'!$AD$7*10000</f>
        <v>0.15650013246630279</v>
      </c>
      <c r="W16" s="122">
        <f>(Y16*H16*T16/S16)/'Master P&amp;L'!$AD$7*10000</f>
        <v>0.15650013246630279</v>
      </c>
      <c r="X16" s="341">
        <f t="shared" ref="X16" si="55">IF(C16="Put",IF(Z16&lt;AA16,AA16-Z16,0),IF(Z16&gt;AA16,Z16-AA16,0))</f>
        <v>0</v>
      </c>
      <c r="Y16" s="203">
        <f t="shared" ref="Y16" si="56">L16-X16</f>
        <v>12.5</v>
      </c>
      <c r="Z16" s="36">
        <f>_xll.BDP(D16&amp;" Equity","LAST_PRICE")</f>
        <v>1970.15</v>
      </c>
      <c r="AA16" s="36" cm="1">
        <f t="array" ref="AA16">_xll.BDP(B16&amp;" Equity","OPT_STRIKE_PX")</f>
        <v>2150</v>
      </c>
      <c r="AB16" s="39">
        <f t="shared" ref="AB16" si="57">AA16/Z16-1</f>
        <v>9.1287465421414637E-2</v>
      </c>
      <c r="AC16" s="253" cm="1">
        <f t="array" ref="AC16">_xll.BDP($D16&amp;" Equity","volatility_10d")</f>
        <v>34.435957756913922</v>
      </c>
      <c r="AD16" s="36" cm="1">
        <f t="array" ref="AD16">_xll.BDP(B16&amp;" Equity","ivol_mid")</f>
        <v>42.558459999999997</v>
      </c>
      <c r="AE16" s="36">
        <f t="shared" ref="AE16" si="58">AD16/AC16</f>
        <v>1.2358726973828764</v>
      </c>
      <c r="AF16" s="37" cm="1">
        <f t="array" ref="AF16">_xll.BDP(B16&amp;" Equity","DELTA_MID_RT")</f>
        <v>0.15631599724292755</v>
      </c>
      <c r="AG16" s="18">
        <f>AL16/'Master P&amp;L'!$AE$7</f>
        <v>3.8557371074502751E-4</v>
      </c>
      <c r="AH16" s="18">
        <f>AM16/'Master P&amp;L'!$AE$7</f>
        <v>2.4666298878278916E-3</v>
      </c>
      <c r="AI16" s="354">
        <f>AO16/'Master P&amp;L'!$AD$7*10000</f>
        <v>-1.8215301062496383E-2</v>
      </c>
      <c r="AJ16" s="278" t="e">
        <f t="shared" ref="AJ16" si="59">(252*AI16)/$AI$1</f>
        <v>#VALUE!</v>
      </c>
      <c r="AK16" s="37">
        <f>AP16/'Master P&amp;L'!$AD$7*10000</f>
        <v>-0.39630414774950889</v>
      </c>
      <c r="AL16" s="15">
        <f t="shared" ref="AL16" si="60">Z16*AF16*H16*T16/S16</f>
        <v>923897.88590446138</v>
      </c>
      <c r="AM16" s="15">
        <f t="shared" ref="AM16" si="61">IF(C16="Put",-Z16*H16*T16/S16,Z16*H16*T16/S16)</f>
        <v>5910450</v>
      </c>
      <c r="AN16" s="37" cm="1">
        <f t="array" ref="AN16">_xll.BDP($B16&amp;" Equity","theta_mid_rt")</f>
        <v>-1.45489501953125</v>
      </c>
      <c r="AO16" s="15">
        <f t="shared" ref="AO16" si="62">AN16*H16*T16/S16</f>
        <v>-4364.68505859375</v>
      </c>
      <c r="AP16" s="15">
        <f t="shared" ref="AP16" si="63">(L16-K16)*T16/S16*H16</f>
        <v>-94960.977389629392</v>
      </c>
      <c r="AQ16" s="35" t="str" cm="1">
        <f t="array" ref="AQ16">_xll.BDP($D16&amp;" Equity","EXPECTED_REPORT_DT")</f>
        <v>24/02/2026</v>
      </c>
      <c r="AR16" s="65" cm="1">
        <f t="array" ref="AR16">_xll.BDP($B16&amp;" Equity","GAMMA_LAST")</f>
        <v>2.6147E-2</v>
      </c>
      <c r="AS16">
        <f t="shared" si="13"/>
        <v>3044680.372959225</v>
      </c>
      <c r="AT16">
        <f t="shared" si="14"/>
        <v>15223401.864796126</v>
      </c>
      <c r="AU16" t="s">
        <v>95</v>
      </c>
      <c r="AV16" s="207" cm="1">
        <f t="array" ref="AV16">_xll.BDP($D16&amp;" Equity","EST_PE_NXT_YR")*(AA16/Z16)</f>
        <v>36.057490734063428</v>
      </c>
      <c r="AW16"/>
      <c r="AX16" s="15"/>
      <c r="AY16" s="207">
        <v>31.5</v>
      </c>
      <c r="AZ16" s="283"/>
      <c r="BA16" s="15">
        <f t="shared" ref="BA16" si="64">+AY16</f>
        <v>31.5</v>
      </c>
      <c r="BB16" s="342">
        <f t="shared" ref="BB16" si="65">+J16</f>
        <v>44.153659129876466</v>
      </c>
      <c r="BC16" s="342">
        <f t="shared" ref="BC16" si="66">(BB16-BA16)*H16*100</f>
        <v>37960.977389629399</v>
      </c>
      <c r="BD16" s="342">
        <f>BC16/'Master P&amp;L'!$AD$7*10000</f>
        <v>0.15842394640072871</v>
      </c>
    </row>
    <row r="17" spans="1:56" ht="15.75" customHeight="1">
      <c r="A17" s="264"/>
      <c r="B17" s="72" t="s">
        <v>985</v>
      </c>
      <c r="C17" s="72" t="str" cm="1">
        <f t="array" ref="C17">_xll.BDP($B17&amp;" Equity","opt_put_call")</f>
        <v>Call</v>
      </c>
      <c r="D17" s="72" t="str" cm="1">
        <f t="array" ref="D17">_xll.BDP(B17&amp;" Equity","OPT_UNDL_TICKER")</f>
        <v>INTC US</v>
      </c>
      <c r="E17" s="72" t="str" cm="1">
        <f t="array" ref="E17">_xll.BDP($B17&amp;" Equity","mifid_Maturity_date")</f>
        <v>17/07/2026</v>
      </c>
      <c r="F17" s="72" cm="1">
        <f t="array" ref="F17">_xll.BDP($B17&amp;" Equity","opt_days_expire")</f>
        <v>158</v>
      </c>
      <c r="G17" s="72" t="str" cm="1">
        <f t="array" ref="G17">_xll.BDP(B17&amp;" Equity","QUOTED_CURRENCY_REALTIME")</f>
        <v>USD</v>
      </c>
      <c r="H17" s="41">
        <v>-150</v>
      </c>
      <c r="I17" s="337">
        <v>3.7</v>
      </c>
      <c r="J17" s="14">
        <f>VLOOKUP(B17,Precificação!$B:$O,14,FALSE)</f>
        <v>4.8499999999999996</v>
      </c>
      <c r="K17" s="14">
        <f t="shared" si="18"/>
        <v>4.8499999999999996</v>
      </c>
      <c r="L17" s="73" cm="1">
        <f t="array" ref="L17">_xll.BDP($B17&amp;" Equity","mid")</f>
        <v>5.45</v>
      </c>
      <c r="M17" s="74">
        <f t="shared" si="0"/>
        <v>0.10772880015813402</v>
      </c>
      <c r="N17" s="280"/>
      <c r="O17" s="74">
        <f t="shared" si="1"/>
        <v>0.12371134020618579</v>
      </c>
      <c r="P17" s="73" cm="1">
        <f t="array" ref="P17">_xll.BDP($B17&amp;" Equity","bid")</f>
        <v>5.25</v>
      </c>
      <c r="Q17" s="73" cm="1">
        <f t="array" ref="Q17">_xll.BDP($B17&amp;" Equity","ask")</f>
        <v>5.65</v>
      </c>
      <c r="R17" s="75">
        <f t="shared" si="2"/>
        <v>7.6190476190476364E-2</v>
      </c>
      <c r="S17" s="35" cm="1">
        <f t="array" ref="S17">_xll.BDP(G17&amp;" Curncy","PX_LAST")</f>
        <v>1</v>
      </c>
      <c r="T17" s="41" cm="1">
        <f t="array" ref="T17">_xll.BDP(B17&amp;" Equity","OPT_MULTIPLIER")</f>
        <v>100</v>
      </c>
      <c r="U17" s="41">
        <f t="shared" si="3"/>
        <v>-81750</v>
      </c>
      <c r="V17" s="111">
        <f>U17/'Master P&amp;L'!$AD$7*10000</f>
        <v>-0.3411702887765401</v>
      </c>
      <c r="W17" s="111">
        <f>(Y17*H17*T17/S17)/'Master P&amp;L'!$AD$7*10000</f>
        <v>-0.3411702887765401</v>
      </c>
      <c r="X17" s="116">
        <f t="shared" si="4"/>
        <v>0</v>
      </c>
      <c r="Y17" s="202">
        <f t="shared" si="5"/>
        <v>5.45</v>
      </c>
      <c r="Z17" s="76">
        <f>_xll.BDP(D17&amp;" Equity","LAST_PRICE")</f>
        <v>50.59</v>
      </c>
      <c r="AA17" s="76" cm="1">
        <f t="array" ref="AA17">_xll.BDP(B17&amp;" Equity","OPT_STRIKE_PX")</f>
        <v>60</v>
      </c>
      <c r="AB17" s="75">
        <f t="shared" si="6"/>
        <v>0.1860051393556037</v>
      </c>
      <c r="AC17" s="252" cm="1">
        <f t="array" ref="AC17">_xll.BDP($D17&amp;" Equity","volatility_10d")</f>
        <v>71.681574571675924</v>
      </c>
      <c r="AD17" s="76" cm="1">
        <f t="array" ref="AD17">_xll.BDP(B17&amp;" Equity","ivol_mid")</f>
        <v>63.382150000000003</v>
      </c>
      <c r="AE17" s="76">
        <f t="shared" si="7"/>
        <v>0.88421816036731793</v>
      </c>
      <c r="AF17" s="77" cm="1">
        <f t="array" ref="AF17">_xll.BDP(B17&amp;" Equity","DELTA_MID_RT")</f>
        <v>0.43643701076507568</v>
      </c>
      <c r="AG17" s="74">
        <f>AL17/'Master P&amp;L'!$AE$7</f>
        <v>-1.3821683781581434E-4</v>
      </c>
      <c r="AH17" s="74">
        <f>AM17/'Master P&amp;L'!$AE$7</f>
        <v>-3.1669366805881036E-4</v>
      </c>
      <c r="AI17" s="355">
        <f>AO17/'Master P&amp;L'!$AD$7*10000</f>
        <v>1.6630956637661903E-3</v>
      </c>
      <c r="AJ17" s="278" t="e">
        <f t="shared" si="8"/>
        <v>#VALUE!</v>
      </c>
      <c r="AK17" s="77">
        <f>AP17/'Master P&amp;L'!$AD$7*10000</f>
        <v>-3.756003179191271E-2</v>
      </c>
      <c r="AL17" s="41">
        <f t="shared" si="9"/>
        <v>-331190.22561907774</v>
      </c>
      <c r="AM17" s="41">
        <f t="shared" si="10"/>
        <v>-758850.00000000012</v>
      </c>
      <c r="AN17" s="77" cm="1">
        <f t="array" ref="AN17">_xll.BDP($B17&amp;" Equity","theta_mid_rt")</f>
        <v>-2.6567000895738602E-2</v>
      </c>
      <c r="AO17" s="41">
        <f t="shared" si="11"/>
        <v>398.50501343607903</v>
      </c>
      <c r="AP17" s="41">
        <f t="shared" si="12"/>
        <v>-9000.0000000000091</v>
      </c>
      <c r="AQ17" s="73" t="str" cm="1">
        <f t="array" ref="AQ17">_xll.BDP($D17&amp;" Equity","EXPECTED_REPORT_DT")</f>
        <v>24/04/2026</v>
      </c>
      <c r="AR17" s="190" cm="1">
        <f t="array" ref="AR17">_xll.BDP($B17&amp;" Equity","GAMMA_LAST")</f>
        <v>9.3959999999999998E-3</v>
      </c>
      <c r="AS17" s="72">
        <f t="shared" si="13"/>
        <v>-3607.1452121399998</v>
      </c>
      <c r="AT17" s="72">
        <f t="shared" si="14"/>
        <v>-18035.726060699999</v>
      </c>
      <c r="AU17" s="72" t="s">
        <v>95</v>
      </c>
      <c r="AV17" s="251" cm="1">
        <f t="array" ref="AV17">_xll.BDP($D17&amp;" Equity","EST_PE_NXT_YR")*(AA17/Z17)</f>
        <v>60.544904137235115</v>
      </c>
      <c r="AW17" s="72"/>
      <c r="AX17" s="41"/>
      <c r="AY17" s="251">
        <v>4.47</v>
      </c>
      <c r="AZ17" s="282"/>
      <c r="BA17" s="41">
        <f t="shared" si="15"/>
        <v>4.47</v>
      </c>
      <c r="BB17" s="274">
        <f t="shared" si="16"/>
        <v>4.8499999999999996</v>
      </c>
      <c r="BC17" s="274">
        <f t="shared" si="17"/>
        <v>-5699.9999999999982</v>
      </c>
      <c r="BD17" s="274">
        <f>BC17/'Master P&amp;L'!$AD$7*10000</f>
        <v>-2.3788020134878015E-2</v>
      </c>
    </row>
    <row r="18" spans="1:56" s="58" customFormat="1">
      <c r="A18" s="284"/>
      <c r="B18" t="s">
        <v>984</v>
      </c>
      <c r="C18" t="str" cm="1">
        <f t="array" ref="C18">_xll.BDP($B18&amp;" Equity","opt_put_call")</f>
        <v>Call</v>
      </c>
      <c r="D18" t="str" cm="1">
        <f t="array" ref="D18">_xll.BDP(B18&amp;" Equity","OPT_UNDL_TICKER")</f>
        <v>INTC US</v>
      </c>
      <c r="E18" t="str" cm="1">
        <f t="array" ref="E18">_xll.BDP($B18&amp;" Equity","mifid_Maturity_date")</f>
        <v>17/07/2026</v>
      </c>
      <c r="F18" cm="1">
        <f t="array" ref="F18">_xll.BDP($B18&amp;" Equity","opt_days_expire")</f>
        <v>158</v>
      </c>
      <c r="G18" t="str" cm="1">
        <f t="array" ref="G18">_xll.BDP(B18&amp;" Equity","QUOTED_CURRENCY_REALTIME")</f>
        <v>USD</v>
      </c>
      <c r="H18" s="15">
        <v>275</v>
      </c>
      <c r="I18" s="338">
        <v>6.6</v>
      </c>
      <c r="J18" s="14">
        <f>VLOOKUP(B18,Precificação!$B:$O,14,FALSE)</f>
        <v>8.0749999999999993</v>
      </c>
      <c r="K18" s="14">
        <f t="shared" si="18"/>
        <v>8.0749999999999993</v>
      </c>
      <c r="L18" s="73" cm="1">
        <f t="array" ref="L18">_xll.BDP($B18&amp;" Equity","mid")</f>
        <v>8.8000000000000007</v>
      </c>
      <c r="M18" s="18">
        <f t="shared" si="0"/>
        <v>0.17394742043882191</v>
      </c>
      <c r="N18" s="278"/>
      <c r="O18" s="18">
        <f t="shared" si="1"/>
        <v>8.9783281733746279E-2</v>
      </c>
      <c r="P18" s="35" cm="1">
        <f t="array" ref="P18">_xll.BDP($B18&amp;" Equity","bid")</f>
        <v>8.6</v>
      </c>
      <c r="Q18" s="35" cm="1">
        <f t="array" ref="Q18">_xll.BDP($B18&amp;" Equity","ask")</f>
        <v>9</v>
      </c>
      <c r="R18" s="39">
        <f t="shared" si="2"/>
        <v>4.6511627906976827E-2</v>
      </c>
      <c r="S18" s="35" cm="1">
        <f t="array" ref="S18">_xll.BDP(G18&amp;" Curncy","PX_LAST")</f>
        <v>1</v>
      </c>
      <c r="T18" s="15" cm="1">
        <f t="array" ref="T18">_xll.BDP(B18&amp;" Equity","OPT_MULTIPLIER")</f>
        <v>100</v>
      </c>
      <c r="U18" s="15">
        <f t="shared" si="3"/>
        <v>242000</v>
      </c>
      <c r="V18" s="122">
        <f>U18/'Master P&amp;L'!$AD$7*10000</f>
        <v>1.009947521515874</v>
      </c>
      <c r="W18" s="122">
        <f>(Y18*H18*T18/S18)/'Master P&amp;L'!$AD$7*10000</f>
        <v>0.94223513086878652</v>
      </c>
      <c r="X18" s="341">
        <f t="shared" si="4"/>
        <v>0.59000000000000341</v>
      </c>
      <c r="Y18" s="203">
        <f t="shared" si="5"/>
        <v>8.2099999999999973</v>
      </c>
      <c r="Z18" s="36">
        <f>_xll.BDP(D18&amp;" Equity","LAST_PRICE")</f>
        <v>50.59</v>
      </c>
      <c r="AA18" s="36" cm="1">
        <f t="array" ref="AA18">_xll.BDP(B18&amp;" Equity","OPT_STRIKE_PX")</f>
        <v>50</v>
      </c>
      <c r="AB18" s="39">
        <f t="shared" si="6"/>
        <v>-1.166238387033014E-2</v>
      </c>
      <c r="AC18" s="253" cm="1">
        <f t="array" ref="AC18">_xll.BDP($D18&amp;" Equity","volatility_10d")</f>
        <v>71.681574571675924</v>
      </c>
      <c r="AD18" s="36" cm="1">
        <f t="array" ref="AD18">_xll.BDP(B18&amp;" Equity","ivol_mid")</f>
        <v>61.942390000000003</v>
      </c>
      <c r="AE18" s="36">
        <f t="shared" si="7"/>
        <v>0.86413266407900258</v>
      </c>
      <c r="AF18" s="37" cm="1">
        <f t="array" ref="AF18">_xll.BDP(B18&amp;" Equity","DELTA_MID_RT")</f>
        <v>0.60718601942062378</v>
      </c>
      <c r="AG18" s="18">
        <f>AL18/'Master P&amp;L'!$AE$7</f>
        <v>3.5253527408796664E-4</v>
      </c>
      <c r="AH18" s="18">
        <f>AM18/'Master P&amp;L'!$AE$7</f>
        <v>5.80605058107819E-4</v>
      </c>
      <c r="AI18" s="354">
        <f>AO18/'Master P&amp;L'!$AD$7*10000</f>
        <v>-2.9178301888145297E-3</v>
      </c>
      <c r="AJ18" s="278" t="e">
        <f t="shared" si="8"/>
        <v>#VALUE!</v>
      </c>
      <c r="AK18" s="37">
        <f>AP18/'Master P&amp;L'!$AD$7*10000</f>
        <v>8.3205903761251143E-2</v>
      </c>
      <c r="AL18" s="15">
        <f t="shared" si="9"/>
        <v>844732.36986845755</v>
      </c>
      <c r="AM18" s="15">
        <f t="shared" si="10"/>
        <v>1391225.0000000002</v>
      </c>
      <c r="AN18" s="37" cm="1">
        <f t="array" ref="AN18">_xll.BDP($B18&amp;" Equity","theta_mid_rt")</f>
        <v>-2.542399987578392E-2</v>
      </c>
      <c r="AO18" s="15">
        <f t="shared" si="11"/>
        <v>-699.15999658405781</v>
      </c>
      <c r="AP18" s="15">
        <f t="shared" si="12"/>
        <v>19937.50000000004</v>
      </c>
      <c r="AQ18" s="35" t="str" cm="1">
        <f t="array" ref="AQ18">_xll.BDP($D18&amp;" Equity","EXPECTED_REPORT_DT")</f>
        <v>24/04/2026</v>
      </c>
      <c r="AR18" s="65" cm="1">
        <f t="array" ref="AR18">_xll.BDP($B18&amp;" Equity","GAMMA_LAST")</f>
        <v>9.1699999999999993E-3</v>
      </c>
      <c r="AS18">
        <f t="shared" si="13"/>
        <v>6454.0360711750009</v>
      </c>
      <c r="AT18">
        <f t="shared" si="14"/>
        <v>32270.180355875</v>
      </c>
      <c r="AU18" t="s">
        <v>95</v>
      </c>
      <c r="AV18" s="207" cm="1">
        <f t="array" ref="AV18">_xll.BDP($D18&amp;" Equity","EST_PE_NXT_YR")*(AA18/Z18)</f>
        <v>50.454086781029268</v>
      </c>
      <c r="AW18"/>
      <c r="AX18" s="15"/>
      <c r="AY18" s="207">
        <v>7.43</v>
      </c>
      <c r="AZ18" s="283"/>
      <c r="BA18" s="15">
        <f t="shared" si="15"/>
        <v>7.43</v>
      </c>
      <c r="BB18" s="342">
        <f t="shared" si="16"/>
        <v>8.0749999999999993</v>
      </c>
      <c r="BC18" s="342">
        <f t="shared" si="17"/>
        <v>17737.499999999989</v>
      </c>
      <c r="BD18" s="342">
        <f>BC18/'Master P&amp;L'!$AD$7*10000</f>
        <v>7.4024562656561183E-2</v>
      </c>
    </row>
    <row r="19" spans="1:56" ht="15.75" customHeight="1">
      <c r="A19" s="264"/>
      <c r="B19" s="72" t="s">
        <v>983</v>
      </c>
      <c r="C19" s="72" t="str" cm="1">
        <f t="array" ref="C19">_xll.BDP($B19&amp;" Equity","opt_put_call")</f>
        <v>Put</v>
      </c>
      <c r="D19" s="72" t="str" cm="1">
        <f t="array" ref="D19">_xll.BDP(B19&amp;" Equity","OPT_UNDL_TICKER")</f>
        <v>INTC US</v>
      </c>
      <c r="E19" s="72" t="str" cm="1">
        <f t="array" ref="E19">_xll.BDP($B19&amp;" Equity","mifid_Maturity_date")</f>
        <v>17/07/2026</v>
      </c>
      <c r="F19" s="72" cm="1">
        <f t="array" ref="F19">_xll.BDP($B19&amp;" Equity","opt_days_expire")</f>
        <v>158</v>
      </c>
      <c r="G19" s="72" t="str" cm="1">
        <f t="array" ref="G19">_xll.BDP(B19&amp;" Equity","QUOTED_CURRENCY_REALTIME")</f>
        <v>USD</v>
      </c>
      <c r="H19" s="41">
        <v>-50</v>
      </c>
      <c r="I19" s="337">
        <v>3.8</v>
      </c>
      <c r="J19" s="14">
        <f>VLOOKUP(B19,Precificação!$B:$O,14,FALSE)</f>
        <v>3.45</v>
      </c>
      <c r="K19" s="14">
        <f t="shared" si="18"/>
        <v>3.45</v>
      </c>
      <c r="L19" s="73" cm="1">
        <f t="array" ref="L19">_xll.BDP($B19&amp;" Equity","mid")</f>
        <v>3.06</v>
      </c>
      <c r="M19" s="74">
        <f t="shared" si="0"/>
        <v>6.0486262107135792E-2</v>
      </c>
      <c r="N19" s="280"/>
      <c r="O19" s="74">
        <f t="shared" si="1"/>
        <v>-0.11304347826086958</v>
      </c>
      <c r="P19" s="73" cm="1">
        <f t="array" ref="P19">_xll.BDP($B19&amp;" Equity","bid")</f>
        <v>2.97</v>
      </c>
      <c r="Q19" s="73" cm="1">
        <f t="array" ref="Q19">_xll.BDP($B19&amp;" Equity","ask")</f>
        <v>3.15</v>
      </c>
      <c r="R19" s="75">
        <f t="shared" si="2"/>
        <v>6.0606060606060552E-2</v>
      </c>
      <c r="S19" s="35" cm="1">
        <f t="array" ref="S19">_xll.BDP(G19&amp;" Curncy","PX_LAST")</f>
        <v>1</v>
      </c>
      <c r="T19" s="41" cm="1">
        <f t="array" ref="T19">_xll.BDP(B19&amp;" Equity","OPT_MULTIPLIER")</f>
        <v>100</v>
      </c>
      <c r="U19" s="41">
        <f t="shared" si="3"/>
        <v>-15300</v>
      </c>
      <c r="V19" s="111">
        <f>U19/'Master P&amp;L'!$AD$7*10000</f>
        <v>-6.3852054046251536E-2</v>
      </c>
      <c r="W19" s="111">
        <f>(Y19*H19*T19/S19)/'Master P&amp;L'!$AD$7*10000</f>
        <v>-6.3852054046251536E-2</v>
      </c>
      <c r="X19" s="116">
        <f t="shared" si="4"/>
        <v>0</v>
      </c>
      <c r="Y19" s="202">
        <f t="shared" si="5"/>
        <v>3.06</v>
      </c>
      <c r="Z19" s="76">
        <f>_xll.BDP(D19&amp;" Equity","LAST_PRICE")</f>
        <v>50.59</v>
      </c>
      <c r="AA19" s="76" cm="1">
        <f t="array" ref="AA19">_xll.BDP(B19&amp;" Equity","OPT_STRIKE_PX")</f>
        <v>40</v>
      </c>
      <c r="AB19" s="75">
        <f t="shared" si="6"/>
        <v>-0.20932990709626409</v>
      </c>
      <c r="AC19" s="252" cm="1">
        <f t="array" ref="AC19">_xll.BDP($D19&amp;" Equity","volatility_10d")</f>
        <v>71.681574571675924</v>
      </c>
      <c r="AD19" s="76" cm="1">
        <f t="array" ref="AD19">_xll.BDP(B19&amp;" Equity","ivol_mid")</f>
        <v>62.665669999999999</v>
      </c>
      <c r="AE19" s="76">
        <f t="shared" si="7"/>
        <v>0.87422284421695107</v>
      </c>
      <c r="AF19" s="77" cm="1">
        <f t="array" ref="AF19">_xll.BDP(B19&amp;" Equity","DELTA_MID_RT")</f>
        <v>-0.20932799577713013</v>
      </c>
      <c r="AG19" s="74">
        <f>AL19/'Master P&amp;L'!$AE$7</f>
        <v>2.2097616936686167E-5</v>
      </c>
      <c r="AH19" s="74">
        <f>AM19/'Master P&amp;L'!$AE$7</f>
        <v>1.0556455601960344E-4</v>
      </c>
      <c r="AI19" s="355">
        <f>AO19/'Master P&amp;L'!$AD$7*10000</f>
        <v>3.919597902316414E-4</v>
      </c>
      <c r="AJ19" s="278" t="e">
        <f t="shared" si="8"/>
        <v>#VALUE!</v>
      </c>
      <c r="AK19" s="77">
        <f>AP19/'Master P&amp;L'!$AD$7*10000</f>
        <v>8.1380068882477476E-3</v>
      </c>
      <c r="AL19" s="41">
        <f t="shared" si="9"/>
        <v>52949.516531825066</v>
      </c>
      <c r="AM19" s="41">
        <f t="shared" si="10"/>
        <v>252950</v>
      </c>
      <c r="AN19" s="77" cm="1">
        <f t="array" ref="AN19">_xll.BDP($B19&amp;" Equity","theta_mid_rt")</f>
        <v>-1.8783999606966972E-2</v>
      </c>
      <c r="AO19" s="41">
        <f t="shared" si="11"/>
        <v>93.919998034834862</v>
      </c>
      <c r="AP19" s="41">
        <f t="shared" si="12"/>
        <v>1950.0000000000007</v>
      </c>
      <c r="AQ19" s="73" t="str" cm="1">
        <f t="array" ref="AQ19">_xll.BDP($D19&amp;" Equity","EXPECTED_REPORT_DT")</f>
        <v>24/04/2026</v>
      </c>
      <c r="AR19" s="190" cm="1">
        <f t="array" ref="AR19">_xll.BDP($B19&amp;" Equity","GAMMA_LAST")</f>
        <v>6.9979999999999999E-3</v>
      </c>
      <c r="AS19" s="72">
        <f t="shared" si="13"/>
        <v>-895.51590019000025</v>
      </c>
      <c r="AT19" s="72">
        <f t="shared" si="14"/>
        <v>-4477.5795009500007</v>
      </c>
      <c r="AU19" s="72" t="s">
        <v>95</v>
      </c>
      <c r="AV19" s="251" cm="1">
        <f t="array" ref="AV19">_xll.BDP($D19&amp;" Equity","EST_PE_NXT_YR")*(AA19/Z19)</f>
        <v>40.363269424823415</v>
      </c>
      <c r="AW19" s="72"/>
      <c r="AX19" s="41"/>
      <c r="AY19" s="251">
        <v>3.45</v>
      </c>
      <c r="AZ19" s="282"/>
      <c r="BA19" s="41">
        <f t="shared" si="15"/>
        <v>3.45</v>
      </c>
      <c r="BB19" s="274">
        <f t="shared" si="16"/>
        <v>3.45</v>
      </c>
      <c r="BC19" s="274">
        <f t="shared" si="17"/>
        <v>0</v>
      </c>
      <c r="BD19" s="274">
        <f>BC19/'Master P&amp;L'!$AD$7*10000</f>
        <v>0</v>
      </c>
    </row>
    <row r="20" spans="1:56" s="58" customFormat="1">
      <c r="A20" s="490"/>
      <c r="B20" t="s">
        <v>1206</v>
      </c>
      <c r="C20" s="58" t="str" cm="1">
        <f t="array" ref="C20">_xll.BDP($B20&amp;" Equity","opt_put_call")</f>
        <v>Call</v>
      </c>
      <c r="D20" s="58" t="str" cm="1">
        <f t="array" ref="D20">_xll.BDP(B20&amp;" Equity","OPT_UNDL_TICKER")</f>
        <v>AMZN US</v>
      </c>
      <c r="E20" s="58" t="str" cm="1">
        <f t="array" ref="E20">_xll.BDP($B20&amp;" Equity","mifid_Maturity_date")</f>
        <v>17/04/2026</v>
      </c>
      <c r="F20" s="58" cm="1">
        <f t="array" ref="F20">_xll.BDP($B20&amp;" Equity","opt_days_expire")</f>
        <v>67</v>
      </c>
      <c r="G20" s="58" t="str" cm="1">
        <f t="array" ref="G20">_xll.BDP(B20&amp;" Equity","QUOTED_CURRENCY_REALTIME")</f>
        <v>USD</v>
      </c>
      <c r="H20" s="332">
        <v>375</v>
      </c>
      <c r="I20" s="339">
        <v>11.42</v>
      </c>
      <c r="J20" s="339"/>
      <c r="K20" s="339">
        <v>11.42</v>
      </c>
      <c r="L20" s="14" cm="1">
        <f t="array" ref="L20">_xll.BDP($B20&amp;" Equity","mid")</f>
        <v>3.8</v>
      </c>
      <c r="M20" s="125">
        <f t="shared" ref="M20:M21" si="67">L20/Z20</f>
        <v>1.8067706352225179E-2</v>
      </c>
      <c r="N20" s="352"/>
      <c r="O20" s="125">
        <f t="shared" ref="O20:O21" si="68">L20/K20-1</f>
        <v>-0.66725043782837123</v>
      </c>
      <c r="P20" s="14" cm="1">
        <f t="array" ref="P20">_xll.BDP($B20&amp;" Equity","bid")</f>
        <v>3.75</v>
      </c>
      <c r="Q20" s="14" cm="1">
        <f t="array" ref="Q20">_xll.BDP($B20&amp;" Equity","ask")</f>
        <v>3.85</v>
      </c>
      <c r="R20" s="351">
        <f t="shared" ref="R20:R21" si="69">(Q20/P20-1)</f>
        <v>2.6666666666666616E-2</v>
      </c>
      <c r="S20" s="14" cm="1">
        <f t="array" ref="S20">_xll.BDP(G20&amp;" Curncy","PX_LAST")</f>
        <v>1</v>
      </c>
      <c r="T20" s="332" cm="1">
        <f t="array" ref="T20">_xll.BDP(B20&amp;" Equity","OPT_MULTIPLIER")</f>
        <v>100</v>
      </c>
      <c r="U20" s="332">
        <f t="shared" ref="U20:U21" si="70">(L20/S20)*H20*T20</f>
        <v>142500</v>
      </c>
      <c r="V20" s="491">
        <f>U20/'Master P&amp;L'!$AD$7*10000</f>
        <v>0.59470050337195068</v>
      </c>
      <c r="W20" s="491">
        <f>(Y20*H20*T20/S20)/'Master P&amp;L'!$AD$7*10000</f>
        <v>0.59470050337195068</v>
      </c>
      <c r="X20" s="419">
        <f t="shared" ref="X20:X21" si="71">IF(C20="Put",IF(Z20&lt;AA20,AA20-Z20,0),IF(Z20&gt;AA20,Z20-AA20,0))</f>
        <v>0</v>
      </c>
      <c r="Y20" s="492">
        <f t="shared" ref="Y20:Y21" si="72">L20-X20</f>
        <v>3.8</v>
      </c>
      <c r="Z20" s="493">
        <f>_xll.BDP(D20&amp;" Equity","LAST_PRICE")</f>
        <v>210.32</v>
      </c>
      <c r="AA20" s="493" cm="1">
        <f t="array" ref="AA20">_xll.BDP(B20&amp;" Equity","OPT_STRIKE_PX")</f>
        <v>235</v>
      </c>
      <c r="AB20" s="351">
        <f t="shared" ref="AB20:AB21" si="73">AA20/Z20-1</f>
        <v>0.11734499809813626</v>
      </c>
      <c r="AC20" s="353" cm="1">
        <f t="array" ref="AC20">_xll.BDP($D20&amp;" Equity","volatility_10d")</f>
        <v>42.421525147254918</v>
      </c>
      <c r="AD20" s="493" cm="1">
        <f t="array" ref="AD20">_xll.BDP(B20&amp;" Equity","ivol_mid")</f>
        <v>31.01398</v>
      </c>
      <c r="AE20" s="493">
        <f t="shared" ref="AE20:AE21" si="74">AD20/AC20</f>
        <v>0.73109064071466801</v>
      </c>
      <c r="AF20" s="494" cm="1">
        <f t="array" ref="AF20">_xll.BDP(B20&amp;" Equity","DELTA_MID_RT")</f>
        <v>0.2415429949760437</v>
      </c>
      <c r="AG20" s="125">
        <f>AL20/'Master P&amp;L'!$AE$7</f>
        <v>7.9504137325394719E-4</v>
      </c>
      <c r="AH20" s="125">
        <f>AM20/'Master P&amp;L'!$AE$7</f>
        <v>3.2915107860312801E-3</v>
      </c>
      <c r="AI20" s="495">
        <f>AO20/'Master P&amp;L'!$AD$7*10000</f>
        <v>-1.0055445975491448E-2</v>
      </c>
      <c r="AJ20" s="352" t="e">
        <f t="shared" ref="AJ20:AJ21" si="75">(252*AI20)/$AI$1</f>
        <v>#VALUE!</v>
      </c>
      <c r="AK20" s="494">
        <f>AP20/'Master P&amp;L'!$AD$7*10000</f>
        <v>-1.1925310093932273</v>
      </c>
      <c r="AL20" s="332">
        <f t="shared" ref="AL20:AL21" si="76">Z20*AF20*H20*T20/S20</f>
        <v>1905049.6013760567</v>
      </c>
      <c r="AM20" s="332">
        <f t="shared" ref="AM20:AM21" si="77">IF(C20="Put",-Z20*H20*T20/S20,Z20*H20*T20/S20)</f>
        <v>7887000</v>
      </c>
      <c r="AN20" s="494" cm="1">
        <f t="array" ref="AN20">_xll.BDP($B20&amp;" Equity","theta_mid_rt")</f>
        <v>-6.4251996576786041E-2</v>
      </c>
      <c r="AO20" s="332">
        <f t="shared" ref="AO20:AO21" si="78">AN20*H20*T20/S20</f>
        <v>-2409.4498716294765</v>
      </c>
      <c r="AP20" s="332">
        <f t="shared" ref="AP20:AP21" si="79">(L20-K20)*T20/S20*H20</f>
        <v>-285750</v>
      </c>
      <c r="AQ20" s="14" t="str" cm="1">
        <f t="array" ref="AQ20">_xll.BDP($D20&amp;" Equity","EXPECTED_REPORT_DT")</f>
        <v>01/05/2026</v>
      </c>
      <c r="AR20" s="112" cm="1">
        <f t="array" ref="AR20">_xll.BDP($B20&amp;" Equity","GAMMA_LAST")</f>
        <v>2.3026999999999999E-2</v>
      </c>
      <c r="AS20" s="58">
        <f t="shared" si="13"/>
        <v>381970.45753679995</v>
      </c>
      <c r="AT20" s="58">
        <f t="shared" si="14"/>
        <v>1909852.2876839996</v>
      </c>
      <c r="AU20" s="58" t="s">
        <v>95</v>
      </c>
      <c r="AV20" s="266" cm="1">
        <f t="array" ref="AV20">_xll.BDP($D20&amp;" Equity","EST_PE_NXT_YR")*(AA20/Z20)</f>
        <v>21.465107782243333</v>
      </c>
      <c r="AX20" s="332"/>
      <c r="AY20" s="266">
        <v>11.15</v>
      </c>
      <c r="AZ20" s="496"/>
      <c r="BA20" s="332">
        <f t="shared" ref="BA20:BA21" si="80">+AY20</f>
        <v>11.15</v>
      </c>
      <c r="BB20" s="497">
        <f t="shared" ref="BB20:BB21" si="81">+J20</f>
        <v>0</v>
      </c>
      <c r="BC20" s="497">
        <f t="shared" ref="BC20:BC21" si="82">(BB20-BA20)*H20*100</f>
        <v>-418125</v>
      </c>
      <c r="BD20" s="497">
        <f>BC20/'Master P&amp;L'!$AD$7*10000</f>
        <v>-1.7449764769992762</v>
      </c>
    </row>
    <row r="21" spans="1:56" s="58" customFormat="1" ht="15.75" customHeight="1">
      <c r="A21" s="490"/>
      <c r="B21" t="s">
        <v>1207</v>
      </c>
      <c r="C21" s="58" t="str" cm="1">
        <f t="array" ref="C21">_xll.BDP($B21&amp;" Equity","opt_put_call")</f>
        <v>Call</v>
      </c>
      <c r="D21" s="58" t="str" cm="1">
        <f t="array" ref="D21">_xll.BDP(B21&amp;" Equity","OPT_UNDL_TICKER")</f>
        <v>AMZN US</v>
      </c>
      <c r="E21" s="58" t="str" cm="1">
        <f t="array" ref="E21">_xll.BDP($B21&amp;" Equity","mifid_Maturity_date")</f>
        <v>17/04/2026</v>
      </c>
      <c r="F21" s="58" cm="1">
        <f t="array" ref="F21">_xll.BDP($B21&amp;" Equity","opt_days_expire")</f>
        <v>67</v>
      </c>
      <c r="G21" s="58" t="str" cm="1">
        <f t="array" ref="G21">_xll.BDP(B21&amp;" Equity","QUOTED_CURRENCY_REALTIME")</f>
        <v>USD</v>
      </c>
      <c r="H21" s="332">
        <v>-375</v>
      </c>
      <c r="I21" s="339">
        <v>6.47</v>
      </c>
      <c r="J21" s="339"/>
      <c r="K21" s="339">
        <v>6.47</v>
      </c>
      <c r="L21" s="14" cm="1">
        <f t="array" ref="L21">_xll.BDP($B21&amp;" Equity","mid")</f>
        <v>1.76</v>
      </c>
      <c r="M21" s="125">
        <f t="shared" si="67"/>
        <v>8.3682008368200847E-3</v>
      </c>
      <c r="N21" s="352"/>
      <c r="O21" s="125">
        <f t="shared" si="68"/>
        <v>-0.72797527047913446</v>
      </c>
      <c r="P21" s="14" cm="1">
        <f t="array" ref="P21">_xll.BDP($B21&amp;" Equity","bid")</f>
        <v>1.72</v>
      </c>
      <c r="Q21" s="14" cm="1">
        <f t="array" ref="Q21">_xll.BDP($B21&amp;" Equity","ask")</f>
        <v>1.81</v>
      </c>
      <c r="R21" s="351">
        <f t="shared" si="69"/>
        <v>5.232558139534893E-2</v>
      </c>
      <c r="S21" s="14" cm="1">
        <f t="array" ref="S21">_xll.BDP(G21&amp;" Curncy","PX_LAST")</f>
        <v>1</v>
      </c>
      <c r="T21" s="332" cm="1">
        <f t="array" ref="T21">_xll.BDP(B21&amp;" Equity","OPT_MULTIPLIER")</f>
        <v>100</v>
      </c>
      <c r="U21" s="332">
        <f t="shared" si="70"/>
        <v>-66000</v>
      </c>
      <c r="V21" s="491">
        <f>U21/'Master P&amp;L'!$AD$7*10000</f>
        <v>-0.27544023314069294</v>
      </c>
      <c r="W21" s="491">
        <f>(Y21*H21*T21/S21)/'Master P&amp;L'!$AD$7*10000</f>
        <v>-0.27544023314069294</v>
      </c>
      <c r="X21" s="419">
        <f t="shared" si="71"/>
        <v>0</v>
      </c>
      <c r="Y21" s="492">
        <f t="shared" si="72"/>
        <v>1.76</v>
      </c>
      <c r="Z21" s="493">
        <f>_xll.BDP(D21&amp;" Equity","LAST_PRICE")</f>
        <v>210.32</v>
      </c>
      <c r="AA21" s="493" cm="1">
        <f t="array" ref="AA21">_xll.BDP(B21&amp;" Equity","OPT_STRIKE_PX")</f>
        <v>250</v>
      </c>
      <c r="AB21" s="351">
        <f t="shared" si="73"/>
        <v>0.18866489159376187</v>
      </c>
      <c r="AC21" s="353" cm="1">
        <f t="array" ref="AC21">_xll.BDP($D21&amp;" Equity","volatility_10d")</f>
        <v>42.421525147254918</v>
      </c>
      <c r="AD21" s="493" cm="1">
        <f t="array" ref="AD21">_xll.BDP(B21&amp;" Equity","ivol_mid")</f>
        <v>31.664539999999999</v>
      </c>
      <c r="AE21" s="493">
        <f t="shared" si="74"/>
        <v>0.7464262515335095</v>
      </c>
      <c r="AF21" s="494" cm="1">
        <f t="array" ref="AF21">_xll.BDP(B21&amp;" Equity","DELTA_MID_RT")</f>
        <v>0.12884500622749329</v>
      </c>
      <c r="AG21" s="125">
        <f>AL21/'Master P&amp;L'!$AE$7</f>
        <v>-4.2409472772406164E-4</v>
      </c>
      <c r="AH21" s="125">
        <f>AM21/'Master P&amp;L'!$AE$7</f>
        <v>-3.2915107860312801E-3</v>
      </c>
      <c r="AI21" s="495">
        <f>AO21/'Master P&amp;L'!$AD$7*10000</f>
        <v>6.8978997460869768E-3</v>
      </c>
      <c r="AJ21" s="352" t="e">
        <f t="shared" si="75"/>
        <v>#VALUE!</v>
      </c>
      <c r="AK21" s="494">
        <f>AP21/'Master P&amp;L'!$AD$7*10000</f>
        <v>0.73711562391628616</v>
      </c>
      <c r="AL21" s="332">
        <f t="shared" si="76"/>
        <v>-1016200.5641162395</v>
      </c>
      <c r="AM21" s="332">
        <f t="shared" si="77"/>
        <v>-7887000</v>
      </c>
      <c r="AN21" s="494" cm="1">
        <f t="array" ref="AN21">_xll.BDP($B21&amp;" Equity","theta_mid_rt")</f>
        <v>-4.4075999408960342E-2</v>
      </c>
      <c r="AO21" s="332">
        <f t="shared" si="78"/>
        <v>1652.8499778360128</v>
      </c>
      <c r="AP21" s="332">
        <f t="shared" si="79"/>
        <v>176625</v>
      </c>
      <c r="AQ21" s="14" t="str" cm="1">
        <f t="array" ref="AQ21">_xll.BDP($D21&amp;" Equity","EXPECTED_REPORT_DT")</f>
        <v>01/05/2026</v>
      </c>
      <c r="AR21" s="112" cm="1">
        <f t="array" ref="AR21">_xll.BDP($B21&amp;" Equity","GAMMA_LAST")</f>
        <v>1.5174E-2</v>
      </c>
      <c r="AS21" s="58">
        <f t="shared" si="13"/>
        <v>-251705.37728159997</v>
      </c>
      <c r="AT21" s="58">
        <f t="shared" si="14"/>
        <v>-1258526.8864079998</v>
      </c>
      <c r="AU21" s="58" t="s">
        <v>95</v>
      </c>
      <c r="AV21" s="266" cm="1">
        <f t="array" ref="AV21">_xll.BDP($D21&amp;" Equity","EST_PE_NXT_YR")*(AA21/Z21)</f>
        <v>22.835221044939715</v>
      </c>
      <c r="AX21" s="332"/>
      <c r="AY21" s="266">
        <v>6.25</v>
      </c>
      <c r="AZ21" s="496"/>
      <c r="BA21" s="332">
        <f t="shared" si="80"/>
        <v>6.25</v>
      </c>
      <c r="BB21" s="497">
        <f t="shared" si="81"/>
        <v>0</v>
      </c>
      <c r="BC21" s="497">
        <f t="shared" si="82"/>
        <v>234375</v>
      </c>
      <c r="BD21" s="497">
        <f>BC21/'Master P&amp;L'!$AD$7*10000</f>
        <v>0.9781258279143924</v>
      </c>
    </row>
    <row r="22" spans="1:56" s="58" customFormat="1">
      <c r="A22" s="284" t="s">
        <v>95</v>
      </c>
      <c r="B22" t="s">
        <v>1167</v>
      </c>
      <c r="C22" t="str" cm="1">
        <f t="array" ref="C22">_xll.BDP($B22&amp;" Equity","opt_put_call")</f>
        <v>Put</v>
      </c>
      <c r="D22" t="str" cm="1">
        <f t="array" ref="D22">_xll.BDP(B22&amp;" Equity","OPT_UNDL_TICKER")</f>
        <v>QQQ US</v>
      </c>
      <c r="E22" t="str" cm="1">
        <f t="array" ref="E22">_xll.BDP($B22&amp;" Equity","mifid_Maturity_date")</f>
        <v>06/02/2026</v>
      </c>
      <c r="F22" t="str" cm="1">
        <f t="array" ref="F22">_xll.BDP($B22&amp;" Equity","opt_days_expire")</f>
        <v>#N/A N/A</v>
      </c>
      <c r="G22" t="str" cm="1">
        <f t="array" ref="G22">_xll.BDP(B22&amp;" Equity","QUOTED_CURRENCY_REALTIME")</f>
        <v>USD</v>
      </c>
      <c r="H22" s="15">
        <v>200</v>
      </c>
      <c r="I22" s="338">
        <v>3.7</v>
      </c>
      <c r="J22" s="14">
        <f>VLOOKUP(B22,Precificação!$B:$O,14,FALSE)</f>
        <v>3.2249999999999996</v>
      </c>
      <c r="K22" s="14">
        <f t="shared" si="18"/>
        <v>3.2249999999999996</v>
      </c>
      <c r="L22" s="73" cm="1">
        <f t="array" ref="L22">_xll.BDP($B22&amp;" Equity","mid")</f>
        <v>0.01</v>
      </c>
      <c r="M22" s="18">
        <f t="shared" ref="M22:M23" si="83">L22/Z22</f>
        <v>1.6402854096612811E-5</v>
      </c>
      <c r="N22" s="278"/>
      <c r="O22" s="18">
        <f t="shared" ref="O22:O23" si="84">L22/K22-1</f>
        <v>-0.99689922480620152</v>
      </c>
      <c r="P22" s="35" t="str" cm="1">
        <f t="array" ref="P22">_xll.BDP($B22&amp;" Equity","bid")</f>
        <v>#N/A N/A</v>
      </c>
      <c r="Q22" s="35" cm="1">
        <f t="array" ref="Q22">_xll.BDP($B22&amp;" Equity","ask")</f>
        <v>0.01</v>
      </c>
      <c r="R22" s="39" t="e">
        <f t="shared" ref="R22:R23" si="85">(Q22/P22-1)</f>
        <v>#VALUE!</v>
      </c>
      <c r="S22" s="35" cm="1">
        <f t="array" ref="S22">_xll.BDP(G22&amp;" Curncy","PX_LAST")</f>
        <v>1</v>
      </c>
      <c r="T22" s="15" cm="1">
        <f t="array" ref="T22">_xll.BDP(B22&amp;" Equity","OPT_MULTIPLIER")</f>
        <v>100</v>
      </c>
      <c r="U22" s="15">
        <f t="shared" ref="U22:U23" si="86">(L22/S22)*H22*T22</f>
        <v>200</v>
      </c>
      <c r="V22" s="122">
        <f>U22/'Master P&amp;L'!$AD$7*10000</f>
        <v>8.3466737315361487E-4</v>
      </c>
      <c r="W22" s="122">
        <f>(Y22*H22*T22/S22)/'Master P&amp;L'!$AD$7*10000</f>
        <v>8.3466737315361487E-4</v>
      </c>
      <c r="X22" s="341">
        <f t="shared" ref="X22:X23" si="87">IF(C22="Put",IF(Z22&lt;AA22,AA22-Z22,0),IF(Z22&gt;AA22,Z22-AA22,0))</f>
        <v>0</v>
      </c>
      <c r="Y22" s="203">
        <f t="shared" ref="Y22:Y23" si="88">L22-X22</f>
        <v>0.01</v>
      </c>
      <c r="Z22" s="36">
        <f>_xll.BDP(D22&amp;" Equity","LAST_PRICE")</f>
        <v>609.65</v>
      </c>
      <c r="AA22" s="36" cm="1">
        <f t="array" ref="AA22">_xll.BDP(B22&amp;" Equity","OPT_STRIKE_PX")</f>
        <v>600</v>
      </c>
      <c r="AB22" s="39">
        <f t="shared" ref="AB22:AB23" si="89">AA22/Z22-1</f>
        <v>-1.5828754203231377E-2</v>
      </c>
      <c r="AC22" s="253" cm="1">
        <f t="array" ref="AC22">_xll.BDP($D22&amp;" Equity","volatility_10d")</f>
        <v>21.682308003094963</v>
      </c>
      <c r="AD22" s="36" cm="1">
        <f t="array" ref="AD22">_xll.BDP(B22&amp;" Equity","ivol_mid")</f>
        <v>286.83789999999999</v>
      </c>
      <c r="AE22" s="36">
        <f t="shared" ref="AE22:AE23" si="90">AD22/AC22</f>
        <v>13.229122100795559</v>
      </c>
      <c r="AF22" s="37" cm="1">
        <f t="array" ref="AF22">_xll.BDP(B22&amp;" Equity","DELTA_MID_RT")</f>
        <v>-4.8600002191960812E-3</v>
      </c>
      <c r="AG22" s="18">
        <f>AL22/'Master P&amp;L'!$AE$7</f>
        <v>-2.4730352367884862E-5</v>
      </c>
      <c r="AH22" s="18">
        <f>AM22/'Master P&amp;L'!$AE$7</f>
        <v>-5.0885496404310133E-3</v>
      </c>
      <c r="AI22" s="354">
        <f>AO22/'Master P&amp;L'!$AD$7*10000</f>
        <v>0</v>
      </c>
      <c r="AJ22" s="278" t="e">
        <f t="shared" ref="AJ22:AJ23" si="91">(252*AI22)/$AI$1</f>
        <v>#VALUE!</v>
      </c>
      <c r="AK22" s="37">
        <f>AP22/'Master P&amp;L'!$AD$7*10000</f>
        <v>-0.26834556046888719</v>
      </c>
      <c r="AL22" s="15">
        <f t="shared" ref="AL22:AL23" si="92">Z22*AF22*H22*T22/S22</f>
        <v>-59257.982672657818</v>
      </c>
      <c r="AM22" s="15">
        <f t="shared" ref="AM22:AM23" si="93">IF(C22="Put",-Z22*H22*T22/S22,Z22*H22*T22/S22)</f>
        <v>-12193000</v>
      </c>
      <c r="AN22" s="37" cm="1">
        <f t="array" ref="AN22">_xll.BDP($B22&amp;" Equity","theta_mid_rt")</f>
        <v>0</v>
      </c>
      <c r="AO22" s="15">
        <f t="shared" ref="AO22:AO23" si="94">AN22*H22*T22/S22</f>
        <v>0</v>
      </c>
      <c r="AP22" s="15">
        <f t="shared" ref="AP22:AP23" si="95">(L22-K22)*T22/S22*H22</f>
        <v>-64300</v>
      </c>
      <c r="AQ22" s="35" t="str" cm="1">
        <f t="array" ref="AQ22">_xll.BDP($D22&amp;" Equity","EXPECTED_REPORT_DT")</f>
        <v>#N/A N/A</v>
      </c>
      <c r="AR22" s="65" cm="1">
        <f t="array" ref="AR22">_xll.BDP($B22&amp;" Equity","GAMMA_LAST")</f>
        <v>2.4014000000000001E-2</v>
      </c>
      <c r="AS22">
        <f t="shared" si="13"/>
        <v>1785071.6727430001</v>
      </c>
      <c r="AT22">
        <f t="shared" si="14"/>
        <v>8925358.3637149986</v>
      </c>
      <c r="AU22" t="s">
        <v>95</v>
      </c>
      <c r="AV22" s="207" t="e" cm="1">
        <f t="array" ref="AV22">_xll.BDP($D22&amp;" Equity","EST_PE_NXT_YR")*(AA22/Z22)</f>
        <v>#VALUE!</v>
      </c>
      <c r="AW22"/>
      <c r="AX22" s="15"/>
      <c r="AY22" s="207">
        <v>6.41</v>
      </c>
      <c r="AZ22" s="283"/>
      <c r="BA22" s="15">
        <f t="shared" ref="BA22:BA23" si="96">+AY22</f>
        <v>6.41</v>
      </c>
      <c r="BB22" s="342">
        <f t="shared" ref="BB22:BB23" si="97">+J22</f>
        <v>3.2249999999999996</v>
      </c>
      <c r="BC22" s="342">
        <f t="shared" ref="BC22:BC23" si="98">(BB22-BA22)*H22*100</f>
        <v>-63700.000000000015</v>
      </c>
      <c r="BD22" s="342">
        <f>BC22/'Master P&amp;L'!$AD$7*10000</f>
        <v>-0.26584155834942641</v>
      </c>
    </row>
    <row r="23" spans="1:56" ht="15.75" customHeight="1">
      <c r="A23" s="264" t="s">
        <v>95</v>
      </c>
      <c r="B23" s="72" t="s">
        <v>1168</v>
      </c>
      <c r="C23" s="72" t="str" cm="1">
        <f t="array" ref="C23">_xll.BDP($B23&amp;" Equity","opt_put_call")</f>
        <v>Put</v>
      </c>
      <c r="D23" s="72" t="str" cm="1">
        <f t="array" ref="D23">_xll.BDP(B23&amp;" Equity","OPT_UNDL_TICKER")</f>
        <v>QQQ US</v>
      </c>
      <c r="E23" s="72" t="str" cm="1">
        <f t="array" ref="E23">_xll.BDP($B23&amp;" Equity","mifid_Maturity_date")</f>
        <v>06/02/2026</v>
      </c>
      <c r="F23" s="72" t="str" cm="1">
        <f t="array" ref="F23">_xll.BDP($B23&amp;" Equity","opt_days_expire")</f>
        <v>#N/A N/A</v>
      </c>
      <c r="G23" s="72" t="str" cm="1">
        <f t="array" ref="G23">_xll.BDP(B23&amp;" Equity","QUOTED_CURRENCY_REALTIME")</f>
        <v>USD</v>
      </c>
      <c r="H23" s="41">
        <v>-200</v>
      </c>
      <c r="I23" s="337">
        <v>1.05</v>
      </c>
      <c r="J23" s="14">
        <f>VLOOKUP(B23,Precificação!$B:$O,14,FALSE)</f>
        <v>0.745</v>
      </c>
      <c r="K23" s="14">
        <f t="shared" si="18"/>
        <v>0.745</v>
      </c>
      <c r="L23" s="73" cm="1">
        <f t="array" ref="L23">_xll.BDP($B23&amp;" Equity","mid")</f>
        <v>0.01</v>
      </c>
      <c r="M23" s="74">
        <f t="shared" si="83"/>
        <v>1.6402854096612811E-5</v>
      </c>
      <c r="N23" s="280"/>
      <c r="O23" s="74">
        <f t="shared" si="84"/>
        <v>-0.98657718120805371</v>
      </c>
      <c r="P23" s="73" t="str" cm="1">
        <f t="array" ref="P23">_xll.BDP($B23&amp;" Equity","bid")</f>
        <v>#N/A N/A</v>
      </c>
      <c r="Q23" s="73" cm="1">
        <f t="array" ref="Q23">_xll.BDP($B23&amp;" Equity","ask")</f>
        <v>0.01</v>
      </c>
      <c r="R23" s="75" t="e">
        <f t="shared" si="85"/>
        <v>#VALUE!</v>
      </c>
      <c r="S23" s="35" cm="1">
        <f t="array" ref="S23">_xll.BDP(G23&amp;" Curncy","PX_LAST")</f>
        <v>1</v>
      </c>
      <c r="T23" s="41" cm="1">
        <f t="array" ref="T23">_xll.BDP(B23&amp;" Equity","OPT_MULTIPLIER")</f>
        <v>100</v>
      </c>
      <c r="U23" s="41">
        <f t="shared" si="86"/>
        <v>-200</v>
      </c>
      <c r="V23" s="111">
        <f>U23/'Master P&amp;L'!$AD$7*10000</f>
        <v>-8.3466737315361487E-4</v>
      </c>
      <c r="W23" s="111">
        <f>(Y23*H23*T23/S23)/'Master P&amp;L'!$AD$7*10000</f>
        <v>-8.3466737315361487E-4</v>
      </c>
      <c r="X23" s="116">
        <f t="shared" si="87"/>
        <v>0</v>
      </c>
      <c r="Y23" s="202">
        <f t="shared" si="88"/>
        <v>0.01</v>
      </c>
      <c r="Z23" s="76">
        <f>_xll.BDP(D23&amp;" Equity","LAST_PRICE")</f>
        <v>609.65</v>
      </c>
      <c r="AA23" s="76" cm="1">
        <f t="array" ref="AA23">_xll.BDP(B23&amp;" Equity","OPT_STRIKE_PX")</f>
        <v>585</v>
      </c>
      <c r="AB23" s="75">
        <f t="shared" si="89"/>
        <v>-4.043303534815057E-2</v>
      </c>
      <c r="AC23" s="252" cm="1">
        <f t="array" ref="AC23">_xll.BDP($D23&amp;" Equity","volatility_10d")</f>
        <v>21.682308003094963</v>
      </c>
      <c r="AD23" s="76" cm="1">
        <f t="array" ref="AD23">_xll.BDP(B23&amp;" Equity","ivol_mid")</f>
        <v>644.15430000000003</v>
      </c>
      <c r="AE23" s="76">
        <f t="shared" si="90"/>
        <v>29.70875148107169</v>
      </c>
      <c r="AF23" s="77" cm="1">
        <f t="array" ref="AF23">_xll.BDP(B23&amp;" Equity","DELTA_MID_RT")</f>
        <v>-2.1649999544024467E-3</v>
      </c>
      <c r="AG23" s="74">
        <f>AL23/'Master P&amp;L'!$AE$7</f>
        <v>1.1016709739507731E-5</v>
      </c>
      <c r="AH23" s="74">
        <f>AM23/'Master P&amp;L'!$AE$7</f>
        <v>5.0885496404310133E-3</v>
      </c>
      <c r="AI23" s="355">
        <f>AO23/'Master P&amp;L'!$AD$7*10000</f>
        <v>0</v>
      </c>
      <c r="AJ23" s="278" t="e">
        <f t="shared" si="91"/>
        <v>#VALUE!</v>
      </c>
      <c r="AK23" s="77">
        <f>AP23/'Master P&amp;L'!$AD$7*10000</f>
        <v>6.1348051926790693E-2</v>
      </c>
      <c r="AL23" s="41">
        <f t="shared" si="92"/>
        <v>26397.844444029033</v>
      </c>
      <c r="AM23" s="41">
        <f t="shared" si="93"/>
        <v>12193000</v>
      </c>
      <c r="AN23" s="77" cm="1">
        <f t="array" ref="AN23">_xll.BDP($B23&amp;" Equity","theta_mid_rt")</f>
        <v>0</v>
      </c>
      <c r="AO23" s="41">
        <f t="shared" si="94"/>
        <v>0</v>
      </c>
      <c r="AP23" s="41">
        <f t="shared" si="95"/>
        <v>14700</v>
      </c>
      <c r="AQ23" s="73" t="str" cm="1">
        <f t="array" ref="AQ23">_xll.BDP($D23&amp;" Equity","EXPECTED_REPORT_DT")</f>
        <v>#N/A N/A</v>
      </c>
      <c r="AR23" s="190" cm="1">
        <f t="array" ref="AR23">_xll.BDP($B23&amp;" Equity","GAMMA_LAST")</f>
        <v>3.3019999999999998E-3</v>
      </c>
      <c r="AS23" s="72">
        <f t="shared" si="13"/>
        <v>-245452.93009900002</v>
      </c>
      <c r="AT23" s="72">
        <f t="shared" si="14"/>
        <v>-1227264.650495</v>
      </c>
      <c r="AU23" s="72" t="s">
        <v>95</v>
      </c>
      <c r="AV23" s="251" t="e" cm="1">
        <f t="array" ref="AV23">_xll.BDP($D23&amp;" Equity","EST_PE_NXT_YR")*(AA23/Z23)</f>
        <v>#VALUE!</v>
      </c>
      <c r="AW23" s="72"/>
      <c r="AX23" s="41"/>
      <c r="AY23" s="251">
        <v>1.35</v>
      </c>
      <c r="AZ23" s="282"/>
      <c r="BA23" s="41">
        <f t="shared" si="96"/>
        <v>1.35</v>
      </c>
      <c r="BB23" s="274">
        <f t="shared" si="97"/>
        <v>0.745</v>
      </c>
      <c r="BC23" s="274">
        <f t="shared" si="98"/>
        <v>12100.000000000002</v>
      </c>
      <c r="BD23" s="274">
        <f>BC23/'Master P&amp;L'!$AD$7*10000</f>
        <v>5.0497376075793701E-2</v>
      </c>
    </row>
    <row r="24" spans="1:56" s="312" customFormat="1">
      <c r="A24" s="418" t="s">
        <v>95</v>
      </c>
      <c r="B24" s="312" t="s">
        <v>1163</v>
      </c>
      <c r="C24" s="312" t="s">
        <v>603</v>
      </c>
      <c r="D24" s="312" t="str" cm="1">
        <f t="array" ref="D24">_xll.BDP(B24&amp;" INDEX","OPT_UNDL_TICKER")</f>
        <v>1OH6</v>
      </c>
      <c r="E24" s="312" t="str" cm="1">
        <f t="array" ref="E24">_xll.BDP($B24&amp;" INDEX","mifid_Maturity_date")</f>
        <v>06/02/2026</v>
      </c>
      <c r="F24" s="312" cm="1">
        <f t="array" ref="F24">_xll.BDP($B24&amp;" INDEX","opt_days_expire")</f>
        <v>-3</v>
      </c>
      <c r="G24" s="312" t="str" cm="1">
        <f t="array" ref="G24">_xll.BDP(B24&amp;" INDEX","QUOTED_CURRENCY_REALTIME")</f>
        <v>USD</v>
      </c>
      <c r="H24" s="401">
        <v>70</v>
      </c>
      <c r="I24" s="73">
        <v>18.04</v>
      </c>
      <c r="J24" s="14"/>
      <c r="K24" s="73" t="str">
        <f>_xll.BDP(B24&amp;" index","PX_YEST_CLOSE")</f>
        <v>#N/A Field Not Applicable</v>
      </c>
      <c r="L24" s="73">
        <v>0.5</v>
      </c>
      <c r="M24" s="340">
        <f t="shared" ref="M24" si="99">L24/Z24</f>
        <v>1.9964662547291296E-5</v>
      </c>
      <c r="N24" s="404"/>
      <c r="O24" s="340" t="e">
        <f t="shared" ref="O24" si="100">L24/K24-1</f>
        <v>#VALUE!</v>
      </c>
      <c r="P24" s="121" t="str" cm="1">
        <f t="array" ref="P24">_xll.BDP($B24&amp;" INDEX","bid")</f>
        <v>#N/A N/A</v>
      </c>
      <c r="Q24" s="121" t="str" cm="1">
        <f t="array" ref="Q24">_xll.BDP($B24&amp;" INDEX","ask")</f>
        <v>#N/A N/A</v>
      </c>
      <c r="R24" s="405" t="e">
        <f t="shared" ref="R24" si="101">(Q24/P24-1)</f>
        <v>#VALUE!</v>
      </c>
      <c r="S24" s="121" cm="1">
        <f t="array" ref="S24">_xll.BDP(G24&amp;" Curncy","PX_LAST")</f>
        <v>1</v>
      </c>
      <c r="T24" s="401">
        <v>20</v>
      </c>
      <c r="U24" s="401">
        <f t="shared" ref="U24" si="102">(L24/S24)*H24*T24</f>
        <v>700</v>
      </c>
      <c r="V24" s="417">
        <f>U24/'Master P&amp;L'!$AD$7*10000</f>
        <v>2.9213358060376522E-3</v>
      </c>
      <c r="W24" s="417">
        <f>(Y24*H24*T24/S24)/'Master P&amp;L'!$AD$7*10000</f>
        <v>2.9213358060376522E-3</v>
      </c>
      <c r="X24" s="410">
        <f t="shared" ref="X24" si="103">IF(C24="Put",IF(Z24&lt;AA24,AA24-Z24,0),IF(Z24&gt;AA24,Z24-AA24,0))</f>
        <v>0</v>
      </c>
      <c r="Y24" s="416">
        <f t="shared" ref="Y24" si="104">L24-X24</f>
        <v>0.5</v>
      </c>
      <c r="Z24" s="409">
        <f>_xll.BDP(D24&amp;" INDEX","LAST_PRICE")</f>
        <v>25044.25</v>
      </c>
      <c r="AA24" s="409" cm="1">
        <f t="array" ref="AA24">_xll.BDP(B24&amp;" INDEX","OPT_STRIKE_PX")</f>
        <v>26000</v>
      </c>
      <c r="AB24" s="405">
        <f t="shared" ref="AB24" si="105">AA24/Z24-1</f>
        <v>3.8162452459147289E-2</v>
      </c>
      <c r="AC24" s="415" cm="1">
        <f t="array" ref="AC24">_xll.BDP($D24&amp;" INDEX","volatility_10d")</f>
        <v>20.418127059936523</v>
      </c>
      <c r="AD24" s="409" t="str" cm="1">
        <f t="array" ref="AD24">_xll.BDP(B24&amp;" INDEX","ivol_mid")</f>
        <v>#N/A Field Not Applicable</v>
      </c>
      <c r="AE24" s="409" t="e">
        <f t="shared" ref="AE24" si="106">AD24/AC24</f>
        <v>#VALUE!</v>
      </c>
      <c r="AF24" s="414" t="str" cm="1">
        <f t="array" ref="AF24">_xll.BDP(B24&amp;" INDEX","DELTA_MID_RT")</f>
        <v>#N/A N/A</v>
      </c>
      <c r="AG24" s="340"/>
      <c r="AH24" s="340">
        <f>AM24/'Master P&amp;L'!$AE$7</f>
        <v>1.4632532852071693E-2</v>
      </c>
      <c r="AI24" s="355" t="e">
        <f>AO24/'Master P&amp;L'!$AD$7*10000</f>
        <v>#VALUE!</v>
      </c>
      <c r="AJ24" s="278" t="e">
        <f t="shared" ref="AJ24:AJ25" si="107">(252*AI24)/$AI$1</f>
        <v>#VALUE!</v>
      </c>
      <c r="AK24" s="414" t="e">
        <f>AP24/'Master P&amp;L'!$AD$7*10000</f>
        <v>#VALUE!</v>
      </c>
      <c r="AL24" s="401" t="e">
        <f t="shared" ref="AL24" si="108">Z24*AF24*H24*T24/S24</f>
        <v>#VALUE!</v>
      </c>
      <c r="AM24" s="401">
        <f t="shared" ref="AM24" si="109">IF(C24="Put",-Z24*H24*T24/S24,Z24*H24*T24/S24)</f>
        <v>35061950</v>
      </c>
      <c r="AN24" s="414" t="str" cm="1">
        <f t="array" ref="AN24">_xll.BDP($B24&amp;" INDEX","theta_mid_rt")</f>
        <v>#N/A N/A</v>
      </c>
      <c r="AO24" s="401" t="e">
        <f>AN24*H24*T24/S24</f>
        <v>#VALUE!</v>
      </c>
      <c r="AP24" s="401" t="e">
        <f t="shared" ref="AP24" si="110">(L24-K24)*T24/S24*H24</f>
        <v>#VALUE!</v>
      </c>
      <c r="AQ24" s="121" t="str" cm="1">
        <f t="array" ref="AQ24">_xll.BDP($D24&amp;" INDEX","EXPECTED_REPORT_DT")</f>
        <v>#N/A Field Not Applicable</v>
      </c>
      <c r="AR24" s="407" t="str" cm="1">
        <f t="array" ref="AR24">_xll.BDP($B24&amp;" INDEX","GAMMA_LAST")</f>
        <v>#N/A Field Not Applicable</v>
      </c>
      <c r="AS24" s="312" t="e">
        <f t="shared" si="13"/>
        <v>#VALUE!</v>
      </c>
      <c r="AT24" s="312" t="e">
        <f t="shared" si="14"/>
        <v>#VALUE!</v>
      </c>
      <c r="AU24" s="312" t="s">
        <v>95</v>
      </c>
      <c r="AV24" s="296" t="e" cm="1">
        <f t="array" ref="AV24">_xll.BDP($D24&amp;" INDEX","EST_PE_NXT_YR")*(AA24/Z24)</f>
        <v>#VALUE!</v>
      </c>
      <c r="AX24" s="401"/>
      <c r="AY24" s="296">
        <v>0.78</v>
      </c>
      <c r="AZ24" s="408"/>
      <c r="BA24" s="401">
        <f t="shared" ref="BA24" si="111">+AY24</f>
        <v>0.78</v>
      </c>
      <c r="BB24" s="406">
        <f t="shared" ref="BB24" si="112">+J24</f>
        <v>0</v>
      </c>
      <c r="BC24" s="406">
        <f t="shared" ref="BC24" si="113">(BB24-BA24)*H24*100</f>
        <v>-5460</v>
      </c>
      <c r="BD24" s="406">
        <f>BC24/'Master P&amp;L'!$AD$7*10000</f>
        <v>-2.2786419287093688E-2</v>
      </c>
    </row>
    <row r="25" spans="1:56" s="312" customFormat="1">
      <c r="A25" s="418" t="s">
        <v>95</v>
      </c>
      <c r="B25" s="312" t="s">
        <v>1202</v>
      </c>
      <c r="C25" s="312" t="s">
        <v>603</v>
      </c>
      <c r="D25" s="312" t="str" cm="1">
        <f t="array" ref="D25">_xll.BDP(B25&amp;" INDEX","OPT_UNDL_TICKER")</f>
        <v>1OH6</v>
      </c>
      <c r="E25" s="312" t="str" cm="1">
        <f t="array" ref="E25">_xll.BDP($B25&amp;" INDEX","mifid_Maturity_date")</f>
        <v>06/02/2026</v>
      </c>
      <c r="F25" s="312" cm="1">
        <f t="array" ref="F25">_xll.BDP($B25&amp;" INDEX","opt_days_expire")</f>
        <v>-3</v>
      </c>
      <c r="G25" s="312" t="str" cm="1">
        <f t="array" ref="G25">_xll.BDP(B25&amp;" INDEX","QUOTED_CURRENCY_REALTIME")</f>
        <v>USD</v>
      </c>
      <c r="H25" s="401">
        <v>50</v>
      </c>
      <c r="I25" s="73">
        <v>20.2</v>
      </c>
      <c r="J25" s="14"/>
      <c r="K25" s="73">
        <v>20.2</v>
      </c>
      <c r="L25" s="73">
        <v>2.5499999999999998</v>
      </c>
      <c r="M25" s="340">
        <f t="shared" ref="M25" si="114">L25/Z25</f>
        <v>1.018197789911856E-4</v>
      </c>
      <c r="N25" s="404"/>
      <c r="O25" s="340">
        <f t="shared" ref="O25" si="115">L25/K25-1</f>
        <v>-0.87376237623762376</v>
      </c>
      <c r="P25" s="121" t="str" cm="1">
        <f t="array" ref="P25">_xll.BDP($B25&amp;" INDEX","bid")</f>
        <v>#N/A N/A</v>
      </c>
      <c r="Q25" s="121" t="str" cm="1">
        <f t="array" ref="Q25">_xll.BDP($B25&amp;" INDEX","ask")</f>
        <v>#N/A N/A</v>
      </c>
      <c r="R25" s="405" t="e">
        <f t="shared" ref="R25" si="116">(Q25/P25-1)</f>
        <v>#VALUE!</v>
      </c>
      <c r="S25" s="121" cm="1">
        <f t="array" ref="S25">_xll.BDP(G25&amp;" Curncy","PX_LAST")</f>
        <v>1</v>
      </c>
      <c r="T25" s="401">
        <v>20</v>
      </c>
      <c r="U25" s="401">
        <f t="shared" ref="U25" si="117">(L25/S25)*H25*T25</f>
        <v>2549.9999999999995</v>
      </c>
      <c r="V25" s="417">
        <f>U25/'Master P&amp;L'!$AD$7*10000</f>
        <v>1.0642009007708588E-2</v>
      </c>
      <c r="W25" s="417">
        <f>(Y25*H25*T25/S25)/'Master P&amp;L'!$AD$7*10000</f>
        <v>1.0642009007708588E-2</v>
      </c>
      <c r="X25" s="410">
        <f t="shared" ref="X25" si="118">IF(C25="Put",IF(Z25&lt;AA25,AA25-Z25,0),IF(Z25&gt;AA25,Z25-AA25,0))</f>
        <v>0</v>
      </c>
      <c r="Y25" s="416">
        <f t="shared" ref="Y25" si="119">L25-X25</f>
        <v>2.5499999999999998</v>
      </c>
      <c r="Z25" s="409">
        <f>_xll.BDP(D25&amp;" INDEX","LAST_PRICE")</f>
        <v>25044.25</v>
      </c>
      <c r="AA25" s="409" cm="1">
        <f t="array" ref="AA25">_xll.BDP(B25&amp;" INDEX","OPT_STRIKE_PX")</f>
        <v>25550</v>
      </c>
      <c r="AB25" s="405">
        <f t="shared" ref="AB25" si="120">AA25/Z25-1</f>
        <v>2.0194256166585101E-2</v>
      </c>
      <c r="AC25" s="415" cm="1">
        <f t="array" ref="AC25">_xll.BDP($D25&amp;" INDEX","volatility_10d")</f>
        <v>20.418127059936523</v>
      </c>
      <c r="AD25" s="409" t="str" cm="1">
        <f t="array" ref="AD25">_xll.BDP(B25&amp;" INDEX","ivol_mid")</f>
        <v>#N/A Field Not Applicable</v>
      </c>
      <c r="AE25" s="409" t="e">
        <f t="shared" ref="AE25" si="121">AD25/AC25</f>
        <v>#VALUE!</v>
      </c>
      <c r="AF25" s="414" t="str" cm="1">
        <f t="array" ref="AF25">_xll.BDP(B25&amp;" INDEX","DELTA_MID_RT")</f>
        <v>#N/A N/A</v>
      </c>
      <c r="AG25" s="340"/>
      <c r="AH25" s="340">
        <f>AM25/'Master P&amp;L'!$AE$7</f>
        <v>1.0451809180051209E-2</v>
      </c>
      <c r="AI25" s="355" t="e">
        <f>AO25/'Master P&amp;L'!$AD$7*10000</f>
        <v>#VALUE!</v>
      </c>
      <c r="AJ25" s="278" t="e">
        <f t="shared" si="107"/>
        <v>#VALUE!</v>
      </c>
      <c r="AK25" s="414">
        <f>AP25/'Master P&amp;L'!$AD$7*10000</f>
        <v>-7.3659395680806511E-2</v>
      </c>
      <c r="AL25" s="401" t="e">
        <f t="shared" ref="AL25" si="122">Z25*AF25*H25*T25/S25</f>
        <v>#VALUE!</v>
      </c>
      <c r="AM25" s="401">
        <f t="shared" ref="AM25" si="123">IF(C25="Put",-Z25*H25*T25/S25,Z25*H25*T25/S25)</f>
        <v>25044250</v>
      </c>
      <c r="AN25" s="414" t="str" cm="1">
        <f t="array" ref="AN25">_xll.BDP($B25&amp;" INDEX","theta_mid_rt")</f>
        <v>#N/A N/A</v>
      </c>
      <c r="AO25" s="401" t="e">
        <f t="shared" ref="AO25" si="124">AN25*H25*T25/S25</f>
        <v>#VALUE!</v>
      </c>
      <c r="AP25" s="401">
        <f t="shared" ref="AP25" si="125">(L25-K25)*T25/S25*H25</f>
        <v>-17650</v>
      </c>
      <c r="AQ25" s="121" t="str" cm="1">
        <f t="array" ref="AQ25">_xll.BDP($D25&amp;" INDEX","EXPECTED_REPORT_DT")</f>
        <v>#N/A Field Not Applicable</v>
      </c>
      <c r="AR25" s="407" t="str" cm="1">
        <f t="array" ref="AR25">_xll.BDP($B25&amp;" INDEX","GAMMA_LAST")</f>
        <v>#N/A Field Not Applicable</v>
      </c>
      <c r="AS25" s="312" t="e">
        <f t="shared" si="13"/>
        <v>#VALUE!</v>
      </c>
      <c r="AT25" s="312" t="e">
        <f t="shared" si="14"/>
        <v>#VALUE!</v>
      </c>
      <c r="AU25" s="312" t="s">
        <v>95</v>
      </c>
      <c r="AV25" s="296" t="e" cm="1">
        <f t="array" ref="AV25">_xll.BDP($D25&amp;" INDEX","EST_PE_NXT_YR")*(AA25/Z25)</f>
        <v>#VALUE!</v>
      </c>
      <c r="AX25" s="401"/>
      <c r="AY25" s="296">
        <v>1.57</v>
      </c>
      <c r="AZ25" s="408"/>
      <c r="BA25" s="401">
        <f t="shared" ref="BA25" si="126">+AY25</f>
        <v>1.57</v>
      </c>
      <c r="BB25" s="406">
        <f t="shared" ref="BB25" si="127">+J25</f>
        <v>0</v>
      </c>
      <c r="BC25" s="406">
        <f t="shared" ref="BC25" si="128">(BB25-BA25)*H25*100</f>
        <v>-7850</v>
      </c>
      <c r="BD25" s="406">
        <f>BC25/'Master P&amp;L'!$AD$7*10000</f>
        <v>-3.2760694396279384E-2</v>
      </c>
    </row>
    <row r="26" spans="1:56" s="312" customFormat="1">
      <c r="A26" s="418" t="s">
        <v>95</v>
      </c>
      <c r="B26" s="312" t="s">
        <v>1203</v>
      </c>
      <c r="C26" s="312" t="s">
        <v>598</v>
      </c>
      <c r="D26" s="312" t="str" cm="1">
        <f t="array" ref="D26">_xll.BDP(B26&amp;" INDEX","OPT_UNDL_TICKER")</f>
        <v>1OH6</v>
      </c>
      <c r="E26" s="312" t="str" cm="1">
        <f t="array" ref="E26">_xll.BDP($B26&amp;" INDEX","mifid_Maturity_date")</f>
        <v>06/02/2026</v>
      </c>
      <c r="F26" s="312" cm="1">
        <f t="array" ref="F26">_xll.BDP($B26&amp;" INDEX","opt_days_expire")</f>
        <v>-3</v>
      </c>
      <c r="G26" s="312" t="str" cm="1">
        <f t="array" ref="G26">_xll.BDP(B26&amp;" INDEX","QUOTED_CURRENCY_REALTIME")</f>
        <v>USD</v>
      </c>
      <c r="H26" s="401">
        <v>29</v>
      </c>
      <c r="I26" s="73">
        <v>20</v>
      </c>
      <c r="J26" s="14"/>
      <c r="K26" s="73">
        <v>20</v>
      </c>
      <c r="L26" s="73">
        <v>4.7</v>
      </c>
      <c r="M26" s="340">
        <f t="shared" ref="M26" si="129">L26/Z26</f>
        <v>1.8766782794453818E-4</v>
      </c>
      <c r="N26" s="404"/>
      <c r="O26" s="340">
        <f t="shared" ref="O26" si="130">L26/K26-1</f>
        <v>-0.76500000000000001</v>
      </c>
      <c r="P26" s="121" t="str" cm="1">
        <f t="array" ref="P26">_xll.BDP($B26&amp;" INDEX","bid")</f>
        <v>#N/A N/A</v>
      </c>
      <c r="Q26" s="121" t="str" cm="1">
        <f t="array" ref="Q26">_xll.BDP($B26&amp;" INDEX","ask")</f>
        <v>#N/A N/A</v>
      </c>
      <c r="R26" s="405" t="e">
        <f t="shared" ref="R26" si="131">(Q26/P26-1)</f>
        <v>#VALUE!</v>
      </c>
      <c r="S26" s="121" cm="1">
        <f t="array" ref="S26">_xll.BDP(G26&amp;" Curncy","PX_LAST")</f>
        <v>1</v>
      </c>
      <c r="T26" s="401">
        <v>20</v>
      </c>
      <c r="U26" s="401">
        <f t="shared" ref="U26" si="132">(L26/S26)*H26*T26</f>
        <v>2726</v>
      </c>
      <c r="V26" s="417">
        <f>U26/'Master P&amp;L'!$AD$7*10000</f>
        <v>1.137651629608377E-2</v>
      </c>
      <c r="W26" s="417">
        <f>(Y26*H26*T26/S26)/'Master P&amp;L'!$AD$7*10000</f>
        <v>1.137651629608377E-2</v>
      </c>
      <c r="X26" s="410">
        <f t="shared" ref="X26" si="133">IF(C26="Put",IF(Z26&lt;AA26,AA26-Z26,0),IF(Z26&gt;AA26,Z26-AA26,0))</f>
        <v>0</v>
      </c>
      <c r="Y26" s="416">
        <f t="shared" ref="Y26" si="134">L26-X26</f>
        <v>4.7</v>
      </c>
      <c r="Z26" s="409">
        <f>_xll.BDP(D26&amp;" INDEX","LAST_PRICE")</f>
        <v>25044.25</v>
      </c>
      <c r="AA26" s="409" cm="1">
        <f t="array" ref="AA26">_xll.BDP(B26&amp;" INDEX","OPT_STRIKE_PX")</f>
        <v>23500</v>
      </c>
      <c r="AB26" s="405">
        <f t="shared" ref="AB26" si="135">AA26/Z26-1</f>
        <v>-6.1660860277309215E-2</v>
      </c>
      <c r="AC26" s="415" cm="1">
        <f t="array" ref="AC26">_xll.BDP($D26&amp;" INDEX","volatility_10d")</f>
        <v>20.418127059936523</v>
      </c>
      <c r="AD26" s="409" t="str" cm="1">
        <f t="array" ref="AD26">_xll.BDP(B26&amp;" INDEX","ivol_mid")</f>
        <v>#N/A Field Not Applicable</v>
      </c>
      <c r="AE26" s="409" t="e">
        <f t="shared" ref="AE26" si="136">AD26/AC26</f>
        <v>#VALUE!</v>
      </c>
      <c r="AF26" s="414" t="str" cm="1">
        <f t="array" ref="AF26">_xll.BDP(B26&amp;" INDEX","DELTA_MID_RT")</f>
        <v>#N/A N/A</v>
      </c>
      <c r="AG26" s="340"/>
      <c r="AH26" s="340">
        <f>AM26/'Master P&amp;L'!$AE$7</f>
        <v>-6.0620493244297018E-3</v>
      </c>
      <c r="AI26" s="355" t="e">
        <f>AO26/'Master P&amp;L'!$AD$7*10000</f>
        <v>#VALUE!</v>
      </c>
      <c r="AJ26" s="278" t="e">
        <f t="shared" ref="AJ26" si="137">(252*AI26)/$AI$1</f>
        <v>#VALUE!</v>
      </c>
      <c r="AK26" s="414">
        <f>AP26/'Master P&amp;L'!$AD$7*10000</f>
        <v>-3.7034191346825895E-2</v>
      </c>
      <c r="AL26" s="401" t="e">
        <f t="shared" ref="AL26" si="138">Z26*AF26*H26*T26/S26</f>
        <v>#VALUE!</v>
      </c>
      <c r="AM26" s="401">
        <f t="shared" ref="AM26" si="139">IF(C26="Put",-Z26*H26*T26/S26,Z26*H26*T26/S26)</f>
        <v>-14525665</v>
      </c>
      <c r="AN26" s="414" t="str" cm="1">
        <f t="array" ref="AN26">_xll.BDP($B26&amp;" INDEX","theta_mid_rt")</f>
        <v>#N/A N/A</v>
      </c>
      <c r="AO26" s="401" t="e">
        <f t="shared" ref="AO26" si="140">AN26*H26*T26/S26</f>
        <v>#VALUE!</v>
      </c>
      <c r="AP26" s="401">
        <f t="shared" ref="AP26" si="141">(L26-K26)*T26/S26*H26</f>
        <v>-8874</v>
      </c>
      <c r="AQ26" s="121" t="str" cm="1">
        <f t="array" ref="AQ26">_xll.BDP($D26&amp;" INDEX","EXPECTED_REPORT_DT")</f>
        <v>#N/A Field Not Applicable</v>
      </c>
      <c r="AR26" s="407" t="str" cm="1">
        <f t="array" ref="AR26">_xll.BDP($B26&amp;" INDEX","GAMMA_LAST")</f>
        <v>#N/A Field Not Applicable</v>
      </c>
      <c r="AS26" s="312" t="e">
        <f t="shared" si="13"/>
        <v>#VALUE!</v>
      </c>
      <c r="AT26" s="312" t="e">
        <f t="shared" si="14"/>
        <v>#VALUE!</v>
      </c>
      <c r="AU26" s="312" t="s">
        <v>95</v>
      </c>
      <c r="AV26" s="296" t="e" cm="1">
        <f t="array" ref="AV26">_xll.BDP($D26&amp;" INDEX","EST_PE_NXT_YR")*(AA26/Z26)</f>
        <v>#VALUE!</v>
      </c>
      <c r="AX26" s="401"/>
      <c r="AY26" s="296">
        <v>8</v>
      </c>
      <c r="AZ26" s="408"/>
      <c r="BA26" s="401">
        <f t="shared" ref="BA26" si="142">+AY26</f>
        <v>8</v>
      </c>
      <c r="BB26" s="406">
        <f t="shared" ref="BB26" si="143">+J26</f>
        <v>0</v>
      </c>
      <c r="BC26" s="406">
        <f t="shared" ref="BC26" si="144">(BB26-BA26)*H26*100</f>
        <v>-23200</v>
      </c>
      <c r="BD26" s="406">
        <f>BC26/'Master P&amp;L'!$AD$7*10000</f>
        <v>-9.6821415285819321E-2</v>
      </c>
    </row>
    <row r="27" spans="1:56" s="58" customFormat="1">
      <c r="A27" s="284"/>
      <c r="B27" t="s">
        <v>896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TSM US</v>
      </c>
      <c r="E27" t="str" cm="1">
        <f t="array" ref="E27">_xll.BDP($B27&amp;" Equity","mifid_Maturity_date")</f>
        <v>18/06/2026</v>
      </c>
      <c r="F27" cm="1">
        <f t="array" ref="F27">_xll.BDP($B27&amp;" Equity","opt_days_expire")</f>
        <v>129</v>
      </c>
      <c r="G27" t="str" cm="1">
        <f t="array" ref="G27">_xll.BDP(B27&amp;" Equity","QUOTED_CURRENCY_REALTIME")</f>
        <v>USD</v>
      </c>
      <c r="H27" s="15">
        <v>1550</v>
      </c>
      <c r="I27" s="338">
        <v>34.200000000000003</v>
      </c>
      <c r="J27" s="14">
        <f>VLOOKUP(B27,Precificação!$B:$O,14,FALSE)</f>
        <v>27.975000000000001</v>
      </c>
      <c r="K27" s="14">
        <f t="shared" si="18"/>
        <v>27.975000000000001</v>
      </c>
      <c r="L27" s="73" cm="1">
        <f t="array" ref="L27">_xll.BDP($B27&amp;" Equity","mid")</f>
        <v>40.65</v>
      </c>
      <c r="M27" s="18">
        <f t="shared" si="0"/>
        <v>0.11652572738999568</v>
      </c>
      <c r="N27" s="278"/>
      <c r="O27" s="18">
        <f t="shared" si="1"/>
        <v>0.4530831099195709</v>
      </c>
      <c r="P27" s="35" cm="1">
        <f t="array" ref="P27">_xll.BDP($B27&amp;" Equity","bid")</f>
        <v>40</v>
      </c>
      <c r="Q27" s="35" cm="1">
        <f t="array" ref="Q27">_xll.BDP($B27&amp;" Equity","ask")</f>
        <v>41.3</v>
      </c>
      <c r="R27" s="39">
        <f t="shared" si="2"/>
        <v>3.2499999999999973E-2</v>
      </c>
      <c r="S27" s="35" cm="1">
        <f t="array" ref="S27">_xll.BDP(G27&amp;" Curncy","PX_LAST")</f>
        <v>1</v>
      </c>
      <c r="T27" s="15" cm="1">
        <f t="array" ref="T27">_xll.BDP(B27&amp;" Equity","OPT_MULTIPLIER")</f>
        <v>100</v>
      </c>
      <c r="U27" s="15">
        <f t="shared" si="3"/>
        <v>6300750</v>
      </c>
      <c r="V27" s="122">
        <f>U27/'Master P&amp;L'!$AD$7*10000</f>
        <v>26.295152256988196</v>
      </c>
      <c r="W27" s="122">
        <f>(Y27*H27*T27/S27)/'Master P&amp;L'!$AD$7*10000</f>
        <v>20.570377411370821</v>
      </c>
      <c r="X27" s="341">
        <f t="shared" si="4"/>
        <v>8.8500000000000227</v>
      </c>
      <c r="Y27" s="203">
        <f t="shared" si="5"/>
        <v>31.799999999999976</v>
      </c>
      <c r="Z27" s="36">
        <f>_xll.BDP(D27&amp;" Equity","LAST_PRICE")</f>
        <v>348.85</v>
      </c>
      <c r="AA27" s="36" cm="1">
        <f t="array" ref="AA27">_xll.BDP(B27&amp;" Equity","OPT_STRIKE_PX")</f>
        <v>340</v>
      </c>
      <c r="AB27" s="39">
        <f t="shared" si="6"/>
        <v>-2.5369069800774025E-2</v>
      </c>
      <c r="AC27" s="253" cm="1">
        <f t="array" ref="AC27">_xll.BDP($D27&amp;" Equity","volatility_10d")</f>
        <v>45.08112786926602</v>
      </c>
      <c r="AD27" s="36" cm="1">
        <f t="array" ref="AD27">_xll.BDP(B27&amp;" Equity","ivol_mid")</f>
        <v>41.657319999999999</v>
      </c>
      <c r="AE27" s="36">
        <f t="shared" si="7"/>
        <v>0.92405230234711599</v>
      </c>
      <c r="AF27" s="37" cm="1">
        <f t="array" ref="AF27">_xll.BDP(B27&amp;" Equity","DELTA_MID_RT")</f>
        <v>0.60639500617980957</v>
      </c>
      <c r="AG27" s="18">
        <f>AL27/'Master P&amp;L'!$AE$7</f>
        <v>1.368388713164503E-2</v>
      </c>
      <c r="AH27" s="18">
        <f>AM27/'Master P&amp;L'!$AE$7</f>
        <v>2.2565962767159487E-2</v>
      </c>
      <c r="AI27" s="354">
        <f>AO27/'Master P&amp;L'!$AD$7*10000</f>
        <v>-8.0145553796998073E-2</v>
      </c>
      <c r="AJ27" s="278" t="e">
        <f t="shared" ref="AJ27:AJ28" si="145">(252*AI27)/$AI$1</f>
        <v>#VALUE!</v>
      </c>
      <c r="AK27" s="37">
        <f>AP27/'Master P&amp;L'!$AD$7*10000</f>
        <v>8.199041939909602</v>
      </c>
      <c r="AL27" s="15">
        <f t="shared" si="9"/>
        <v>32788839.175403118</v>
      </c>
      <c r="AM27" s="15">
        <f t="shared" si="10"/>
        <v>54071750</v>
      </c>
      <c r="AN27" s="37" cm="1">
        <f t="array" ref="AN27">_xll.BDP($B27&amp;" Equity","theta_mid_rt")</f>
        <v>-0.12389799952507019</v>
      </c>
      <c r="AO27" s="15">
        <f t="shared" si="11"/>
        <v>-19204.18992638588</v>
      </c>
      <c r="AP27" s="15">
        <f t="shared" si="12"/>
        <v>1964624.9999999995</v>
      </c>
      <c r="AQ27" s="35" t="str" cm="1">
        <f t="array" ref="AQ27">_xll.BDP($D27&amp;" Equity","EXPECTED_REPORT_DT")</f>
        <v>17/04/2026</v>
      </c>
      <c r="AR27" s="65" cm="1">
        <f t="array" ref="AR27">_xll.BDP($B27&amp;" Equity","GAMMA_LAST")</f>
        <v>1.5334E-2</v>
      </c>
      <c r="AS27">
        <f t="shared" si="13"/>
        <v>2892441.6842832505</v>
      </c>
      <c r="AT27">
        <f t="shared" si="14"/>
        <v>14462208.421416255</v>
      </c>
      <c r="AU27" t="s">
        <v>95</v>
      </c>
      <c r="AV27" s="207" cm="1">
        <f t="array" ref="AV27">_xll.BDP($D27&amp;" Equity","EST_PE_NXT_YR")*(AA27/Z27)</f>
        <v>19.286040398368449</v>
      </c>
      <c r="AW27"/>
      <c r="AX27" s="15"/>
      <c r="AY27" s="207">
        <v>30.15</v>
      </c>
      <c r="AZ27" s="283"/>
      <c r="BA27" s="15">
        <f t="shared" si="15"/>
        <v>30.15</v>
      </c>
      <c r="BB27" s="342">
        <f t="shared" si="16"/>
        <v>27.975000000000001</v>
      </c>
      <c r="BC27" s="342">
        <f t="shared" si="17"/>
        <v>-337124.99999999953</v>
      </c>
      <c r="BD27" s="342">
        <f>BC27/'Master P&amp;L'!$AD$7*10000</f>
        <v>-1.4069361908720601</v>
      </c>
    </row>
    <row r="28" spans="1:56">
      <c r="A28" s="264"/>
      <c r="B28" s="72" t="s">
        <v>897</v>
      </c>
      <c r="C28" s="72" t="str" cm="1">
        <f t="array" ref="C28">_xll.BDP($B28&amp;" Equity","opt_put_call")</f>
        <v>Call</v>
      </c>
      <c r="D28" s="72" t="str" cm="1">
        <f t="array" ref="D28">_xll.BDP(B28&amp;" Equity","OPT_UNDL_TICKER")</f>
        <v>TSM US</v>
      </c>
      <c r="E28" s="72" t="str" cm="1">
        <f t="array" ref="E28">_xll.BDP($B28&amp;" Equity","mifid_Maturity_date")</f>
        <v>18/06/2026</v>
      </c>
      <c r="F28" s="72" cm="1">
        <f t="array" ref="F28">_xll.BDP($B28&amp;" Equity","opt_days_expire")</f>
        <v>129</v>
      </c>
      <c r="G28" s="72" t="str" cm="1">
        <f t="array" ref="G28">_xll.BDP(B28&amp;" Equity","QUOTED_CURRENCY_REALTIME")</f>
        <v>USD</v>
      </c>
      <c r="H28" s="41">
        <v>-1275</v>
      </c>
      <c r="I28" s="337">
        <v>19.54</v>
      </c>
      <c r="J28" s="14">
        <f>VLOOKUP(B28,Precificação!$B:$O,14,FALSE)</f>
        <v>14.875</v>
      </c>
      <c r="K28" s="14">
        <f t="shared" si="18"/>
        <v>14.875</v>
      </c>
      <c r="L28" s="73" cm="1">
        <f t="array" ref="L28">_xll.BDP($B28&amp;" Equity","mid")</f>
        <v>23.48</v>
      </c>
      <c r="M28" s="74">
        <f t="shared" si="0"/>
        <v>6.7306865414934788E-2</v>
      </c>
      <c r="N28" s="280"/>
      <c r="O28" s="74">
        <f t="shared" si="1"/>
        <v>0.57848739495798318</v>
      </c>
      <c r="P28" s="73" cm="1">
        <f t="array" ref="P28">_xll.BDP($B28&amp;" Equity","bid")</f>
        <v>23.05</v>
      </c>
      <c r="Q28" s="73" cm="1">
        <f t="array" ref="Q28">_xll.BDP($B28&amp;" Equity","ask")</f>
        <v>23.9</v>
      </c>
      <c r="R28" s="75">
        <f t="shared" si="2"/>
        <v>3.6876355748373113E-2</v>
      </c>
      <c r="S28" s="35" cm="1">
        <f t="array" ref="S28">_xll.BDP(G28&amp;" Curncy","PX_LAST")</f>
        <v>1</v>
      </c>
      <c r="T28" s="41" cm="1">
        <f t="array" ref="T28">_xll.BDP(B28&amp;" Equity","OPT_MULTIPLIER")</f>
        <v>100</v>
      </c>
      <c r="U28" s="41">
        <f t="shared" si="3"/>
        <v>-2993700</v>
      </c>
      <c r="V28" s="111">
        <f>U28/'Master P&amp;L'!$AD$7*10000</f>
        <v>-12.493718575049884</v>
      </c>
      <c r="W28" s="111">
        <f>(Y28*H28*T28/S28)/'Master P&amp;L'!$AD$7*10000</f>
        <v>-12.493718575049884</v>
      </c>
      <c r="X28" s="116">
        <f t="shared" si="4"/>
        <v>0</v>
      </c>
      <c r="Y28" s="202">
        <f t="shared" si="5"/>
        <v>23.48</v>
      </c>
      <c r="Z28" s="76">
        <f>_xll.BDP(D28&amp;" Equity","LAST_PRICE")</f>
        <v>348.85</v>
      </c>
      <c r="AA28" s="76" cm="1">
        <f t="array" ref="AA28">_xll.BDP(B28&amp;" Equity","OPT_STRIKE_PX")</f>
        <v>380</v>
      </c>
      <c r="AB28" s="75">
        <f t="shared" si="6"/>
        <v>8.9293392575605424E-2</v>
      </c>
      <c r="AC28" s="252" cm="1">
        <f t="array" ref="AC28">_xll.BDP($D28&amp;" Equity","volatility_10d")</f>
        <v>45.08112786926602</v>
      </c>
      <c r="AD28" s="76" cm="1">
        <f t="array" ref="AD28">_xll.BDP(B28&amp;" Equity","ivol_mid")</f>
        <v>40.904069999999997</v>
      </c>
      <c r="AE28" s="76">
        <f t="shared" si="7"/>
        <v>0.90734353671497814</v>
      </c>
      <c r="AF28" s="77" cm="1">
        <f t="array" ref="AF28">_xll.BDP(B28&amp;" Equity","DELTA_MID_RT")</f>
        <v>0.42868500947952271</v>
      </c>
      <c r="AG28" s="74">
        <f>AL28/'Master P&amp;L'!$AE$7</f>
        <v>-7.957390130652749E-3</v>
      </c>
      <c r="AH28" s="74">
        <f>AM28/'Master P&amp;L'!$AE$7</f>
        <v>-1.8562324211695708E-2</v>
      </c>
      <c r="AI28" s="355">
        <f>AO28/'Master P&amp;L'!$AD$7*10000</f>
        <v>6.6959517142109487E-2</v>
      </c>
      <c r="AJ28" s="278" t="e">
        <f t="shared" si="145"/>
        <v>#VALUE!</v>
      </c>
      <c r="AK28" s="77">
        <f>AP28/'Master P&amp;L'!$AD$7*10000</f>
        <v>-4.5787243755666207</v>
      </c>
      <c r="AL28" s="41">
        <f t="shared" si="9"/>
        <v>-19067212.608508769</v>
      </c>
      <c r="AM28" s="41">
        <f t="shared" si="10"/>
        <v>-44478375</v>
      </c>
      <c r="AN28" s="77" cm="1">
        <f t="array" ref="AN28">_xll.BDP($B28&amp;" Equity","theta_mid_rt")</f>
        <v>-0.12583999335765839</v>
      </c>
      <c r="AO28" s="41">
        <f t="shared" si="11"/>
        <v>16044.599153101444</v>
      </c>
      <c r="AP28" s="41">
        <f t="shared" si="12"/>
        <v>-1097137.5</v>
      </c>
      <c r="AQ28" s="73" t="str" cm="1">
        <f t="array" ref="AQ28">_xll.BDP($D28&amp;" Equity","EXPECTED_REPORT_DT")</f>
        <v>17/04/2026</v>
      </c>
      <c r="AR28" s="190" cm="1">
        <f t="array" ref="AR28">_xll.BDP($B28&amp;" Equity","GAMMA_LAST")</f>
        <v>1.6163E-2</v>
      </c>
      <c r="AS28" s="72">
        <f t="shared" si="13"/>
        <v>-2507896.517223563</v>
      </c>
      <c r="AT28" s="72">
        <f t="shared" si="14"/>
        <v>-12539482.586117813</v>
      </c>
      <c r="AU28" s="72" t="s">
        <v>95</v>
      </c>
      <c r="AV28" s="251" cm="1">
        <f t="array" ref="AV28">_xll.BDP($D28&amp;" Equity","EST_PE_NXT_YR")*(AA28/Z28)</f>
        <v>21.554986327588264</v>
      </c>
      <c r="AW28" s="72"/>
      <c r="AX28" s="41"/>
      <c r="AY28" s="251">
        <v>16.579999999999998</v>
      </c>
      <c r="AZ28" s="282"/>
      <c r="BA28" s="41">
        <f t="shared" si="15"/>
        <v>16.579999999999998</v>
      </c>
      <c r="BB28" s="274">
        <f t="shared" si="16"/>
        <v>14.875</v>
      </c>
      <c r="BC28" s="274">
        <f t="shared" si="17"/>
        <v>217387.49999999977</v>
      </c>
      <c r="BD28" s="274">
        <f>BC28/'Master P&amp;L'!$AD$7*10000</f>
        <v>0.90723126790715625</v>
      </c>
    </row>
    <row r="29" spans="1:56">
      <c r="H29" s="265"/>
      <c r="I29" s="175"/>
      <c r="J29" s="175"/>
      <c r="K29" s="175"/>
      <c r="L29" s="175"/>
    </row>
    <row r="30" spans="1:56">
      <c r="H30" s="265"/>
      <c r="I30" s="175"/>
      <c r="J30" s="175"/>
      <c r="K30" s="175"/>
      <c r="L30" s="175" t="e">
        <f>(L31-K31)/K31</f>
        <v>#REF!</v>
      </c>
      <c r="AY30">
        <v>-4.1250000000000044</v>
      </c>
    </row>
    <row r="31" spans="1:56">
      <c r="I31" s="63"/>
      <c r="J31" s="63"/>
      <c r="K31" s="63" t="e">
        <f>#REF!-K6</f>
        <v>#REF!</v>
      </c>
      <c r="L31" s="63" t="e">
        <f>#REF!-L6</f>
        <v>#REF!</v>
      </c>
      <c r="M31" s="63"/>
      <c r="N31" s="63"/>
      <c r="O31" s="63"/>
      <c r="P31" s="63" t="e">
        <f>#REF!-#REF!</f>
        <v>#REF!</v>
      </c>
      <c r="Q31" s="63" t="e">
        <f>#REF!-#REF!</f>
        <v>#REF!</v>
      </c>
      <c r="V31" s="49" t="e">
        <f>#REF!+V6</f>
        <v>#REF!</v>
      </c>
      <c r="AK31" s="206">
        <f>SUM(AK6:AK6)</f>
        <v>-1.1727076592808288</v>
      </c>
      <c r="AY31">
        <v>-1.25</v>
      </c>
    </row>
    <row r="32" spans="1:56">
      <c r="I32" s="63"/>
      <c r="J32" s="63"/>
      <c r="K32" s="63">
        <f>K22-K23</f>
        <v>2.4799999999999995</v>
      </c>
      <c r="L32" s="63">
        <f>L22-L23</f>
        <v>0</v>
      </c>
      <c r="AY32">
        <v>5.0600000000000005</v>
      </c>
    </row>
    <row r="33" spans="8:51">
      <c r="I33" s="63">
        <f>I14-I15</f>
        <v>6.69</v>
      </c>
      <c r="J33" s="63">
        <f>J14-J15</f>
        <v>12.624999999999996</v>
      </c>
      <c r="K33" s="63">
        <f>K14-K15</f>
        <v>12.624999999999996</v>
      </c>
      <c r="L33" s="63">
        <f>L14-L15</f>
        <v>13.400000000000002</v>
      </c>
      <c r="AY33">
        <v>12.519999999999998</v>
      </c>
    </row>
    <row r="34" spans="8:51">
      <c r="I34" s="175"/>
      <c r="J34" s="175"/>
      <c r="K34" s="175"/>
      <c r="L34" s="175"/>
      <c r="AY34" t="e">
        <v>#REF!</v>
      </c>
    </row>
    <row r="35" spans="8:51">
      <c r="I35" s="63"/>
      <c r="K35" s="63"/>
      <c r="L35" s="63"/>
      <c r="AY35">
        <v>2.9399999999999995</v>
      </c>
    </row>
    <row r="36" spans="8:51">
      <c r="I36" s="63"/>
      <c r="K36" s="63"/>
      <c r="L36" s="63"/>
    </row>
    <row r="37" spans="8:51">
      <c r="H37" s="332">
        <v>100</v>
      </c>
      <c r="I37" s="339">
        <v>30.89</v>
      </c>
      <c r="J37" s="335">
        <f>H37*I37</f>
        <v>3089</v>
      </c>
    </row>
    <row r="38" spans="8:51">
      <c r="H38" s="332"/>
      <c r="I38" s="339"/>
      <c r="J38" s="335">
        <f t="shared" ref="J38:J44" si="146">H38*I38</f>
        <v>0</v>
      </c>
    </row>
    <row r="39" spans="8:51">
      <c r="H39" s="41"/>
      <c r="I39" s="337"/>
      <c r="J39" s="335">
        <f t="shared" si="146"/>
        <v>0</v>
      </c>
    </row>
    <row r="40" spans="8:51">
      <c r="H40" s="332"/>
      <c r="I40" s="333"/>
      <c r="J40" s="335">
        <f t="shared" si="146"/>
        <v>0</v>
      </c>
    </row>
    <row r="41" spans="8:51">
      <c r="H41" s="332">
        <v>25</v>
      </c>
      <c r="I41" s="339">
        <v>35.75</v>
      </c>
      <c r="J41" s="335">
        <f t="shared" si="146"/>
        <v>893.75</v>
      </c>
    </row>
    <row r="42" spans="8:51">
      <c r="H42" s="15"/>
      <c r="I42" s="338"/>
      <c r="J42" s="335">
        <f t="shared" si="146"/>
        <v>0</v>
      </c>
    </row>
    <row r="43" spans="8:51">
      <c r="H43" s="332"/>
      <c r="I43" s="339"/>
      <c r="J43" s="335">
        <f t="shared" si="146"/>
        <v>0</v>
      </c>
    </row>
    <row r="44" spans="8:51">
      <c r="H44" s="276"/>
      <c r="I44" s="334"/>
      <c r="J44" s="335">
        <f t="shared" si="146"/>
        <v>0</v>
      </c>
    </row>
    <row r="46" spans="8:51">
      <c r="H46" s="276">
        <f>H37+H41</f>
        <v>125</v>
      </c>
      <c r="I46" s="334">
        <f>J46/H46</f>
        <v>31.861999999999998</v>
      </c>
      <c r="J46" s="336">
        <f>J37+J41</f>
        <v>3982.75</v>
      </c>
    </row>
    <row r="47" spans="8:51">
      <c r="H47" s="276">
        <f>H38+H42</f>
        <v>0</v>
      </c>
      <c r="I47" s="334" t="e">
        <f>J47/H47</f>
        <v>#DIV/0!</v>
      </c>
      <c r="J47" s="336">
        <f>J38+J42</f>
        <v>0</v>
      </c>
    </row>
    <row r="48" spans="8:51">
      <c r="H48" s="276">
        <f>H39+H43</f>
        <v>0</v>
      </c>
      <c r="I48" s="334" t="e">
        <f>J48/H48</f>
        <v>#DIV/0!</v>
      </c>
      <c r="J48" s="336">
        <f>J39+J43</f>
        <v>0</v>
      </c>
    </row>
    <row r="49" spans="8:10">
      <c r="H49" s="276">
        <f>H40+H44</f>
        <v>0</v>
      </c>
      <c r="I49" s="334" t="e">
        <f>J49/H49</f>
        <v>#DIV/0!</v>
      </c>
      <c r="J49" s="336">
        <f>J40+J44</f>
        <v>0</v>
      </c>
    </row>
  </sheetData>
  <autoFilter ref="A3:BD32" xr:uid="{0428720F-9028-4D6D-9843-ED7DFFC9E1CA}">
    <sortState xmlns:xlrd2="http://schemas.microsoft.com/office/spreadsheetml/2017/richdata2" ref="A4:BD32">
      <sortCondition ref="D3:D32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8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7" sqref="B7:B8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142</v>
      </c>
      <c r="C3" s="10" t="s">
        <v>144</v>
      </c>
      <c r="D3" s="10" t="s">
        <v>145</v>
      </c>
      <c r="E3" s="10" t="s">
        <v>146</v>
      </c>
      <c r="F3" s="10" t="s">
        <v>147</v>
      </c>
      <c r="H3" s="10" t="s">
        <v>148</v>
      </c>
      <c r="I3" s="66" t="s">
        <v>122</v>
      </c>
      <c r="J3" s="66" t="s">
        <v>152</v>
      </c>
      <c r="K3" s="66" t="s">
        <v>153</v>
      </c>
      <c r="L3" s="66" t="s">
        <v>154</v>
      </c>
      <c r="M3" s="66" t="s">
        <v>155</v>
      </c>
      <c r="N3" s="59" t="s">
        <v>124</v>
      </c>
      <c r="O3" s="10" t="s">
        <v>125</v>
      </c>
      <c r="P3" s="104" t="s">
        <v>156</v>
      </c>
      <c r="Q3" s="105" t="s">
        <v>187</v>
      </c>
      <c r="R3" s="10" t="s">
        <v>73</v>
      </c>
      <c r="S3" s="10" t="s">
        <v>188</v>
      </c>
      <c r="T3" s="10" t="s">
        <v>162</v>
      </c>
      <c r="U3" s="68" t="s">
        <v>163</v>
      </c>
      <c r="V3" s="10" t="s">
        <v>1</v>
      </c>
      <c r="W3" s="10" t="s">
        <v>164</v>
      </c>
      <c r="X3" s="93" t="s">
        <v>165</v>
      </c>
      <c r="Y3" s="59" t="s">
        <v>166</v>
      </c>
      <c r="Z3" s="10" t="s">
        <v>168</v>
      </c>
      <c r="AA3" s="10" t="s">
        <v>189</v>
      </c>
      <c r="AB3" s="10" t="s">
        <v>171</v>
      </c>
      <c r="AC3" s="10" t="s">
        <v>172</v>
      </c>
      <c r="AD3" s="10" t="s">
        <v>172</v>
      </c>
      <c r="AF3" s="10">
        <v>0.25</v>
      </c>
      <c r="AL3" s="132"/>
    </row>
    <row r="4" spans="1:41">
      <c r="H4" s="106"/>
      <c r="I4" s="101"/>
      <c r="J4" s="99"/>
      <c r="K4" s="136"/>
      <c r="L4" s="136"/>
      <c r="P4" s="127"/>
      <c r="Q4" s="106"/>
      <c r="S4" s="99"/>
      <c r="T4" s="101"/>
      <c r="W4" s="99"/>
      <c r="X4" s="120"/>
      <c r="AC4" s="99"/>
      <c r="AD4" s="120"/>
    </row>
    <row r="5" spans="1:41">
      <c r="A5" s="98"/>
      <c r="B5" s="98"/>
      <c r="I5" s="63"/>
      <c r="K5" s="63">
        <f>K10-K16</f>
        <v>19.385000000000002</v>
      </c>
      <c r="P5" s="197"/>
      <c r="Q5">
        <f>Q9/Q15-1</f>
        <v>-1.6320474777448069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9057.8623116016388</v>
      </c>
    </row>
    <row r="7" spans="1:41">
      <c r="A7" s="452">
        <f>P7/Y7</f>
        <v>7.5785428314157785E-2</v>
      </c>
      <c r="B7" t="s">
        <v>1206</v>
      </c>
      <c r="C7" s="58" t="str" cm="1">
        <f t="array" ref="C7">_xll.BDP(B7&amp;" Equity","OPT_UNDL_TICKER")</f>
        <v>AMZN US</v>
      </c>
      <c r="D7" s="58" t="str">
        <f>_xll.BDP($B7&amp;" Index","mifid_Maturity_date")</f>
        <v>17/04/2026</v>
      </c>
      <c r="E7" s="58">
        <f>_xll.BDP($B7&amp;" Index","opt_days_expire")</f>
        <v>67</v>
      </c>
      <c r="F7" s="58" t="str" cm="1">
        <f t="array" ref="F7">_xll.BDP(B7&amp;" Equity","QUOTED_CURRENCY_REALTIME")</f>
        <v>USD</v>
      </c>
      <c r="G7" s="103" t="s">
        <v>191</v>
      </c>
      <c r="H7" s="95">
        <v>375</v>
      </c>
      <c r="I7" s="96">
        <f>IF(G7="Buy",L7,K7)</f>
        <v>3.85</v>
      </c>
      <c r="J7" s="18">
        <f>I7/S7</f>
        <v>1.8305439330543936E-2</v>
      </c>
      <c r="K7" s="35" cm="1">
        <f t="array" ref="K7">_xll.BDP($B7&amp;" Equity","bid")</f>
        <v>3.75</v>
      </c>
      <c r="L7" s="35" cm="1">
        <f t="array" ref="L7">_xll.BDP($B7&amp;" Equity","ask")</f>
        <v>3.85</v>
      </c>
      <c r="M7" s="39">
        <f>(L7/K7-1)</f>
        <v>2.6666666666666616E-2</v>
      </c>
      <c r="N7" s="35" cm="1">
        <f t="array" ref="N7">_xll.BDP(F7&amp;" Curncy","PX_LAST")</f>
        <v>1</v>
      </c>
      <c r="O7" s="133" cm="1">
        <f t="array" ref="O7">_xll.BDP(B7&amp;" Equity","OPT_MULTIPLIER")</f>
        <v>100</v>
      </c>
      <c r="P7" s="15">
        <f>IF(G7="Buy",((I7/N7)*H7*O7),((I7/N7)*-H7*O7))</f>
        <v>144375</v>
      </c>
      <c r="Q7" s="57">
        <f>P7/'Master P&amp;L'!$AD$5*10000</f>
        <v>0.64279940263158875</v>
      </c>
      <c r="R7" s="36" cm="1">
        <f t="array" ref="R7">_xll.BDP($C7&amp;" Equity","EST_PE_NXT_YR")*(T7/S7)</f>
        <v>21.465107782243333</v>
      </c>
      <c r="S7" s="35" cm="1">
        <f t="array" ref="S7">_xll.BDP(C7&amp;" Equity","LAST_PRICE")</f>
        <v>210.32</v>
      </c>
      <c r="T7" s="52" cm="1">
        <f t="array" ref="T7">_xll.BDP(B7&amp;" Equity","OPT_STRIKE_PX")</f>
        <v>235</v>
      </c>
      <c r="U7" s="39">
        <f>T7/S7-1</f>
        <v>0.11734499809813626</v>
      </c>
      <c r="V7" s="36" cm="1">
        <f t="array" ref="V7">_xll.BDP($B7&amp;" Equity","ivol_mid")</f>
        <v>31.01398</v>
      </c>
      <c r="W7" s="37" cm="1">
        <f t="array" ref="W7">_xll.BDP(B7&amp;" Equity","DELTA_MID_RT")</f>
        <v>0.2415429949760437</v>
      </c>
      <c r="X7" s="47">
        <f>Y7/'Master P&amp;L'!$AE$5</f>
        <v>8.4818337367832078E-4</v>
      </c>
      <c r="Y7" s="15">
        <f>IF(G7="Sell", S7*W7*-H7*O7/N7, S7*W7*H7*O7/N7)</f>
        <v>1905049.6013760567</v>
      </c>
      <c r="Z7" s="15">
        <f>_xll.BDP($B7&amp;" Equity","opt_theta")*H7*O7/N7</f>
        <v>-2410.2374999999997</v>
      </c>
      <c r="AA7" s="18">
        <f>_xll.BDP($B7&amp;" Equity","opt_theta")/I7</f>
        <v>-1.6694285714285714E-2</v>
      </c>
      <c r="AB7" s="35" t="str" cm="1">
        <f t="array" ref="AB7">_xll.BDP($C7&amp;" Equity","EXPECTED_REPORT_DT")</f>
        <v>01/05/2026</v>
      </c>
      <c r="AC7" s="15">
        <f>S7*H7*O7/N7</f>
        <v>7887000</v>
      </c>
      <c r="AD7" s="18">
        <f>AC7/'Master P&amp;L'!$AE$5</f>
        <v>3.5115213080902795E-3</v>
      </c>
      <c r="AE7" t="str">
        <f>B7  &amp; " - Buy to open " &amp;  "-" &amp; H7 &amp;"x"</f>
        <v>AMZN US 04/17/26 C235 - Buy to open -375x</v>
      </c>
      <c r="AF7">
        <f>H7*$AF$3</f>
        <v>93.75</v>
      </c>
      <c r="AK7" t="s">
        <v>514</v>
      </c>
      <c r="AO7" t="s">
        <v>95</v>
      </c>
    </row>
    <row r="8" spans="1:41">
      <c r="A8" s="97" t="s">
        <v>190</v>
      </c>
      <c r="B8" t="s">
        <v>1207</v>
      </c>
      <c r="C8" s="58" t="str" cm="1">
        <f t="array" ref="C8">_xll.BDP(B8&amp;" Equity","OPT_UNDL_TICKER")</f>
        <v>AMZN US</v>
      </c>
      <c r="D8" s="58" t="str" cm="1">
        <f t="array" ref="D8">_xll.BDP($B8&amp;" Index","mifid_Maturity_date")</f>
        <v>17/04/2026</v>
      </c>
      <c r="E8" s="58" cm="1">
        <f t="array" ref="E8">_xll.BDP($B8&amp;" Index","opt_days_expire")</f>
        <v>67</v>
      </c>
      <c r="F8" s="58" t="str" cm="1">
        <f t="array" ref="F8">_xll.BDP(B8&amp;" Equity","QUOTED_CURRENCY_REALTIME")</f>
        <v>USD</v>
      </c>
      <c r="G8" s="103" t="s">
        <v>192</v>
      </c>
      <c r="H8" s="95">
        <f>H7</f>
        <v>375</v>
      </c>
      <c r="I8" s="96">
        <f>IF(G8="Buy",L8,K8)</f>
        <v>1.72</v>
      </c>
      <c r="J8" s="18">
        <f>I8/S8</f>
        <v>8.1780144541650814E-3</v>
      </c>
      <c r="K8" s="35" cm="1">
        <f t="array" ref="K8">_xll.BDP($B8&amp;" Equity","bid")</f>
        <v>1.72</v>
      </c>
      <c r="L8" s="35" cm="1">
        <f t="array" ref="L8">_xll.BDP($B8&amp;" Equity","ask")</f>
        <v>1.81</v>
      </c>
      <c r="M8" s="39">
        <f>(L8/K8-1)</f>
        <v>5.232558139534893E-2</v>
      </c>
      <c r="N8" s="35" cm="1">
        <f t="array" ref="N8">_xll.BDP(F8&amp;" Curncy","PX_LAST")</f>
        <v>1</v>
      </c>
      <c r="O8" s="133" cm="1">
        <f t="array" ref="O8">_xll.BDP(B8&amp;" Equity","OPT_MULTIPLIER")</f>
        <v>100</v>
      </c>
      <c r="P8" s="15">
        <f>IF(G8="Buy",((I8/N8)*H8*O8),((I8/N8)*-H8*O8))</f>
        <v>-64500</v>
      </c>
      <c r="Q8" s="57">
        <f>P8/'Master P&amp;L'!$AD$5*10000</f>
        <v>-0.2871727201367098</v>
      </c>
      <c r="R8" s="36" cm="1">
        <f t="array" ref="R8">_xll.BDP($C8&amp;" Equity","EST_PE_NXT_YR")*(T8/S8)</f>
        <v>22.835221044939715</v>
      </c>
      <c r="S8" s="35" cm="1">
        <f t="array" ref="S8">_xll.BDP(C8&amp;" Equity","LAST_PRICE")</f>
        <v>210.32</v>
      </c>
      <c r="T8" s="52" cm="1">
        <f t="array" ref="T8">_xll.BDP(B8&amp;" Equity","OPT_STRIKE_PX")</f>
        <v>250</v>
      </c>
      <c r="U8" s="39">
        <f>T8/S8-1</f>
        <v>0.18866489159376187</v>
      </c>
      <c r="V8" s="36" cm="1">
        <f t="array" ref="V8">_xll.BDP($B8&amp;" Equity","ivol_mid")</f>
        <v>31.664539999999999</v>
      </c>
      <c r="W8" s="37" cm="1">
        <f t="array" ref="W8">_xll.BDP(B8&amp;" Equity","DELTA_MID_RT")</f>
        <v>0.12884500622749329</v>
      </c>
      <c r="X8" s="47">
        <f>Y8/'Master P&amp;L'!$AE$5</f>
        <v>-4.5244198480886742E-4</v>
      </c>
      <c r="Y8" s="15">
        <f>IF(G8="Sell", S8*W8*-H8*O8/N8, S8*W8*H8*O8/N8)</f>
        <v>-1016200.5641162395</v>
      </c>
      <c r="Z8" s="15" cm="1">
        <f t="array" ref="Z8">_xll.BDP($B8&amp;" Equity","opt_theta")*H8*O8/N8</f>
        <v>-1643.4749999999997</v>
      </c>
      <c r="AA8" s="18" cm="1">
        <f t="array" ref="AA8">_xll.BDP($B8&amp;" Equity","opt_theta")/I8</f>
        <v>-2.5480232558139533E-2</v>
      </c>
      <c r="AB8" s="35" t="str" cm="1">
        <f t="array" ref="AB8">_xll.BDP($C8&amp;" Equity","EXPECTED_REPORT_DT")</f>
        <v>01/05/2026</v>
      </c>
      <c r="AC8" s="15">
        <f>S8*H8*O8/N8</f>
        <v>7887000</v>
      </c>
      <c r="AD8" s="18">
        <f>AC8/'Master P&amp;L'!$AE$5</f>
        <v>3.5115213080902795E-3</v>
      </c>
      <c r="AE8" t="str">
        <f>B8  &amp; " - Buy to open " &amp;  "-" &amp; H8 &amp;"x"</f>
        <v>AMZN US 04/17/26 C250 - Buy to open -375x</v>
      </c>
      <c r="AF8">
        <f>H8*$AF$3</f>
        <v>93.75</v>
      </c>
      <c r="AK8" t="s">
        <v>517</v>
      </c>
      <c r="AO8" t="s">
        <v>95</v>
      </c>
    </row>
    <row r="9" spans="1:41">
      <c r="H9" s="99" t="s">
        <v>64</v>
      </c>
      <c r="I9" s="101">
        <f>I7-I8</f>
        <v>2.13</v>
      </c>
      <c r="J9" s="99" t="s">
        <v>193</v>
      </c>
      <c r="K9" s="100">
        <f>K8/L7</f>
        <v>0.44675324675324674</v>
      </c>
      <c r="P9" s="99" t="s">
        <v>194</v>
      </c>
      <c r="Q9" s="106">
        <f>Q7+Q8</f>
        <v>0.35562668249487894</v>
      </c>
      <c r="S9" s="99" t="s">
        <v>195</v>
      </c>
      <c r="T9" s="101">
        <f>T8-T7</f>
        <v>15</v>
      </c>
      <c r="W9" s="99" t="s">
        <v>196</v>
      </c>
      <c r="X9" s="120">
        <f>X7+X8</f>
        <v>3.9574138886945337E-4</v>
      </c>
      <c r="Y9" s="13">
        <f>Y7+Y8</f>
        <v>888849.03725981712</v>
      </c>
      <c r="AC9" s="99" t="s">
        <v>173</v>
      </c>
      <c r="AD9" s="120">
        <f>AD7</f>
        <v>3.5115213080902795E-3</v>
      </c>
      <c r="AO9" t="s">
        <v>95</v>
      </c>
    </row>
    <row r="10" spans="1:41">
      <c r="H10" s="99" t="s">
        <v>197</v>
      </c>
      <c r="I10" s="101">
        <f>(T9-I9)/I9</f>
        <v>6.042253521126761</v>
      </c>
      <c r="J10" s="99" t="s">
        <v>90</v>
      </c>
      <c r="K10" s="179">
        <f>AVERAGE(K7:L7)-AVERAGE(K8:L8)</f>
        <v>2.0349999999999997</v>
      </c>
      <c r="L10" s="17"/>
      <c r="P10" s="127">
        <f>P7+P8</f>
        <v>79875</v>
      </c>
      <c r="Q10" s="106"/>
      <c r="S10" s="99"/>
      <c r="T10" s="101"/>
      <c r="W10" s="99"/>
      <c r="X10" s="120"/>
      <c r="Y10" s="13">
        <f>Y9/S7</f>
        <v>4226.1745780706406</v>
      </c>
      <c r="AC10" s="99"/>
      <c r="AD10" s="102"/>
      <c r="AH10">
        <v>4</v>
      </c>
      <c r="AI10">
        <v>4</v>
      </c>
    </row>
    <row r="11" spans="1:41">
      <c r="H11" s="13"/>
      <c r="I11" s="20"/>
      <c r="J11" s="42">
        <f>J7-J8</f>
        <v>1.0127424876378854E-2</v>
      </c>
      <c r="K11" s="136">
        <f>K7-K8</f>
        <v>2.0300000000000002</v>
      </c>
      <c r="L11" s="136">
        <f>L7-L8</f>
        <v>2.04</v>
      </c>
      <c r="P11" s="39">
        <f>P10/Y9</f>
        <v>8.9863403853417179E-2</v>
      </c>
      <c r="Q11" s="63">
        <f>Q9*I10</f>
        <v>2.1487865745113108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2"/>
      <c r="L12" s="63"/>
      <c r="X12" s="125">
        <f>X88</f>
        <v>5.7759575314732508E-4</v>
      </c>
      <c r="AH12">
        <f>AH13-AH14</f>
        <v>7.6999999999999993</v>
      </c>
      <c r="AI12">
        <f>AI13-AI14</f>
        <v>7.34</v>
      </c>
    </row>
    <row r="13" spans="1:41">
      <c r="A13" s="97" t="s">
        <v>190</v>
      </c>
      <c r="B13" s="72" t="s">
        <v>1094</v>
      </c>
      <c r="C13" s="58" t="str" cm="1">
        <f t="array" ref="C13">_xll.BDP(B13&amp;" Equity","OPT_UNDL_TICKER")</f>
        <v>META US</v>
      </c>
      <c r="D13" s="58" t="str" cm="1">
        <f t="array" ref="D13">_xll.BDP($B13&amp;" Index","mifid_Maturity_date")</f>
        <v>17/07/2026</v>
      </c>
      <c r="E13" s="58" cm="1">
        <f t="array" ref="E13">_xll.BDP($B13&amp;" Index","opt_days_expire")</f>
        <v>158</v>
      </c>
      <c r="F13" s="58" t="str" cm="1">
        <f t="array" ref="F13">_xll.BDP(B13&amp;" Equity","QUOTED_CURRENCY_REALTIME")</f>
        <v>USD</v>
      </c>
      <c r="G13" s="103" t="s">
        <v>191</v>
      </c>
      <c r="H13" s="95">
        <v>75</v>
      </c>
      <c r="I13" s="96">
        <f>IF(G13="Buy",L13,K13)</f>
        <v>31.5</v>
      </c>
      <c r="J13" s="18">
        <f>I13/S13</f>
        <v>4.7621927251836844E-2</v>
      </c>
      <c r="K13" s="35" cm="1">
        <f t="array" ref="K13">_xll.BDP($B13&amp;" Equity","bid")</f>
        <v>31.05</v>
      </c>
      <c r="L13" s="35" cm="1">
        <f t="array" ref="L13">_xll.BDP($B13&amp;" Equity","ask")</f>
        <v>31.5</v>
      </c>
      <c r="M13" s="39">
        <f>(L13/K13-1)</f>
        <v>1.449275362318847E-2</v>
      </c>
      <c r="N13" s="35" cm="1">
        <f t="array" ref="N13">_xll.BDP(F13&amp;" Curncy","PX_LAST")</f>
        <v>1</v>
      </c>
      <c r="O13" s="133" cm="1">
        <f t="array" ref="O13">_xll.BDP(B13&amp;" Equity","OPT_MULTIPLIER")</f>
        <v>100</v>
      </c>
      <c r="P13" s="15">
        <f>IF(G13="Buy",((I13/N13)*H13*O13),((I13/N13)*-H13*O13))</f>
        <v>236250</v>
      </c>
      <c r="Q13" s="57">
        <f>P13/'Master P&amp;L'!$AD$5*10000</f>
        <v>1.0518535679426</v>
      </c>
      <c r="R13" s="36" cm="1">
        <f t="array" ref="R13">_xll.BDP($C13&amp;" Equity","EST_PE_NXT_YR")*(T13/S13)</f>
        <v>19.948930737312477</v>
      </c>
      <c r="S13" s="35" cm="1">
        <f t="array" ref="S13">_xll.BDP(C13&amp;" Equity","LAST_PRICE")</f>
        <v>661.46</v>
      </c>
      <c r="T13" s="52" cm="1">
        <f t="array" ref="T13">_xll.BDP(B13&amp;" Equity","OPT_STRIKE_PX")</f>
        <v>750</v>
      </c>
      <c r="U13" s="39">
        <f>T13/S13-1</f>
        <v>0.1338554107580201</v>
      </c>
      <c r="V13" s="36" cm="1">
        <f t="array" ref="V13">_xll.BDP($B13&amp;" Equity","ivol_mid")</f>
        <v>33.971589999999999</v>
      </c>
      <c r="W13" s="37" cm="1">
        <f t="array" ref="W13">_xll.BDP(B13&amp;" Equity","DELTA_MID_RT")</f>
        <v>0.35239699482917786</v>
      </c>
      <c r="X13" s="47">
        <f>Y13/'Master P&amp;L'!$AE$5</f>
        <v>7.7836000711000916E-4</v>
      </c>
      <c r="Y13" s="15">
        <f>IF(G13="Sell", S13*W13*-H13*O13/N13, S13*W13*H13*O13/N13)</f>
        <v>1748223.8714978099</v>
      </c>
      <c r="Z13" s="15" cm="1">
        <f t="array" ref="Z13">_xll.BDP($B13&amp;" Equity","opt_theta")*H13*O13/N13</f>
        <v>-1328.43</v>
      </c>
      <c r="AA13" s="18" cm="1">
        <f t="array" ref="AA13">_xll.BDP($B13&amp;" Equity","opt_theta")/I13</f>
        <v>-5.6229841269841273E-3</v>
      </c>
      <c r="AB13" s="35" t="str" cm="1">
        <f t="array" ref="AB13">_xll.BDP($C13&amp;" Equity","EXPECTED_REPORT_DT")</f>
        <v>30/04/2026</v>
      </c>
      <c r="AC13" s="15">
        <f>S13*H13*O13/N13</f>
        <v>4960950</v>
      </c>
      <c r="AD13" s="18">
        <f>AC13/'Master P&amp;L'!$AE$5</f>
        <v>2.2087589239724193E-3</v>
      </c>
      <c r="AE13" t="str">
        <f>B13  &amp; " - Buy to open " &amp;  "-" &amp; H13 &amp;"x"</f>
        <v>META US 07/17/26 C750 - Buy to open -75x</v>
      </c>
      <c r="AF13">
        <f>H13*$AF$3</f>
        <v>18.75</v>
      </c>
      <c r="AH13">
        <v>20.9</v>
      </c>
      <c r="AI13">
        <v>20.2</v>
      </c>
      <c r="AJ13" s="63"/>
      <c r="AK13" t="s">
        <v>515</v>
      </c>
    </row>
    <row r="14" spans="1:41">
      <c r="A14" s="97" t="s">
        <v>190</v>
      </c>
      <c r="B14" t="s">
        <v>1056</v>
      </c>
      <c r="C14" s="58" t="str" cm="1">
        <f t="array" ref="C14">_xll.BDP(B14&amp;" Equity","OPT_UNDL_TICKER")</f>
        <v>META US</v>
      </c>
      <c r="D14" s="58" t="str" cm="1">
        <f t="array" ref="D14">_xll.BDP($B14&amp;" Index","mifid_Maturity_date")</f>
        <v>17/07/2026</v>
      </c>
      <c r="E14" s="58" cm="1">
        <f t="array" ref="E14">_xll.BDP($B14&amp;" Index","opt_days_expire")</f>
        <v>158</v>
      </c>
      <c r="F14" s="58" t="str" cm="1">
        <f t="array" ref="F14">_xll.BDP(B14&amp;" Equity","QUOTED_CURRENCY_REALTIME")</f>
        <v>USD</v>
      </c>
      <c r="G14" s="103" t="s">
        <v>192</v>
      </c>
      <c r="H14" s="95">
        <f>H13</f>
        <v>75</v>
      </c>
      <c r="I14" s="96">
        <f>IF(G14="Buy",L14,K14)</f>
        <v>48.35</v>
      </c>
      <c r="J14" s="18">
        <f>I14/S14</f>
        <v>7.3095878813533702E-2</v>
      </c>
      <c r="K14" s="35" cm="1">
        <f t="array" ref="K14">_xll.BDP($B14&amp;" Equity","bid")</f>
        <v>48.35</v>
      </c>
      <c r="L14" s="35" cm="1">
        <f t="array" ref="L14">_xll.BDP($B14&amp;" Equity","ask")</f>
        <v>48.9</v>
      </c>
      <c r="M14" s="39">
        <f>(L14/K14-1)</f>
        <v>1.1375387797311287E-2</v>
      </c>
      <c r="N14" s="35" cm="1">
        <f t="array" ref="N14">_xll.BDP(F14&amp;" Curncy","PX_LAST")</f>
        <v>1</v>
      </c>
      <c r="O14" s="133" cm="1">
        <f t="array" ref="O14">_xll.BDP(B14&amp;" Equity","OPT_MULTIPLIER")</f>
        <v>100</v>
      </c>
      <c r="P14" s="15">
        <f>IF(G14="Buy",((I14/N14)*H14*O14),((I14/N14)*-H14*O14))</f>
        <v>-362625</v>
      </c>
      <c r="Q14" s="57">
        <f>P14/'Master P&amp;L'!$AD$5*10000</f>
        <v>-1.6145117463499907</v>
      </c>
      <c r="R14" s="36" cm="1">
        <f t="array" ref="R14">_xll.BDP($C14&amp;" Equity","EST_PE_NXT_YR")*(T14/S14)</f>
        <v>18.619002021491646</v>
      </c>
      <c r="S14" s="35" cm="1">
        <f t="array" ref="S14">_xll.BDP(C14&amp;" Equity","LAST_PRICE")</f>
        <v>661.46</v>
      </c>
      <c r="T14" s="52" cm="1">
        <f t="array" ref="T14">_xll.BDP(B14&amp;" Equity","OPT_STRIKE_PX")</f>
        <v>700</v>
      </c>
      <c r="U14" s="39">
        <f>T14/S14-1</f>
        <v>5.8265050040818833E-2</v>
      </c>
      <c r="V14" s="36" cm="1">
        <f t="array" ref="V14">_xll.BDP($B14&amp;" Equity","ivol_mid")</f>
        <v>34.624899999999997</v>
      </c>
      <c r="W14" s="37" cm="1">
        <f t="array" ref="W14">_xll.BDP(B14&amp;" Equity","DELTA_MID_RT")</f>
        <v>0.47390401363372803</v>
      </c>
      <c r="X14" s="47">
        <f>Y14/'Master P&amp;L'!$AE$5</f>
        <v>-1.0467397192198441E-3</v>
      </c>
      <c r="Y14" s="15">
        <f>IF(G14="Sell", S14*W14*-H14*O14/N14, S14*W14*H14*O14/N14)</f>
        <v>-2351014.1164362435</v>
      </c>
      <c r="Z14" s="15" cm="1">
        <f t="array" ref="Z14">_xll.BDP($B14&amp;" Equity","opt_theta")*H14*O14/N14</f>
        <v>-1467.9375</v>
      </c>
      <c r="AA14" s="18" cm="1">
        <f t="array" ref="AA14">_xll.BDP($B14&amp;" Equity","opt_theta")/I14</f>
        <v>-4.0480868665977252E-3</v>
      </c>
      <c r="AB14" s="35" t="str" cm="1">
        <f t="array" ref="AB14">_xll.BDP($C14&amp;" Equity","EXPECTED_REPORT_DT")</f>
        <v>30/04/2026</v>
      </c>
      <c r="AC14" s="15">
        <f>S14*H14*O14/N14</f>
        <v>4960950</v>
      </c>
      <c r="AD14" s="18">
        <f>AC14/'Master P&amp;L'!$AE$5</f>
        <v>2.2087589239724193E-3</v>
      </c>
      <c r="AE14" t="str">
        <f>B14  &amp; " - Buy to open " &amp;  "-" &amp; H14 &amp;"x"</f>
        <v>META US 07/17/26 C700 - Buy to open -75x</v>
      </c>
      <c r="AF14">
        <f>H14*$AF$3</f>
        <v>18.75</v>
      </c>
      <c r="AH14">
        <v>13.2</v>
      </c>
      <c r="AI14">
        <v>12.86</v>
      </c>
      <c r="AJ14" s="63"/>
      <c r="AK14" t="s">
        <v>516</v>
      </c>
    </row>
    <row r="15" spans="1:41">
      <c r="H15" s="99" t="s">
        <v>64</v>
      </c>
      <c r="I15" s="101">
        <f>I13-I14</f>
        <v>-16.850000000000001</v>
      </c>
      <c r="J15" s="99" t="s">
        <v>193</v>
      </c>
      <c r="K15" s="100">
        <f>K14/L13</f>
        <v>1.534920634920635</v>
      </c>
      <c r="P15" s="99" t="s">
        <v>194</v>
      </c>
      <c r="Q15" s="106">
        <f>Q13+Q14</f>
        <v>-0.56265817840739074</v>
      </c>
      <c r="S15" s="99" t="s">
        <v>195</v>
      </c>
      <c r="T15" s="101">
        <f>T14-T13</f>
        <v>-50</v>
      </c>
      <c r="W15" s="99" t="s">
        <v>196</v>
      </c>
      <c r="X15" s="120">
        <f>X13+X14</f>
        <v>-2.6837971210983498E-4</v>
      </c>
      <c r="Y15" s="13">
        <f>Y13+Y14</f>
        <v>-602790.24493843364</v>
      </c>
      <c r="AC15" s="99" t="s">
        <v>173</v>
      </c>
      <c r="AD15" s="102">
        <f>AD13</f>
        <v>2.2087589239724193E-3</v>
      </c>
    </row>
    <row r="16" spans="1:41">
      <c r="H16" s="99" t="s">
        <v>197</v>
      </c>
      <c r="I16" s="101">
        <f>(T15-I15)/I15</f>
        <v>1.9673590504451035</v>
      </c>
      <c r="J16" s="99" t="s">
        <v>90</v>
      </c>
      <c r="K16" s="179">
        <f>AVERAGE(K13:L13)-AVERAGE(K14:L14)</f>
        <v>-17.350000000000001</v>
      </c>
      <c r="P16" s="127">
        <f>P13+P14</f>
        <v>-126375</v>
      </c>
      <c r="Q16" s="106"/>
      <c r="S16" s="99"/>
      <c r="T16" s="101"/>
      <c r="W16" s="106">
        <f>1/(W13-W14)</f>
        <v>-8.2299772460761922</v>
      </c>
      <c r="X16" s="120"/>
      <c r="Y16" s="13">
        <f>Y15/S13</f>
        <v>-911.30264103412696</v>
      </c>
      <c r="AC16" s="99"/>
      <c r="AD16" s="102"/>
    </row>
    <row r="17" spans="1:38">
      <c r="I17" s="20"/>
      <c r="J17" s="42">
        <f>J13-J14</f>
        <v>-2.5473951561696857E-2</v>
      </c>
      <c r="K17" s="136">
        <f>K13-K14</f>
        <v>-17.3</v>
      </c>
      <c r="L17" s="136">
        <f>L13-L14</f>
        <v>-17.399999999999999</v>
      </c>
      <c r="P17" s="39">
        <f>P16/Y15</f>
        <v>0.20965004172041204</v>
      </c>
      <c r="Q17" s="63">
        <f>Q15*I16</f>
        <v>-1.106950659596736</v>
      </c>
      <c r="W17" s="49"/>
      <c r="X17" s="47"/>
      <c r="Y17" s="3"/>
      <c r="Z17" s="17"/>
    </row>
    <row r="18" spans="1:38">
      <c r="G18">
        <f>H19/25</f>
        <v>24</v>
      </c>
      <c r="H18" s="13">
        <v>1.5</v>
      </c>
      <c r="K18" s="277">
        <f>K10-K16</f>
        <v>19.385000000000002</v>
      </c>
      <c r="AK18">
        <v>13</v>
      </c>
      <c r="AL18" s="1">
        <v>16</v>
      </c>
    </row>
    <row r="19" spans="1:38">
      <c r="A19" s="97" t="s">
        <v>190</v>
      </c>
      <c r="B19" s="72" t="s">
        <v>1165</v>
      </c>
      <c r="C19" s="58" t="str">
        <f>_xll.BDP(B19&amp;" Equity","OPT_UNDL_TICKER")</f>
        <v>AVGO US</v>
      </c>
      <c r="D19" s="58" t="str">
        <f>_xll.BDP($B19&amp;" Index","mifid_Maturity_date")</f>
        <v>06/02/2026</v>
      </c>
      <c r="E19" s="58" t="str">
        <f>_xll.BDP($B19&amp;" Index","opt_days_expire")</f>
        <v>#N/A N/A</v>
      </c>
      <c r="F19" s="58" t="str">
        <f>_xll.BDP(B19&amp;" Equity","QUOTED_CURRENCY_REALTIME")</f>
        <v>USD</v>
      </c>
      <c r="G19" s="103" t="s">
        <v>191</v>
      </c>
      <c r="H19" s="95">
        <v>600</v>
      </c>
      <c r="I19" s="96">
        <f>IF(G19="Buy",L19,K19)</f>
        <v>18.350000000000001</v>
      </c>
      <c r="J19" s="18">
        <f>I19/S19</f>
        <v>5.5118346749969967E-2</v>
      </c>
      <c r="K19" s="35">
        <f>_xll.BDP($B19&amp;" Equity","bid")</f>
        <v>17.25</v>
      </c>
      <c r="L19" s="35">
        <f>_xll.BDP($B19&amp;" Equity","ask")</f>
        <v>18.350000000000001</v>
      </c>
      <c r="M19" s="39">
        <f>(L19/K19-1)</f>
        <v>6.3768115942029135E-2</v>
      </c>
      <c r="N19" s="35" cm="1">
        <f t="array" ref="N19">_xll.BDP(F19&amp;" Curncy","PX_LAST")</f>
        <v>1</v>
      </c>
      <c r="O19" s="133">
        <f>_xll.BDP(B19&amp;" Equity","OPT_MULTIPLIER")</f>
        <v>100</v>
      </c>
      <c r="P19" s="15">
        <f>IF(G19="Buy",((I19/N19)*H19*O19),((I19/N19)*-H19*O19))</f>
        <v>1101000</v>
      </c>
      <c r="Q19" s="57">
        <f>P19/'Master P&amp;L'!$AD$5*10000</f>
        <v>4.9019715483801161</v>
      </c>
      <c r="R19" s="36" cm="1">
        <f t="array" ref="R19">_xll.BDP($C19&amp;" Equity","EST_PE_NXT_YR")*(T19/S19)</f>
        <v>22.30088495575221</v>
      </c>
      <c r="S19" s="35" cm="1">
        <f t="array" ref="S19">_xll.BDP(C19&amp;" Equity","LAST_PRICE")</f>
        <v>332.92</v>
      </c>
      <c r="T19" s="52">
        <f>_xll.BDP(B19&amp;" Equity","OPT_STRIKE_PX")</f>
        <v>315</v>
      </c>
      <c r="U19" s="39">
        <f>T19/S19-1</f>
        <v>-5.3826745164003431E-2</v>
      </c>
      <c r="V19" s="36">
        <f>_xll.BDP($B19&amp;" Equity","ivol_mid")</f>
        <v>1756.9069999999999</v>
      </c>
      <c r="W19" s="37">
        <f>_xll.BDP(B19&amp;" Equity","DELTA_MID_RT")</f>
        <v>0.96536600589752197</v>
      </c>
      <c r="X19" s="47">
        <f>Y19/'Master P&amp;L'!$AE$5</f>
        <v>8.5855200195851002E-3</v>
      </c>
      <c r="Y19" s="15">
        <f>IF(G19="Sell", S19*W19*-H19*O19/N19, S19*W19*H19*O19/N19)</f>
        <v>19283379.041004181</v>
      </c>
      <c r="Z19" s="15" cm="1">
        <f t="array" ref="Z19">_xll.BDP($B19&amp;" Equity","opt_theta")*H19*O19/N19</f>
        <v>0</v>
      </c>
      <c r="AA19" s="18" cm="1">
        <f t="array" ref="AA19">_xll.BDP($B19&amp;" Equity","opt_theta")/I19</f>
        <v>0</v>
      </c>
      <c r="AB19" s="35" t="str" cm="1">
        <f t="array" ref="AB19">_xll.BDP($C19&amp;" Equity","EXPECTED_REPORT_DT")</f>
        <v>04/03/2026</v>
      </c>
      <c r="AC19" s="15">
        <f>S19*H19*O19/N19</f>
        <v>19975200</v>
      </c>
      <c r="AD19" s="18">
        <f>AC19/'Master P&amp;L'!$AE$5</f>
        <v>8.8935387895733419E-3</v>
      </c>
      <c r="AE19" t="str">
        <f>B19  &amp; " - Buy to open " &amp;  "-" &amp; H19 &amp;"x"</f>
        <v>AVGO US 02/06/26 C315 - Buy to open -600x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7" t="s">
        <v>190</v>
      </c>
      <c r="B20" s="72" t="s">
        <v>1166</v>
      </c>
      <c r="C20" s="58" t="str" cm="1">
        <f t="array" ref="C20">_xll.BDP(B20&amp;" Equity","OPT_UNDL_TICKER")</f>
        <v>AVGO US</v>
      </c>
      <c r="D20" s="58" t="str" cm="1">
        <f t="array" ref="D20">_xll.BDP($B20&amp;" Index","mifid_Maturity_date")</f>
        <v>13/02/2026</v>
      </c>
      <c r="E20" s="58" cm="1">
        <f t="array" ref="E20">_xll.BDP($B20&amp;" Index","opt_days_expire")</f>
        <v>4</v>
      </c>
      <c r="F20" s="58" t="str" cm="1">
        <f t="array" ref="F20">_xll.BDP(B20&amp;" Equity","QUOTED_CURRENCY_REALTIME")</f>
        <v>USD</v>
      </c>
      <c r="G20" s="103" t="s">
        <v>192</v>
      </c>
      <c r="H20" s="95">
        <f>H19</f>
        <v>600</v>
      </c>
      <c r="I20" s="96">
        <f>IF(G20="Buy",L20,K20)</f>
        <v>10.75</v>
      </c>
      <c r="J20" s="18">
        <f>I20/S20</f>
        <v>3.2290039649164964E-2</v>
      </c>
      <c r="K20" s="35" cm="1">
        <f t="array" ref="K20">_xll.BDP($B20&amp;" Equity","bid")</f>
        <v>10.75</v>
      </c>
      <c r="L20" s="35" cm="1">
        <f t="array" ref="L20">_xll.BDP($B20&amp;" Equity","ask")</f>
        <v>11.45</v>
      </c>
      <c r="M20" s="39">
        <f>(L20/K20-1)</f>
        <v>6.5116279069767469E-2</v>
      </c>
      <c r="N20" s="35" cm="1">
        <f t="array" ref="N20">_xll.BDP(F20&amp;" Curncy","PX_LAST")</f>
        <v>1</v>
      </c>
      <c r="O20" s="133" cm="1">
        <f t="array" ref="O20">_xll.BDP(B20&amp;" Equity","OPT_MULTIPLIER")</f>
        <v>100</v>
      </c>
      <c r="P20" s="15">
        <f>IF(G20="Buy",((I20/N20)*H20*O20),((I20/N20)*-H20*O20))</f>
        <v>-645000</v>
      </c>
      <c r="Q20" s="57">
        <f>P20/'Master P&amp;L'!$AD$5*10000</f>
        <v>-2.871727201367098</v>
      </c>
      <c r="R20" s="36" cm="1">
        <f t="array" ref="R20">_xll.BDP($C20&amp;" Equity","EST_PE_NXT_YR")*(T20/S20)</f>
        <v>23.362831858407077</v>
      </c>
      <c r="S20" s="35" cm="1">
        <f t="array" ref="S20">_xll.BDP(C20&amp;" Equity","LAST_PRICE")</f>
        <v>332.92</v>
      </c>
      <c r="T20" s="52" cm="1">
        <f t="array" ref="T20">_xll.BDP(B20&amp;" Equity","OPT_STRIKE_PX")</f>
        <v>330</v>
      </c>
      <c r="U20" s="39">
        <f>T20/S20-1</f>
        <v>-8.7708758860988167E-3</v>
      </c>
      <c r="V20" s="36" cm="1">
        <f t="array" ref="V20">_xll.BDP($B20&amp;" Equity","ivol_mid")</f>
        <v>52.00112</v>
      </c>
      <c r="W20" s="37" cm="1">
        <f t="array" ref="W20">_xll.BDP(B20&amp;" Equity","DELTA_MID_RT")</f>
        <v>0.55928599834442139</v>
      </c>
      <c r="X20" s="47">
        <f>Y20/'Master P&amp;L'!$AE$5</f>
        <v>-4.9740317207413636E-3</v>
      </c>
      <c r="Y20" s="15">
        <f>IF(G20="Sell", S20*W20*-H20*O20/N20, S20*W20*H20*O20/N20)</f>
        <v>-11171849.674129486</v>
      </c>
      <c r="Z20" s="15" cm="1">
        <f t="array" ref="Z20">_xll.BDP($B20&amp;" Equity","opt_theta")*H20*O20/N20</f>
        <v>-40570.140000000007</v>
      </c>
      <c r="AA20" s="18" cm="1">
        <f t="array" ref="AA20">_xll.BDP($B20&amp;" Equity","opt_theta")/I20</f>
        <v>-6.2899441860465116E-2</v>
      </c>
      <c r="AB20" s="35" t="str" cm="1">
        <f t="array" ref="AB20">_xll.BDP($C20&amp;" Equity","EXPECTED_REPORT_DT")</f>
        <v>04/03/2026</v>
      </c>
      <c r="AC20" s="15">
        <f>S20*H20*O20/N20</f>
        <v>19975200</v>
      </c>
      <c r="AD20" s="18">
        <f>AC20/'Master P&amp;L'!$AE$5</f>
        <v>8.8935387895733419E-3</v>
      </c>
      <c r="AE20" t="str">
        <f>B20  &amp; " - Buy to open " &amp;  "-" &amp; H20 &amp;"x"</f>
        <v>AVGO US 02/13/26 C330 - Buy to open -600x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99" t="s">
        <v>64</v>
      </c>
      <c r="I21" s="101">
        <f>I19-I20</f>
        <v>7.6000000000000014</v>
      </c>
      <c r="J21" s="99" t="s">
        <v>193</v>
      </c>
      <c r="K21" s="100">
        <f>K20/L19</f>
        <v>0.58583106267029972</v>
      </c>
      <c r="P21" s="99" t="s">
        <v>194</v>
      </c>
      <c r="Q21" s="106">
        <f>Q19+Q20</f>
        <v>2.030244347013018</v>
      </c>
      <c r="S21" s="99" t="s">
        <v>195</v>
      </c>
      <c r="T21" s="101">
        <f>T20-T19</f>
        <v>15</v>
      </c>
      <c r="W21" s="99" t="s">
        <v>196</v>
      </c>
      <c r="X21" s="120">
        <f>X19+X20</f>
        <v>3.6114882988437366E-3</v>
      </c>
      <c r="Y21" s="13">
        <f>Y19+Y20</f>
        <v>8111529.3668746948</v>
      </c>
      <c r="AC21" s="99" t="s">
        <v>173</v>
      </c>
      <c r="AD21" s="102">
        <f>AD19</f>
        <v>8.8935387895733419E-3</v>
      </c>
      <c r="AK21">
        <f>$AJ$20/AK19</f>
        <v>3.6666666666666951E-2</v>
      </c>
      <c r="AL21">
        <f>$AJ$20/AL19</f>
        <v>2.7500000000000212E-2</v>
      </c>
    </row>
    <row r="22" spans="1:38">
      <c r="H22" s="99" t="s">
        <v>197</v>
      </c>
      <c r="I22" s="101">
        <f>(T21-I21)/I21</f>
        <v>0.97368421052631537</v>
      </c>
      <c r="J22" s="99" t="s">
        <v>90</v>
      </c>
      <c r="K22" s="179">
        <f>AVERAGE(K19:L19)-AVERAGE(K20:L20)</f>
        <v>6.7000000000000011</v>
      </c>
      <c r="P22" s="127">
        <f>P19+P20</f>
        <v>456000</v>
      </c>
      <c r="Q22" s="106"/>
      <c r="S22" s="99"/>
      <c r="T22" s="101"/>
      <c r="W22" s="99"/>
      <c r="X22" s="120"/>
      <c r="Y22" s="3">
        <f>Y21/S19</f>
        <v>24364.800453186035</v>
      </c>
      <c r="AC22" s="99"/>
      <c r="AD22" s="102"/>
    </row>
    <row r="23" spans="1:38">
      <c r="I23" s="63">
        <f>I20*2</f>
        <v>21.5</v>
      </c>
      <c r="K23" s="136">
        <f>K19-K20</f>
        <v>6.5</v>
      </c>
      <c r="L23" s="136">
        <f>L19-L20</f>
        <v>6.9000000000000021</v>
      </c>
      <c r="P23" s="39">
        <f>P22/Y21</f>
        <v>5.6216279245955937E-2</v>
      </c>
      <c r="AG23" s="136"/>
      <c r="AH23" s="136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193">
        <v>8.4</v>
      </c>
      <c r="L24" s="193"/>
      <c r="Q24" s="63">
        <f>(I22*Q21)-Q21</f>
        <v>-5.3427482816132965E-2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#REF!/#REF!</f>
        <v>#REF!</v>
      </c>
      <c r="K25" s="193"/>
      <c r="L25" s="193"/>
      <c r="W25" s="49"/>
    </row>
    <row r="26" spans="1:38" s="58" customFormat="1">
      <c r="O26" s="134"/>
      <c r="X26" s="124"/>
      <c r="AL26" s="14"/>
    </row>
    <row r="27" spans="1:38">
      <c r="K27" s="63">
        <f>K30*2+K31</f>
        <v>3.65</v>
      </c>
      <c r="L27" s="63">
        <f>L30*2+L31</f>
        <v>4.46</v>
      </c>
    </row>
    <row r="28" spans="1:38">
      <c r="A28" s="98" t="s">
        <v>198</v>
      </c>
      <c r="B28" s="98"/>
      <c r="K28" s="63"/>
      <c r="L28" s="63"/>
      <c r="P28" s="3">
        <f>P30+P31</f>
        <v>-19200</v>
      </c>
      <c r="Q28" s="57"/>
    </row>
    <row r="29" spans="1:38">
      <c r="H29">
        <v>1</v>
      </c>
      <c r="I29" s="63">
        <f>I30-I31</f>
        <v>0.95999999999999985</v>
      </c>
    </row>
    <row r="30" spans="1:38">
      <c r="A30" s="210">
        <v>4.3</v>
      </c>
      <c r="B30" s="58" t="s">
        <v>1208</v>
      </c>
      <c r="C30" t="str" cm="1">
        <f t="array" ref="C30">_xll.BDP(B30&amp;" Equity","OPT_UNDL_TICKER")</f>
        <v>MSFT US</v>
      </c>
      <c r="D30" t="str" cm="1">
        <f t="array" ref="D30">_xll.BDP($B30&amp;" Index","mifid_Maturity_date")</f>
        <v>20/02/2026</v>
      </c>
      <c r="E30" cm="1">
        <f t="array" ref="E30">_xll.BDP($B30&amp;" Index","opt_days_expire")</f>
        <v>11</v>
      </c>
      <c r="F30" t="str" cm="1">
        <f t="array" ref="F30">_xll.BDP(B30&amp;" Equity","QUOTED_CURRENCY_REALTIME")</f>
        <v>USD</v>
      </c>
      <c r="G30" s="103" t="s">
        <v>192</v>
      </c>
      <c r="H30" s="95">
        <v>200</v>
      </c>
      <c r="I30" s="96">
        <f>IF(G30="Buy",L30,K30)</f>
        <v>1.64</v>
      </c>
      <c r="J30" s="18">
        <f>I30/S30</f>
        <v>4.0883482076083163E-3</v>
      </c>
      <c r="K30" s="35" cm="1">
        <f t="array" ref="K30">_xll.BDP($B30&amp;" Equity","bid")</f>
        <v>1.64</v>
      </c>
      <c r="L30" s="35" cm="1">
        <f t="array" ref="L30">_xll.BDP($B30&amp;" Equity","ask")</f>
        <v>1.89</v>
      </c>
      <c r="M30" s="39">
        <f>(L30/K30-1)</f>
        <v>0.15243902439024382</v>
      </c>
      <c r="N30" s="35" cm="1">
        <f t="array" ref="N30">_xll.BDP(F30&amp;" Curncy","PX_LAST")</f>
        <v>1</v>
      </c>
      <c r="O30" s="133" cm="1">
        <f t="array" ref="O30">_xll.BDP(B30&amp;" Equity","OPT_MULTIPLIER")</f>
        <v>100</v>
      </c>
      <c r="P30" s="15">
        <f>IF(G30="Buy",((I30/N30)*H30*O30),((I30/N30)*-H30*O30))</f>
        <v>-32800</v>
      </c>
      <c r="Q30" s="57">
        <f>P30/'Master P&amp;L'!$AD$5*10000</f>
        <v>-0.14603511969742763</v>
      </c>
      <c r="R30" s="36" cm="1">
        <f t="array" ref="R30">_xll.BDP($C30&amp;" Equity","EST_PE_NXT_YR")*(T30/S30)</f>
        <v>19.726459758022092</v>
      </c>
      <c r="S30" s="35" cm="1">
        <f t="array" ref="S30">_xll.BDP(C30&amp;" Equity","LAST_PRICE")</f>
        <v>401.14</v>
      </c>
      <c r="T30" s="52" cm="1">
        <f t="array" ref="T30">_xll.BDP(B30&amp;" Equity","OPT_STRIKE_PX")</f>
        <v>375</v>
      </c>
      <c r="U30" s="39">
        <f>T30/S30-1</f>
        <v>-6.5164281796878831E-2</v>
      </c>
      <c r="V30" s="36" cm="1">
        <f t="array" ref="V30">_xll.BDP($B30&amp;" Equity","ivol_mid")</f>
        <v>33.067970000000003</v>
      </c>
      <c r="W30" s="37" cm="1">
        <f t="array" ref="W30">_xll.BDP(B30&amp;" Equity","DELTA_MID_RT")</f>
        <v>-0.13570700585842133</v>
      </c>
      <c r="X30" s="285">
        <f>Y30/'Master P&amp;L'!$AE$5</f>
        <v>4.8474317347610646E-4</v>
      </c>
      <c r="Y30" s="15">
        <f>IF(G30="Sell", S30*W30*-H30*O30/N30, S30*W30*H30*O30/N30)</f>
        <v>1088750.1666009426</v>
      </c>
      <c r="Z30" s="15" cm="1">
        <f t="array" ref="Z30">_xll.BDP($B30&amp;" Equity","opt_theta")*H30*O30/N30</f>
        <v>-4211.9800000000005</v>
      </c>
      <c r="AA30" s="18" cm="1">
        <f t="array" ref="AA30">_xll.BDP($B30&amp;" Equity","opt_theta")/I30</f>
        <v>-0.12841402439024391</v>
      </c>
      <c r="AB30" s="35" t="str" cm="1">
        <f t="array" ref="AB30">_xll.BDP($C30&amp;" Equity","EXPECTED_REPORT_DT")</f>
        <v>30/04/2026</v>
      </c>
      <c r="AC30" s="15">
        <f>S30*H30*O30/N30</f>
        <v>8022800</v>
      </c>
      <c r="AD30" s="47">
        <f>AC30/'Master P&amp;L'!$AE$5</f>
        <v>3.5719834094772025E-3</v>
      </c>
      <c r="AE30" t="str">
        <f>B30&amp;" -&gt; Buy to open "&amp;H30&amp;"x"</f>
        <v>MSFT US 02/20/26 P375 -&gt; Buy to open 200x</v>
      </c>
      <c r="AJ30" t="s">
        <v>200</v>
      </c>
    </row>
    <row r="31" spans="1:38">
      <c r="A31" s="210">
        <v>2.0499999999999998</v>
      </c>
      <c r="B31" s="58" t="s">
        <v>1209</v>
      </c>
      <c r="C31" t="str" cm="1">
        <f t="array" ref="C31">_xll.BDP(B31&amp;" Equity","OPT_UNDL_TICKER")</f>
        <v>MSFT US</v>
      </c>
      <c r="D31" t="str" cm="1">
        <f t="array" ref="D31">_xll.BDP($B31&amp;" Index","mifid_Maturity_date")</f>
        <v>20/02/2026</v>
      </c>
      <c r="E31" cm="1">
        <f t="array" ref="E31">_xll.BDP($B31&amp;" Index","opt_days_expire")</f>
        <v>11</v>
      </c>
      <c r="F31" t="str" cm="1">
        <f t="array" ref="F31">_xll.BDP(B31&amp;" Equity","QUOTED_CURRENCY_REALTIME")</f>
        <v>USD</v>
      </c>
      <c r="G31" s="103" t="s">
        <v>191</v>
      </c>
      <c r="H31" s="95">
        <f>H30</f>
        <v>200</v>
      </c>
      <c r="I31" s="96">
        <f>IF(G31="Buy",L31,K31)</f>
        <v>0.68</v>
      </c>
      <c r="J31" s="18">
        <f>I31/S31</f>
        <v>1.6951687690083264E-3</v>
      </c>
      <c r="K31" s="35" cm="1">
        <f t="array" ref="K31">_xll.BDP($B31&amp;" Equity","bid")</f>
        <v>0.37</v>
      </c>
      <c r="L31" s="35" cm="1">
        <f t="array" ref="L31">_xll.BDP($B31&amp;" Equity","ask")</f>
        <v>0.68</v>
      </c>
      <c r="M31" s="39">
        <f>(L31/K31-1)</f>
        <v>0.83783783783783794</v>
      </c>
      <c r="N31" s="35" cm="1">
        <f t="array" ref="N31">_xll.BDP(F31&amp;" Curncy","PX_LAST")</f>
        <v>1</v>
      </c>
      <c r="O31" s="133" cm="1">
        <f t="array" ref="O31">_xll.BDP(B31&amp;" Equity","OPT_MULTIPLIER")</f>
        <v>100</v>
      </c>
      <c r="P31" s="15">
        <f>IF(G31="Buy",((I31/N31)*H31*O31),((I31/N31)*-H31*O31))</f>
        <v>13600</v>
      </c>
      <c r="Q31" s="57">
        <f>P31/'Master P&amp;L'!$AD$5*10000</f>
        <v>6.0551147191616327E-2</v>
      </c>
      <c r="R31" s="36" cm="1">
        <f t="array" ref="R31">_xll.BDP($C31&amp;" Equity","EST_PE_NXT_YR")*(T31/S31)</f>
        <v>18.674381904260912</v>
      </c>
      <c r="S31" s="35" cm="1">
        <f t="array" ref="S31">_xll.BDP(C31&amp;" Equity","LAST_PRICE")</f>
        <v>401.14</v>
      </c>
      <c r="T31" s="52" cm="1">
        <f t="array" ref="T31">_xll.BDP(B31&amp;" Equity","OPT_STRIKE_PX")</f>
        <v>355</v>
      </c>
      <c r="U31" s="39">
        <f>T31/S31-1</f>
        <v>-0.11502218676771203</v>
      </c>
      <c r="V31" s="36" cm="1">
        <f t="array" ref="V31">_xll.BDP(B31&amp;" Equity","ivol_mid")</f>
        <v>38.296469999999999</v>
      </c>
      <c r="W31" s="37" cm="1">
        <f t="array" ref="W31">_xll.BDP(B31&amp;" Equity","DELTA_MID_RT")</f>
        <v>-4.2895998805761337E-2</v>
      </c>
      <c r="X31" s="285">
        <f>Y31/'Master P&amp;L'!$AE$5</f>
        <v>-1.5322379606713335E-4</v>
      </c>
      <c r="Y31" s="15">
        <f>IF(G31="Sell", S31*W31*-H31*O31/N31, S31*W31*H31*O31/N31)</f>
        <v>-344146.019218862</v>
      </c>
      <c r="Z31" s="15" cm="1">
        <f t="array" ref="Z31">_xll.BDP($B31&amp;" Equity","opt_theta")*H31*O31/N31</f>
        <v>-1885.7800000000002</v>
      </c>
      <c r="AA31" s="18" cm="1">
        <f t="array" ref="AA31">_xll.BDP($B31&amp;" Equity","opt_theta")/I31</f>
        <v>-0.13866029411764705</v>
      </c>
      <c r="AB31" s="35" t="str" cm="1">
        <f t="array" ref="AB31">_xll.BDP($C31&amp;" Equity","EXPECTED_REPORT_DT")</f>
        <v>30/04/2026</v>
      </c>
      <c r="AC31" s="15">
        <f>S31*H31*O31/N31</f>
        <v>8022800</v>
      </c>
      <c r="AD31" s="18">
        <f>AC31/'Master P&amp;L'!$AE$5</f>
        <v>3.5719834094772025E-3</v>
      </c>
      <c r="AE31" t="str">
        <f>B31  &amp; " -&gt; Sell to open " &amp;   H31 &amp;"x"</f>
        <v>MSFT US 02/20/26 P355 -&gt; Sell to open 200x</v>
      </c>
      <c r="AJ31" t="s">
        <v>201</v>
      </c>
    </row>
    <row r="32" spans="1:38">
      <c r="A32" s="206">
        <f>A30-A31</f>
        <v>2.25</v>
      </c>
      <c r="H32" s="99" t="s">
        <v>64</v>
      </c>
      <c r="I32" s="101">
        <v>1.8</v>
      </c>
      <c r="J32" s="99" t="s">
        <v>193</v>
      </c>
      <c r="K32" s="100">
        <f>K31/L30</f>
        <v>0.19576719576719578</v>
      </c>
      <c r="L32" s="63"/>
      <c r="P32" s="99" t="s">
        <v>194</v>
      </c>
      <c r="Q32" s="106">
        <f>Q30+Q31</f>
        <v>-8.5483972505811301E-2</v>
      </c>
      <c r="S32" s="99" t="s">
        <v>195</v>
      </c>
      <c r="T32" s="101">
        <f>T30-T31</f>
        <v>20</v>
      </c>
      <c r="W32" s="99" t="s">
        <v>196</v>
      </c>
      <c r="X32" s="344">
        <f>X30+X31</f>
        <v>3.3151937740897311E-4</v>
      </c>
      <c r="Y32" s="13">
        <f>Y30+Y31</f>
        <v>744604.14738208055</v>
      </c>
      <c r="AC32" s="99" t="s">
        <v>173</v>
      </c>
      <c r="AD32" s="120">
        <f>AD30</f>
        <v>3.5719834094772025E-3</v>
      </c>
    </row>
    <row r="33" spans="1:36">
      <c r="A33" s="206"/>
      <c r="H33" s="99" t="s">
        <v>197</v>
      </c>
      <c r="I33" s="101">
        <f>(T32-I32)/I32</f>
        <v>10.111111111111111</v>
      </c>
      <c r="J33" s="99" t="s">
        <v>90</v>
      </c>
      <c r="K33" s="107">
        <f>AVERAGE(K30:L30)-AVERAGE(K31:L31)</f>
        <v>1.2399999999999998</v>
      </c>
      <c r="L33" s="63"/>
      <c r="P33" s="127">
        <f>P30+P31</f>
        <v>-19200</v>
      </c>
      <c r="Q33" s="106"/>
      <c r="S33" s="99"/>
      <c r="T33" s="101"/>
      <c r="W33" s="99"/>
      <c r="X33" s="120"/>
      <c r="Z33" s="3">
        <f>Y32/S30</f>
        <v>1856.2201410531998</v>
      </c>
      <c r="AC33" s="99"/>
      <c r="AD33" s="102"/>
    </row>
    <row r="35" spans="1:36">
      <c r="H35">
        <v>1</v>
      </c>
      <c r="I35" s="63"/>
      <c r="J35" s="42" t="e">
        <f>J36-J37</f>
        <v>#VALUE!</v>
      </c>
      <c r="L35" s="63"/>
      <c r="P35" s="13" t="e">
        <f>P36+P37</f>
        <v>#VALUE!</v>
      </c>
    </row>
    <row r="36" spans="1:36">
      <c r="A36" s="97" t="s">
        <v>199</v>
      </c>
      <c r="B36" t="s">
        <v>1167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06/02/2026</v>
      </c>
      <c r="E36" t="str" cm="1">
        <f t="array" ref="E36">_xll.BDP($B36&amp;" Index","opt_days_expire")</f>
        <v>#N/A N/A</v>
      </c>
      <c r="F36" t="str" cm="1">
        <f t="array" ref="F36">_xll.BDP(B36&amp;" Equity","QUOTED_CURRENCY_REALTIME")</f>
        <v>USD</v>
      </c>
      <c r="G36" s="103" t="s">
        <v>191</v>
      </c>
      <c r="H36" s="95">
        <v>500</v>
      </c>
      <c r="I36" s="96">
        <f>IF(G36="Buy",L36,K36)</f>
        <v>0.01</v>
      </c>
      <c r="J36" s="18">
        <f>I36/S36</f>
        <v>1.6402854096612811E-5</v>
      </c>
      <c r="K36" s="35" t="str" cm="1">
        <f t="array" ref="K36">_xll.BDP($B36&amp;" Equity","bid")</f>
        <v>#N/A N/A</v>
      </c>
      <c r="L36" s="35" cm="1">
        <f t="array" ref="L36">_xll.BDP($B36&amp;" Equity","ask")</f>
        <v>0.01</v>
      </c>
      <c r="M36" s="39" t="e">
        <f>(L36/K36-1)</f>
        <v>#VALUE!</v>
      </c>
      <c r="N36" s="35" cm="1">
        <f t="array" ref="N36">_xll.BDP(F36&amp;" Curncy","PX_LAST")</f>
        <v>1</v>
      </c>
      <c r="O36" s="133" cm="1">
        <f t="array" ref="O36">_xll.BDP(B36&amp;" Equity","OPT_MULTIPLIER")</f>
        <v>100</v>
      </c>
      <c r="P36" s="15">
        <f>IF(G36="Buy",((I36/N36)*H36*O36),((I36/N36)*-H36*O36))</f>
        <v>500</v>
      </c>
      <c r="Q36" s="57">
        <f>P36/'Master P&amp;L'!$AD$5*10000</f>
        <v>2.2261451173388358E-3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609.65</v>
      </c>
      <c r="T36" s="52" cm="1">
        <f t="array" ref="T36">_xll.BDP(B36&amp;" Equity","OPT_STRIKE_PX")</f>
        <v>600</v>
      </c>
      <c r="U36" s="39">
        <f>T36/S36-1</f>
        <v>-1.5828754203231377E-2</v>
      </c>
      <c r="V36" s="36" cm="1">
        <f t="array" ref="V36">_xll.BDP($B36&amp;" Equity","ivol_mid")</f>
        <v>286.83789999999999</v>
      </c>
      <c r="W36" s="37" cm="1">
        <f t="array" ref="W36">_xll.BDP(B36&amp;" Equity","DELTA_MID_RT")</f>
        <v>-4.8600002191960812E-3</v>
      </c>
      <c r="X36" s="47">
        <f>Y36/'Master P&amp;L'!$AE$5</f>
        <v>-6.5958434395043273E-5</v>
      </c>
      <c r="Y36" s="15">
        <f>IF(G36="Sell", S36*W36*-H36*O36/N36, S36*W36*H36*O36/N36)</f>
        <v>-148144.95668164454</v>
      </c>
      <c r="Z36" s="15" cm="1">
        <f t="array" ref="Z36">_xll.BDP($B36&amp;" Equity","opt_theta")*H36*O36/N36</f>
        <v>0</v>
      </c>
      <c r="AA36" s="18" cm="1">
        <f t="array" ref="AA36">_xll.BDP($B36&amp;" Equity","opt_theta")/I36</f>
        <v>0</v>
      </c>
      <c r="AB36" s="35" t="str" cm="1">
        <f t="array" ref="AB36">_xll.BDP($C36&amp;" Equity","EXPECTED_REPORT_DT")</f>
        <v>#N/A N/A</v>
      </c>
      <c r="AC36" s="15">
        <f>S36*H36*O36/N36</f>
        <v>30482500</v>
      </c>
      <c r="AD36" s="47">
        <f>AC36/'Master P&amp;L'!$AE$5</f>
        <v>1.3571693707856212E-2</v>
      </c>
      <c r="AE36" t="str">
        <f>B36&amp;" -&gt; Buy to open "&amp;H36&amp;"x"</f>
        <v>QQQ US 02/06/26 P600 -&gt; Buy to open 500x</v>
      </c>
      <c r="AJ36" t="s">
        <v>200</v>
      </c>
    </row>
    <row r="37" spans="1:36">
      <c r="A37" s="97" t="s">
        <v>199</v>
      </c>
      <c r="B37" t="s">
        <v>1168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06/02/2026</v>
      </c>
      <c r="E37" t="str" cm="1">
        <f t="array" ref="E37">_xll.BDP($B37&amp;" Index","opt_days_expire")</f>
        <v>#N/A N/A</v>
      </c>
      <c r="F37" t="str" cm="1">
        <f t="array" ref="F37">_xll.BDP(B37&amp;" Equity","QUOTED_CURRENCY_REALTIME")</f>
        <v>USD</v>
      </c>
      <c r="G37" s="103" t="s">
        <v>192</v>
      </c>
      <c r="H37" s="95">
        <f>H36*H35</f>
        <v>500</v>
      </c>
      <c r="I37" s="96" t="str">
        <f>IF(G37="Buy",L37,K37)</f>
        <v>#N/A N/A</v>
      </c>
      <c r="J37" s="18" t="e">
        <f>I37/S37</f>
        <v>#VALUE!</v>
      </c>
      <c r="K37" s="35" t="str" cm="1">
        <f t="array" ref="K37">_xll.BDP($B37&amp;" Equity","bid")</f>
        <v>#N/A N/A</v>
      </c>
      <c r="L37" s="35" cm="1">
        <f t="array" ref="L37">_xll.BDP($B37&amp;" Equity","ask")</f>
        <v>0.01</v>
      </c>
      <c r="M37" s="39" t="e">
        <f>(L37/K37-1)</f>
        <v>#VALUE!</v>
      </c>
      <c r="N37" s="35" cm="1">
        <f t="array" ref="N37">_xll.BDP(F37&amp;" Curncy","PX_LAST")</f>
        <v>1</v>
      </c>
      <c r="O37" s="133" cm="1">
        <f t="array" ref="O37">_xll.BDP(B37&amp;" Equity","OPT_MULTIPLIER")</f>
        <v>100</v>
      </c>
      <c r="P37" s="15" t="e">
        <f>IF(G37="Buy",((I37/N37)*H37*O37),((I37/N37)*-H37*O37))</f>
        <v>#VALUE!</v>
      </c>
      <c r="Q37" s="57" t="e">
        <f>P37/'Master P&amp;L'!$AD$5*10000</f>
        <v>#VALUE!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609.65</v>
      </c>
      <c r="T37" s="52" cm="1">
        <f t="array" ref="T37">_xll.BDP(B37&amp;" Equity","OPT_STRIKE_PX")</f>
        <v>585</v>
      </c>
      <c r="U37" s="39">
        <f>T37/S37-1</f>
        <v>-4.043303534815057E-2</v>
      </c>
      <c r="V37" s="36" cm="1">
        <f t="array" ref="V37">_xll.BDP(B37&amp;" Equity","ivol_mid")</f>
        <v>644.15430000000003</v>
      </c>
      <c r="W37" s="37" cm="1">
        <f t="array" ref="W37">_xll.BDP(B37&amp;" Equity","DELTA_MID_RT")</f>
        <v>-2.1649999544024467E-3</v>
      </c>
      <c r="X37" s="47">
        <f>Y37/'Master P&amp;L'!$AE$5</f>
        <v>2.9382716258672667E-5</v>
      </c>
      <c r="Y37" s="15">
        <f>IF(G37="Sell", S37*W37*-H37*O37/N37, S37*W37*H37*O37/N37)</f>
        <v>65994.611110072568</v>
      </c>
      <c r="Z37" s="15" cm="1">
        <f t="array" ref="Z37">_xll.BDP($B37&amp;" Equity","opt_theta")*H37*O37/N37</f>
        <v>0</v>
      </c>
      <c r="AA37" s="18" t="e" cm="1">
        <f t="array" ref="AA37">_xll.BDP($B37&amp;" Equity","opt_theta")/I37</f>
        <v>#VALUE!</v>
      </c>
      <c r="AB37" s="35" t="str" cm="1">
        <f t="array" ref="AB37">_xll.BDP($C37&amp;" Equity","EXPECTED_REPORT_DT")</f>
        <v>#N/A N/A</v>
      </c>
      <c r="AC37" s="15">
        <f>S37*H37*O37/N37</f>
        <v>30482500</v>
      </c>
      <c r="AD37" s="18">
        <f>AC37/'Master P&amp;L'!$AE$5</f>
        <v>1.3571693707856212E-2</v>
      </c>
      <c r="AE37" t="str">
        <f>B37  &amp; " -&gt; Sell to open " &amp;   H37 &amp;"x"</f>
        <v>QQQ US 02/06/26 P585 -&gt; Sell to open 500x</v>
      </c>
      <c r="AJ37" t="s">
        <v>201</v>
      </c>
    </row>
    <row r="38" spans="1:36">
      <c r="G38" t="e">
        <f>I38/K39</f>
        <v>#VALUE!</v>
      </c>
      <c r="H38" s="99" t="s">
        <v>64</v>
      </c>
      <c r="I38" s="101" t="e">
        <f>I36-I37</f>
        <v>#VALUE!</v>
      </c>
      <c r="J38" s="99" t="s">
        <v>193</v>
      </c>
      <c r="K38" s="100" t="e">
        <f>K37/L36</f>
        <v>#VALUE!</v>
      </c>
      <c r="L38" s="63"/>
      <c r="P38" s="99" t="s">
        <v>194</v>
      </c>
      <c r="Q38" s="106" t="e">
        <f>Q36+Q37</f>
        <v>#VALUE!</v>
      </c>
      <c r="S38" s="99" t="s">
        <v>195</v>
      </c>
      <c r="T38" s="101">
        <f>T36-T37</f>
        <v>15</v>
      </c>
      <c r="W38" s="99" t="s">
        <v>196</v>
      </c>
      <c r="X38" s="120">
        <f>X36+X37</f>
        <v>-3.6575718136370609E-5</v>
      </c>
      <c r="Y38" s="13"/>
      <c r="AC38" s="99" t="s">
        <v>173</v>
      </c>
      <c r="AD38" s="120">
        <f>AD36</f>
        <v>1.3571693707856212E-2</v>
      </c>
    </row>
    <row r="39" spans="1:36">
      <c r="H39" s="99" t="s">
        <v>197</v>
      </c>
      <c r="I39" s="101" t="e">
        <f>(T38-I38)/I38</f>
        <v>#VALUE!</v>
      </c>
      <c r="J39" s="99" t="s">
        <v>90</v>
      </c>
      <c r="K39" s="107">
        <f>AVERAGE(K36:L36)-AVERAGE(K37:L37)</f>
        <v>0</v>
      </c>
      <c r="L39" s="63"/>
      <c r="P39" s="99"/>
      <c r="Q39" s="106"/>
      <c r="S39" s="99"/>
      <c r="T39" s="101"/>
      <c r="W39" s="99"/>
      <c r="X39" s="120"/>
      <c r="Y39" s="13">
        <f>Y36+Y37</f>
        <v>-82150.345571571976</v>
      </c>
      <c r="Z39" s="3"/>
      <c r="AC39" s="99"/>
      <c r="AD39" s="102"/>
    </row>
    <row r="40" spans="1:36">
      <c r="K40" s="63">
        <f>K39-K33</f>
        <v>-1.2399999999999998</v>
      </c>
      <c r="Q40" s="63"/>
      <c r="Y40" s="63">
        <f>Y39/S36</f>
        <v>-134.75001323968175</v>
      </c>
    </row>
    <row r="41" spans="1:36">
      <c r="I41" s="63" t="e">
        <f>I32-I38</f>
        <v>#VALUE!</v>
      </c>
      <c r="K41" s="63">
        <f>K33-K39</f>
        <v>1.2399999999999998</v>
      </c>
      <c r="Y41" s="63"/>
    </row>
    <row r="42" spans="1:36">
      <c r="H42">
        <v>1</v>
      </c>
      <c r="I42" s="63"/>
      <c r="L42" s="63">
        <f>AVERAGE(K43:L43)</f>
        <v>5.32</v>
      </c>
      <c r="T42" s="63">
        <f>T43-S43</f>
        <v>-14.649999999999977</v>
      </c>
    </row>
    <row r="43" spans="1:36">
      <c r="A43" s="97" t="s">
        <v>199</v>
      </c>
      <c r="B43" t="s">
        <v>1204</v>
      </c>
      <c r="C43" t="str" cm="1">
        <f t="array" ref="C43">_xll.BDP(B43&amp;" Equity","OPT_UNDL_TICKER")</f>
        <v>QQQ US</v>
      </c>
      <c r="D43" t="str" cm="1">
        <f t="array" ref="D43">_xll.BDP($B43&amp;" Index","mifid_Maturity_date")</f>
        <v>20/02/2026</v>
      </c>
      <c r="E43" cm="1">
        <f t="array" ref="E43">_xll.BDP($B43&amp;" Index","opt_days_expire")</f>
        <v>11</v>
      </c>
      <c r="F43" t="str" cm="1">
        <f t="array" ref="F43">_xll.BDP(B43&amp;" Equity","QUOTED_CURRENCY_REALTIME")</f>
        <v>USD</v>
      </c>
      <c r="G43" s="103" t="s">
        <v>191</v>
      </c>
      <c r="H43" s="95">
        <v>500</v>
      </c>
      <c r="I43" s="96">
        <f>IF(G43="Buy",L43,K43)</f>
        <v>5.35</v>
      </c>
      <c r="J43" s="18">
        <f>I43/S43</f>
        <v>8.7755269416878532E-3</v>
      </c>
      <c r="K43" s="35" cm="1">
        <f t="array" ref="K43">_xll.BDP($B43&amp;" Equity","bid")</f>
        <v>5.29</v>
      </c>
      <c r="L43" s="35" cm="1">
        <f t="array" ref="L43">_xll.BDP($B43&amp;" Equity","ask")</f>
        <v>5.35</v>
      </c>
      <c r="M43" s="39">
        <f>(L43/K43-1)</f>
        <v>1.1342155009451682E-2</v>
      </c>
      <c r="N43" s="35" cm="1">
        <f t="array" ref="N43">_xll.BDP(F43&amp;" Curncy","PX_LAST")</f>
        <v>1</v>
      </c>
      <c r="O43" s="133" cm="1">
        <f t="array" ref="O43">_xll.BDP(B43&amp;" Equity","OPT_MULTIPLIER")</f>
        <v>100</v>
      </c>
      <c r="P43" s="15">
        <f>IF(G43="Buy",((I43/N43)*H43*O43),((I43/N43)*-H43*O43))</f>
        <v>267500</v>
      </c>
      <c r="Q43" s="57">
        <f>P43/'Master P&amp;L'!$AD$5*10000</f>
        <v>1.1909876377762771</v>
      </c>
      <c r="R43" s="36" t="e" cm="1">
        <f t="array" ref="R43">_xll.BDP($C43&amp;" Equity","EST_PE_NXT_YR")*(T43/S43)</f>
        <v>#VALUE!</v>
      </c>
      <c r="S43" s="35" cm="1">
        <f t="array" ref="S43">_xll.BDP(C43&amp;" Equity","LAST_PRICE")</f>
        <v>609.65</v>
      </c>
      <c r="T43" s="52" cm="1">
        <f t="array" ref="T43">_xll.BDP(B43&amp;" Equity","OPT_STRIKE_PX")</f>
        <v>595</v>
      </c>
      <c r="U43" s="39">
        <f>T43/S43-1</f>
        <v>-2.4030181251537774E-2</v>
      </c>
      <c r="V43" s="36" cm="1">
        <f t="array" ref="V43">_xll.BDP($B43&amp;" Equity","ivol_mid")</f>
        <v>25.19969</v>
      </c>
      <c r="W43" s="37" cm="1">
        <f t="array" ref="W43">_xll.BDP(B43&amp;" Equity","DELTA_MID_RT")</f>
        <v>-0.28719198703765869</v>
      </c>
      <c r="X43" s="47">
        <f>Y43/'Master P&amp;L'!$AE$5</f>
        <v>-3.8976816834257145E-3</v>
      </c>
      <c r="Y43" s="15">
        <f>IF(G43="Sell", S43*W43*-H43*O43/N43, S43*W43*H43*O43/N43)</f>
        <v>-8754329.7448754292</v>
      </c>
      <c r="Z43" s="15" cm="1">
        <f t="array" ref="Z43">_xll.BDP($B43&amp;" Equity","opt_theta")*H43*O43/N43</f>
        <v>-19154.75</v>
      </c>
      <c r="AA43" s="18" cm="1">
        <f t="array" ref="AA43">_xll.BDP($B43&amp;" Equity","opt_theta")/I43</f>
        <v>-7.1606542056074779E-2</v>
      </c>
      <c r="AB43" s="35" t="str" cm="1">
        <f t="array" ref="AB43">_xll.BDP($C43&amp;" Equity","EXPECTED_REPORT_DT")</f>
        <v>#N/A N/A</v>
      </c>
      <c r="AC43" s="15">
        <f>S43*H43*O43/N43</f>
        <v>30482500</v>
      </c>
      <c r="AD43" s="47">
        <f>AC43/'Master P&amp;L'!$AE$5</f>
        <v>1.3571693707856212E-2</v>
      </c>
      <c r="AE43" t="str">
        <f>B43&amp;" -&gt; Buy to open "&amp;H43&amp;"x"</f>
        <v>QQQ US 02/20/26 P595 -&gt; Buy to open 500x</v>
      </c>
      <c r="AJ43" t="s">
        <v>200</v>
      </c>
    </row>
    <row r="44" spans="1:36">
      <c r="A44" s="97" t="s">
        <v>199</v>
      </c>
      <c r="B44" t="s">
        <v>1205</v>
      </c>
      <c r="C44" t="str" cm="1">
        <f t="array" ref="C44">_xll.BDP(B44&amp;" Equity","OPT_UNDL_TICKER")</f>
        <v>QQQ US</v>
      </c>
      <c r="D44" t="str" cm="1">
        <f t="array" ref="D44">_xll.BDP($B44&amp;" Index","mifid_Maturity_date")</f>
        <v>20/02/2026</v>
      </c>
      <c r="E44" cm="1">
        <f t="array" ref="E44">_xll.BDP($B44&amp;" Index","opt_days_expire")</f>
        <v>11</v>
      </c>
      <c r="F44" t="str" cm="1">
        <f t="array" ref="F44">_xll.BDP(B44&amp;" Equity","QUOTED_CURRENCY_REALTIME")</f>
        <v>USD</v>
      </c>
      <c r="G44" s="103" t="s">
        <v>192</v>
      </c>
      <c r="H44" s="95">
        <v>150</v>
      </c>
      <c r="I44" s="96">
        <f>IF(G44="Buy",L44,K44)</f>
        <v>2.75</v>
      </c>
      <c r="J44" s="18">
        <f>I44/S44</f>
        <v>4.5107848765685229E-3</v>
      </c>
      <c r="K44" s="35" cm="1">
        <f t="array" ref="K44">_xll.BDP($B44&amp;" Equity","bid")</f>
        <v>2.75</v>
      </c>
      <c r="L44" s="35" cm="1">
        <f t="array" ref="L44">_xll.BDP($B44&amp;" Equity","ask")</f>
        <v>2.8</v>
      </c>
      <c r="M44" s="39">
        <f>(L44/K44-1)</f>
        <v>1.8181818181818077E-2</v>
      </c>
      <c r="N44" s="35" cm="1">
        <f t="array" ref="N44">_xll.BDP(F44&amp;" Curncy","PX_LAST")</f>
        <v>1</v>
      </c>
      <c r="O44" s="133" cm="1">
        <f t="array" ref="O44">_xll.BDP(B44&amp;" Equity","OPT_MULTIPLIER")</f>
        <v>100</v>
      </c>
      <c r="P44" s="15">
        <f>IF(G44="Buy",((I44/N44)*H44*O44),((I44/N44)*-H44*O44))</f>
        <v>-41250</v>
      </c>
      <c r="Q44" s="57">
        <f>P44/'Master P&amp;L'!$AD$5*10000</f>
        <v>-0.18365697218045393</v>
      </c>
      <c r="R44" s="36" t="e" cm="1">
        <f t="array" ref="R44">_xll.BDP($C44&amp;" Equity","EST_PE_NXT_YR")*(T44/S44)</f>
        <v>#VALUE!</v>
      </c>
      <c r="S44" s="35" cm="1">
        <f t="array" ref="S44">_xll.BDP(C44&amp;" Equity","LAST_PRICE")</f>
        <v>609.65</v>
      </c>
      <c r="T44" s="52" cm="1">
        <f t="array" ref="T44">_xll.BDP(B44&amp;" Equity","OPT_STRIKE_PX")</f>
        <v>580</v>
      </c>
      <c r="U44" s="39">
        <f>T44/S44-1</f>
        <v>-4.8634462396456968E-2</v>
      </c>
      <c r="V44" s="36" cm="1">
        <f t="array" ref="V44">_xll.BDP($B44&amp;" Equity","ivol_mid")</f>
        <v>27.986219999999999</v>
      </c>
      <c r="W44" s="37" cm="1">
        <f t="array" ref="W44">_xll.BDP(B44&amp;" Equity","DELTA_MID_RT")</f>
        <v>-0.15967999398708344</v>
      </c>
      <c r="X44" s="47">
        <f>Y44/'Master P&amp;L'!$AE$5</f>
        <v>6.5013839089950545E-4</v>
      </c>
      <c r="Y44" s="15">
        <f>IF(G44="Sell", S44*W44*-H44*O44/N44, S44*W44*H44*O44/N44)</f>
        <v>1460233.6250133812</v>
      </c>
      <c r="Z44" s="15" cm="1">
        <f t="array" ref="Z44">_xll.BDP($B44&amp;" Equity","opt_theta")*H44*O44/N44</f>
        <v>-4531.1100000000006</v>
      </c>
      <c r="AA44" s="18" cm="1">
        <f t="array" ref="AA44">_xll.BDP($B44&amp;" Equity","opt_theta")/I44</f>
        <v>-0.10984509090909091</v>
      </c>
      <c r="AB44" s="35" t="str" cm="1">
        <f t="array" ref="AB44">_xll.BDP($C44&amp;" Equity","EXPECTED_REPORT_DT")</f>
        <v>#N/A N/A</v>
      </c>
      <c r="AC44" s="15">
        <f>S44*H44*O44/N44</f>
        <v>9144750</v>
      </c>
      <c r="AD44" s="47">
        <f>AC44/'Master P&amp;L'!$AE$5</f>
        <v>4.071508112356864E-3</v>
      </c>
      <c r="AE44" t="str">
        <f>B44&amp;" -&gt; Buy to open "&amp;H44&amp;"x"</f>
        <v>QQQ US 02/20/26 P580 -&gt; Buy to open 150x</v>
      </c>
      <c r="AJ44" t="s">
        <v>200</v>
      </c>
    </row>
    <row r="45" spans="1:36">
      <c r="H45" s="99" t="s">
        <v>64</v>
      </c>
      <c r="I45" s="101">
        <f>I43-I44</f>
        <v>2.5999999999999996</v>
      </c>
      <c r="J45" s="99" t="s">
        <v>193</v>
      </c>
      <c r="K45" s="100">
        <f>K44/L43</f>
        <v>0.5140186915887851</v>
      </c>
      <c r="L45" s="63"/>
      <c r="P45" s="99" t="s">
        <v>194</v>
      </c>
      <c r="Q45" s="106">
        <f>Q43+Q44</f>
        <v>1.0073306655958232</v>
      </c>
      <c r="S45" s="99" t="s">
        <v>195</v>
      </c>
      <c r="T45" s="101">
        <f>T43-T44</f>
        <v>15</v>
      </c>
      <c r="W45" s="99" t="s">
        <v>196</v>
      </c>
      <c r="X45" s="120">
        <f>X43+X44</f>
        <v>-3.2475432925262093E-3</v>
      </c>
      <c r="Y45" s="13">
        <f>Y43+Y44</f>
        <v>-7294096.119862048</v>
      </c>
      <c r="AC45" s="99" t="s">
        <v>173</v>
      </c>
      <c r="AD45" s="120">
        <f>AD43</f>
        <v>1.3571693707856212E-2</v>
      </c>
    </row>
    <row r="46" spans="1:36">
      <c r="H46" s="99" t="s">
        <v>197</v>
      </c>
      <c r="I46" s="101">
        <f>(T45-I45)/I45</f>
        <v>4.7692307692307701</v>
      </c>
      <c r="J46" s="99" t="s">
        <v>90</v>
      </c>
      <c r="K46" s="107">
        <f>AVERAGE(K43:L43)-AVERAGE(K44:L44)</f>
        <v>2.5450000000000004</v>
      </c>
      <c r="P46" s="99"/>
      <c r="Q46" s="106"/>
      <c r="S46" s="99"/>
      <c r="T46" s="101"/>
      <c r="W46" s="99"/>
      <c r="X46" s="120"/>
      <c r="Z46" s="3">
        <f>Y45/S43</f>
        <v>-11964.399442076681</v>
      </c>
      <c r="AC46" s="99"/>
      <c r="AD46" s="102"/>
    </row>
    <row r="47" spans="1:36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4"/>
      <c r="X49" s="124"/>
      <c r="Y49" s="78"/>
      <c r="AL49" s="14"/>
    </row>
    <row r="51" spans="1:38">
      <c r="H51">
        <v>0.5</v>
      </c>
      <c r="K51" t="e">
        <f>K53/L54</f>
        <v>#VALUE!</v>
      </c>
    </row>
    <row r="52" spans="1:38">
      <c r="A52" s="97" t="s">
        <v>199</v>
      </c>
      <c r="B52" s="58" t="s">
        <v>410</v>
      </c>
      <c r="C52" t="str" cm="1">
        <f t="array" ref="C52">_xll.BDP(B52&amp;" Index","OPT_UNDL_TICKER")</f>
        <v>4EU5</v>
      </c>
      <c r="D52" t="str" cm="1">
        <f t="array" ref="D52">_xll.BDP($B52&amp;" Index","mifid_Maturity_date")</f>
        <v>27/06/2025</v>
      </c>
      <c r="E52" cm="1">
        <f t="array" ref="E52">_xll.BDP($B52&amp;" Index","opt_days_expire")</f>
        <v>-227</v>
      </c>
      <c r="F52" t="str" cm="1">
        <f t="array" ref="F52">_xll.BDP(B52&amp;" Index","QUOTED_CURRENCY_REALTIME")</f>
        <v>#N/A Real Time</v>
      </c>
      <c r="G52" s="103" t="s">
        <v>192</v>
      </c>
      <c r="H52" s="95">
        <f>H51*H53</f>
        <v>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>
        <f>_xll.BDP(F52&amp;" Curncy","PX_LAST")</f>
        <v>#N/A Real Time Curncy</v>
      </c>
      <c r="O52" s="133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6300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4EM5C    6300 -&gt; Buy to open 75x</v>
      </c>
    </row>
    <row r="53" spans="1:38">
      <c r="A53" s="97" t="s">
        <v>199</v>
      </c>
      <c r="B53" s="58" t="s">
        <v>413</v>
      </c>
      <c r="C53" t="str" cm="1">
        <f t="array" ref="C53">_xll.BDP(B53&amp;" Index","OPT_UNDL_TICKER")</f>
        <v>4EU5</v>
      </c>
      <c r="D53" t="str" cm="1">
        <f t="array" ref="D53">_xll.BDP($B53&amp;" Index","mifid_Maturity_date")</f>
        <v>27/06/2025</v>
      </c>
      <c r="E53" cm="1">
        <f t="array" ref="E53">_xll.BDP($B53&amp;" Index","opt_days_expire")</f>
        <v>-227</v>
      </c>
      <c r="F53" t="str" cm="1">
        <f t="array" ref="F53">_xll.BDP(B53&amp;" Index","QUOTED_CURRENCY_REALTIME")</f>
        <v>#N/A Real Time</v>
      </c>
      <c r="G53" s="103" t="s">
        <v>191</v>
      </c>
      <c r="H53" s="95">
        <v>150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3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6025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4EM5P    6025 -&gt; Buy to open 150x</v>
      </c>
    </row>
    <row r="54" spans="1:38">
      <c r="A54" s="97" t="s">
        <v>199</v>
      </c>
      <c r="B54" s="58" t="s">
        <v>409</v>
      </c>
      <c r="C54" t="str" cm="1">
        <f t="array" ref="C54">_xll.BDP(B54&amp;" Index","OPT_UNDL_TICKER")</f>
        <v>4EU5</v>
      </c>
      <c r="D54" t="str" cm="1">
        <f t="array" ref="D54">_xll.BDP($B54&amp;" Index","mifid_Maturity_date")</f>
        <v>27/06/2025</v>
      </c>
      <c r="E54" cm="1">
        <f t="array" ref="E54">_xll.BDP($B54&amp;" Index","opt_days_expire")</f>
        <v>-227</v>
      </c>
      <c r="F54" t="str" cm="1">
        <f t="array" ref="F54">_xll.BDP(B54&amp;" Index","QUOTED_CURRENCY_REALTIME")</f>
        <v>#N/A Real Time</v>
      </c>
      <c r="G54" s="103" t="s">
        <v>192</v>
      </c>
      <c r="H54" s="95">
        <f>H53</f>
        <v>150</v>
      </c>
      <c r="I54" s="96" t="str">
        <f>IF(G54="Buy",L54,K54)</f>
        <v>#N/A Real Time</v>
      </c>
      <c r="J54" s="18" t="e">
        <f>I54/S54</f>
        <v>#VALUE!</v>
      </c>
      <c r="K54" s="35" t="str" cm="1">
        <f t="array" ref="K54">_xll.BDP($B54&amp;" Index","bid")</f>
        <v>#N/A Real Time</v>
      </c>
      <c r="L54" s="35" t="str" cm="1">
        <f t="array" ref="L54">_xll.BDP($B54&amp;" Index","ask")</f>
        <v>#N/A Real Time</v>
      </c>
      <c r="M54" s="39" t="e">
        <f>(L54/K54-1)</f>
        <v>#VALUE!</v>
      </c>
      <c r="N54" s="35" t="str">
        <f>_xll.BDP(F54&amp;" Curncy","PX_LAST")</f>
        <v>#N/A Real Time Curncy</v>
      </c>
      <c r="O54" s="133">
        <v>50</v>
      </c>
      <c r="P54" s="15" t="e">
        <f>IF(G54="Buy",((I54/N54)*H54*O54),((I54/N54)*-H54*O54))</f>
        <v>#VALUE!</v>
      </c>
      <c r="Q54" s="57" t="e">
        <f>P54/'Master P&amp;L'!$AD$5*10000</f>
        <v>#VALUE!</v>
      </c>
      <c r="R54" s="36" t="e" cm="1">
        <f t="array" ref="R54">_xll.BDP($C54&amp;" Index","EST_PE_NXT_YR")*(T54/S54)</f>
        <v>#VALUE!</v>
      </c>
      <c r="S54" s="35" t="str" cm="1">
        <f t="array" ref="S54">_xll.BDP(C54&amp;" Index","LAST_PRICE")</f>
        <v>#N/A Real Time</v>
      </c>
      <c r="T54" s="52" cm="1">
        <f t="array" ref="T54">_xll.BDP(B54&amp;" Index","OPT_STRIKE_PX")</f>
        <v>5800</v>
      </c>
      <c r="U54" s="39" t="e">
        <f>T54/S54-1</f>
        <v>#VALUE!</v>
      </c>
      <c r="V54" s="36" t="str" cm="1">
        <f t="array" ref="V54">_xll.BDP($B54&amp;" Index","ivol_mid")</f>
        <v>#N/A Field Not Applicable</v>
      </c>
      <c r="W54" s="37" t="str" cm="1">
        <f t="array" ref="W54">_xll.BDP(B54&amp;" Index","DELTA_MID_RT")</f>
        <v>#N/A Real Time</v>
      </c>
      <c r="X54" s="47" t="e">
        <f>Y54/'Master P&amp;L'!$AE$5</f>
        <v>#VALUE!</v>
      </c>
      <c r="Y54" s="15" t="e">
        <f>IF(G54="Sell", S54*W54*-H54*O54/N54, S54*W54*H54*O54/N54)</f>
        <v>#VALUE!</v>
      </c>
      <c r="Z54" s="15" t="e" cm="1">
        <f t="array" ref="Z54">_xll.BDP($B54&amp;" Index","opt_theta")*H54*O54/N54</f>
        <v>#VALUE!</v>
      </c>
      <c r="AA54" s="123" t="e" cm="1">
        <f t="array" ref="AA54">_xll.BDP($B54&amp;" Index","opt_theta")/I54</f>
        <v>#VALUE!</v>
      </c>
      <c r="AB54" s="35" t="str" cm="1">
        <f t="array" ref="AB54">_xll.BDP($C54&amp;" Index","EXPECTED_REPORT_DT")</f>
        <v>#N/A Field Not Applicable</v>
      </c>
      <c r="AC54" s="15" t="e">
        <f>S54*H54*O54/N54</f>
        <v>#VALUE!</v>
      </c>
      <c r="AD54" s="47" t="e">
        <f>AC54/'Master P&amp;L'!$AE$5</f>
        <v>#VALUE!</v>
      </c>
      <c r="AG54" t="str">
        <f>B54&amp;" -&gt; Buy to open "&amp;H54&amp;"x"</f>
        <v>4EM5P    5800 -&gt; Buy to open 150x</v>
      </c>
    </row>
    <row r="55" spans="1:38">
      <c r="H55" s="99" t="s">
        <v>64</v>
      </c>
      <c r="I55" s="101" t="e">
        <f>I53-I52-I54</f>
        <v>#VALUE!</v>
      </c>
      <c r="J55" s="99" t="s">
        <v>193</v>
      </c>
      <c r="K55" s="100" t="e">
        <f>K54/L53</f>
        <v>#VALUE!</v>
      </c>
      <c r="P55" s="127" t="e">
        <f>P53+P54+P52</f>
        <v>#VALUE!</v>
      </c>
      <c r="Q55" s="57" t="e">
        <f>P55/'Master P&amp;L'!$AD$5*10000</f>
        <v>#VALUE!</v>
      </c>
      <c r="S55" s="99" t="s">
        <v>195</v>
      </c>
      <c r="T55" s="101">
        <f>T53-T54</f>
        <v>225</v>
      </c>
      <c r="W55" s="99" t="s">
        <v>196</v>
      </c>
      <c r="X55" s="120" t="e">
        <f>X53+X54+X52</f>
        <v>#VALUE!</v>
      </c>
      <c r="AC55" s="99" t="s">
        <v>173</v>
      </c>
      <c r="AD55" s="120" t="e">
        <f>AD53</f>
        <v>#VALUE!</v>
      </c>
    </row>
    <row r="56" spans="1:38">
      <c r="H56" s="99" t="s">
        <v>197</v>
      </c>
      <c r="I56" s="101" t="e">
        <f>(T55-I55)/I55</f>
        <v>#VALUE!</v>
      </c>
      <c r="J56" s="99" t="s">
        <v>90</v>
      </c>
      <c r="K56" s="107" t="e">
        <f>-AVERAGE(K52:L52)+AVERAGE(K53:L53)-AVERAGE(K54:L54)</f>
        <v>#DIV/0!</v>
      </c>
      <c r="P56" s="99"/>
      <c r="Q56" s="106"/>
      <c r="S56" s="99"/>
      <c r="T56" s="101"/>
      <c r="W56" s="99"/>
      <c r="X56" s="120"/>
      <c r="Y56" s="13" t="e">
        <f>(Y52+Y53+Y54)/S53</f>
        <v>#VALUE!</v>
      </c>
      <c r="AC56" s="99"/>
      <c r="AD56" s="102"/>
    </row>
    <row r="57" spans="1:38">
      <c r="K57" s="63" t="e">
        <f>K53-K54</f>
        <v>#VALUE!</v>
      </c>
      <c r="L57" s="63" t="e">
        <f>L53-L54</f>
        <v>#VALUE!</v>
      </c>
    </row>
    <row r="58" spans="1:38">
      <c r="H58">
        <v>1</v>
      </c>
    </row>
    <row r="60" spans="1:38">
      <c r="A60" s="97" t="s">
        <v>199</v>
      </c>
      <c r="B60" s="250" t="s">
        <v>570</v>
      </c>
      <c r="C60" t="str" cm="1">
        <f t="array" ref="C60">_xll.BDP(B60&amp;" Index","OPT_UNDL_TICKER")</f>
        <v>RUWZ5</v>
      </c>
      <c r="D60" t="str" cm="1">
        <f t="array" ref="D60">_xll.BDP($B60&amp;" Index","mifid_Maturity_date")</f>
        <v>19/09/2025</v>
      </c>
      <c r="E60" cm="1">
        <f t="array" ref="E60">_xll.BDP($B60&amp;" Index","opt_days_expire")</f>
        <v>-143</v>
      </c>
      <c r="F60" t="str" cm="1">
        <f t="array" ref="F60">_xll.BDP(B60&amp;" Index","QUOTED_CURRENCY_REALTIME")</f>
        <v>#N/A Real Time</v>
      </c>
      <c r="G60" s="103" t="s">
        <v>191</v>
      </c>
      <c r="H60" s="95">
        <v>175</v>
      </c>
      <c r="I60" s="96" t="str">
        <f>IF(G60="Buy",L60,K60)</f>
        <v>#N/A Real Time</v>
      </c>
      <c r="J60" s="18" t="e">
        <f>I60/S60</f>
        <v>#VALUE!</v>
      </c>
      <c r="K60" s="35" t="str" cm="1">
        <f t="array" ref="K60">_xll.BDP($B60&amp;" Index","bid")</f>
        <v>#N/A Real Time</v>
      </c>
      <c r="L60" s="35" t="str" cm="1">
        <f t="array" ref="L60">_xll.BDP($B60&amp;" Index","ask")</f>
        <v>#N/A Real Time</v>
      </c>
      <c r="M60" s="39" t="e">
        <f>(L60/K60-1)</f>
        <v>#VALUE!</v>
      </c>
      <c r="N60" s="35" t="str" cm="1">
        <f t="array" ref="N60">_xll.BDP(F60&amp;" Curncy","PX_LAST")</f>
        <v>#N/A Real Time Curncy</v>
      </c>
      <c r="O60" s="133">
        <v>50</v>
      </c>
      <c r="P60" s="15" t="e">
        <f>IF(G60="Buy",((I60/N60)*H60*O60),((I60/N60)*-H60*O60))</f>
        <v>#VALUE!</v>
      </c>
      <c r="Q60" s="57" t="e">
        <f>P60/'Master P&amp;L'!$AD$5*10000</f>
        <v>#VALUE!</v>
      </c>
      <c r="R60" s="36" t="e" cm="1">
        <f t="array" ref="R60">_xll.BDP($C60&amp;" Index","EST_PE_NXT_YR")*(T60/S60)</f>
        <v>#VALUE!</v>
      </c>
      <c r="S60" s="35" t="str" cm="1">
        <f t="array" ref="S60">_xll.BDP(C60&amp;" Index","LAST_PRICE")</f>
        <v>#N/A Real Time</v>
      </c>
      <c r="T60" s="52" cm="1">
        <f t="array" ref="T60">_xll.BDP(B60&amp;" Index","OPT_STRIKE_PX")</f>
        <v>2425</v>
      </c>
      <c r="U60" s="39" t="e">
        <f>T60/S60-1</f>
        <v>#VALUE!</v>
      </c>
      <c r="V60" s="36" t="str" cm="1">
        <f t="array" ref="V60">_xll.BDP($B60&amp;" Index","ivol_mid")</f>
        <v>#N/A Field Not Applicable</v>
      </c>
      <c r="W60" s="37" t="str" cm="1">
        <f t="array" ref="W60">_xll.BDP(B60&amp;" Index","DELTA_MID_RT")</f>
        <v>#N/A Real Time</v>
      </c>
      <c r="X60" s="47" t="e">
        <f>Y60/'Master P&amp;L'!$AE$5</f>
        <v>#VALUE!</v>
      </c>
      <c r="Y60" s="15" t="e">
        <f>IF(G60="Sell", S60*W60*-H60*O60/N60, S60*W60*H60*O60/N60)</f>
        <v>#VALUE!</v>
      </c>
      <c r="Z60" s="15" t="e" cm="1">
        <f t="array" ref="Z60">_xll.BDP($B60&amp;" Index","opt_theta")*H60*O60/N60</f>
        <v>#VALUE!</v>
      </c>
      <c r="AA60" s="123" t="e" cm="1">
        <f t="array" ref="AA60">_xll.BDP($B60&amp;" Index","opt_theta")/I60</f>
        <v>#VALUE!</v>
      </c>
      <c r="AB60" s="35" t="str" cm="1">
        <f t="array" ref="AB60">_xll.BDP($C60&amp;" Index","EXPECTED_REPORT_DT")</f>
        <v>#N/A Field Not Applicable</v>
      </c>
      <c r="AC60" s="15" t="e">
        <f>S60*H60*O60/N60</f>
        <v>#VALUE!</v>
      </c>
      <c r="AD60" s="47" t="e">
        <f>AC60/'Master P&amp;L'!$AE$5</f>
        <v>#VALUE!</v>
      </c>
      <c r="AG60" t="str">
        <f>B60&amp;" -&gt; Buy to open "&amp;H60&amp;"x"</f>
        <v>RTYWU5C3 2425 -&gt; Buy to open 175x</v>
      </c>
    </row>
    <row r="61" spans="1:38">
      <c r="A61" s="97" t="s">
        <v>199</v>
      </c>
      <c r="B61" s="250" t="s">
        <v>571</v>
      </c>
      <c r="C61" t="str" cm="1">
        <f t="array" ref="C61">_xll.BDP(B61&amp;" Index","OPT_UNDL_TICKER")</f>
        <v>RUWZ5</v>
      </c>
      <c r="D61" t="str" cm="1">
        <f t="array" ref="D61">_xll.BDP($B61&amp;" Index","mifid_Maturity_date")</f>
        <v>19/09/2025</v>
      </c>
      <c r="E61" cm="1">
        <f t="array" ref="E61">_xll.BDP($B61&amp;" Index","opt_days_expire")</f>
        <v>-143</v>
      </c>
      <c r="F61" t="str" cm="1">
        <f t="array" ref="F61">_xll.BDP(B61&amp;" Index","QUOTED_CURRENCY_REALTIME")</f>
        <v>#N/A Real Time</v>
      </c>
      <c r="G61" s="103" t="s">
        <v>192</v>
      </c>
      <c r="H61" s="95">
        <f>H60</f>
        <v>175</v>
      </c>
      <c r="I61" s="96" t="str">
        <f>IF(G61="Buy",L61,K61)</f>
        <v>#N/A Real Time</v>
      </c>
      <c r="J61" s="18" t="e">
        <f>I61/S61</f>
        <v>#VALUE!</v>
      </c>
      <c r="K61" s="35" t="str" cm="1">
        <f t="array" ref="K61">_xll.BDP($B61&amp;" Index","bid")</f>
        <v>#N/A Real Time</v>
      </c>
      <c r="L61" s="35" t="str" cm="1">
        <f t="array" ref="L61">_xll.BDP($B61&amp;" Index","ask")</f>
        <v>#N/A Real Time</v>
      </c>
      <c r="M61" s="39" t="e">
        <f>(L61/K61-1)</f>
        <v>#VALUE!</v>
      </c>
      <c r="N61" s="35" t="str">
        <f>_xll.BDP(F61&amp;" Curncy","PX_LAST")</f>
        <v>#N/A Real Time Curncy</v>
      </c>
      <c r="O61" s="133">
        <v>50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t="str" cm="1">
        <f t="array" ref="S61">_xll.BDP(C61&amp;" Index","LAST_PRICE")</f>
        <v>#N/A Real Time</v>
      </c>
      <c r="T61" s="52" cm="1">
        <f t="array" ref="T61">_xll.BDP(B61&amp;" Index","OPT_STRIKE_PX")</f>
        <v>2500</v>
      </c>
      <c r="U61" s="39" t="e">
        <f>T61/S61-1</f>
        <v>#VALUE!</v>
      </c>
      <c r="V61" s="36" t="str" cm="1">
        <f t="array" ref="V61">_xll.BDP($B61&amp;" Index","ivol_mid")</f>
        <v>#N/A Field Not Applicable</v>
      </c>
      <c r="W61" s="37" t="str" cm="1">
        <f t="array" ref="W61">_xll.BDP(B61&amp;" Index","DELTA_MID_RT")</f>
        <v>#N/A Real Time</v>
      </c>
      <c r="X61" s="47" t="e">
        <f>Y61/'Master P&amp;L'!$AE$5</f>
        <v>#VALUE!</v>
      </c>
      <c r="Y61" s="15" t="e">
        <f>IF(G61="Sell", S61*W61*-H61*O61/N61, S61*W61*H61*O61/N61)</f>
        <v>#VALUE!</v>
      </c>
      <c r="Z61" s="15" t="e" cm="1">
        <f t="array" ref="Z61">_xll.BDP($B61&amp;" Index","opt_theta")*H61*O61/N61</f>
        <v>#VALUE!</v>
      </c>
      <c r="AA61" s="123" t="e" cm="1">
        <f t="array" ref="AA61">_xll.BDP($B61&amp;" Index","opt_theta")/I61</f>
        <v>#VALUE!</v>
      </c>
      <c r="AB61" s="35" t="str" cm="1">
        <f t="array" ref="AB61">_xll.BDP($C61&amp;" Index","EXPECTED_REPORT_DT")</f>
        <v>#N/A Field Not Applicable</v>
      </c>
      <c r="AC61" s="15" t="e">
        <f>S61*H61*O61/N61</f>
        <v>#VALUE!</v>
      </c>
      <c r="AD61" s="47" t="e">
        <f>AC61/'Master P&amp;L'!$AE$5</f>
        <v>#VALUE!</v>
      </c>
      <c r="AG61" t="str">
        <f>B61&amp;" -&gt; Buy to open "&amp;H61&amp;"x"</f>
        <v>RTYWU5C3 2500 -&gt; Buy to open 175x</v>
      </c>
    </row>
    <row r="62" spans="1:38">
      <c r="H62" s="99" t="s">
        <v>64</v>
      </c>
      <c r="I62" s="101" t="e">
        <f>I60-I61</f>
        <v>#VALUE!</v>
      </c>
      <c r="J62" s="99" t="s">
        <v>193</v>
      </c>
      <c r="K62" s="100" t="e">
        <f>K61/L60</f>
        <v>#VALUE!</v>
      </c>
      <c r="P62" s="99" t="s">
        <v>194</v>
      </c>
      <c r="Q62" s="106" t="e">
        <f>Q60+Q61</f>
        <v>#VALUE!</v>
      </c>
      <c r="S62" s="99" t="s">
        <v>195</v>
      </c>
      <c r="T62" s="101">
        <f>T61-T60</f>
        <v>75</v>
      </c>
      <c r="W62" s="99" t="s">
        <v>196</v>
      </c>
      <c r="X62" s="120" t="e">
        <f>X60+X61</f>
        <v>#VALUE!</v>
      </c>
      <c r="AC62" s="99" t="s">
        <v>173</v>
      </c>
      <c r="AD62" s="120" t="e">
        <f>AD60</f>
        <v>#VALUE!</v>
      </c>
    </row>
    <row r="63" spans="1:38">
      <c r="H63" s="99" t="s">
        <v>197</v>
      </c>
      <c r="I63" s="101" t="e">
        <f>(T62-I62)/I62</f>
        <v>#VALUE!</v>
      </c>
      <c r="J63" s="99" t="s">
        <v>90</v>
      </c>
      <c r="K63" s="107" t="e">
        <f>AVERAGE(K60:L60)-AVERAGE(K61:L61)</f>
        <v>#DIV/0!</v>
      </c>
      <c r="P63" s="99"/>
      <c r="Q63" s="106"/>
      <c r="S63" s="99"/>
      <c r="T63" s="101"/>
      <c r="W63" s="99"/>
      <c r="X63" s="120"/>
      <c r="Y63" s="206" t="e">
        <f>(Y60+Y61)/S60/O60</f>
        <v>#VALUE!</v>
      </c>
      <c r="AC63" s="99"/>
      <c r="AD63" s="102"/>
    </row>
    <row r="64" spans="1:38">
      <c r="K64" s="63" t="e">
        <f>K60-K61</f>
        <v>#VALUE!</v>
      </c>
      <c r="L64" s="63" t="e">
        <f>L60-L61</f>
        <v>#VALUE!</v>
      </c>
      <c r="Q64" s="49" t="e">
        <f>Q55+Q62</f>
        <v>#VALUE!</v>
      </c>
    </row>
    <row r="65" spans="1:33">
      <c r="K65" s="63" t="e">
        <f>K57-K64</f>
        <v>#VALUE!</v>
      </c>
      <c r="L65" s="63" t="e">
        <f>L57-L64</f>
        <v>#VALUE!</v>
      </c>
    </row>
    <row r="68" spans="1:33">
      <c r="H68" s="266">
        <v>20</v>
      </c>
      <c r="I68" s="266">
        <v>237.5</v>
      </c>
      <c r="Z68" t="e">
        <f>Z69/P69</f>
        <v>#VALUE!</v>
      </c>
    </row>
    <row r="69" spans="1:33">
      <c r="A69" s="97"/>
      <c r="B69" s="250" t="s">
        <v>1163</v>
      </c>
      <c r="C69" t="str" cm="1">
        <f t="array" ref="C69">_xll.BDP(B69&amp;" Index","OPT_UNDL_TICKER")</f>
        <v>1OH6</v>
      </c>
      <c r="D69" t="str" cm="1">
        <f t="array" ref="D69">_xll.BDP($B69&amp;" Index","mifid_Maturity_date")</f>
        <v>06/02/2026</v>
      </c>
      <c r="E69" cm="1">
        <f t="array" ref="E69">_xll.BDP($B69&amp;" Index","opt_days_expire")</f>
        <v>-3</v>
      </c>
      <c r="F69" t="str" cm="1">
        <f t="array" ref="F69">_xll.BDP(B69&amp;" Index","QUOTED_CURRENCY_REALTIME")</f>
        <v>USD</v>
      </c>
      <c r="G69" s="103" t="s">
        <v>191</v>
      </c>
      <c r="H69" s="95">
        <v>30</v>
      </c>
      <c r="I69" s="96" t="str">
        <f>IF(G69="Buy",L69,K69)</f>
        <v>#N/A N/A</v>
      </c>
      <c r="J69" s="18" t="e">
        <f>I69/S69</f>
        <v>#VALUE!</v>
      </c>
      <c r="K69" s="35" t="str" cm="1">
        <f t="array" ref="K69">_xll.BDP($B69&amp;" Index","bid")</f>
        <v>#N/A N/A</v>
      </c>
      <c r="L69" s="35" t="str" cm="1">
        <f t="array" ref="L69">_xll.BDP($B69&amp;" Index","ask")</f>
        <v>#N/A N/A</v>
      </c>
      <c r="M69" s="39" t="e">
        <f>(L69/K69-1)</f>
        <v>#VALUE!</v>
      </c>
      <c r="N69" s="35" cm="1">
        <f t="array" ref="N69">_xll.BDP(F69&amp;" Curncy","PX_LAST")</f>
        <v>1</v>
      </c>
      <c r="O69" s="133">
        <v>20</v>
      </c>
      <c r="P69" s="15" t="e">
        <f>IF(G69="Buy",((I69/N69)*H69*O69),((I69/N69)*-H69*O69))</f>
        <v>#VALUE!</v>
      </c>
      <c r="Q69" s="57" t="e">
        <f>P69/'Master P&amp;L'!$AD$5*10000</f>
        <v>#VALUE!</v>
      </c>
      <c r="R69" s="36" t="e" cm="1">
        <f t="array" ref="R69">_xll.BDP($C69&amp;" Index","EST_PE_NXT_YR")*(T69/S69)</f>
        <v>#VALUE!</v>
      </c>
      <c r="S69" s="35" cm="1">
        <f t="array" ref="S69">_xll.BDP(C69&amp;" Index","LAST_PRICE")</f>
        <v>25044.25</v>
      </c>
      <c r="T69" s="52" cm="1">
        <f t="array" ref="T69">_xll.BDP(B69&amp;" Index","OPT_STRIKE_PX")</f>
        <v>26000</v>
      </c>
      <c r="U69" s="39">
        <f>T69/S69-1</f>
        <v>3.8162452459147289E-2</v>
      </c>
      <c r="V69" s="36" t="str" cm="1">
        <f t="array" ref="V69">_xll.BDP($B69&amp;" Index","ivol_mid")</f>
        <v>#N/A Field Not Applicable</v>
      </c>
      <c r="W69" s="37" t="str" cm="1">
        <f t="array" ref="W69">_xll.BDP(B69&amp;" Index","DELTA_MID_RT")</f>
        <v>#N/A N/A</v>
      </c>
      <c r="X69" s="47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Index","opt_theta")*H69*O69/N69</f>
        <v>#VALUE!</v>
      </c>
      <c r="AA69" s="123" t="e" cm="1">
        <f t="array" ref="AA69">_xll.BDP($B69&amp;" Index","opt_theta")/I69</f>
        <v>#VALUE!</v>
      </c>
      <c r="AB69" s="35" t="str" cm="1">
        <f t="array" ref="AB69">_xll.BDP($C69&amp;" Index","EXPECTED_REPORT_DT")</f>
        <v>#N/A Field Not Applicable</v>
      </c>
      <c r="AC69" s="15">
        <f>S69*H69*O69/N69</f>
        <v>15026550</v>
      </c>
      <c r="AD69" s="47">
        <f>AC69/'Master P&amp;L'!$AE$5</f>
        <v>6.6902561825895766E-3</v>
      </c>
      <c r="AG69" t="str">
        <f>B69&amp;" -&gt; Buy to open "&amp;H69&amp;"x"</f>
        <v>1OG6C 26000 -&gt; Buy to open 30x</v>
      </c>
    </row>
    <row r="70" spans="1:33">
      <c r="A70" s="97"/>
      <c r="B70" s="250" t="s">
        <v>1129</v>
      </c>
      <c r="C70" t="str" cm="1">
        <f t="array" ref="C70">_xll.BDP(B70&amp;" Index","OPT_UNDL_TICKER")</f>
        <v>2OH6</v>
      </c>
      <c r="D70" t="str" cm="1">
        <f t="array" ref="D70">_xll.BDP($B70&amp;" Index","mifid_Maturity_date")</f>
        <v>13/02/2026</v>
      </c>
      <c r="E70" cm="1">
        <f t="array" ref="E70">_xll.BDP($B70&amp;" Index","opt_days_expire")</f>
        <v>4</v>
      </c>
      <c r="F70" t="str" cm="1">
        <f t="array" ref="F70">_xll.BDP(B70&amp;" Index","QUOTED_CURRENCY_REALTIME")</f>
        <v>USD</v>
      </c>
      <c r="G70" s="103" t="s">
        <v>191</v>
      </c>
      <c r="H70" s="95">
        <v>35</v>
      </c>
      <c r="I70" s="96">
        <f>IF(G70="Buy",L70,K70)</f>
        <v>288.5</v>
      </c>
      <c r="J70" s="18">
        <f>I70/S70</f>
        <v>1.1519610289787078E-2</v>
      </c>
      <c r="K70" s="35" cm="1">
        <f t="array" ref="K70">_xll.BDP($B70&amp;" Index","bid")</f>
        <v>285</v>
      </c>
      <c r="L70" s="35" cm="1">
        <f t="array" ref="L70">_xll.BDP($B70&amp;" Index","ask")</f>
        <v>288.5</v>
      </c>
      <c r="M70" s="39">
        <f>(L70/K70-1)</f>
        <v>1.2280701754386003E-2</v>
      </c>
      <c r="N70" s="35" cm="1">
        <f t="array" ref="N70">_xll.BDP(F70&amp;" Curncy","PX_LAST")</f>
        <v>1</v>
      </c>
      <c r="O70" s="133">
        <v>20</v>
      </c>
      <c r="P70" s="15">
        <f>IF(G70="Buy",((I70/N70)*H70*O70),((I70/N70)*-H70*O70))</f>
        <v>201950</v>
      </c>
      <c r="Q70" s="57">
        <f>P70/'Master P&amp;L'!$AD$5*10000</f>
        <v>0.8991400128931557</v>
      </c>
      <c r="R70" s="36" t="e" cm="1">
        <f t="array" ref="R70">_xll.BDP($C70&amp;" Index","EST_PE_NXT_YR")*(T70/S70)</f>
        <v>#VALUE!</v>
      </c>
      <c r="S70" s="35" cm="1">
        <f t="array" ref="S70">_xll.BDP(C70&amp;" Index","LAST_PRICE")</f>
        <v>25044.25</v>
      </c>
      <c r="T70" s="52" cm="1">
        <f t="array" ref="T70">_xll.BDP(B70&amp;" Index","OPT_STRIKE_PX")</f>
        <v>25000</v>
      </c>
      <c r="U70" s="39">
        <f>T70/S70-1</f>
        <v>-1.7668726354352904E-3</v>
      </c>
      <c r="V70" s="36" cm="1">
        <f t="array" ref="V70">_xll.BDP($B70&amp;" Index","ivol_mid")</f>
        <v>30.568456000000001</v>
      </c>
      <c r="W70" s="37" cm="1">
        <f t="array" ref="W70">_xll.BDP(B70&amp;" Index","DELTA_MID_RT")</f>
        <v>-0.47135624289512634</v>
      </c>
      <c r="X70" s="47">
        <f>Y70/'Master P&amp;L'!$AE$5</f>
        <v>-3.6790763546031987E-3</v>
      </c>
      <c r="Y70" s="15">
        <f>IF(G70="Sell", S70*W70*-H70*O70/N70, S70*W70*H70*O70/N70)</f>
        <v>-8263334.5102883875</v>
      </c>
      <c r="Z70" s="15" cm="1">
        <f t="array" ref="Z70">_xll.BDP($B70&amp;" Index","opt_theta")*H70*O70/N70</f>
        <v>-31071.0442</v>
      </c>
      <c r="AA70" s="123" cm="1">
        <f t="array" ref="AA70">_xll.BDP($B70&amp;" Index","opt_theta")/I70</f>
        <v>-0.15385513344887347</v>
      </c>
      <c r="AB70" s="35" t="str" cm="1">
        <f t="array" ref="AB70">_xll.BDP($C70&amp;" Index","EXPECTED_REPORT_DT")</f>
        <v>#N/A Field Not Applicable</v>
      </c>
      <c r="AC70" s="15">
        <f>S70*H70*O70/N70</f>
        <v>17530975</v>
      </c>
      <c r="AD70" s="47">
        <f>AC70/'Master P&amp;L'!$AE$5</f>
        <v>7.8052988796878395E-3</v>
      </c>
      <c r="AG70" t="str">
        <f>B70&amp;" -&gt; Buy to open "&amp;H70&amp;"x"</f>
        <v>2OG6P 25000 -&gt; Buy to open 35x</v>
      </c>
    </row>
    <row r="71" spans="1:33">
      <c r="H71" s="99" t="s">
        <v>64</v>
      </c>
      <c r="I71" s="101" t="e">
        <f>I69-I70</f>
        <v>#VALUE!</v>
      </c>
      <c r="J71" s="99" t="s">
        <v>193</v>
      </c>
      <c r="K71" s="100" t="e">
        <f>K70/L69</f>
        <v>#VALUE!</v>
      </c>
      <c r="O71" s="135"/>
      <c r="P71" s="99" t="s">
        <v>194</v>
      </c>
      <c r="Q71" s="106" t="e">
        <f>Q69+Q70</f>
        <v>#VALUE!</v>
      </c>
      <c r="S71" s="99" t="s">
        <v>195</v>
      </c>
      <c r="T71" s="101">
        <f>T70-T69</f>
        <v>-1000</v>
      </c>
      <c r="W71" s="99" t="s">
        <v>196</v>
      </c>
      <c r="X71" s="120" t="e">
        <f>X69+X70</f>
        <v>#VALUE!</v>
      </c>
      <c r="Y71" s="13" t="e">
        <f>Y69+Y70</f>
        <v>#VALUE!</v>
      </c>
      <c r="AC71" s="99" t="s">
        <v>173</v>
      </c>
      <c r="AD71" s="120">
        <f>AD69</f>
        <v>6.6902561825895766E-3</v>
      </c>
    </row>
    <row r="72" spans="1:33">
      <c r="H72" s="99" t="s">
        <v>197</v>
      </c>
      <c r="I72" s="101" t="e">
        <f>(T71-I71)/I71</f>
        <v>#VALUE!</v>
      </c>
      <c r="J72" s="99" t="s">
        <v>90</v>
      </c>
      <c r="K72" s="107" t="e">
        <f>AVERAGE(K69:L69)-AVERAGE(K70:L70)</f>
        <v>#DIV/0!</v>
      </c>
      <c r="O72" s="135"/>
      <c r="P72" s="99"/>
      <c r="Q72" s="106"/>
      <c r="S72" s="99"/>
      <c r="T72" s="101"/>
      <c r="W72" s="99"/>
      <c r="X72" s="120"/>
      <c r="Y72" s="13" t="e">
        <f>Y71/S69/20</f>
        <v>#VALUE!</v>
      </c>
      <c r="AC72" s="99"/>
      <c r="AD72" s="102"/>
    </row>
    <row r="73" spans="1:33">
      <c r="K73" s="63" t="e">
        <f>K69-K70</f>
        <v>#VALUE!</v>
      </c>
      <c r="L73" s="63" t="e">
        <f>L69-L70</f>
        <v>#VALUE!</v>
      </c>
      <c r="W73" s="49"/>
    </row>
    <row r="75" spans="1:33">
      <c r="H75" s="95"/>
      <c r="I75" s="96"/>
      <c r="J75" s="18"/>
      <c r="K75" s="35"/>
      <c r="L75" s="35"/>
      <c r="M75" s="39"/>
      <c r="N75" s="35"/>
      <c r="O75" s="133"/>
      <c r="P75" s="15"/>
      <c r="Q75" s="57"/>
      <c r="R75" s="36"/>
      <c r="S75" s="35"/>
      <c r="T75" s="52"/>
      <c r="U75" s="39"/>
      <c r="V75" s="36"/>
      <c r="W75" s="37"/>
      <c r="X75" s="47"/>
      <c r="Y75" s="15"/>
      <c r="Z75" s="15"/>
      <c r="AA75" s="123"/>
      <c r="AB75" s="35"/>
      <c r="AC75" s="15"/>
      <c r="AD75" s="47"/>
    </row>
    <row r="76" spans="1:33" hidden="1">
      <c r="A76" s="97"/>
      <c r="B76" s="312" t="s">
        <v>796</v>
      </c>
      <c r="C76" t="str" cm="1">
        <f t="array" ref="C76">_xll.BDP(B76&amp;" Index","OPT_UNDL_TICKER")</f>
        <v>SPX</v>
      </c>
      <c r="D76" t="str" cm="1">
        <f t="array" ref="D76">_xll.BDP($B76&amp;" Index","mifid_Maturity_date")</f>
        <v>31/12/2025</v>
      </c>
      <c r="E76" t="str" cm="1">
        <f t="array" ref="E76">_xll.BDP($B76&amp;" Index","opt_days_expire")</f>
        <v>#N/A N/A</v>
      </c>
      <c r="F76" t="s">
        <v>138</v>
      </c>
      <c r="G76" s="103" t="s">
        <v>191</v>
      </c>
      <c r="H76" s="95">
        <v>100</v>
      </c>
      <c r="I76" s="96" t="str">
        <f>IF(G76="Buy",L76,K76)</f>
        <v>#N/A Real Time</v>
      </c>
      <c r="J76" s="18" t="e">
        <f>I76/S76</f>
        <v>#VALUE!</v>
      </c>
      <c r="K76" s="35" t="str" cm="1">
        <f t="array" ref="K76">_xll.BDP($B76&amp;" Index","bid")</f>
        <v>#N/A Real Time</v>
      </c>
      <c r="L76" s="35" t="str" cm="1">
        <f t="array" ref="L76">_xll.BDP($B76&amp;" Index","ask")</f>
        <v>#N/A Real Time</v>
      </c>
      <c r="M76" s="39" t="e">
        <f>(L76/K76-1)</f>
        <v>#VALUE!</v>
      </c>
      <c r="N76" s="35" cm="1">
        <f t="array" ref="N76">_xll.BDP(F76&amp;" Curncy","PX_LAST")</f>
        <v>1</v>
      </c>
      <c r="O76" s="133">
        <v>100</v>
      </c>
      <c r="P76" s="15" t="e">
        <f>IF(G76="Buy",((I76/N76)*H76*O76),((I76/N76)*-H76*O76))</f>
        <v>#VALUE!</v>
      </c>
      <c r="Q76" s="57" t="e">
        <f>P76/'Master P&amp;L'!$AD$5*10000</f>
        <v>#VALUE!</v>
      </c>
      <c r="R76" s="36" t="e" cm="1">
        <f t="array" ref="R76">_xll.BDP($C76&amp;" Index","EST_PE_NXT_YR")*(T76/S76)</f>
        <v>#VALUE!</v>
      </c>
      <c r="S76" s="35" cm="1">
        <f t="array" ref="S76">_xll.BDP(C76&amp;" Index","LAST_PRICE")</f>
        <v>6932.3</v>
      </c>
      <c r="T76" s="52" cm="1">
        <f t="array" ref="T76">_xll.BDP(B76&amp;" Index","OPT_STRIKE_PX")</f>
        <v>6950</v>
      </c>
      <c r="U76" s="39">
        <f>T76/S76-1</f>
        <v>2.5532651500943526E-3</v>
      </c>
      <c r="V76" s="36" t="str" cm="1">
        <f t="array" ref="V76">_xll.BDP($B76&amp;" Index","ivol_mid")</f>
        <v>#N/A N/A</v>
      </c>
      <c r="W76" s="37" t="str" cm="1">
        <f t="array" ref="W76">_xll.BDP(B76&amp;" Index","DELTA_MID_RT")</f>
        <v>#N/A Real Time</v>
      </c>
      <c r="X76" s="47" t="e">
        <f>Y76/'Master P&amp;L'!$AE$5</f>
        <v>#VALUE!</v>
      </c>
      <c r="Y76" s="15" t="e">
        <f>IF(G76="Sell", S76*W76*-H76*O76/N76, S76*W76*H76*O76/N76)</f>
        <v>#VALUE!</v>
      </c>
      <c r="Z76" s="15" t="e" cm="1">
        <f t="array" ref="Z76">_xll.BDP($B76&amp;" Index","opt_theta")*H76*O76/N76</f>
        <v>#VALUE!</v>
      </c>
      <c r="AA76" s="123" t="e" cm="1">
        <f t="array" ref="AA76">_xll.BDP($B76&amp;" Index","opt_theta")/I76</f>
        <v>#VALUE!</v>
      </c>
      <c r="AB76" s="35" t="str" cm="1">
        <f t="array" ref="AB76">_xll.BDP($C76&amp;" Index","EXPECTED_REPORT_DT")</f>
        <v>#N/A Field Not Applicable</v>
      </c>
      <c r="AC76" s="15">
        <f>S76*H76*O76/N76</f>
        <v>69323000</v>
      </c>
      <c r="AD76" s="47">
        <f>AC76/'Master P&amp;L'!$AE$5</f>
        <v>3.0864611593856024E-2</v>
      </c>
      <c r="AG76" t="str">
        <f>B76&amp;" -&gt; Buy to open "&amp;H76&amp;"x"</f>
        <v>SPXW US 12/31/25 C6950 -&gt; Buy to open 100x</v>
      </c>
    </row>
    <row r="77" spans="1:33" hidden="1">
      <c r="A77" s="97"/>
      <c r="B77" s="312"/>
      <c r="G77" s="103"/>
      <c r="H77" s="95"/>
      <c r="I77" s="96"/>
      <c r="J77" s="18"/>
      <c r="K77" s="35"/>
      <c r="L77" s="35"/>
      <c r="M77" s="39"/>
      <c r="N77" s="35"/>
      <c r="O77" s="133"/>
      <c r="P77" s="15"/>
      <c r="Q77" s="57"/>
      <c r="R77" s="36"/>
      <c r="S77" s="35"/>
      <c r="T77" s="52"/>
      <c r="U77" s="39"/>
      <c r="V77" s="36"/>
      <c r="W77" s="37"/>
      <c r="X77" s="47"/>
      <c r="Y77" s="15"/>
      <c r="Z77" s="15"/>
      <c r="AA77" s="123"/>
      <c r="AB77" s="35"/>
      <c r="AC77" s="15"/>
      <c r="AD77" s="47"/>
    </row>
    <row r="78" spans="1:33" hidden="1">
      <c r="H78" s="99" t="s">
        <v>64</v>
      </c>
      <c r="I78" s="101" t="e">
        <f>I76-I77</f>
        <v>#VALUE!</v>
      </c>
      <c r="J78" s="99" t="s">
        <v>193</v>
      </c>
      <c r="K78" s="100" t="e">
        <f>K77/L76</f>
        <v>#VALUE!</v>
      </c>
      <c r="O78" s="135"/>
      <c r="P78" s="99" t="s">
        <v>194</v>
      </c>
      <c r="Q78" s="106" t="e">
        <f>Q76+Q77</f>
        <v>#VALUE!</v>
      </c>
      <c r="S78" s="99" t="s">
        <v>195</v>
      </c>
      <c r="T78" s="101">
        <f>T77-T76</f>
        <v>-6950</v>
      </c>
      <c r="W78" s="99" t="s">
        <v>196</v>
      </c>
      <c r="X78" s="120" t="e">
        <f>X76+X77</f>
        <v>#VALUE!</v>
      </c>
      <c r="Y78" s="13" t="e">
        <f>Y76+Y77</f>
        <v>#VALUE!</v>
      </c>
      <c r="AC78" s="99" t="s">
        <v>173</v>
      </c>
      <c r="AD78" s="120">
        <f>AD76</f>
        <v>3.0864611593856024E-2</v>
      </c>
    </row>
    <row r="79" spans="1:33" hidden="1">
      <c r="H79" s="99" t="s">
        <v>197</v>
      </c>
      <c r="I79" s="101" t="e">
        <f>(T78-I78)/I78</f>
        <v>#VALUE!</v>
      </c>
      <c r="J79" s="99" t="s">
        <v>90</v>
      </c>
      <c r="K79" s="107" t="e">
        <f>AVERAGE(K76:L76)-AVERAGE(K77:L77)</f>
        <v>#DIV/0!</v>
      </c>
      <c r="O79" s="135"/>
      <c r="P79" s="99"/>
      <c r="Q79" s="106"/>
      <c r="S79" s="99"/>
      <c r="T79" s="101"/>
      <c r="W79" s="99"/>
      <c r="X79" s="120"/>
      <c r="Y79" s="13" t="e">
        <f>Y78/S76</f>
        <v>#VALUE!</v>
      </c>
      <c r="AC79" s="99"/>
      <c r="AD79" s="102"/>
    </row>
    <row r="80" spans="1:33" hidden="1">
      <c r="K80" s="63" t="e">
        <f>K76-K77</f>
        <v>#VALUE!</v>
      </c>
      <c r="L80" s="63" t="e">
        <f>L76-L77</f>
        <v>#VALUE!</v>
      </c>
    </row>
    <row r="81" spans="1:37" hidden="1">
      <c r="Q81" t="e">
        <f>Q78/Q71</f>
        <v>#VALUE!</v>
      </c>
    </row>
    <row r="82" spans="1:37" hidden="1">
      <c r="H82" s="17"/>
      <c r="K82" s="63" t="e">
        <f>K73-K80</f>
        <v>#VALUE!</v>
      </c>
      <c r="L82" s="63" t="e">
        <f>L73-L80</f>
        <v>#VALUE!</v>
      </c>
    </row>
    <row r="83" spans="1:37" hidden="1">
      <c r="I83" s="63">
        <f>I86-I87</f>
        <v>12.899999999999999</v>
      </c>
    </row>
    <row r="84" spans="1:37" hidden="1">
      <c r="A84">
        <v>300</v>
      </c>
      <c r="H84" s="206">
        <v>1</v>
      </c>
      <c r="I84" s="63">
        <f>I86-I87</f>
        <v>12.899999999999999</v>
      </c>
      <c r="K84" s="126"/>
    </row>
    <row r="85" spans="1:37" hidden="1">
      <c r="A85" s="192">
        <v>1</v>
      </c>
      <c r="B85" t="s">
        <v>740</v>
      </c>
      <c r="C85" t="str" cm="1">
        <f t="array" ref="C85">_xll.BDP(B85&amp;" Equity","OPT_UNDL_TICKER")</f>
        <v>META US</v>
      </c>
      <c r="D85" s="63">
        <f>A85*AVERAGE(K85:L85)</f>
        <v>25.875</v>
      </c>
      <c r="E85" cm="1">
        <f t="array" ref="E85">_xll.BDP($B85&amp;" Index","opt_days_expire")</f>
        <v>67</v>
      </c>
      <c r="F85" t="str" cm="1">
        <f t="array" ref="F85">_xll.BDP(B85&amp;" Equity","QUOTED_CURRENCY_REALTIME")</f>
        <v>USD</v>
      </c>
      <c r="G85" s="103" t="s">
        <v>191</v>
      </c>
      <c r="H85" s="128">
        <v>60</v>
      </c>
      <c r="I85" s="96">
        <f>IF(G85="Buy",L85,K85)</f>
        <v>26.3</v>
      </c>
      <c r="J85" s="18">
        <f>I85/S85</f>
        <v>3.9760529737247904E-2</v>
      </c>
      <c r="K85" s="35" cm="1">
        <f t="array" ref="K85">_xll.BDP($B85&amp;" Equity","bid")</f>
        <v>25.45</v>
      </c>
      <c r="L85" s="35" cm="1">
        <f t="array" ref="L85">_xll.BDP($B85&amp;" Equity","ask")</f>
        <v>26.3</v>
      </c>
      <c r="M85" s="39">
        <f>(L85/K85-1)</f>
        <v>3.3398821218074692E-2</v>
      </c>
      <c r="N85" s="35" cm="1">
        <f t="array" ref="N85">_xll.BDP(F85&amp;" Curncy","PX_LAST")</f>
        <v>1</v>
      </c>
      <c r="O85" s="133" cm="1">
        <f t="array" ref="O85">_xll.BDP(B85&amp;" Equity","OPT_MULTIPLIER")</f>
        <v>100</v>
      </c>
      <c r="P85" s="15">
        <f>IF(G85="Buy",((I85/N85)*H85*O85),((I85/N85)*-H85*O85))</f>
        <v>157800</v>
      </c>
      <c r="Q85" s="57">
        <f>P85/'Master P&amp;L'!$AD$5*10000</f>
        <v>0.70257139903213661</v>
      </c>
      <c r="R85" s="36" cm="1">
        <f t="array" ref="R85">_xll.BDP($C85&amp;" Equity","EST_PE_NXT_YR")*(T85/S85)</f>
        <v>18.35301627832748</v>
      </c>
      <c r="S85" s="35" cm="1">
        <f t="array" ref="S85">_xll.BDP(C85&amp;" Equity","LAST_PRICE")</f>
        <v>661.46</v>
      </c>
      <c r="T85" s="52" cm="1">
        <f t="array" ref="T85">_xll.BDP(B85&amp;" Equity","OPT_STRIKE_PX")</f>
        <v>690</v>
      </c>
      <c r="U85" s="39">
        <f>T85/S85-1</f>
        <v>4.3146977897378536E-2</v>
      </c>
      <c r="V85" s="36" cm="1">
        <f t="array" ref="V85">_xll.BDP($B85&amp;" Equity","ivol_mid")</f>
        <v>31.260280000000002</v>
      </c>
      <c r="W85" s="37" cm="1">
        <f t="array" ref="W85">_xll.BDP(B85&amp;" Equity","DELTA_MID_RT")</f>
        <v>0.42318800091743469</v>
      </c>
      <c r="X85" s="47">
        <f>Y85/'Master P&amp;L'!$AE$5</f>
        <v>7.4777621883554595E-4</v>
      </c>
      <c r="Y85" s="15">
        <f>IF(G85="Sell", S85*W85*-H85*O85/N85, S85*W85*H85*O85/N85)</f>
        <v>1679531.6105210783</v>
      </c>
      <c r="Z85" s="15" cm="1">
        <f t="array" ref="Z85">_xll.BDP($B85&amp;" Equity","opt_theta")*H85*O85/N85</f>
        <v>-1863.1260000000002</v>
      </c>
      <c r="AA85" s="18" cm="1">
        <f t="array" ref="AA85">_xll.BDP($B85&amp;" Equity","opt_theta")/I85</f>
        <v>-1.1806882129277566E-2</v>
      </c>
      <c r="AB85" s="35" t="str" cm="1">
        <f t="array" ref="AB85">_xll.BDP($C85&amp;" Equity","EXPECTED_REPORT_DT")</f>
        <v>30/04/2026</v>
      </c>
      <c r="AC85" s="15">
        <f>S85*H85*O85/N85</f>
        <v>3968760.0000000005</v>
      </c>
      <c r="AD85" s="18">
        <f>AC85/'Master P&amp;L'!$AE$5</f>
        <v>1.7670071391779358E-3</v>
      </c>
      <c r="AE85" t="str">
        <f>B85  &amp; " - Buy to open " &amp;  "-" &amp; H85 &amp;"x"</f>
        <v>META US 04/17/26 C690 - Buy to open -60x</v>
      </c>
      <c r="AK85" s="58" t="s">
        <v>203</v>
      </c>
    </row>
    <row r="86" spans="1:37" hidden="1">
      <c r="A86" s="192">
        <v>2</v>
      </c>
      <c r="B86" s="72" t="s">
        <v>949</v>
      </c>
      <c r="C86" t="str" cm="1">
        <f t="array" ref="C86">_xll.BDP(B86&amp;" Equity","OPT_UNDL_TICKER")</f>
        <v>META US</v>
      </c>
      <c r="D86" s="63">
        <f>A86*AVERAGE(K86:L86)</f>
        <v>124.25</v>
      </c>
      <c r="E86" cm="1">
        <f t="array" ref="E86">_xll.BDP($B86&amp;" Index","opt_days_expire")</f>
        <v>158</v>
      </c>
      <c r="F86" t="str" cm="1">
        <f t="array" ref="F86">_xll.BDP(B86&amp;" Equity","QUOTED_CURRENCY_REALTIME")</f>
        <v>USD</v>
      </c>
      <c r="G86" s="103" t="s">
        <v>192</v>
      </c>
      <c r="H86" s="128">
        <v>75</v>
      </c>
      <c r="I86" s="96">
        <f>IF(G86="Buy",L86,K86)</f>
        <v>61.8</v>
      </c>
      <c r="J86" s="18">
        <f>I86/S86</f>
        <v>9.3429685846460844E-2</v>
      </c>
      <c r="K86" s="35" cm="1">
        <f t="array" ref="K86">_xll.BDP($B86&amp;" Equity","bid")</f>
        <v>61.8</v>
      </c>
      <c r="L86" s="35" cm="1">
        <f t="array" ref="L86">_xll.BDP($B86&amp;" Equity","ask")</f>
        <v>62.45</v>
      </c>
      <c r="M86" s="39">
        <f>(L86/K86-1)</f>
        <v>1.0517799352750989E-2</v>
      </c>
      <c r="N86" s="35" cm="1">
        <f t="array" ref="N86">_xll.BDP(F86&amp;" Curncy","PX_LAST")</f>
        <v>1</v>
      </c>
      <c r="O86" s="133" cm="1">
        <f t="array" ref="O86">_xll.BDP(B86&amp;" Equity","OPT_MULTIPLIER")</f>
        <v>100</v>
      </c>
      <c r="P86" s="15">
        <f>IF(G86="Buy",((I86/N86)*H86*O86),((I86/N86)*-H86*O86))</f>
        <v>-463500</v>
      </c>
      <c r="Q86" s="57">
        <f>P86/'Master P&amp;L'!$AD$5*10000</f>
        <v>-2.0636365237731007</v>
      </c>
      <c r="R86" s="36" cm="1">
        <f t="array" ref="R86">_xll.BDP($C86&amp;" Equity","EST_PE_NXT_YR")*(T86/S86)</f>
        <v>17.821044791999146</v>
      </c>
      <c r="S86" s="35" cm="1">
        <f t="array" ref="S86">_xll.BDP(C86&amp;" Equity","LAST_PRICE")</f>
        <v>661.46</v>
      </c>
      <c r="T86" s="52" cm="1">
        <f t="array" ref="T86">_xll.BDP(B86&amp;" Equity","OPT_STRIKE_PX")</f>
        <v>670</v>
      </c>
      <c r="U86" s="39">
        <f>T86/S86-1</f>
        <v>1.291083361049794E-2</v>
      </c>
      <c r="V86" s="36" cm="1">
        <f t="array" ref="V86">_xll.BDP($B86&amp;" Equity","ivol_mid")</f>
        <v>35.23659</v>
      </c>
      <c r="W86" s="37" cm="1">
        <f t="array" ref="W86">_xll.BDP(B86&amp;" Equity","DELTA_MID_RT")</f>
        <v>0.55095201730728149</v>
      </c>
      <c r="X86" s="47">
        <f>Y86/'Master P&amp;L'!$AE$5</f>
        <v>-1.216920184908065E-3</v>
      </c>
      <c r="Y86" s="15">
        <f>IF(G86="Sell", S86*W86*-H86*O86/N86, S86*W86*H86*O86/N86)</f>
        <v>-2733245.4102605586</v>
      </c>
      <c r="Z86" s="15" cm="1">
        <f t="array" ref="Z86">_xll.BDP($B86&amp;" Equity","opt_theta")*H86*O86/N86</f>
        <v>-1481.5574999999999</v>
      </c>
      <c r="AA86" s="18" cm="1">
        <f t="array" ref="AA86">_xll.BDP($B86&amp;" Equity","opt_theta")/I86</f>
        <v>-3.1964563106796117E-3</v>
      </c>
      <c r="AB86" s="35" t="str" cm="1">
        <f t="array" ref="AB86">_xll.BDP($C86&amp;" Equity","EXPECTED_REPORT_DT")</f>
        <v>30/04/2026</v>
      </c>
      <c r="AC86" s="15">
        <f>S86*H86*O86/N86</f>
        <v>4960950</v>
      </c>
      <c r="AD86" s="47">
        <f>AC86/'Master P&amp;L'!$AE$5</f>
        <v>2.2087589239724193E-3</v>
      </c>
      <c r="AE86" t="str">
        <f>B86&amp;" -&gt; Buy to open "&amp;H86&amp;"x"</f>
        <v>META US 07/17/26 C670 -&gt; Buy to open 75x</v>
      </c>
      <c r="AK86" t="s">
        <v>204</v>
      </c>
    </row>
    <row r="87" spans="1:37" hidden="1">
      <c r="A87" s="192">
        <v>2</v>
      </c>
      <c r="B87" s="72" t="s">
        <v>1056</v>
      </c>
      <c r="C87" t="str" cm="1">
        <f t="array" ref="C87">_xll.BDP(B87&amp;" Equity","OPT_UNDL_TICKER")</f>
        <v>META US</v>
      </c>
      <c r="D87" s="63">
        <f>A87*AVERAGE(K87:L87)</f>
        <v>97.25</v>
      </c>
      <c r="E87" cm="1">
        <f t="array" ref="E87">_xll.BDP($B87&amp;" Index","opt_days_expire")</f>
        <v>158</v>
      </c>
      <c r="F87" t="str" cm="1">
        <f t="array" ref="F87">_xll.BDP(B87&amp;" Equity","QUOTED_CURRENCY_REALTIME")</f>
        <v>USD</v>
      </c>
      <c r="G87" s="103" t="s">
        <v>191</v>
      </c>
      <c r="H87" s="128">
        <v>75</v>
      </c>
      <c r="I87" s="96">
        <f>IF(G87="Buy",L87,K87)</f>
        <v>48.9</v>
      </c>
      <c r="J87" s="18">
        <f>I87/S87</f>
        <v>7.3927372781422904E-2</v>
      </c>
      <c r="K87" s="35" cm="1">
        <f t="array" ref="K87">_xll.BDP($B87&amp;" Equity","bid")</f>
        <v>48.35</v>
      </c>
      <c r="L87" s="35" cm="1">
        <f t="array" ref="L87">_xll.BDP($B87&amp;" Equity","ask")</f>
        <v>48.9</v>
      </c>
      <c r="M87" s="39">
        <f>(L87/K87-1)</f>
        <v>1.1375387797311287E-2</v>
      </c>
      <c r="N87" s="35" cm="1">
        <f t="array" ref="N87">_xll.BDP(F87&amp;" Curncy","PX_LAST")</f>
        <v>1</v>
      </c>
      <c r="O87" s="133" cm="1">
        <f t="array" ref="O87">_xll.BDP(B87&amp;" Equity","OPT_MULTIPLIER")</f>
        <v>100</v>
      </c>
      <c r="P87" s="15">
        <f>IF(G87="Buy",((I87/N87)*H87*O87),((I87/N87)*-H87*O87))</f>
        <v>366750</v>
      </c>
      <c r="Q87" s="57">
        <f>P87/'Master P&amp;L'!$AD$5*10000</f>
        <v>1.632877443568036</v>
      </c>
      <c r="R87" s="36" cm="1">
        <f t="array" ref="R87">_xll.BDP($C87&amp;" Equity","EST_PE_NXT_YR")*(T87/S87)</f>
        <v>18.619002021491646</v>
      </c>
      <c r="S87" s="35" cm="1">
        <f t="array" ref="S87">_xll.BDP(C87&amp;" Equity","LAST_PRICE")</f>
        <v>661.46</v>
      </c>
      <c r="T87" s="52" cm="1">
        <f t="array" ref="T87">_xll.BDP(B87&amp;" Equity","OPT_STRIKE_PX")</f>
        <v>700</v>
      </c>
      <c r="U87" s="39">
        <f>T87/S87-1</f>
        <v>5.8265050040818833E-2</v>
      </c>
      <c r="V87" s="36" cm="1">
        <f t="array" ref="V87">_xll.BDP(B87&amp;" Equity","ivol_mid")</f>
        <v>34.624899999999997</v>
      </c>
      <c r="W87" s="37" cm="1">
        <f t="array" ref="W87">_xll.BDP(B87&amp;" Equity","DELTA_MID_RT")</f>
        <v>0.47390401363372803</v>
      </c>
      <c r="X87" s="47">
        <f>Y87/'Master P&amp;L'!$AE$5</f>
        <v>1.0467397192198441E-3</v>
      </c>
      <c r="Y87" s="15">
        <f>IF(G87="Sell", S87*W87*-H87*O87/N87, S87*W87*H87*O87/N87)</f>
        <v>2351014.1164362435</v>
      </c>
      <c r="Z87" s="15" cm="1">
        <f t="array" ref="Z87">_xll.BDP($B87&amp;" Equity","opt_theta")*H87*O87/N87</f>
        <v>-1467.9375</v>
      </c>
      <c r="AA87" s="18" cm="1">
        <f t="array" ref="AA87">_xll.BDP($B87&amp;" Equity","opt_theta")/I87</f>
        <v>-4.002556237218814E-3</v>
      </c>
      <c r="AB87" s="35" t="str" cm="1">
        <f t="array" ref="AB87">_xll.BDP($C87&amp;" Equity","EXPECTED_REPORT_DT")</f>
        <v>30/04/2026</v>
      </c>
      <c r="AC87" s="15">
        <f>S87*H87*O87/N87</f>
        <v>4960950</v>
      </c>
      <c r="AD87" s="18">
        <f>AC87/'Master P&amp;L'!$AE$5</f>
        <v>2.2087589239724193E-3</v>
      </c>
      <c r="AE87" t="str">
        <f>B87  &amp; " -&gt; Sell to open " &amp;   H87 &amp;"x"</f>
        <v>META US 07/17/26 C700 -&gt; Sell to open 75x</v>
      </c>
      <c r="AK87" t="s">
        <v>205</v>
      </c>
    </row>
    <row r="88" spans="1:37" hidden="1">
      <c r="H88" s="99" t="s">
        <v>64</v>
      </c>
      <c r="I88" s="101">
        <f>I86-I85-I87</f>
        <v>-13.399999999999999</v>
      </c>
      <c r="J88" s="99" t="s">
        <v>193</v>
      </c>
      <c r="K88" s="100">
        <f>K87/L86</f>
        <v>0.77421937550040032</v>
      </c>
      <c r="P88" s="127">
        <f>P86+P87+P85</f>
        <v>61050</v>
      </c>
      <c r="Q88" s="57">
        <f>P88/'Master P&amp;L'!$AD$5*10000</f>
        <v>0.27181231882707185</v>
      </c>
      <c r="S88" s="99" t="s">
        <v>195</v>
      </c>
      <c r="T88" s="101"/>
      <c r="W88" s="99" t="s">
        <v>196</v>
      </c>
      <c r="X88" s="120">
        <f>X86+X87+X85</f>
        <v>5.7759575314732508E-4</v>
      </c>
      <c r="AC88" s="99" t="s">
        <v>173</v>
      </c>
      <c r="AD88" s="120">
        <f>AD86</f>
        <v>2.2087589239724193E-3</v>
      </c>
    </row>
    <row r="89" spans="1:37" hidden="1">
      <c r="H89" s="99" t="s">
        <v>197</v>
      </c>
      <c r="I89" s="101"/>
      <c r="J89" s="99" t="s">
        <v>90</v>
      </c>
      <c r="K89" s="107">
        <f>-AVERAGE(K85:L85)+AVERAGE(K86:L86)-AVERAGE(K87:L87)</f>
        <v>-12.375</v>
      </c>
      <c r="P89" s="99"/>
      <c r="Q89" s="106"/>
      <c r="S89" s="99"/>
      <c r="T89" s="101"/>
      <c r="W89" s="99"/>
      <c r="X89" s="120"/>
      <c r="Y89" s="13">
        <f>(Y85+Y86+Y87)/S86</f>
        <v>1961.2679779529574</v>
      </c>
      <c r="AC89" s="99"/>
      <c r="AD89" s="102"/>
    </row>
    <row r="90" spans="1:37" hidden="1">
      <c r="D90" s="63"/>
      <c r="H90" s="95"/>
      <c r="I90" s="63">
        <f>(I86*A86)-(I87*A87)-(I85*A85)</f>
        <v>-0.50000000000000355</v>
      </c>
      <c r="K90" s="63"/>
      <c r="N90" s="35"/>
      <c r="O90" s="133"/>
      <c r="P90" s="15"/>
      <c r="Q90" s="57"/>
    </row>
    <row r="91" spans="1:37" hidden="1">
      <c r="I91" s="20">
        <f>I87/I86</f>
        <v>0.79126213592233008</v>
      </c>
    </row>
    <row r="92" spans="1:37" hidden="1">
      <c r="I92" s="20"/>
    </row>
    <row r="93" spans="1:37" hidden="1">
      <c r="H93" s="206">
        <v>1</v>
      </c>
      <c r="I93" s="63" t="e">
        <f>I95-I94</f>
        <v>#VALUE!</v>
      </c>
      <c r="J93" s="17" t="e">
        <f>T94-T95</f>
        <v>#VALUE!</v>
      </c>
      <c r="K93" s="206" t="e">
        <f>(J93-I93)/I93</f>
        <v>#VALUE!</v>
      </c>
      <c r="Q93" s="206" t="e">
        <f>Q95+Q94</f>
        <v>#VALUE!</v>
      </c>
    </row>
    <row r="94" spans="1:37" hidden="1">
      <c r="A94" s="192"/>
      <c r="C94" t="str" cm="1">
        <f t="array" ref="C94">_xll.BDP(B94&amp;" Equity","OPT_UNDL_TICKER")</f>
        <v>#N/A Invalid Security</v>
      </c>
      <c r="D94" s="63" t="e">
        <f>A94*AVERAGE(K94:L94)</f>
        <v>#DIV/0!</v>
      </c>
      <c r="E94" t="str" cm="1">
        <f t="array" ref="E94">_xll.BDP($B94&amp;" Index","opt_days_expire")</f>
        <v>#N/A Invalid Security</v>
      </c>
      <c r="F94" t="str" cm="1">
        <f t="array" ref="F94">_xll.BDP(B94&amp;" Equity","QUOTED_CURRENCY_REALTIME")</f>
        <v>#N/A Invalid Security</v>
      </c>
      <c r="G94" s="103" t="s">
        <v>192</v>
      </c>
      <c r="H94" s="128">
        <f>H95*H93</f>
        <v>20</v>
      </c>
      <c r="I94" s="96" t="str">
        <f>IF(G94="Buy",L94,K94)</f>
        <v>#N/A Invalid Security</v>
      </c>
      <c r="J94" s="18" t="e">
        <f>I94/S94</f>
        <v>#VALUE!</v>
      </c>
      <c r="K94" s="35" t="str" cm="1">
        <f t="array" ref="K94">_xll.BDP($B94&amp;" Equity","bid")</f>
        <v>#N/A Invalid Security</v>
      </c>
      <c r="L94" s="35" t="str" cm="1">
        <f t="array" ref="L94">_xll.BDP($B94&amp;" Equity","ask")</f>
        <v>#N/A Invalid Security</v>
      </c>
      <c r="M94" s="39" t="e">
        <f>(L94/K94-1)</f>
        <v>#VALUE!</v>
      </c>
      <c r="N94" s="35" t="str" cm="1">
        <f t="array" ref="N94">_xll.BDP(F94&amp;" Curncy","PX_LAST")</f>
        <v>#N/A Invalid Security Curncy</v>
      </c>
      <c r="O94" s="133" t="str" cm="1">
        <f t="array" ref="O94">_xll.BDP(B94&amp;" Equity","OPT_MULTIPLIER")</f>
        <v>#N/A Invalid Security</v>
      </c>
      <c r="P94" s="15" t="e">
        <f>IF(G94="Buy",((I94/N94)*H94*O94),((I94/N94)*-H94*O94))</f>
        <v>#VALUE!</v>
      </c>
      <c r="Q94" s="57" t="e">
        <f>P94/'Master P&amp;L'!$AD$5*10000</f>
        <v>#VALUE!</v>
      </c>
      <c r="R94" s="36" t="e" cm="1">
        <f t="array" ref="R94">_xll.BDP($C94&amp;" Equity","EST_PE_NXT_YR")*(T94/S94)</f>
        <v>#VALUE!</v>
      </c>
      <c r="S94" s="35" t="str" cm="1">
        <f t="array" ref="S94">_xll.BDP(C94&amp;" Equity","LAST_PRICE")</f>
        <v>#N/A Invalid Security Equity</v>
      </c>
      <c r="T94" s="52" t="str" cm="1">
        <f t="array" ref="T94">_xll.BDP(B94&amp;" Equity","OPT_STRIKE_PX")</f>
        <v>#N/A Invalid Security</v>
      </c>
      <c r="U94" s="39" t="e">
        <f>T94/S94-1</f>
        <v>#VALUE!</v>
      </c>
      <c r="V94" s="36" t="str" cm="1">
        <f t="array" ref="V94">_xll.BDP($B94&amp;" Equity","ivol_mid")</f>
        <v>#N/A Invalid Security</v>
      </c>
      <c r="W94" s="37" t="str" cm="1">
        <f t="array" ref="W94">_xll.BDP(B94&amp;" Equity","DELTA_MID_RT")</f>
        <v>#N/A Invalid Security</v>
      </c>
      <c r="X94" s="47" t="e">
        <f>Y94/'Master P&amp;L'!$AE$5</f>
        <v>#VALUE!</v>
      </c>
      <c r="Y94" s="15" t="e">
        <f>IF(G94="Sell", S94*W94*-H94*O94/N94, S94*W94*H94*O94/N94)</f>
        <v>#VALUE!</v>
      </c>
      <c r="Z94" s="15" t="e" cm="1">
        <f t="array" ref="Z94">_xll.BDP($B94&amp;" Equity","opt_theta")*H94*O94/N94</f>
        <v>#VALUE!</v>
      </c>
      <c r="AA94" s="18" t="e" cm="1">
        <f t="array" ref="AA94">_xll.BDP($B94&amp;" Equity","opt_theta")/I94</f>
        <v>#VALUE!</v>
      </c>
      <c r="AB94" s="35" t="str" cm="1">
        <f t="array" ref="AB94">_xll.BDP($C94&amp;" Equity","EXPECTED_REPORT_DT")</f>
        <v>#N/A Invalid Security Equity</v>
      </c>
      <c r="AC94" s="15" t="e">
        <f>S94*H94*O94/N94</f>
        <v>#VALUE!</v>
      </c>
      <c r="AD94" s="18" t="e">
        <f>AC94/'Master P&amp;L'!$AE$5</f>
        <v>#VALUE!</v>
      </c>
      <c r="AE94" t="str">
        <f>B94  &amp; " - Buy to open " &amp;  "-" &amp; H94 &amp;"x"</f>
        <v xml:space="preserve"> - Buy to open -20x</v>
      </c>
      <c r="AK94" s="58"/>
    </row>
    <row r="95" spans="1:37" hidden="1">
      <c r="A95" s="192"/>
      <c r="B95" s="72"/>
      <c r="C95" t="str" cm="1">
        <f t="array" ref="C95">_xll.BDP(B95&amp;" Equity","OPT_UNDL_TICKER")</f>
        <v>#N/A Invalid Security</v>
      </c>
      <c r="D95" s="63" t="e">
        <f>A95*AVERAGE(K95:L95)</f>
        <v>#DIV/0!</v>
      </c>
      <c r="E95" t="str" cm="1">
        <f t="array" ref="E95">_xll.BDP($B95&amp;" Index","opt_days_expire")</f>
        <v>#N/A Invalid Security</v>
      </c>
      <c r="F95" t="str" cm="1">
        <f t="array" ref="F95">_xll.BDP(B95&amp;" Equity","QUOTED_CURRENCY_REALTIME")</f>
        <v>#N/A Invalid Security</v>
      </c>
      <c r="G95" s="103" t="s">
        <v>191</v>
      </c>
      <c r="H95" s="128">
        <v>20</v>
      </c>
      <c r="I95" s="96" t="str">
        <f>IF(G95="Buy",L95,K95)</f>
        <v>#N/A Invalid Security</v>
      </c>
      <c r="J95" s="18" t="e">
        <f>I95/S95</f>
        <v>#VALUE!</v>
      </c>
      <c r="K95" s="35" t="str" cm="1">
        <f t="array" ref="K95">_xll.BDP($B95&amp;" Equity","bid")</f>
        <v>#N/A Invalid Security</v>
      </c>
      <c r="L95" s="35" t="str" cm="1">
        <f t="array" ref="L95">_xll.BDP($B95&amp;" Equity","ask")</f>
        <v>#N/A Invalid Security</v>
      </c>
      <c r="M95" s="39" t="e">
        <f>(L95/K95-1)</f>
        <v>#VALUE!</v>
      </c>
      <c r="N95" s="35" t="str" cm="1">
        <f t="array" ref="N95">_xll.BDP(F95&amp;" Curncy","PX_LAST")</f>
        <v>#N/A Invalid Security Curncy</v>
      </c>
      <c r="O95" s="133" t="str" cm="1">
        <f t="array" ref="O95">_xll.BDP(B95&amp;" Equity","OPT_MULTIPLIER")</f>
        <v>#N/A Invalid Security</v>
      </c>
      <c r="P95" s="15" t="e">
        <f>IF(G95="Buy",((I95/N95)*H95*O95),((I95/N95)*-H95*O95))</f>
        <v>#VALUE!</v>
      </c>
      <c r="Q95" s="57" t="e">
        <f>P95/'Master P&amp;L'!$AD$5*10000</f>
        <v>#VALUE!</v>
      </c>
      <c r="R95" s="36" t="e" cm="1">
        <f t="array" ref="R95">_xll.BDP($C95&amp;" Equity","EST_PE_NXT_YR")*(T95/S95)</f>
        <v>#VALUE!</v>
      </c>
      <c r="S95" s="35" t="str" cm="1">
        <f t="array" ref="S95">_xll.BDP(C95&amp;" Equity","LAST_PRICE")</f>
        <v>#N/A Invalid Security Equity</v>
      </c>
      <c r="T95" s="52" t="str" cm="1">
        <f t="array" ref="T95">_xll.BDP(B95&amp;" Equity","OPT_STRIKE_PX")</f>
        <v>#N/A Invalid Security</v>
      </c>
      <c r="U95" s="39" t="e">
        <f>T95/S95-1</f>
        <v>#VALUE!</v>
      </c>
      <c r="V95" s="36" t="str" cm="1">
        <f t="array" ref="V95">_xll.BDP($B95&amp;" Equity","ivol_mid")</f>
        <v>#N/A Invalid Security</v>
      </c>
      <c r="W95" s="37" t="str" cm="1">
        <f t="array" ref="W95">_xll.BDP(B95&amp;" Equity","DELTA_MID_RT")</f>
        <v>#N/A Invalid Security</v>
      </c>
      <c r="X95" s="47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Equity","opt_theta")*H95*O95/N95</f>
        <v>#VALUE!</v>
      </c>
      <c r="AA95" s="18" t="e" cm="1">
        <f t="array" ref="AA95">_xll.BDP($B95&amp;" Equity","opt_theta")/I95</f>
        <v>#VALUE!</v>
      </c>
      <c r="AB95" s="35" t="str" cm="1">
        <f t="array" ref="AB95">_xll.BDP($C95&amp;" Equity","EXPECTED_REPORT_DT")</f>
        <v>#N/A Invalid Security Equity</v>
      </c>
      <c r="AC95" s="15" t="e">
        <f>S95*H95*O95/N95</f>
        <v>#VALUE!</v>
      </c>
      <c r="AD95" s="47" t="e">
        <f>AC95/'Master P&amp;L'!$AE$5</f>
        <v>#VALUE!</v>
      </c>
      <c r="AE95" t="str">
        <f>B95&amp;" -&gt; Buy to open "&amp;H95&amp;"x"</f>
        <v xml:space="preserve"> -&gt; Buy to open 20x</v>
      </c>
    </row>
    <row r="96" spans="1:37" hidden="1">
      <c r="A96" s="192"/>
      <c r="B96" t="s">
        <v>952</v>
      </c>
      <c r="C96" t="str" cm="1">
        <f t="array" ref="C96">_xll.BDP(B96&amp;" Equity","OPT_UNDL_TICKER")</f>
        <v>META US</v>
      </c>
      <c r="D96" s="63">
        <f>A96*AVERAGE(K96:L96)</f>
        <v>0</v>
      </c>
      <c r="E96" cm="1">
        <f t="array" ref="E96">_xll.BDP($B96&amp;" Index","opt_days_expire")</f>
        <v>18</v>
      </c>
      <c r="F96" t="str" cm="1">
        <f t="array" ref="F96">_xll.BDP(B96&amp;" Equity","QUOTED_CURRENCY_REALTIME")</f>
        <v>USD</v>
      </c>
      <c r="G96" s="103" t="s">
        <v>191</v>
      </c>
      <c r="H96" s="128">
        <v>35</v>
      </c>
      <c r="I96" s="96">
        <f>IF(G96="Buy",L96,K96)</f>
        <v>22.15</v>
      </c>
      <c r="J96" s="18">
        <f>I96/S96</f>
        <v>3.348652979772019E-2</v>
      </c>
      <c r="K96" s="35" cm="1">
        <f t="array" ref="K96">_xll.BDP($B96&amp;" Equity","bid")</f>
        <v>21.9</v>
      </c>
      <c r="L96" s="35" cm="1">
        <f t="array" ref="L96">_xll.BDP($B96&amp;" Equity","ask")</f>
        <v>22.15</v>
      </c>
      <c r="M96" s="39">
        <f>(L96/K96-1)</f>
        <v>1.1415525114155223E-2</v>
      </c>
      <c r="N96" s="35" cm="1">
        <f t="array" ref="N96">_xll.BDP(F96&amp;" Curncy","PX_LAST")</f>
        <v>1</v>
      </c>
      <c r="O96" s="133" cm="1">
        <f t="array" ref="O96">_xll.BDP(B96&amp;" Equity","OPT_MULTIPLIER")</f>
        <v>100</v>
      </c>
      <c r="P96" s="15">
        <f>IF(G96="Buy",((I96/N96)*H96*O96),((I96/N96)*-H96*O96))</f>
        <v>77525</v>
      </c>
      <c r="Q96" s="57">
        <f>P96/'Master P&amp;L'!$AD$5*10000</f>
        <v>0.34516380044338651</v>
      </c>
      <c r="R96" s="36" cm="1">
        <f t="array" ref="R96">_xll.BDP($C96&amp;" Equity","EST_PE_NXT_YR")*(T96/S96)</f>
        <v>17.55505904883498</v>
      </c>
      <c r="S96" s="35" cm="1">
        <f t="array" ref="S96">_xll.BDP(C96&amp;" Equity","LAST_PRICE")</f>
        <v>661.46</v>
      </c>
      <c r="T96" s="52" cm="1">
        <f t="array" ref="T96">_xll.BDP(B96&amp;" Equity","OPT_STRIKE_PX")</f>
        <v>660</v>
      </c>
      <c r="U96" s="39">
        <f>T96/S96-1</f>
        <v>-2.2072385329423572E-3</v>
      </c>
      <c r="V96" s="36" cm="1">
        <f t="array" ref="V96">_xll.BDP(B96&amp;" Equity","ivol_mid")</f>
        <v>33.136279999999999</v>
      </c>
      <c r="W96" s="37" cm="1">
        <f t="array" ref="W96">_xll.BDP(B96&amp;" Equity","DELTA_MID_RT")</f>
        <v>0.53770202398300171</v>
      </c>
      <c r="X96" s="47">
        <f>Y96/'Master P&amp;L'!$AE$5</f>
        <v>5.5423860049156053E-4</v>
      </c>
      <c r="Y96" s="15">
        <f>IF(G96="Sell", S96*W96*-H96*O96/N96, S96*W96*H96*O96/N96)</f>
        <v>1244839.3327432871</v>
      </c>
      <c r="Z96" s="15" cm="1">
        <f t="array" ref="Z96">_xll.BDP($B96&amp;" Equity","opt_theta")*H96*O96/N96</f>
        <v>-1807.7325000000001</v>
      </c>
      <c r="AA96" s="18" cm="1">
        <f t="array" ref="AA96">_xll.BDP($B96&amp;" Equity","opt_theta")/I96</f>
        <v>-2.3318058690744926E-2</v>
      </c>
      <c r="AB96" s="35" t="str" cm="1">
        <f t="array" ref="AB96">_xll.BDP($C96&amp;" Equity","EXPECTED_REPORT_DT")</f>
        <v>30/04/2026</v>
      </c>
      <c r="AC96" s="15">
        <f>S96*H96*O96/N96</f>
        <v>2315110</v>
      </c>
      <c r="AD96" s="18">
        <f>AC96/'Master P&amp;L'!$AE$5</f>
        <v>1.0307541645204624E-3</v>
      </c>
      <c r="AE96" t="str">
        <f>B96  &amp; " -&gt; Sell to open " &amp;   H96 &amp;"x"</f>
        <v>META US 02/27/26 C660 -&gt; Sell to open 35x</v>
      </c>
    </row>
    <row r="97" spans="1:37" hidden="1">
      <c r="H97" s="99" t="s">
        <v>64</v>
      </c>
      <c r="I97" s="101" t="e">
        <f>I95-I94-I96</f>
        <v>#VALUE!</v>
      </c>
      <c r="J97" s="99" t="s">
        <v>193</v>
      </c>
      <c r="K97" s="100" t="e">
        <f>K96/L95</f>
        <v>#VALUE!</v>
      </c>
      <c r="P97" s="127" t="e">
        <f>P95+P96+P94</f>
        <v>#VALUE!</v>
      </c>
      <c r="Q97" s="57" t="e">
        <f>P97/'Master P&amp;L'!$AD$5*10000</f>
        <v>#VALUE!</v>
      </c>
      <c r="S97" s="99" t="s">
        <v>195</v>
      </c>
      <c r="T97" s="101"/>
      <c r="W97" s="99" t="s">
        <v>196</v>
      </c>
      <c r="X97" s="120" t="e">
        <f>X95+X96+X94</f>
        <v>#VALUE!</v>
      </c>
      <c r="AC97" s="99" t="s">
        <v>173</v>
      </c>
      <c r="AD97" s="120" t="e">
        <f>AD95</f>
        <v>#VALUE!</v>
      </c>
    </row>
    <row r="98" spans="1:37" hidden="1">
      <c r="H98" s="99" t="s">
        <v>197</v>
      </c>
      <c r="I98" s="101"/>
      <c r="J98" s="99" t="s">
        <v>90</v>
      </c>
      <c r="K98" s="107" t="e">
        <f>-AVERAGE(K94:L94)+AVERAGE(K95:L95)-AVERAGE(K96:L96)</f>
        <v>#DIV/0!</v>
      </c>
      <c r="P98" s="99"/>
      <c r="Q98" s="106"/>
      <c r="S98" s="99"/>
      <c r="T98" s="101"/>
      <c r="W98" s="99"/>
      <c r="X98" s="120"/>
      <c r="Y98" s="13" t="e">
        <f>(Y94+Y95+Y96)/S95</f>
        <v>#VALUE!</v>
      </c>
      <c r="AC98" s="99"/>
      <c r="AD98" s="102"/>
    </row>
    <row r="99" spans="1:37" hidden="1">
      <c r="D99" s="63"/>
      <c r="H99" s="95"/>
      <c r="I99" s="63" t="e">
        <f>(I95*A95)-(I96*A96)-(I94*A94)</f>
        <v>#VALUE!</v>
      </c>
      <c r="K99" s="63"/>
      <c r="N99" s="35"/>
      <c r="O99" s="133"/>
      <c r="P99" s="15"/>
      <c r="Q99" s="57"/>
    </row>
    <row r="101" spans="1:37">
      <c r="A101">
        <v>300</v>
      </c>
      <c r="H101" s="206">
        <v>1</v>
      </c>
      <c r="I101" s="63" t="e">
        <f>I103-I102</f>
        <v>#VALUE!</v>
      </c>
      <c r="J101" s="17">
        <f>T102-T103</f>
        <v>6</v>
      </c>
      <c r="K101" s="206" t="e">
        <f>(J101-I101)/I101</f>
        <v>#VALUE!</v>
      </c>
      <c r="Q101" s="206" t="e">
        <f>Q103+Q102</f>
        <v>#VALUE!</v>
      </c>
    </row>
    <row r="102" spans="1:37">
      <c r="A102" s="192">
        <v>1</v>
      </c>
      <c r="B102" t="s">
        <v>1117</v>
      </c>
      <c r="C102" t="str" cm="1">
        <f t="array" ref="C102">_xll.BDP(B102&amp;" Equity","OPT_UNDL_TICKER")</f>
        <v>QQQ US</v>
      </c>
      <c r="D102" s="63">
        <f>A102*AVERAGE(K102:L102)</f>
        <v>0.01</v>
      </c>
      <c r="E102" t="str" cm="1">
        <f t="array" ref="E102">_xll.BDP($B102&amp;" Index","opt_days_expire")</f>
        <v>#N/A N/A</v>
      </c>
      <c r="F102" t="str" cm="1">
        <f t="array" ref="F102">_xll.BDP(B102&amp;" Equity","QUOTED_CURRENCY_REALTIME")</f>
        <v>USD</v>
      </c>
      <c r="G102" s="103" t="s">
        <v>191</v>
      </c>
      <c r="H102" s="128">
        <f>H103</f>
        <v>175</v>
      </c>
      <c r="I102" s="96">
        <f>IF(G102="Buy",L102,K102)</f>
        <v>0.01</v>
      </c>
      <c r="J102" s="18">
        <f>I102/S102</f>
        <v>1.6402854096612811E-5</v>
      </c>
      <c r="K102" s="35" t="str" cm="1">
        <f t="array" ref="K102">_xll.BDP($B102&amp;" Equity","bid")</f>
        <v>#N/A N/A</v>
      </c>
      <c r="L102" s="35" cm="1">
        <f t="array" ref="L102">_xll.BDP($B102&amp;" Equity","ask")</f>
        <v>0.01</v>
      </c>
      <c r="M102" s="39" t="e">
        <f>(L102/K102-1)</f>
        <v>#VALUE!</v>
      </c>
      <c r="N102" s="35" cm="1">
        <f t="array" ref="N102">_xll.BDP(F102&amp;" Curncy","PX_LAST")</f>
        <v>1</v>
      </c>
      <c r="O102" s="133" cm="1">
        <f t="array" ref="O102">_xll.BDP(B102&amp;" Equity","OPT_MULTIPLIER")</f>
        <v>100</v>
      </c>
      <c r="P102" s="15">
        <f>IF(G102="Buy",((I102/N102)*H102*O102),((I102/N102)*-H102*O102))</f>
        <v>175</v>
      </c>
      <c r="Q102" s="57">
        <f>P102/'Master P&amp;L'!$AD$5*10000</f>
        <v>7.7915079106859251E-4</v>
      </c>
      <c r="R102" s="36" t="e" cm="1">
        <f t="array" ref="R102">_xll.BDP($C102&amp;" Equity","EST_PE_NXT_YR")*(T102/S102)</f>
        <v>#VALUE!</v>
      </c>
      <c r="S102" s="35" cm="1">
        <f t="array" ref="S102">_xll.BDP(C102&amp;" Equity","LAST_PRICE")</f>
        <v>609.65</v>
      </c>
      <c r="T102" s="52" cm="1">
        <f t="array" ref="T102">_xll.BDP(B102&amp;" Equity","OPT_STRIKE_PX")</f>
        <v>640</v>
      </c>
      <c r="U102" s="39">
        <f>T102/S102-1</f>
        <v>4.9782662183220028E-2</v>
      </c>
      <c r="V102" s="36" cm="1">
        <f t="array" ref="V102">_xll.BDP($B102&amp;" Equity","ivol_mid")</f>
        <v>735.10490000000004</v>
      </c>
      <c r="W102" s="37" cm="1">
        <f t="array" ref="W102">_xll.BDP(B102&amp;" Equity","DELTA_MID_RT")</f>
        <v>1.9120000069960952E-3</v>
      </c>
      <c r="X102" s="47">
        <f>Y102/'Master P&amp;L'!$AE$5</f>
        <v>9.0821774625294793E-6</v>
      </c>
      <c r="Y102" s="15">
        <f>IF(G102="Sell", S102*W102*-H102*O102/N102, S102*W102*H102*O102/N102)</f>
        <v>20398.889074640465</v>
      </c>
      <c r="Z102" s="15" cm="1">
        <f t="array" ref="Z102">_xll.BDP($B102&amp;" Equity","opt_theta")*H102*O102/N102</f>
        <v>0</v>
      </c>
      <c r="AA102" s="18" cm="1">
        <f t="array" ref="AA102">_xll.BDP($B102&amp;" Equity","opt_theta")/I102</f>
        <v>0</v>
      </c>
      <c r="AB102" s="35" t="str" cm="1">
        <f t="array" ref="AB102">_xll.BDP($C102&amp;" Equity","EXPECTED_REPORT_DT")</f>
        <v>#N/A N/A</v>
      </c>
      <c r="AC102" s="15">
        <f>S102*H102*O102/N102</f>
        <v>10668875</v>
      </c>
      <c r="AD102" s="18">
        <f>AC102/'Master P&amp;L'!$AE$5</f>
        <v>4.7500927977496745E-3</v>
      </c>
      <c r="AE102" t="str">
        <f>B102  &amp; " - Buy to open " &amp;  "-" &amp; H102 &amp;"x"</f>
        <v>QQQ US 02/06/26 C640 - Buy to open -175x</v>
      </c>
      <c r="AK102" s="58"/>
    </row>
    <row r="103" spans="1:37">
      <c r="A103" s="192">
        <v>2</v>
      </c>
      <c r="B103" t="s">
        <v>1114</v>
      </c>
      <c r="C103" t="str" cm="1">
        <f t="array" ref="C103">_xll.BDP(B103&amp;" Equity","OPT_UNDL_TICKER")</f>
        <v>QQQ US</v>
      </c>
      <c r="D103" s="63">
        <f>A103*AVERAGE(K103:L103)</f>
        <v>0.02</v>
      </c>
      <c r="E103" t="str" cm="1">
        <f t="array" ref="E103">_xll.BDP($B103&amp;" Index","opt_days_expire")</f>
        <v>#N/A N/A</v>
      </c>
      <c r="F103" t="str" cm="1">
        <f t="array" ref="F103">_xll.BDP(B103&amp;" Equity","QUOTED_CURRENCY_REALTIME")</f>
        <v>USD</v>
      </c>
      <c r="G103" s="103" t="s">
        <v>192</v>
      </c>
      <c r="H103" s="128">
        <v>175</v>
      </c>
      <c r="I103" s="96" t="str">
        <f>IF(G103="Buy",L103,K103)</f>
        <v>#N/A N/A</v>
      </c>
      <c r="J103" s="18" t="e">
        <f>I103/S103</f>
        <v>#VALUE!</v>
      </c>
      <c r="K103" s="35" t="str" cm="1">
        <f t="array" ref="K103">_xll.BDP($B103&amp;" Equity","bid")</f>
        <v>#N/A N/A</v>
      </c>
      <c r="L103" s="35" cm="1">
        <f t="array" ref="L103">_xll.BDP($B103&amp;" Equity","ask")</f>
        <v>0.01</v>
      </c>
      <c r="M103" s="39" t="e">
        <f>(L103/K103-1)</f>
        <v>#VALUE!</v>
      </c>
      <c r="N103" s="35" cm="1">
        <f t="array" ref="N103">_xll.BDP(F103&amp;" Curncy","PX_LAST")</f>
        <v>1</v>
      </c>
      <c r="O103" s="133" cm="1">
        <f t="array" ref="O103">_xll.BDP(B103&amp;" Equity","OPT_MULTIPLIER")</f>
        <v>100</v>
      </c>
      <c r="P103" s="15" t="e">
        <f>IF(G103="Buy",((I103/N103)*H103*O103),((I103/N103)*-H103*O103))</f>
        <v>#VALUE!</v>
      </c>
      <c r="Q103" s="57" t="e">
        <f>P103/'Master P&amp;L'!$AD$5*10000</f>
        <v>#VALUE!</v>
      </c>
      <c r="R103" s="36" t="e" cm="1">
        <f t="array" ref="R103">_xll.BDP($C103&amp;" Equity","EST_PE_NXT_YR")*(T103/S103)</f>
        <v>#VALUE!</v>
      </c>
      <c r="S103" s="35" cm="1">
        <f t="array" ref="S103">_xll.BDP(C103&amp;" Equity","LAST_PRICE")</f>
        <v>609.65</v>
      </c>
      <c r="T103" s="52" cm="1">
        <f t="array" ref="T103">_xll.BDP(B103&amp;" Equity","OPT_STRIKE_PX")</f>
        <v>634</v>
      </c>
      <c r="U103" s="39">
        <f>T103/S103-1</f>
        <v>3.9940949725252306E-2</v>
      </c>
      <c r="V103" s="36" cm="1">
        <f t="array" ref="V103">_xll.BDP($B103&amp;" Equity","ivol_mid")</f>
        <v>611.84090000000003</v>
      </c>
      <c r="W103" s="37" cm="1">
        <f t="array" ref="W103">_xll.BDP(B103&amp;" Equity","DELTA_MID_RT")</f>
        <v>2.2090000566095114E-3</v>
      </c>
      <c r="X103" s="47">
        <f>Y103/'Master P&amp;L'!$AE$5</f>
        <v>-1.0492955259129464E-5</v>
      </c>
      <c r="Y103" s="15">
        <f>IF(G103="Sell", S103*W103*-H103*O103/N103, S103*W103*H103*O103/N103)</f>
        <v>-23567.545478959801</v>
      </c>
      <c r="Z103" s="15" cm="1">
        <f t="array" ref="Z103">_xll.BDP($B103&amp;" Equity","opt_theta")*H103*O103/N103</f>
        <v>0</v>
      </c>
      <c r="AA103" s="18" t="e" cm="1">
        <f t="array" ref="AA103">_xll.BDP($B103&amp;" Equity","opt_theta")/I103</f>
        <v>#VALUE!</v>
      </c>
      <c r="AB103" s="35" t="str" cm="1">
        <f t="array" ref="AB103">_xll.BDP($C103&amp;" Equity","EXPECTED_REPORT_DT")</f>
        <v>#N/A N/A</v>
      </c>
      <c r="AC103" s="15">
        <f>S103*H103*O103/N103</f>
        <v>10668875</v>
      </c>
      <c r="AD103" s="47">
        <f>AC103/'Master P&amp;L'!$AE$5</f>
        <v>4.7500927977496745E-3</v>
      </c>
      <c r="AE103" t="str">
        <f>B103&amp;" -&gt; Buy to open "&amp;H103&amp;"x"</f>
        <v>QQQ US 02/06/26 C634 -&gt; Buy to open 175x</v>
      </c>
    </row>
    <row r="104" spans="1:37">
      <c r="A104" s="192">
        <v>2</v>
      </c>
      <c r="B104" t="s">
        <v>1115</v>
      </c>
      <c r="C104" t="str" cm="1">
        <f t="array" ref="C104">_xll.BDP(B104&amp;" Equity","OPT_UNDL_TICKER")</f>
        <v>QQQ US</v>
      </c>
      <c r="D104" s="63">
        <f>A104*AVERAGE(K104:L104)</f>
        <v>28.85</v>
      </c>
      <c r="E104" t="str" cm="1">
        <f t="array" ref="E104">_xll.BDP($B104&amp;" Index","opt_days_expire")</f>
        <v>#N/A N/A</v>
      </c>
      <c r="F104" t="str" cm="1">
        <f t="array" ref="F104">_xll.BDP(B104&amp;" Equity","QUOTED_CURRENCY_REALTIME")</f>
        <v>USD</v>
      </c>
      <c r="G104" s="103" t="s">
        <v>191</v>
      </c>
      <c r="H104" s="128">
        <f>H103</f>
        <v>175</v>
      </c>
      <c r="I104" s="96">
        <f>IF(G104="Buy",L104,K104)</f>
        <v>16.350000000000001</v>
      </c>
      <c r="J104" s="18">
        <f>I104/S104</f>
        <v>2.681866644796195E-2</v>
      </c>
      <c r="K104" s="35" cm="1">
        <f t="array" ref="K104">_xll.BDP($B104&amp;" Equity","bid")</f>
        <v>12.5</v>
      </c>
      <c r="L104" s="35" cm="1">
        <f t="array" ref="L104">_xll.BDP($B104&amp;" Equity","ask")</f>
        <v>16.350000000000001</v>
      </c>
      <c r="M104" s="39">
        <f>(L104/K104-1)</f>
        <v>0.30800000000000005</v>
      </c>
      <c r="N104" s="35" cm="1">
        <f t="array" ref="N104">_xll.BDP(F104&amp;" Curncy","PX_LAST")</f>
        <v>1</v>
      </c>
      <c r="O104" s="133" cm="1">
        <f t="array" ref="O104">_xll.BDP(B104&amp;" Equity","OPT_MULTIPLIER")</f>
        <v>100</v>
      </c>
      <c r="P104" s="15">
        <f>IF(G104="Buy",((I104/N104)*H104*O104),((I104/N104)*-H104*O104))</f>
        <v>286125.00000000006</v>
      </c>
      <c r="Q104" s="57">
        <f>P104/'Master P&amp;L'!$AD$5*10000</f>
        <v>1.2739115433971488</v>
      </c>
      <c r="R104" s="36" t="e" cm="1">
        <f t="array" ref="R104">_xll.BDP($C104&amp;" Equity","EST_PE_NXT_YR")*(T104/S104)</f>
        <v>#VALUE!</v>
      </c>
      <c r="S104" s="35" cm="1">
        <f t="array" ref="S104">_xll.BDP(C104&amp;" Equity","LAST_PRICE")</f>
        <v>609.65</v>
      </c>
      <c r="T104" s="52" cm="1">
        <f t="array" ref="T104">_xll.BDP(B104&amp;" Equity","OPT_STRIKE_PX")</f>
        <v>624</v>
      </c>
      <c r="U104" s="39">
        <f>T104/S104-1</f>
        <v>2.353809562863951E-2</v>
      </c>
      <c r="V104" s="36" cm="1">
        <f t="array" ref="V104">_xll.BDP(B104&amp;" Equity","ivol_mid")</f>
        <v>1013.772</v>
      </c>
      <c r="W104" s="37" cm="1">
        <f t="array" ref="W104">_xll.BDP(B104&amp;" Equity","DELTA_MID_RT")</f>
        <v>-0.9281659722328186</v>
      </c>
      <c r="X104" s="47">
        <f>Y104/'Master P&amp;L'!$AE$5</f>
        <v>-4.408874499819436E-3</v>
      </c>
      <c r="Y104" s="15">
        <f>IF(G104="Sell", S104*W104*-H104*O104/N104, S104*W104*H104*O104/N104)</f>
        <v>-9902486.7370054126</v>
      </c>
      <c r="Z104" s="15" cm="1">
        <f t="array" ref="Z104">_xll.BDP($B104&amp;" Equity","opt_theta")*H104*O104/N104</f>
        <v>0</v>
      </c>
      <c r="AA104" s="18" cm="1">
        <f t="array" ref="AA104">_xll.BDP($B104&amp;" Equity","opt_theta")/I104</f>
        <v>0</v>
      </c>
      <c r="AB104" s="35" t="str" cm="1">
        <f t="array" ref="AB104">_xll.BDP($C104&amp;" Equity","EXPECTED_REPORT_DT")</f>
        <v>#N/A N/A</v>
      </c>
      <c r="AC104" s="15">
        <f>S104*H104*O104/N104</f>
        <v>10668875</v>
      </c>
      <c r="AD104" s="18">
        <f>AC104/'Master P&amp;L'!$AE$5</f>
        <v>4.7500927977496745E-3</v>
      </c>
      <c r="AE104" t="str">
        <f>B104  &amp; " -&gt; Sell to open " &amp;   H104 &amp;"x"</f>
        <v>QQQ US 02/06/26 P624 -&gt; Sell to open 175x</v>
      </c>
    </row>
    <row r="105" spans="1:37">
      <c r="H105" s="99" t="s">
        <v>64</v>
      </c>
      <c r="I105" s="101" t="e">
        <f>I103-I102-I104</f>
        <v>#VALUE!</v>
      </c>
      <c r="J105" s="99" t="s">
        <v>193</v>
      </c>
      <c r="K105" s="100">
        <f>K104/L103</f>
        <v>1250</v>
      </c>
      <c r="P105" s="127" t="e">
        <f>P103+P104+P102</f>
        <v>#VALUE!</v>
      </c>
      <c r="Q105" s="57" t="e">
        <f>P105/'Master P&amp;L'!$AD$5*10000</f>
        <v>#VALUE!</v>
      </c>
      <c r="S105" s="99" t="s">
        <v>195</v>
      </c>
      <c r="T105" s="101"/>
      <c r="W105" s="99" t="s">
        <v>196</v>
      </c>
      <c r="X105" s="120">
        <f>X103+X104+X102</f>
        <v>-4.410285277616036E-3</v>
      </c>
      <c r="AC105" s="99" t="s">
        <v>173</v>
      </c>
      <c r="AD105" s="120">
        <f>AD103</f>
        <v>4.7500927977496745E-3</v>
      </c>
    </row>
    <row r="106" spans="1:37">
      <c r="H106" s="99" t="s">
        <v>197</v>
      </c>
      <c r="I106" s="101"/>
      <c r="J106" s="99" t="s">
        <v>90</v>
      </c>
      <c r="K106" s="107">
        <f>-AVERAGE(K102:L102)+AVERAGE(K103:L103)-AVERAGE(K104:L104)</f>
        <v>-14.425000000000001</v>
      </c>
      <c r="P106" s="99"/>
      <c r="Q106" s="106"/>
      <c r="S106" s="99"/>
      <c r="T106" s="101"/>
      <c r="W106" s="99"/>
      <c r="X106" s="120"/>
      <c r="Y106" s="13">
        <f>(Y102+Y103+Y104)/S103</f>
        <v>-16248.102014942562</v>
      </c>
      <c r="AC106" s="99"/>
      <c r="AD106" s="102"/>
    </row>
    <row r="107" spans="1:37">
      <c r="B107" s="198" t="e">
        <f>(H103*100*(T102-T103)+P105)/'Master P&amp;L'!$AD$5*10000</f>
        <v>#VALUE!</v>
      </c>
      <c r="D107" s="63"/>
      <c r="H107" s="95"/>
      <c r="I107" s="63" t="e">
        <f>I103-I102</f>
        <v>#VALUE!</v>
      </c>
      <c r="K107" s="63"/>
      <c r="N107" s="35"/>
      <c r="O107" s="133"/>
      <c r="P107" s="15"/>
      <c r="Q107" s="57"/>
    </row>
    <row r="108" spans="1:37">
      <c r="D108" s="63"/>
      <c r="E108" s="126"/>
    </row>
    <row r="109" spans="1:37">
      <c r="D109" s="63"/>
      <c r="I109" s="63">
        <f>I112-I113</f>
        <v>6.0299999999999994</v>
      </c>
      <c r="Q109" s="63">
        <f>Q112+Q113</f>
        <v>0.40270965172659534</v>
      </c>
    </row>
    <row r="110" spans="1:37">
      <c r="A110">
        <v>300</v>
      </c>
      <c r="H110" s="206">
        <v>1</v>
      </c>
      <c r="I110" s="126">
        <f>(I112-I111)/I113</f>
        <v>1.2626262626262625</v>
      </c>
      <c r="K110" s="126"/>
      <c r="Q110" s="126">
        <f>(Q112+Q111)/Q113</f>
        <v>-1.2626262626262623</v>
      </c>
    </row>
    <row r="111" spans="1:37">
      <c r="A111" s="192">
        <v>1</v>
      </c>
      <c r="B111" s="129" t="s">
        <v>985</v>
      </c>
      <c r="C111" t="str" cm="1">
        <f t="array" ref="C111">_xll.BDP(B111&amp;" Equity","OPT_UNDL_TICKER")</f>
        <v>INTC US</v>
      </c>
      <c r="D111" t="str" cm="1">
        <f t="array" ref="D111">_xll.BDP($B111&amp;" Index","mifid_Maturity_date")</f>
        <v>#N/A Invalid Security</v>
      </c>
      <c r="E111" t="str" cm="1">
        <f t="array" ref="E111">_xll.BDP($B111&amp;" Index","opt_days_expire")</f>
        <v>#N/A Invalid Security</v>
      </c>
      <c r="F111" t="str" cm="1">
        <f t="array" ref="F111">_xll.BDP(B111&amp;" Equity","QUOTED_CURRENCY_REALTIME")</f>
        <v>USD</v>
      </c>
      <c r="G111" s="103" t="s">
        <v>192</v>
      </c>
      <c r="H111" s="128">
        <f>H110*H112</f>
        <v>150</v>
      </c>
      <c r="I111" s="96">
        <f>IF(G111="Buy",L111,K111)</f>
        <v>5.25</v>
      </c>
      <c r="J111" s="18">
        <f>I111/S111</f>
        <v>0.10377544969361534</v>
      </c>
      <c r="K111" s="35" cm="1">
        <f t="array" ref="K111">_xll.BDP($B111&amp;" Equity","bid")</f>
        <v>5.25</v>
      </c>
      <c r="L111" s="35" cm="1">
        <f t="array" ref="L111">_xll.BDP($B111&amp;" Equity","ask")</f>
        <v>5.65</v>
      </c>
      <c r="M111" s="39">
        <f>(L111/K111-1)</f>
        <v>7.6190476190476364E-2</v>
      </c>
      <c r="N111" s="35" cm="1">
        <f t="array" ref="N111">_xll.BDP(F111&amp;" Curncy","PX_LAST")</f>
        <v>1</v>
      </c>
      <c r="O111" s="133" cm="1">
        <f t="array" ref="O111">_xll.BDP(B111&amp;" Equity","OPT_MULTIPLIER")</f>
        <v>100</v>
      </c>
      <c r="P111" s="15">
        <f>IF(G111="Buy",((I111/N111)*H111*O111),((I111/N111)*-H111*O111))</f>
        <v>-78750</v>
      </c>
      <c r="Q111" s="57">
        <f>P111/'Master P&amp;L'!$AD$5*10000</f>
        <v>-0.35061785598086664</v>
      </c>
      <c r="R111" s="36" cm="1">
        <f t="array" ref="R111">_xll.BDP($C111&amp;" Equity","EST_PE_NXT_YR")*(T111/S111)</f>
        <v>60.544904137235115</v>
      </c>
      <c r="S111" s="35" cm="1">
        <f t="array" ref="S111">_xll.BDP(C111&amp;" Equity","LAST_PRICE")</f>
        <v>50.59</v>
      </c>
      <c r="T111" s="52" cm="1">
        <f t="array" ref="T111">_xll.BDP(B111&amp;" Equity","OPT_STRIKE_PX")</f>
        <v>60</v>
      </c>
      <c r="U111" s="39">
        <f>T111/S111-1</f>
        <v>0.1860051393556037</v>
      </c>
      <c r="V111" s="36" cm="1">
        <f t="array" ref="V111">_xll.BDP($B111&amp;" Equity","ivol_mid")</f>
        <v>63.382150000000003</v>
      </c>
      <c r="W111" s="37" cm="1">
        <f t="array" ref="W111">_xll.BDP(B111&amp;" Equity","DELTA_MID_RT")</f>
        <v>0.43643701076507568</v>
      </c>
      <c r="X111" s="47">
        <f>Y111/'Master P&amp;L'!$AE$5</f>
        <v>-1.4745550073445147E-4</v>
      </c>
      <c r="Y111" s="15">
        <f>IF(G111="Sell", S111*W111*-H111*O111/N111, S111*W111*H111*O111/N111)</f>
        <v>-331190.22561907774</v>
      </c>
      <c r="Z111" s="15" cm="1">
        <f t="array" ref="Z111">_xll.BDP($B111&amp;" Equity","opt_theta")*H111*O111/N111</f>
        <v>-399.63</v>
      </c>
      <c r="AA111" s="18" cm="1">
        <f t="array" ref="AA111">_xll.BDP($B111&amp;" Equity","opt_theta")/I111</f>
        <v>-5.0746666666666666E-3</v>
      </c>
      <c r="AB111" s="35" t="str" cm="1">
        <f t="array" ref="AB111">_xll.BDP($C111&amp;" Equity","EXPECTED_REPORT_DT")</f>
        <v>24/04/2026</v>
      </c>
      <c r="AC111" s="15">
        <f>S111*H111*O111/N111</f>
        <v>758850.00000000012</v>
      </c>
      <c r="AD111" s="18">
        <f>AC111/'Master P&amp;L'!$AE$5</f>
        <v>3.3786204445851518E-4</v>
      </c>
      <c r="AE111" t="str">
        <f>B111  &amp; " - Buy to open " &amp;  "-" &amp; H111 &amp;"x"</f>
        <v>INTC US 07/17/26 C60 - Buy to open -150x</v>
      </c>
      <c r="AK111" s="58" t="s">
        <v>488</v>
      </c>
    </row>
    <row r="112" spans="1:37">
      <c r="A112" s="192">
        <v>2</v>
      </c>
      <c r="B112" s="129" t="s">
        <v>984</v>
      </c>
      <c r="C112" t="str" cm="1">
        <f t="array" ref="C112">_xll.BDP(B112&amp;" Equity","OPT_UNDL_TICKER")</f>
        <v>INTC US</v>
      </c>
      <c r="D112" t="str" cm="1">
        <f t="array" ref="D112">_xll.BDP($B112&amp;" Index","mifid_Maturity_date")</f>
        <v>#N/A Invalid Security</v>
      </c>
      <c r="E112" t="str" cm="1">
        <f t="array" ref="E112">_xll.BDP($B112&amp;" Index","opt_days_expire")</f>
        <v>#N/A Invalid Security</v>
      </c>
      <c r="F112" t="str" cm="1">
        <f t="array" ref="F112">_xll.BDP(B112&amp;" Equity","QUOTED_CURRENCY_REALTIME")</f>
        <v>USD</v>
      </c>
      <c r="G112" s="103" t="s">
        <v>191</v>
      </c>
      <c r="H112" s="128">
        <v>150</v>
      </c>
      <c r="I112" s="96">
        <f>IF(G112="Buy",L112,K112)</f>
        <v>9</v>
      </c>
      <c r="J112" s="18">
        <f>I112/S112</f>
        <v>0.17790077090334058</v>
      </c>
      <c r="K112" s="35" cm="1">
        <f t="array" ref="K112">_xll.BDP($B112&amp;" Equity","bid")</f>
        <v>8.6</v>
      </c>
      <c r="L112" s="35" cm="1">
        <f t="array" ref="L112">_xll.BDP($B112&amp;" Equity","ask")</f>
        <v>9</v>
      </c>
      <c r="M112" s="39">
        <f>(L112/K112-1)</f>
        <v>4.6511627906976827E-2</v>
      </c>
      <c r="N112" s="35" cm="1">
        <f t="array" ref="N112">_xll.BDP(F112&amp;" Curncy","PX_LAST")</f>
        <v>1</v>
      </c>
      <c r="O112" s="133" cm="1">
        <f t="array" ref="O112">_xll.BDP(B112&amp;" Equity","OPT_MULTIPLIER")</f>
        <v>100</v>
      </c>
      <c r="P112" s="15">
        <f>IF(G112="Buy",((I112/N112)*H112*O112),((I112/N112)*-H112*O112))</f>
        <v>135000</v>
      </c>
      <c r="Q112" s="57">
        <f>P112/'Master P&amp;L'!$AD$5*10000</f>
        <v>0.60105918168148564</v>
      </c>
      <c r="R112" s="36" cm="1">
        <f t="array" ref="R112">_xll.BDP($C112&amp;" Equity","EST_PE_NXT_YR")*(T112/S112)</f>
        <v>50.454086781029268</v>
      </c>
      <c r="S112" s="35">
        <f>_xll.BDP(C112&amp;" Equity","LAST_PRICE")</f>
        <v>50.59</v>
      </c>
      <c r="T112" s="52" cm="1">
        <f t="array" ref="T112">_xll.BDP(B112&amp;" Equity","OPT_STRIKE_PX")</f>
        <v>50</v>
      </c>
      <c r="U112" s="39">
        <f>T112/S112-1</f>
        <v>-1.166238387033014E-2</v>
      </c>
      <c r="V112" s="36" cm="1">
        <f t="array" ref="V112">_xll.BDP($B112&amp;" Equity","ivol_mid")</f>
        <v>61.942390000000003</v>
      </c>
      <c r="W112" s="37" cm="1">
        <f t="array" ref="W112">_xll.BDP(B112&amp;" Equity","DELTA_MID_RT")</f>
        <v>0.60718601942062378</v>
      </c>
      <c r="X112" s="47">
        <f>Y112/'Master P&amp;L'!$AE$5</f>
        <v>2.0514510988807965E-4</v>
      </c>
      <c r="Y112" s="15">
        <f>IF(G112="Sell", S112*W112*-H112*O112/N112, S112*W112*H112*O112/N112)</f>
        <v>460763.11083734047</v>
      </c>
      <c r="Z112" s="15" cm="1">
        <f t="array" ref="Z112">_xll.BDP($B112&amp;" Equity","opt_theta")*H112*O112/N112</f>
        <v>-390.255</v>
      </c>
      <c r="AA112" s="18" cm="1">
        <f t="array" ref="AA112">_xll.BDP($B112&amp;" Equity","opt_theta")/I112</f>
        <v>-2.8907777777777777E-3</v>
      </c>
      <c r="AB112" s="35" t="str" cm="1">
        <f t="array" ref="AB112">_xll.BDP($C112&amp;" Equity","EXPECTED_REPORT_DT")</f>
        <v>24/04/2026</v>
      </c>
      <c r="AC112" s="15">
        <f>S112*H112*O112/N112</f>
        <v>758850.00000000012</v>
      </c>
      <c r="AD112" s="18">
        <f>AC112/'Master P&amp;L'!$AE$5</f>
        <v>3.3786204445851518E-4</v>
      </c>
      <c r="AE112" t="str">
        <f>B112  &amp; " - Buy to open " &amp;  "-" &amp; H112 &amp;"x"</f>
        <v>INTC US 07/17/26 C50 - Buy to open -150x</v>
      </c>
      <c r="AK112" s="58" t="s">
        <v>488</v>
      </c>
    </row>
    <row r="113" spans="1:37">
      <c r="A113" s="192">
        <v>2</v>
      </c>
      <c r="B113" s="129" t="s">
        <v>983</v>
      </c>
      <c r="C113" t="str" cm="1">
        <f t="array" ref="C113">_xll.BDP(B113&amp;" Equity","OPT_UNDL_TICKER")</f>
        <v>INTC US</v>
      </c>
      <c r="D113" t="str" cm="1">
        <f t="array" ref="D113">_xll.BDP($B113&amp;" Index","mifid_Maturity_date")</f>
        <v>#N/A Invalid Security</v>
      </c>
      <c r="E113" t="str" cm="1">
        <f t="array" ref="E113">_xll.BDP($B113&amp;" Index","opt_days_expire")</f>
        <v>#N/A Invalid Security</v>
      </c>
      <c r="F113" t="str" cm="1">
        <f t="array" ref="F113">_xll.BDP(B113&amp;" Equity","QUOTED_CURRENCY_REALTIME")</f>
        <v>USD</v>
      </c>
      <c r="G113" s="103" t="s">
        <v>192</v>
      </c>
      <c r="H113" s="128">
        <f>H112</f>
        <v>150</v>
      </c>
      <c r="I113" s="96">
        <f>IF(G113="Buy",L113,K113)</f>
        <v>2.97</v>
      </c>
      <c r="J113" s="18">
        <f>I113/S113</f>
        <v>5.8707254398102392E-2</v>
      </c>
      <c r="K113" s="35" cm="1">
        <f t="array" ref="K113">_xll.BDP($B113&amp;" Equity","bid")</f>
        <v>2.97</v>
      </c>
      <c r="L113" s="35" cm="1">
        <f t="array" ref="L113">_xll.BDP($B113&amp;" Equity","ask")</f>
        <v>3.15</v>
      </c>
      <c r="M113" s="39">
        <f>(L113/K113-1)</f>
        <v>6.0606060606060552E-2</v>
      </c>
      <c r="N113" s="35" cm="1">
        <f t="array" ref="N113">_xll.BDP(F113&amp;" Curncy","PX_LAST")</f>
        <v>1</v>
      </c>
      <c r="O113" s="133" cm="1">
        <f t="array" ref="O113">_xll.BDP(B113&amp;" Equity","OPT_MULTIPLIER")</f>
        <v>100</v>
      </c>
      <c r="P113" s="15">
        <f>IF(G113="Buy",((I113/N113)*H113*O113),((I113/N113)*-H113*O113))</f>
        <v>-44550.000000000007</v>
      </c>
      <c r="Q113" s="57">
        <f>P113/'Master P&amp;L'!$AD$5*10000</f>
        <v>-0.1983495299548903</v>
      </c>
      <c r="R113" s="36" cm="1">
        <f t="array" ref="R113">_xll.BDP($C113&amp;" Equity","EST_PE_NXT_YR")*(T113/S113)</f>
        <v>40.363269424823415</v>
      </c>
      <c r="S113" s="35" cm="1">
        <f t="array" ref="S113">_xll.BDP(C113&amp;" Equity","LAST_PRICE")</f>
        <v>50.59</v>
      </c>
      <c r="T113" s="52" cm="1">
        <f t="array" ref="T113">_xll.BDP(B113&amp;" Equity","OPT_STRIKE_PX")</f>
        <v>40</v>
      </c>
      <c r="U113" s="39">
        <f>T113/S113-1</f>
        <v>-0.20932990709626409</v>
      </c>
      <c r="V113" s="36" cm="1">
        <f t="array" ref="V113">_xll.BDP($B113&amp;" Equity","ivol_mid")</f>
        <v>62.665669999999999</v>
      </c>
      <c r="W113" s="37" cm="1">
        <f t="array" ref="W113">_xll.BDP(B113&amp;" Equity","DELTA_MID_RT")</f>
        <v>-0.20932799577713013</v>
      </c>
      <c r="X113" s="47">
        <f>Y113/'Master P&amp;L'!$AE$5</f>
        <v>7.0723984615664602E-5</v>
      </c>
      <c r="Y113" s="15">
        <f>IF(G113="Sell", S113*W113*-H113*O113/N113, S113*W113*H113*O113/N113)</f>
        <v>158848.5495954752</v>
      </c>
      <c r="Z113" s="15" cm="1">
        <f t="array" ref="Z113">_xll.BDP($B113&amp;" Equity","opt_theta")*H113*O113/N113</f>
        <v>-280.81500000000005</v>
      </c>
      <c r="AA113" s="18" cm="1">
        <f t="array" ref="AA113">_xll.BDP($B113&amp;" Equity","opt_theta")/I113</f>
        <v>-6.3033670033670035E-3</v>
      </c>
      <c r="AB113" s="35" t="str" cm="1">
        <f t="array" ref="AB113">_xll.BDP($C113&amp;" Equity","EXPECTED_REPORT_DT")</f>
        <v>24/04/2026</v>
      </c>
      <c r="AC113" s="15">
        <f>S113*H113*O113/N113</f>
        <v>758850.00000000012</v>
      </c>
      <c r="AD113" s="18">
        <f>AC113/'Master P&amp;L'!$AE$5</f>
        <v>3.3786204445851518E-4</v>
      </c>
      <c r="AE113" t="str">
        <f>B113  &amp; " - Buy to open " &amp;  "-" &amp; H113 &amp;"x"</f>
        <v>INTC US 07/17/26 P40 - Buy to open -150x</v>
      </c>
      <c r="AK113" s="58" t="s">
        <v>488</v>
      </c>
    </row>
    <row r="114" spans="1:37">
      <c r="H114" s="99" t="s">
        <v>64</v>
      </c>
      <c r="I114" s="101">
        <f>I112-I111-I113</f>
        <v>0.7799999999999998</v>
      </c>
      <c r="J114" s="99" t="s">
        <v>193</v>
      </c>
      <c r="K114" s="100">
        <f>K113/L112</f>
        <v>0.33</v>
      </c>
      <c r="P114" s="127">
        <f>P112+P113+P111</f>
        <v>11700</v>
      </c>
      <c r="Q114" s="57">
        <f>P114/'Master P&amp;L'!$AD$5*10000</f>
        <v>5.2091795745728753E-2</v>
      </c>
      <c r="S114" s="99" t="s">
        <v>195</v>
      </c>
      <c r="T114" s="101"/>
      <c r="W114" s="99" t="s">
        <v>196</v>
      </c>
      <c r="X114" s="120">
        <f>X112+X113+X111</f>
        <v>1.2841359376929276E-4</v>
      </c>
      <c r="AC114" s="99" t="s">
        <v>173</v>
      </c>
      <c r="AD114" s="120">
        <f>AD112</f>
        <v>3.3786204445851518E-4</v>
      </c>
    </row>
    <row r="115" spans="1:37">
      <c r="H115" s="99" t="s">
        <v>197</v>
      </c>
      <c r="I115" s="101"/>
      <c r="J115" s="99" t="s">
        <v>90</v>
      </c>
      <c r="K115" s="107">
        <f>-AVERAGE(K111:L111)+AVERAGE(K112:L112)-AVERAGE(K113:L113)</f>
        <v>0.29000000000000048</v>
      </c>
      <c r="P115" s="99"/>
      <c r="Q115" s="106"/>
      <c r="S115" s="99"/>
      <c r="T115" s="101"/>
      <c r="W115" s="99"/>
      <c r="X115" s="120"/>
      <c r="Y115" s="13">
        <f>(Y111+Y112+Y113)/S112</f>
        <v>5701.1550664901742</v>
      </c>
      <c r="AC115" s="99"/>
      <c r="AD115" s="102"/>
    </row>
    <row r="116" spans="1:37">
      <c r="D116" s="63"/>
      <c r="H116" s="95">
        <v>186</v>
      </c>
      <c r="I116" s="63">
        <f>(I112*A112)-(I113*A113)-(I111*A111)</f>
        <v>6.8099999999999987</v>
      </c>
      <c r="K116" s="63"/>
      <c r="N116" s="35"/>
      <c r="O116" s="133"/>
      <c r="P116" s="15"/>
      <c r="Q116" s="57"/>
      <c r="X116" s="70">
        <f>AD114+X114</f>
        <v>4.6627563822780794E-4</v>
      </c>
    </row>
    <row r="117" spans="1:37">
      <c r="I117" s="63"/>
      <c r="K117" s="63"/>
    </row>
    <row r="118" spans="1:37">
      <c r="H118" s="206">
        <v>1</v>
      </c>
      <c r="I118" s="63" t="e">
        <f>#REF!-#REF!</f>
        <v>#REF!</v>
      </c>
      <c r="K118" s="63"/>
      <c r="Q118" s="126" t="e">
        <f>(#REF!+#REF!)/#REF!</f>
        <v>#REF!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O5" sqref="O5:O400"/>
    </sheetView>
  </sheetViews>
  <sheetFormatPr defaultRowHeight="15" outlineLevelCol="1"/>
  <cols>
    <col min="2" max="2" width="25" style="139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5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9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9" t="s">
        <v>210</v>
      </c>
      <c r="G1" s="189" t="s">
        <v>211</v>
      </c>
      <c r="H1" s="7"/>
      <c r="N1">
        <f>2900+860</f>
        <v>3760</v>
      </c>
    </row>
    <row r="2" spans="2:22">
      <c r="H2"/>
      <c r="K2" s="175"/>
    </row>
    <row r="3" spans="2:22">
      <c r="H3"/>
      <c r="K3" s="21" t="s">
        <v>112</v>
      </c>
      <c r="L3" s="21" t="s">
        <v>112</v>
      </c>
      <c r="M3" s="134" t="s">
        <v>427</v>
      </c>
    </row>
    <row r="4" spans="2:22">
      <c r="B4" s="205" t="s">
        <v>212</v>
      </c>
      <c r="C4" s="187" t="s">
        <v>213</v>
      </c>
      <c r="D4" s="187" t="s">
        <v>214</v>
      </c>
      <c r="E4" s="173" t="s">
        <v>215</v>
      </c>
      <c r="F4" s="187" t="s">
        <v>216</v>
      </c>
      <c r="G4" s="187" t="s">
        <v>217</v>
      </c>
      <c r="H4" s="173" t="s">
        <v>218</v>
      </c>
      <c r="I4" s="173" t="s">
        <v>214</v>
      </c>
      <c r="J4" s="173" t="s">
        <v>215</v>
      </c>
      <c r="K4" s="187" t="s">
        <v>216</v>
      </c>
      <c r="L4" s="187" t="s">
        <v>217</v>
      </c>
      <c r="M4" s="187" t="s">
        <v>219</v>
      </c>
      <c r="O4" s="205" t="s">
        <v>220</v>
      </c>
      <c r="P4" s="173" t="s">
        <v>214</v>
      </c>
      <c r="Q4" s="173" t="s">
        <v>221</v>
      </c>
      <c r="R4" s="177" t="s">
        <v>222</v>
      </c>
    </row>
    <row r="5" spans="2:22">
      <c r="B5" s="139" t="s">
        <v>117</v>
      </c>
      <c r="C5" s="188">
        <f>IF(B5="","",IF(LEN(B5)&gt;9,SUMIFS(Options!$H$3:$H$28,Options!$B$3:$B$28,Check!B5),SUMIFS('Master P&amp;L'!$H$11:$H$88,'Master P&amp;L'!$B$11:$B$88,Check!B5)))</f>
        <v>0</v>
      </c>
      <c r="D5" s="188">
        <f>IF(B5="","",SUMIFS(Input_APM!N:N,Input_APM!L:L,Check!B5,Input_APM!M:M,Check!$F$1))</f>
        <v>0</v>
      </c>
      <c r="E5" s="176">
        <f>IF(B5="","",C5-M5)</f>
        <v>0</v>
      </c>
      <c r="F5" s="188">
        <f>IF(B5="","",SUMIFS(Input_APM!N:N,Input_APM!M:M,Check!$F$1,Input_APM!L:L,Check!B5))</f>
        <v>0</v>
      </c>
      <c r="G5" s="188">
        <f>IF(B5="","",SUMIFS(Input_APM!N:N,Input_APM!M:M,Check!$G$1,Input_APM!L:L,Check!B5))</f>
        <v>0</v>
      </c>
      <c r="H5" s="174">
        <f>IF(B5="","",F5-G5)</f>
        <v>0</v>
      </c>
      <c r="I5" s="174">
        <f>SUMIFS(Input_APM!N:N,Input_APM!L:L,Check!B5)</f>
        <v>0</v>
      </c>
      <c r="J5" s="176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4">
        <f>IF(B5="","",F5+G5+K5+L5)</f>
        <v>0</v>
      </c>
      <c r="O5" s="139" t="s">
        <v>1099</v>
      </c>
      <c r="P5" s="174">
        <f>IF(O5="","",IF(OR(LEFT(O5,4)="Cash",LEFT(O5,4)="Prov"),0,SUMIFS(Input_APM!N:N,Input_APM!L:L,Check!O5)))</f>
        <v>0</v>
      </c>
      <c r="Q5" s="21">
        <f>IF(O5="","",IF(LEN(O5)&gt;9,SUMIFS(Options!$H$3:$H$28,Options!$B$3:$B$28,Check!O5),SUMIFS('Master P&amp;L'!$H$11:$H$88,'Master P&amp;L'!$B$11:$B$88,Check!O5)))</f>
        <v>0</v>
      </c>
      <c r="R5" s="174">
        <f>IF(O5="","",P5-Q5)</f>
        <v>0</v>
      </c>
      <c r="S5" s="289" t="str">
        <f>IF(O5="","",IF((P5+Q5)=0,"Ok",IF(OR(P5=0,Q5=0),"Erro",P5/Q5)))</f>
        <v>Ok</v>
      </c>
      <c r="V5" s="13"/>
    </row>
    <row r="6" spans="2:22">
      <c r="B6" t="s">
        <v>336</v>
      </c>
      <c r="C6" s="188">
        <f>IF(B6="","",IF(LEN(B6)&gt;9,SUMIFS(Options!$H$3:$H$28,Options!$B$3:$B$28,Check!B6),SUMIFS('Master P&amp;L'!$H$11:$H$88,'Master P&amp;L'!$B$11:$B$88,Check!B6)))</f>
        <v>3378</v>
      </c>
      <c r="D6" s="188">
        <f>IF(B6="","",SUMIFS(Input_APM!N:N,Input_APM!L:L,Check!B6,Input_APM!M:M,Check!$F$1))</f>
        <v>3163</v>
      </c>
      <c r="E6" s="176">
        <f>IF(B6="","",C6-M6)</f>
        <v>215</v>
      </c>
      <c r="F6" s="188">
        <f>IF(B6="","",SUMIFS(Input_APM!N:N,Input_APM!M:M,Check!$F$1,Input_APM!L:L,Check!B6))</f>
        <v>3163</v>
      </c>
      <c r="G6" s="188">
        <f>IF(B6="","",SUMIFS(Input_APM!N:N,Input_APM!M:M,Check!$G$1,Input_APM!L:L,Check!B6))</f>
        <v>0</v>
      </c>
      <c r="H6" s="174">
        <f t="shared" ref="H6:H69" si="0">IF(B6="","",F6-G6)</f>
        <v>3163</v>
      </c>
      <c r="I6" s="174">
        <f>SUMIFS(Input_APM!N:N,Input_APM!L:L,Check!B6)</f>
        <v>3163</v>
      </c>
      <c r="J6" s="176">
        <f>IF(B6="","",(F6+G6)-I6)</f>
        <v>0</v>
      </c>
      <c r="K6" s="21">
        <f>IF(B6="","",SUMIFS('Input_APM (Zenith)'!N:N,'Input_APM (Zenith)'!L:L,Check!B6,'Input_APM (Zenith)'!M:M,Check!$F$1))</f>
        <v>0</v>
      </c>
      <c r="L6" s="21">
        <f>IF(B6="","",SUMIFS('Input_APM (Zenith)'!N:N,'Input_APM (Zenith)'!L:L,Check!B6,'Input_APM (Zenith)'!M:M,Check!$G$1))</f>
        <v>0</v>
      </c>
      <c r="M6" s="194">
        <f>IF(B6="","",F6+G6+K6+L6)</f>
        <v>3163</v>
      </c>
      <c r="O6" t="s">
        <v>1116</v>
      </c>
      <c r="P6" s="174">
        <f>IF(O6="","",IF(OR(LEFT(O6,4)="Cash",LEFT(O6,4)="Prov"),0,SUMIFS(Input_APM!N:N,Input_APM!L:L,Check!O6)))</f>
        <v>0</v>
      </c>
      <c r="Q6" s="21">
        <f>IF(O6="","",IF(LEN(O6)&gt;9,SUMIFS(Options!$H$3:$H$28,Options!$B$3:$B$28,Check!O6),SUMIFS('Master P&amp;L'!$H$11:$H$88,'Master P&amp;L'!$B$11:$B$88,Check!O6)))</f>
        <v>0</v>
      </c>
      <c r="R6" s="174">
        <f t="shared" ref="R6:R69" si="1">IF(O6="","",P6-Q6)</f>
        <v>0</v>
      </c>
      <c r="S6" s="289" t="str">
        <f t="shared" ref="S6:S69" si="2">IF(O6="","",IF((P6+Q6)=0,"Ok",IF(OR(P6=0,Q6=0),"Erro",P6/Q6)))</f>
        <v>Ok</v>
      </c>
      <c r="V6" s="13"/>
    </row>
    <row r="7" spans="2:22">
      <c r="B7" t="s">
        <v>809</v>
      </c>
      <c r="C7" s="188">
        <f>IF(B7="","",IF(LEN(B7)&gt;9,SUMIFS(Options!$H$3:$H$28,Options!$B$3:$B$28,Check!B7),SUMIFS('Master P&amp;L'!$H$11:$H$88,'Master P&amp;L'!$B$11:$B$88,Check!B7)))</f>
        <v>3910</v>
      </c>
      <c r="D7" s="188">
        <f>IF(B7="","",SUMIFS(Input_APM!N:N,Input_APM!L:L,Check!B7,Input_APM!M:M,Check!$F$1))</f>
        <v>3661</v>
      </c>
      <c r="E7" s="176">
        <f>IF(B7="","",C7-M7)</f>
        <v>249</v>
      </c>
      <c r="F7" s="188">
        <f>IF(B7="","",SUMIFS(Input_APM!N:N,Input_APM!M:M,Check!$F$1,Input_APM!L:L,Check!B7))</f>
        <v>3661</v>
      </c>
      <c r="G7" s="188">
        <f>IF(B7="","",SUMIFS(Input_APM!N:N,Input_APM!M:M,Check!$G$1,Input_APM!L:L,Check!B7))</f>
        <v>0</v>
      </c>
      <c r="H7" s="174">
        <f>IF(B7="","",F7-G7)</f>
        <v>3661</v>
      </c>
      <c r="I7" s="174">
        <f>SUMIFS(Input_APM!N:N,Input_APM!L:L,Check!B7)</f>
        <v>3661</v>
      </c>
      <c r="J7" s="176">
        <f t="shared" ref="J7:J69" si="3">IF(B7="","",(F7+G7)-I7)</f>
        <v>0</v>
      </c>
      <c r="K7" s="21">
        <f>IF(B7="","",SUMIFS('Input_APM (Zenith)'!N:N,'Input_APM (Zenith)'!L:L,Check!B7,'Input_APM (Zenith)'!M:M,Check!$F$1))</f>
        <v>0</v>
      </c>
      <c r="L7" s="21">
        <f>IF(B7="","",SUMIFS('Input_APM (Zenith)'!N:N,'Input_APM (Zenith)'!L:L,Check!B7,'Input_APM (Zenith)'!M:M,Check!$G$1))</f>
        <v>0</v>
      </c>
      <c r="M7" s="194">
        <f t="shared" ref="M7:M69" si="4">IF(B7="","",F7+G7+K7+L7)</f>
        <v>3661</v>
      </c>
      <c r="O7" t="s">
        <v>27</v>
      </c>
      <c r="P7" s="174">
        <f>IF(O7="","",IF(OR(LEFT(O7,4)="Cash",LEFT(O7,4)="Prov"),0,SUMIFS(Input_APM!N:N,Input_APM!L:L,Check!O7)))</f>
        <v>3853</v>
      </c>
      <c r="Q7" s="21">
        <f>IF(O7="","",IF(LEN(O7)&gt;9,SUMIFS(Options!$H$3:$H$28,Options!$B$3:$B$28,Check!O7),SUMIFS('Master P&amp;L'!$H$11:$H$88,'Master P&amp;L'!$B$11:$B$88,Check!O7)))</f>
        <v>0</v>
      </c>
      <c r="R7" s="174">
        <f t="shared" si="1"/>
        <v>3853</v>
      </c>
      <c r="S7" s="289" t="str">
        <f t="shared" si="2"/>
        <v>Erro</v>
      </c>
      <c r="V7" s="13"/>
    </row>
    <row r="8" spans="2:22">
      <c r="B8" t="s">
        <v>7</v>
      </c>
      <c r="C8" s="188">
        <f>IF(B8="","",IF(LEN(B8)&gt;9,SUMIFS(Options!$H$3:$H$28,Options!$B$3:$B$28,Check!B8),SUMIFS('Master P&amp;L'!$H$11:$H$88,'Master P&amp;L'!$B$11:$B$88,Check!B8)))</f>
        <v>0</v>
      </c>
      <c r="D8" s="188">
        <f>IF(B8="","",SUMIFS(Input_APM!N:N,Input_APM!L:L,Check!B8,Input_APM!M:M,Check!$F$1))</f>
        <v>0</v>
      </c>
      <c r="E8" s="176">
        <f>IF(B8="","",C8-M8)</f>
        <v>0</v>
      </c>
      <c r="F8" s="188">
        <f>IF(B8="","",SUMIFS(Input_APM!N:N,Input_APM!M:M,Check!$F$1,Input_APM!L:L,Check!B8))</f>
        <v>0</v>
      </c>
      <c r="G8" s="188">
        <f>IF(B8="","",SUMIFS(Input_APM!N:N,Input_APM!M:M,Check!$G$1,Input_APM!L:L,Check!B8))</f>
        <v>0</v>
      </c>
      <c r="H8" s="174">
        <f t="shared" si="0"/>
        <v>0</v>
      </c>
      <c r="I8" s="174">
        <f>SUMIFS(Input_APM!N:N,Input_APM!L:L,Check!B8)</f>
        <v>0</v>
      </c>
      <c r="J8" s="176">
        <f t="shared" si="3"/>
        <v>0</v>
      </c>
      <c r="K8" s="21">
        <f>IF(B8="","",SUMIFS('Input_APM (Zenith)'!N:N,'Input_APM (Zenith)'!L:L,Check!B8,'Input_APM (Zenith)'!M:M,Check!$F$1))</f>
        <v>0</v>
      </c>
      <c r="L8" s="21">
        <f>IF(B8="","",SUMIFS('Input_APM (Zenith)'!N:N,'Input_APM (Zenith)'!L:L,Check!B8,'Input_APM (Zenith)'!M:M,Check!$G$1))</f>
        <v>0</v>
      </c>
      <c r="M8" s="194">
        <f t="shared" si="4"/>
        <v>0</v>
      </c>
      <c r="O8" t="s">
        <v>1095</v>
      </c>
      <c r="P8" s="174">
        <f>IF(O8="","",IF(OR(LEFT(O8,4)="Cash",LEFT(O8,4)="Prov"),0,SUMIFS(Input_APM!N:N,Input_APM!L:L,Check!O8)))</f>
        <v>329</v>
      </c>
      <c r="Q8" s="21">
        <f>IF(O8="","",IF(LEN(O8)&gt;9,SUMIFS(Options!$H$3:$H$28,Options!$B$3:$B$28,Check!O8),SUMIFS('Master P&amp;L'!$H$11:$H$88,'Master P&amp;L'!$B$11:$B$88,Check!O8)))</f>
        <v>350</v>
      </c>
      <c r="R8" s="174">
        <f t="shared" si="1"/>
        <v>-21</v>
      </c>
      <c r="S8" s="289">
        <f t="shared" si="2"/>
        <v>0.94</v>
      </c>
      <c r="V8" s="13"/>
    </row>
    <row r="9" spans="2:22">
      <c r="B9" t="s">
        <v>1130</v>
      </c>
      <c r="C9" s="188">
        <f>IF(B9="","",IF(LEN(B9)&gt;9,SUMIFS(Options!$H$3:$H$28,Options!$B$3:$B$28,Check!B9),SUMIFS('Master P&amp;L'!$H$11:$H$88,'Master P&amp;L'!$B$11:$B$88,Check!B9)))</f>
        <v>0</v>
      </c>
      <c r="D9" s="188">
        <f>IF(B9="","",SUMIFS(Input_APM!N:N,Input_APM!L:L,Check!B9,Input_APM!M:M,Check!$F$1))</f>
        <v>0</v>
      </c>
      <c r="E9" s="176">
        <f>IF(B9="","",C9-M9)</f>
        <v>0</v>
      </c>
      <c r="F9" s="188">
        <f>IF(B9="","",SUMIFS(Input_APM!N:N,Input_APM!M:M,Check!$F$1,Input_APM!L:L,Check!B9))</f>
        <v>0</v>
      </c>
      <c r="G9" s="188">
        <f>IF(B9="","",SUMIFS(Input_APM!N:N,Input_APM!M:M,Check!$G$1,Input_APM!L:L,Check!B9))</f>
        <v>0</v>
      </c>
      <c r="H9" s="174">
        <f t="shared" si="0"/>
        <v>0</v>
      </c>
      <c r="I9" s="174">
        <f>SUMIFS(Input_APM!N:N,Input_APM!L:L,Check!B9)</f>
        <v>0</v>
      </c>
      <c r="J9" s="176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4">
        <f t="shared" si="4"/>
        <v>0</v>
      </c>
      <c r="O9" t="s">
        <v>1096</v>
      </c>
      <c r="P9" s="174">
        <f>IF(O9="","",IF(OR(LEFT(O9,4)="Cash",LEFT(O9,4)="Prov"),0,SUMIFS(Input_APM!N:N,Input_APM!L:L,Check!O9)))</f>
        <v>-329</v>
      </c>
      <c r="Q9" s="21">
        <f>IF(O9="","",IF(LEN(O9)&gt;9,SUMIFS(Options!$H$3:$H$28,Options!$B$3:$B$28,Check!O9),SUMIFS('Master P&amp;L'!$H$11:$H$88,'Master P&amp;L'!$B$11:$B$88,Check!O9)))</f>
        <v>-350</v>
      </c>
      <c r="R9" s="174">
        <f t="shared" si="1"/>
        <v>21</v>
      </c>
      <c r="S9" s="289">
        <f t="shared" si="2"/>
        <v>0.94</v>
      </c>
      <c r="V9" s="13"/>
    </row>
    <row r="10" spans="2:22">
      <c r="B10" t="s">
        <v>580</v>
      </c>
      <c r="C10" s="188">
        <f>IF(B10="","",IF(LEN(B10)&gt;9,SUMIFS(Options!$H$3:$H$28,Options!$B$3:$B$28,Check!B10),SUMIFS('Master P&amp;L'!$H$11:$H$88,'Master P&amp;L'!$B$11:$B$88,Check!B10)))</f>
        <v>-130</v>
      </c>
      <c r="D10" s="188">
        <f>IF(B10="","",SUMIFS(Input_APM!N:N,Input_APM!L:L,Check!B10,Input_APM!M:M,Check!$F$1))</f>
        <v>0</v>
      </c>
      <c r="E10" s="174">
        <f t="shared" ref="E10:E65" si="5">IF(B10="","",C10-M10)</f>
        <v>-130</v>
      </c>
      <c r="F10" s="188">
        <f>IF(B10="","",SUMIFS(Input_APM!N:N,Input_APM!M:M,Check!$F$1,Input_APM!L:L,Check!B10))</f>
        <v>0</v>
      </c>
      <c r="G10" s="188">
        <f>IF(B10="","",SUMIFS(Input_APM!N:N,Input_APM!M:M,Check!$G$1,Input_APM!L:L,Check!B10))</f>
        <v>0</v>
      </c>
      <c r="H10" s="174">
        <f t="shared" si="0"/>
        <v>0</v>
      </c>
      <c r="I10" s="174">
        <f>SUMIFS(Input_APM!N:N,Input_APM!L:L,Check!B10)</f>
        <v>0</v>
      </c>
      <c r="J10" s="176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194">
        <f t="shared" si="4"/>
        <v>0</v>
      </c>
      <c r="O10" t="s">
        <v>1013</v>
      </c>
      <c r="P10" s="174">
        <f>IF(O10="","",IF(OR(LEFT(O10,4)="Cash",LEFT(O10,4)="Prov"),0,SUMIFS(Input_APM!N:N,Input_APM!L:L,Check!O10)))</f>
        <v>0</v>
      </c>
      <c r="Q10" s="21">
        <f>IF(O10="","",IF(LEN(O10)&gt;9,SUMIFS(Options!$H$3:$H$28,Options!$B$3:$B$28,Check!O10),SUMIFS('Master P&amp;L'!$H$11:$H$88,'Master P&amp;L'!$B$11:$B$88,Check!O10)))</f>
        <v>0</v>
      </c>
      <c r="R10" s="174">
        <f t="shared" si="1"/>
        <v>0</v>
      </c>
      <c r="S10" s="289" t="str">
        <f t="shared" si="2"/>
        <v>Ok</v>
      </c>
      <c r="V10" s="13"/>
    </row>
    <row r="11" spans="2:22">
      <c r="B11" t="s">
        <v>816</v>
      </c>
      <c r="C11" s="188">
        <f>IF(B11="","",IF(LEN(B11)&gt;9,SUMIFS(Options!$H$3:$H$28,Options!$B$3:$B$28,Check!B11),SUMIFS('Master P&amp;L'!$H$11:$H$88,'Master P&amp;L'!$B$11:$B$88,Check!B11)))</f>
        <v>14500</v>
      </c>
      <c r="D11" s="188">
        <f>IF(B11="","",SUMIFS(Input_APM!N:N,Input_APM!L:L,Check!B11,Input_APM!M:M,Check!$F$1))</f>
        <v>13594</v>
      </c>
      <c r="E11" s="174">
        <f t="shared" si="5"/>
        <v>906</v>
      </c>
      <c r="F11" s="188">
        <f>IF(B11="","",SUMIFS(Input_APM!N:N,Input_APM!M:M,Check!$F$1,Input_APM!L:L,Check!B11))</f>
        <v>13594</v>
      </c>
      <c r="G11" s="188">
        <f>IF(B11="","",SUMIFS(Input_APM!N:N,Input_APM!M:M,Check!$G$1,Input_APM!L:L,Check!B11))</f>
        <v>0</v>
      </c>
      <c r="H11" s="174">
        <f t="shared" si="0"/>
        <v>13594</v>
      </c>
      <c r="I11" s="174">
        <f>SUMIFS(Input_APM!N:N,Input_APM!L:L,Check!B11)</f>
        <v>13594</v>
      </c>
      <c r="J11" s="176">
        <f t="shared" si="3"/>
        <v>0</v>
      </c>
      <c r="K11" s="21">
        <f>IF(B11="","",SUMIFS('Input_APM (Zenith)'!N:N,'Input_APM (Zenith)'!L:L,Check!B11,'Input_APM (Zenith)'!M:M,Check!$F$1))</f>
        <v>0</v>
      </c>
      <c r="L11" s="21">
        <f>IF(B11="","",SUMIFS('Input_APM (Zenith)'!N:N,'Input_APM (Zenith)'!L:L,Check!B11,'Input_APM (Zenith)'!M:M,Check!$G$1))</f>
        <v>0</v>
      </c>
      <c r="M11" s="194">
        <f t="shared" si="4"/>
        <v>13594</v>
      </c>
      <c r="O11" t="s">
        <v>318</v>
      </c>
      <c r="P11" s="174">
        <f>IF(O11="","",IF(OR(LEFT(O11,4)="Cash",LEFT(O11,4)="Prov"),0,SUMIFS(Input_APM!N:N,Input_APM!L:L,Check!O11)))</f>
        <v>11424</v>
      </c>
      <c r="Q11" s="21">
        <f>IF(O11="","",IF(LEN(O11)&gt;9,SUMIFS(Options!$H$3:$H$28,Options!$B$3:$B$28,Check!O11),SUMIFS('Master P&amp;L'!$H$11:$H$88,'Master P&amp;L'!$B$11:$B$88,Check!O11)))</f>
        <v>0</v>
      </c>
      <c r="R11" s="174">
        <f t="shared" si="1"/>
        <v>11424</v>
      </c>
      <c r="S11" s="289" t="str">
        <f t="shared" si="2"/>
        <v>Erro</v>
      </c>
      <c r="V11" s="13"/>
    </row>
    <row r="12" spans="2:22">
      <c r="B12" t="s">
        <v>27</v>
      </c>
      <c r="C12" s="188">
        <f>IF(B12="","",IF(LEN(B12)&gt;9,SUMIFS(Options!$H$3:$H$28,Options!$B$3:$B$28,Check!B12),SUMIFS('Master P&amp;L'!$H$11:$H$88,'Master P&amp;L'!$B$11:$B$88,Check!B12)))</f>
        <v>0</v>
      </c>
      <c r="D12" s="188">
        <f>IF(B12="","",SUMIFS(Input_APM!N:N,Input_APM!L:L,Check!B12,Input_APM!M:M,Check!$F$1))</f>
        <v>3853</v>
      </c>
      <c r="E12" s="174">
        <f t="shared" si="5"/>
        <v>-3853</v>
      </c>
      <c r="F12" s="188">
        <f>IF(B12="","",SUMIFS(Input_APM!N:N,Input_APM!M:M,Check!$F$1,Input_APM!L:L,Check!B12))</f>
        <v>3853</v>
      </c>
      <c r="G12" s="188">
        <f>IF(B12="","",SUMIFS(Input_APM!N:N,Input_APM!M:M,Check!$G$1,Input_APM!L:L,Check!B12))</f>
        <v>0</v>
      </c>
      <c r="H12" s="174">
        <f t="shared" si="0"/>
        <v>3853</v>
      </c>
      <c r="I12" s="174">
        <f>SUMIFS(Input_APM!N:N,Input_APM!L:L,Check!B12)</f>
        <v>3853</v>
      </c>
      <c r="J12" s="176">
        <f t="shared" si="3"/>
        <v>0</v>
      </c>
      <c r="K12" s="21">
        <f>IF(B12="","",SUMIFS('Input_APM (Zenith)'!N:N,'Input_APM (Zenith)'!L:L,Check!B12,'Input_APM (Zenith)'!M:M,Check!$F$1))</f>
        <v>0</v>
      </c>
      <c r="L12" s="21">
        <f>IF(B12="","",SUMIFS('Input_APM (Zenith)'!N:N,'Input_APM (Zenith)'!L:L,Check!B12,'Input_APM (Zenith)'!M:M,Check!$G$1))</f>
        <v>0</v>
      </c>
      <c r="M12" s="194">
        <f t="shared" si="4"/>
        <v>3853</v>
      </c>
      <c r="O12" t="s">
        <v>7</v>
      </c>
      <c r="P12" s="174">
        <f>IF(O12="","",IF(OR(LEFT(O12,4)="Cash",LEFT(O12,4)="Prov"),0,SUMIFS(Input_APM!N:N,Input_APM!L:L,Check!O12)))</f>
        <v>0</v>
      </c>
      <c r="Q12" s="21">
        <f>IF(O12="","",IF(LEN(O12)&gt;9,SUMIFS(Options!$H$3:$H$28,Options!$B$3:$B$28,Check!O12),SUMIFS('Master P&amp;L'!$H$11:$H$88,'Master P&amp;L'!$B$11:$B$88,Check!O12)))</f>
        <v>0</v>
      </c>
      <c r="R12" s="174">
        <f t="shared" si="1"/>
        <v>0</v>
      </c>
      <c r="S12" s="289" t="str">
        <f t="shared" si="2"/>
        <v>Ok</v>
      </c>
      <c r="V12" s="13"/>
    </row>
    <row r="13" spans="2:22">
      <c r="B13" t="s">
        <v>318</v>
      </c>
      <c r="C13" s="188">
        <f>IF(B13="","",IF(LEN(B13)&gt;9,SUMIFS(Options!$H$3:$H$28,Options!$B$3:$B$28,Check!B13),SUMIFS('Master P&amp;L'!$H$11:$H$88,'Master P&amp;L'!$B$11:$B$88,Check!B13)))</f>
        <v>0</v>
      </c>
      <c r="D13" s="188">
        <f>IF(B13="","",SUMIFS(Input_APM!N:N,Input_APM!L:L,Check!B13,Input_APM!M:M,Check!$F$1))</f>
        <v>11424</v>
      </c>
      <c r="E13" s="176">
        <f t="shared" si="5"/>
        <v>-11424</v>
      </c>
      <c r="F13" s="188">
        <f>IF(B13="","",SUMIFS(Input_APM!N:N,Input_APM!M:M,Check!$F$1,Input_APM!L:L,Check!B13))</f>
        <v>11424</v>
      </c>
      <c r="G13" s="188">
        <f>IF(B13="","",SUMIFS(Input_APM!N:N,Input_APM!M:M,Check!$G$1,Input_APM!L:L,Check!B13))</f>
        <v>0</v>
      </c>
      <c r="H13" s="174">
        <f t="shared" si="0"/>
        <v>11424</v>
      </c>
      <c r="I13" s="174">
        <f>SUMIFS(Input_APM!N:N,Input_APM!L:L,Check!B13)</f>
        <v>11424</v>
      </c>
      <c r="J13" s="176">
        <f t="shared" si="3"/>
        <v>0</v>
      </c>
      <c r="K13" s="21">
        <f>IF(B13="","",SUMIFS('Input_APM (Zenith)'!N:N,'Input_APM (Zenith)'!L:L,Check!B13,'Input_APM (Zenith)'!M:M,Check!$F$1))</f>
        <v>0</v>
      </c>
      <c r="L13" s="21">
        <f>IF(B13="","",SUMIFS('Input_APM (Zenith)'!N:N,'Input_APM (Zenith)'!L:L,Check!B13,'Input_APM (Zenith)'!M:M,Check!$G$1))</f>
        <v>0</v>
      </c>
      <c r="M13" s="194">
        <f t="shared" si="4"/>
        <v>11424</v>
      </c>
      <c r="O13" t="s">
        <v>895</v>
      </c>
      <c r="P13" s="174">
        <f>IF(O13="","",IF(OR(LEFT(O13,4)="Cash",LEFT(O13,4)="Prov"),0,SUMIFS(Input_APM!N:N,Input_APM!L:L,Check!O13)))</f>
        <v>935</v>
      </c>
      <c r="Q13" s="21">
        <f>IF(O13="","",IF(LEN(O13)&gt;9,SUMIFS(Options!$H$3:$H$28,Options!$B$3:$B$28,Check!O13),SUMIFS('Master P&amp;L'!$H$11:$H$88,'Master P&amp;L'!$B$11:$B$88,Check!O13)))</f>
        <v>1000</v>
      </c>
      <c r="R13" s="174">
        <f t="shared" si="1"/>
        <v>-65</v>
      </c>
      <c r="S13" s="289">
        <f t="shared" si="2"/>
        <v>0.93500000000000005</v>
      </c>
      <c r="V13" s="13"/>
    </row>
    <row r="14" spans="2:22">
      <c r="B14" t="s">
        <v>1141</v>
      </c>
      <c r="C14" s="188">
        <f>IF(B14="","",IF(LEN(B14)&gt;9,SUMIFS(Options!$H$3:$H$28,Options!$B$3:$B$28,Check!B14),SUMIFS('Master P&amp;L'!$H$11:$H$88,'Master P&amp;L'!$B$11:$B$88,Check!B14)))</f>
        <v>0</v>
      </c>
      <c r="D14" s="188">
        <f>IF(B14="","",SUMIFS(Input_APM!N:N,Input_APM!L:L,Check!B14,Input_APM!M:M,Check!$F$1))</f>
        <v>0</v>
      </c>
      <c r="E14" s="174">
        <f t="shared" si="5"/>
        <v>0</v>
      </c>
      <c r="F14" s="188">
        <f>IF(B14="","",SUMIFS(Input_APM!N:N,Input_APM!M:M,Check!$F$1,Input_APM!L:L,Check!B14))</f>
        <v>0</v>
      </c>
      <c r="G14" s="188">
        <f>IF(B14="","",SUMIFS(Input_APM!N:N,Input_APM!M:M,Check!$G$1,Input_APM!L:L,Check!B14))</f>
        <v>0</v>
      </c>
      <c r="H14" s="174">
        <f t="shared" si="0"/>
        <v>0</v>
      </c>
      <c r="I14" s="174">
        <f>SUMIFS(Input_APM!N:N,Input_APM!L:L,Check!B14)</f>
        <v>0</v>
      </c>
      <c r="J14" s="176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4">
        <f t="shared" si="4"/>
        <v>0</v>
      </c>
      <c r="O14" t="s">
        <v>84</v>
      </c>
      <c r="P14" s="174">
        <f>IF(O14="","",IF(OR(LEFT(O14,4)="Cash",LEFT(O14,4)="Prov"),0,SUMIFS(Input_APM!N:N,Input_APM!L:L,Check!O14)))</f>
        <v>0</v>
      </c>
      <c r="Q14" s="21">
        <f>IF(O14="","",IF(LEN(O14)&gt;9,SUMIFS(Options!$H$3:$H$28,Options!$B$3:$B$28,Check!O14),SUMIFS('Master P&amp;L'!$H$11:$H$88,'Master P&amp;L'!$B$11:$B$88,Check!O14)))</f>
        <v>16500</v>
      </c>
      <c r="R14" s="174">
        <f t="shared" si="1"/>
        <v>-16500</v>
      </c>
      <c r="S14" s="289" t="str">
        <f t="shared" si="2"/>
        <v>Erro</v>
      </c>
      <c r="V14" s="13"/>
    </row>
    <row r="15" spans="2:22">
      <c r="B15" t="s">
        <v>29</v>
      </c>
      <c r="C15" s="188">
        <f>IF(B15="","",IF(LEN(B15)&gt;9,SUMIFS(Options!$H$3:$H$28,Options!$B$3:$B$28,Check!B15),SUMIFS('Master P&amp;L'!$H$11:$H$88,'Master P&amp;L'!$B$11:$B$88,Check!B15)))</f>
        <v>4450</v>
      </c>
      <c r="D15" s="188">
        <f>IF(B15="","",SUMIFS(Input_APM!N:N,Input_APM!L:L,Check!B15,Input_APM!M:M,Check!$F$1))</f>
        <v>4183</v>
      </c>
      <c r="E15" s="176">
        <f t="shared" si="5"/>
        <v>267</v>
      </c>
      <c r="F15" s="188">
        <f>IF(B15="","",SUMIFS(Input_APM!N:N,Input_APM!M:M,Check!$F$1,Input_APM!L:L,Check!B15))</f>
        <v>4183</v>
      </c>
      <c r="G15" s="188">
        <f>IF(B15="","",SUMIFS(Input_APM!N:N,Input_APM!M:M,Check!$G$1,Input_APM!L:L,Check!B15))</f>
        <v>0</v>
      </c>
      <c r="H15" s="174">
        <f t="shared" si="0"/>
        <v>4183</v>
      </c>
      <c r="I15" s="174">
        <f>SUMIFS(Input_APM!N:N,Input_APM!L:L,Check!B15)</f>
        <v>4183</v>
      </c>
      <c r="J15" s="176">
        <f t="shared" si="3"/>
        <v>0</v>
      </c>
      <c r="K15" s="21">
        <f>IF(B15="","",SUMIFS('Input_APM (Zenith)'!N:N,'Input_APM (Zenith)'!L:L,Check!B15,'Input_APM (Zenith)'!M:M,Check!$F$1))</f>
        <v>0</v>
      </c>
      <c r="L15" s="21">
        <f>IF(B15="","",SUMIFS('Input_APM (Zenith)'!N:N,'Input_APM (Zenith)'!L:L,Check!B15,'Input_APM (Zenith)'!M:M,Check!$G$1))</f>
        <v>0</v>
      </c>
      <c r="M15" s="194">
        <f t="shared" si="4"/>
        <v>4183</v>
      </c>
      <c r="O15" t="s">
        <v>774</v>
      </c>
      <c r="P15" s="174">
        <f>IF(O15="","",IF(OR(LEFT(O15,4)="Cash",LEFT(O15,4)="Prov"),0,SUMIFS(Input_APM!N:N,Input_APM!L:L,Check!O15)))</f>
        <v>114</v>
      </c>
      <c r="Q15" s="21">
        <f>IF(O15="","",IF(LEN(O15)&gt;9,SUMIFS(Options!$H$3:$H$28,Options!$B$3:$B$28,Check!O15),SUMIFS('Master P&amp;L'!$H$11:$H$88,'Master P&amp;L'!$B$11:$B$88,Check!O15)))</f>
        <v>120</v>
      </c>
      <c r="R15" s="174">
        <f t="shared" si="1"/>
        <v>-6</v>
      </c>
      <c r="S15" s="289">
        <f t="shared" si="2"/>
        <v>0.95</v>
      </c>
      <c r="V15" s="13"/>
    </row>
    <row r="16" spans="2:22">
      <c r="B16" t="s">
        <v>38</v>
      </c>
      <c r="C16" s="188">
        <f>IF(B16="","",IF(LEN(B16)&gt;9,SUMIFS(Options!$H$3:$H$28,Options!$B$3:$B$28,Check!B16),SUMIFS('Master P&amp;L'!$H$11:$H$88,'Master P&amp;L'!$B$11:$B$88,Check!B16)))</f>
        <v>2980</v>
      </c>
      <c r="D16" s="188">
        <f>IF(B16="","",SUMIFS(Input_APM!N:N,Input_APM!L:L,Check!B16,Input_APM!M:M,Check!$F$1))</f>
        <v>1751</v>
      </c>
      <c r="E16" s="174">
        <f t="shared" si="5"/>
        <v>1229</v>
      </c>
      <c r="F16" s="188">
        <f>IF(B16="","",SUMIFS(Input_APM!N:N,Input_APM!M:M,Check!$F$1,Input_APM!L:L,Check!B16))</f>
        <v>1751</v>
      </c>
      <c r="G16" s="188">
        <f>IF(B16="","",SUMIFS(Input_APM!N:N,Input_APM!M:M,Check!$G$1,Input_APM!L:L,Check!B16))</f>
        <v>0</v>
      </c>
      <c r="H16" s="174">
        <f t="shared" si="0"/>
        <v>1751</v>
      </c>
      <c r="I16" s="174">
        <f>SUMIFS(Input_APM!N:N,Input_APM!L:L,Check!B16)</f>
        <v>1751</v>
      </c>
      <c r="J16" s="176">
        <f t="shared" si="3"/>
        <v>0</v>
      </c>
      <c r="K16" s="21">
        <f>IF(B16="","",SUMIFS('Input_APM (Zenith)'!N:N,'Input_APM (Zenith)'!L:L,Check!B16,'Input_APM (Zenith)'!M:M,Check!$F$1))</f>
        <v>0</v>
      </c>
      <c r="L16" s="21">
        <f>IF(B16="","",SUMIFS('Input_APM (Zenith)'!N:N,'Input_APM (Zenith)'!L:L,Check!B16,'Input_APM (Zenith)'!M:M,Check!$G$1))</f>
        <v>0</v>
      </c>
      <c r="M16" s="194">
        <f t="shared" si="4"/>
        <v>1751</v>
      </c>
      <c r="O16" t="s">
        <v>336</v>
      </c>
      <c r="P16" s="174">
        <f>IF(O16="","",IF(OR(LEFT(O16,4)="Cash",LEFT(O16,4)="Prov"),0,SUMIFS(Input_APM!N:N,Input_APM!L:L,Check!O16)))</f>
        <v>3163</v>
      </c>
      <c r="Q16" s="21">
        <f>IF(O16="","",IF(LEN(O16)&gt;9,SUMIFS(Options!$H$3:$H$28,Options!$B$3:$B$28,Check!O16),SUMIFS('Master P&amp;L'!$H$11:$H$88,'Master P&amp;L'!$B$11:$B$88,Check!O16)))</f>
        <v>3378</v>
      </c>
      <c r="R16" s="174">
        <f t="shared" si="1"/>
        <v>-215</v>
      </c>
      <c r="S16" s="289">
        <f t="shared" si="2"/>
        <v>0.9363528715216104</v>
      </c>
      <c r="V16" s="13"/>
    </row>
    <row r="17" spans="2:22">
      <c r="B17" t="s">
        <v>37</v>
      </c>
      <c r="C17" s="188">
        <f>IF(B17="","",IF(LEN(B17)&gt;9,SUMIFS(Options!$H$3:$H$28,Options!$B$3:$B$28,Check!B17),SUMIFS('Master P&amp;L'!$H$11:$H$88,'Master P&amp;L'!$B$11:$B$88,Check!B17)))</f>
        <v>-11500</v>
      </c>
      <c r="D17" s="188">
        <f>IF(B17="","",SUMIFS(Input_APM!N:N,Input_APM!L:L,Check!B17,Input_APM!M:M,Check!$F$1))</f>
        <v>-10807</v>
      </c>
      <c r="E17" s="176">
        <f t="shared" si="5"/>
        <v>-693</v>
      </c>
      <c r="F17" s="188">
        <f>IF(B17="","",SUMIFS(Input_APM!N:N,Input_APM!M:M,Check!$F$1,Input_APM!L:L,Check!B17))</f>
        <v>-10807</v>
      </c>
      <c r="G17" s="188">
        <f>IF(B17="","",SUMIFS(Input_APM!N:N,Input_APM!M:M,Check!$G$1,Input_APM!L:L,Check!B17))</f>
        <v>0</v>
      </c>
      <c r="H17" s="174">
        <f t="shared" si="0"/>
        <v>-10807</v>
      </c>
      <c r="I17" s="174">
        <f>SUMIFS(Input_APM!N:N,Input_APM!L:L,Check!B17)</f>
        <v>-10807</v>
      </c>
      <c r="J17" s="176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4">
        <f t="shared" si="4"/>
        <v>-10807</v>
      </c>
      <c r="O17" t="s">
        <v>809</v>
      </c>
      <c r="P17" s="174">
        <f>IF(O17="","",IF(OR(LEFT(O17,4)="Cash",LEFT(O17,4)="Prov"),0,SUMIFS(Input_APM!N:N,Input_APM!L:L,Check!O17)))</f>
        <v>3661</v>
      </c>
      <c r="Q17" s="21">
        <f>IF(O17="","",IF(LEN(O17)&gt;9,SUMIFS(Options!$H$3:$H$28,Options!$B$3:$B$28,Check!O17),SUMIFS('Master P&amp;L'!$H$11:$H$88,'Master P&amp;L'!$B$11:$B$88,Check!O17)))</f>
        <v>3910</v>
      </c>
      <c r="R17" s="174">
        <f t="shared" si="1"/>
        <v>-249</v>
      </c>
      <c r="S17" s="289">
        <f t="shared" si="2"/>
        <v>0.93631713554987217</v>
      </c>
      <c r="V17" s="13"/>
    </row>
    <row r="18" spans="2:22">
      <c r="B18" t="s">
        <v>933</v>
      </c>
      <c r="C18" s="188">
        <f>IF(B18="","",IF(LEN(B18)&gt;9,SUMIFS(Options!$H$3:$H$28,Options!$B$3:$B$28,Check!B18),SUMIFS('Master P&amp;L'!$H$11:$H$88,'Master P&amp;L'!$B$11:$B$88,Check!B18)))</f>
        <v>1563</v>
      </c>
      <c r="D18" s="188">
        <f>IF(B18="","",SUMIFS(Input_APM!N:N,Input_APM!L:L,Check!B18,Input_APM!M:M,Check!$F$1))</f>
        <v>0</v>
      </c>
      <c r="E18" s="176">
        <f t="shared" si="5"/>
        <v>1563</v>
      </c>
      <c r="F18" s="188">
        <f>IF(B18="","",SUMIFS(Input_APM!N:N,Input_APM!M:M,Check!$F$1,Input_APM!L:L,Check!B18))</f>
        <v>0</v>
      </c>
      <c r="G18" s="188">
        <f>IF(B18="","",SUMIFS(Input_APM!N:N,Input_APM!M:M,Check!$G$1,Input_APM!L:L,Check!B18))</f>
        <v>0</v>
      </c>
      <c r="H18" s="174">
        <f t="shared" si="0"/>
        <v>0</v>
      </c>
      <c r="I18" s="174">
        <f>SUMIFS(Input_APM!N:N,Input_APM!L:L,Check!B18)</f>
        <v>0</v>
      </c>
      <c r="J18" s="176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4">
        <f t="shared" si="4"/>
        <v>0</v>
      </c>
      <c r="O18" t="s">
        <v>223</v>
      </c>
      <c r="P18" s="174">
        <f>IF(O18="","",IF(OR(LEFT(O18,4)="Cash",LEFT(O18,4)="Prov"),0,SUMIFS(Input_APM!N:N,Input_APM!L:L,Check!O18)))</f>
        <v>0</v>
      </c>
      <c r="Q18" s="21">
        <f>IF(O18="","",IF(LEN(O18)&gt;9,SUMIFS(Options!$H$3:$H$28,Options!$B$3:$B$28,Check!O18),SUMIFS('Master P&amp;L'!$H$11:$H$88,'Master P&amp;L'!$B$11:$B$88,Check!O18)))</f>
        <v>0</v>
      </c>
      <c r="R18" s="174">
        <f t="shared" si="1"/>
        <v>0</v>
      </c>
      <c r="S18" s="289" t="str">
        <f t="shared" si="2"/>
        <v>Ok</v>
      </c>
      <c r="V18" s="13"/>
    </row>
    <row r="19" spans="2:22">
      <c r="B19" t="s">
        <v>530</v>
      </c>
      <c r="C19" s="188">
        <f>IF(B19="","",IF(LEN(B19)&gt;9,SUMIFS(Options!$H$3:$H$28,Options!$B$3:$B$28,Check!B19),SUMIFS('Master P&amp;L'!$H$11:$H$88,'Master P&amp;L'!$B$11:$B$88,Check!B19)))</f>
        <v>1180</v>
      </c>
      <c r="D19" s="188">
        <f>IF(B19="","",SUMIFS(Input_APM!N:N,Input_APM!L:L,Check!B19,Input_APM!M:M,Check!$F$1))</f>
        <v>0</v>
      </c>
      <c r="E19" s="176">
        <f t="shared" si="5"/>
        <v>1180</v>
      </c>
      <c r="F19" s="188">
        <f>IF(B19="","",SUMIFS(Input_APM!N:N,Input_APM!M:M,Check!$F$1,Input_APM!L:L,Check!B19))</f>
        <v>0</v>
      </c>
      <c r="G19" s="188">
        <f>IF(B19="","",SUMIFS(Input_APM!N:N,Input_APM!M:M,Check!$G$1,Input_APM!L:L,Check!B19))</f>
        <v>0</v>
      </c>
      <c r="H19" s="174">
        <f t="shared" si="0"/>
        <v>0</v>
      </c>
      <c r="I19" s="174">
        <f>SUMIFS(Input_APM!N:N,Input_APM!L:L,Check!B19)</f>
        <v>0</v>
      </c>
      <c r="J19" s="176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4">
        <f t="shared" si="4"/>
        <v>0</v>
      </c>
      <c r="O19" t="s">
        <v>224</v>
      </c>
      <c r="P19" s="174">
        <f>IF(O19="","",IF(OR(LEFT(O19,4)="Cash",LEFT(O19,4)="Prov"),0,SUMIFS(Input_APM!N:N,Input_APM!L:L,Check!O19)))</f>
        <v>0</v>
      </c>
      <c r="Q19" s="21">
        <f>IF(O19="","",IF(LEN(O19)&gt;9,SUMIFS(Options!$H$3:$H$28,Options!$B$3:$B$28,Check!O19),SUMIFS('Master P&amp;L'!$H$11:$H$88,'Master P&amp;L'!$B$11:$B$88,Check!O19)))</f>
        <v>0</v>
      </c>
      <c r="R19" s="174">
        <f t="shared" si="1"/>
        <v>0</v>
      </c>
      <c r="S19" s="289" t="str">
        <f t="shared" si="2"/>
        <v>Ok</v>
      </c>
      <c r="V19" s="13"/>
    </row>
    <row r="20" spans="2:22">
      <c r="B20" t="s">
        <v>1091</v>
      </c>
      <c r="C20" s="188">
        <f>IF(B20="","",IF(LEN(B20)&gt;9,SUMIFS(Options!$H$3:$H$28,Options!$B$3:$B$28,Check!B20),SUMIFS('Master P&amp;L'!$H$11:$H$88,'Master P&amp;L'!$B$11:$B$88,Check!B20)))</f>
        <v>7080</v>
      </c>
      <c r="D20" s="188">
        <f>IF(B20="","",SUMIFS(Input_APM!N:N,Input_APM!L:L,Check!B20,Input_APM!M:M,Check!$F$1))</f>
        <v>0</v>
      </c>
      <c r="E20" s="176">
        <f>IF(B20="","",C20-M20)</f>
        <v>7080</v>
      </c>
      <c r="F20" s="188">
        <f>IF(B20="","",SUMIFS(Input_APM!N:N,Input_APM!M:M,Check!$F$1,Input_APM!L:L,Check!B20))</f>
        <v>0</v>
      </c>
      <c r="G20" s="188">
        <f>IF(B20="","",SUMIFS(Input_APM!N:N,Input_APM!M:M,Check!$G$1,Input_APM!L:L,Check!B20))</f>
        <v>0</v>
      </c>
      <c r="H20" s="174">
        <f t="shared" si="0"/>
        <v>0</v>
      </c>
      <c r="I20" s="174">
        <f>SUMIFS(Input_APM!N:N,Input_APM!L:L,Check!B20)</f>
        <v>0</v>
      </c>
      <c r="J20" s="176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4">
        <f t="shared" si="4"/>
        <v>0</v>
      </c>
      <c r="O20" t="s">
        <v>225</v>
      </c>
      <c r="P20" s="174">
        <f>IF(O20="","",IF(OR(LEFT(O20,4)="Cash",LEFT(O20,4)="Prov"),0,SUMIFS(Input_APM!N:N,Input_APM!L:L,Check!O20)))</f>
        <v>0</v>
      </c>
      <c r="Q20" s="21">
        <f>IF(O20="","",IF(LEN(O20)&gt;9,SUMIFS(Options!$H$3:$H$28,Options!$B$3:$B$28,Check!O20),SUMIFS('Master P&amp;L'!$H$11:$H$88,'Master P&amp;L'!$B$11:$B$88,Check!O20)))</f>
        <v>0</v>
      </c>
      <c r="R20" s="174">
        <f t="shared" si="1"/>
        <v>0</v>
      </c>
      <c r="S20" s="289" t="str">
        <f t="shared" si="2"/>
        <v>Ok</v>
      </c>
      <c r="V20" s="13"/>
    </row>
    <row r="21" spans="2:22">
      <c r="B21" t="s">
        <v>1147</v>
      </c>
      <c r="C21" s="188">
        <f>IF(B21="","",IF(LEN(B21)&gt;9,SUMIFS(Options!$H$3:$H$28,Options!$B$3:$B$28,Check!B21),SUMIFS('Master P&amp;L'!$H$11:$H$88,'Master P&amp;L'!$B$11:$B$88,Check!B21)))</f>
        <v>1400</v>
      </c>
      <c r="D21" s="188">
        <f>IF(B21="","",SUMIFS(Input_APM!N:N,Input_APM!L:L,Check!B21,Input_APM!M:M,Check!$F$1))</f>
        <v>0</v>
      </c>
      <c r="E21" s="174">
        <f t="shared" si="5"/>
        <v>1400</v>
      </c>
      <c r="F21" s="188">
        <f>IF(B21="","",SUMIFS(Input_APM!N:N,Input_APM!M:M,Check!$F$1,Input_APM!L:L,Check!B21))</f>
        <v>0</v>
      </c>
      <c r="G21" s="188">
        <f>IF(B21="","",SUMIFS(Input_APM!N:N,Input_APM!M:M,Check!$G$1,Input_APM!L:L,Check!B21))</f>
        <v>0</v>
      </c>
      <c r="H21" s="174">
        <f t="shared" si="0"/>
        <v>0</v>
      </c>
      <c r="I21" s="174">
        <f>SUMIFS(Input_APM!N:N,Input_APM!L:L,Check!B21)</f>
        <v>0</v>
      </c>
      <c r="J21" s="176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194">
        <f t="shared" si="4"/>
        <v>0</v>
      </c>
      <c r="O21" t="s">
        <v>795</v>
      </c>
      <c r="P21" s="174">
        <f>IF(O21="","",IF(OR(LEFT(O21,4)="Cash",LEFT(O21,4)="Prov"),0,SUMIFS(Input_APM!N:N,Input_APM!L:L,Check!O21)))</f>
        <v>0</v>
      </c>
      <c r="Q21" s="21">
        <f>IF(O21="","",IF(LEN(O21)&gt;9,SUMIFS(Options!$H$3:$H$28,Options!$B$3:$B$28,Check!O21),SUMIFS('Master P&amp;L'!$H$11:$H$88,'Master P&amp;L'!$B$11:$B$88,Check!O21)))</f>
        <v>0</v>
      </c>
      <c r="R21" s="174">
        <f t="shared" si="1"/>
        <v>0</v>
      </c>
      <c r="S21" s="289" t="str">
        <f t="shared" si="2"/>
        <v>Ok</v>
      </c>
      <c r="V21" s="13"/>
    </row>
    <row r="22" spans="2:22">
      <c r="B22" t="s">
        <v>432</v>
      </c>
      <c r="C22" s="188">
        <f>IF(B22="","",IF(LEN(B22)&gt;9,SUMIFS(Options!$H$3:$H$28,Options!$B$3:$B$28,Check!B22),SUMIFS('Master P&amp;L'!$H$11:$H$88,'Master P&amp;L'!$B$11:$B$88,Check!B22)))</f>
        <v>34700</v>
      </c>
      <c r="D22" s="188">
        <f>IF(B22="","",SUMIFS(Input_APM!N:N,Input_APM!L:L,Check!B22,Input_APM!M:M,Check!$F$1))</f>
        <v>32457</v>
      </c>
      <c r="E22" s="174">
        <f t="shared" si="5"/>
        <v>2243</v>
      </c>
      <c r="F22" s="188">
        <f>IF(B22="","",SUMIFS(Input_APM!N:N,Input_APM!M:M,Check!$F$1,Input_APM!L:L,Check!B22))</f>
        <v>32457</v>
      </c>
      <c r="G22" s="188">
        <f>IF(B22="","",SUMIFS(Input_APM!N:N,Input_APM!M:M,Check!$G$1,Input_APM!L:L,Check!B22))</f>
        <v>0</v>
      </c>
      <c r="H22" s="174">
        <f t="shared" si="0"/>
        <v>32457</v>
      </c>
      <c r="I22" s="174">
        <f>SUMIFS(Input_APM!N:N,Input_APM!L:L,Check!B22)</f>
        <v>32457</v>
      </c>
      <c r="J22" s="176">
        <f t="shared" si="3"/>
        <v>0</v>
      </c>
      <c r="K22" s="21">
        <f>IF(B22="","",SUMIFS('Input_APM (Zenith)'!N:N,'Input_APM (Zenith)'!L:L,Check!B22,'Input_APM (Zenith)'!M:M,Check!$F$1))</f>
        <v>0</v>
      </c>
      <c r="L22" s="21">
        <f>IF(B22="","",SUMIFS('Input_APM (Zenith)'!N:N,'Input_APM (Zenith)'!L:L,Check!B22,'Input_APM (Zenith)'!M:M,Check!$G$1))</f>
        <v>0</v>
      </c>
      <c r="M22" s="194">
        <f t="shared" si="4"/>
        <v>32457</v>
      </c>
      <c r="O22" t="s">
        <v>226</v>
      </c>
      <c r="P22" s="174">
        <f>IF(O22="","",IF(OR(LEFT(O22,4)="Cash",LEFT(O22,4)="Prov"),0,SUMIFS(Input_APM!N:N,Input_APM!L:L,Check!O22)))</f>
        <v>0</v>
      </c>
      <c r="Q22" s="21">
        <f>IF(O22="","",IF(LEN(O22)&gt;9,SUMIFS(Options!$H$3:$H$28,Options!$B$3:$B$28,Check!O22),SUMIFS('Master P&amp;L'!$H$11:$H$88,'Master P&amp;L'!$B$11:$B$88,Check!O22)))</f>
        <v>0</v>
      </c>
      <c r="R22" s="174">
        <f t="shared" si="1"/>
        <v>0</v>
      </c>
      <c r="S22" s="289" t="str">
        <f t="shared" si="2"/>
        <v>Ok</v>
      </c>
      <c r="V22" s="13"/>
    </row>
    <row r="23" spans="2:22">
      <c r="B23" t="s">
        <v>735</v>
      </c>
      <c r="C23" s="188">
        <f>IF(B23="","",IF(LEN(B23)&gt;9,SUMIFS(Options!$H$3:$H$28,Options!$B$3:$B$28,Check!B23),SUMIFS('Master P&amp;L'!$H$11:$H$88,'Master P&amp;L'!$B$11:$B$88,Check!B23)))</f>
        <v>4450</v>
      </c>
      <c r="D23" s="188">
        <f>IF(B23="","",SUMIFS(Input_APM!N:N,Input_APM!L:L,Check!B23,Input_APM!M:M,Check!$F$1))</f>
        <v>4178</v>
      </c>
      <c r="E23" s="174">
        <f t="shared" si="5"/>
        <v>272</v>
      </c>
      <c r="F23" s="188">
        <f>IF(B23="","",SUMIFS(Input_APM!N:N,Input_APM!M:M,Check!$F$1,Input_APM!L:L,Check!B23))</f>
        <v>4178</v>
      </c>
      <c r="G23" s="188">
        <f>IF(B23="","",SUMIFS(Input_APM!N:N,Input_APM!M:M,Check!$G$1,Input_APM!L:L,Check!B23))</f>
        <v>0</v>
      </c>
      <c r="H23" s="174">
        <f t="shared" si="0"/>
        <v>4178</v>
      </c>
      <c r="I23" s="174">
        <f>SUMIFS(Input_APM!N:N,Input_APM!L:L,Check!B23)</f>
        <v>4178</v>
      </c>
      <c r="J23" s="176">
        <f t="shared" si="3"/>
        <v>0</v>
      </c>
      <c r="K23" s="21">
        <f>IF(B23="","",SUMIFS('Input_APM (Zenith)'!N:N,'Input_APM (Zenith)'!L:L,Check!B23,'Input_APM (Zenith)'!M:M,Check!$F$1))</f>
        <v>0</v>
      </c>
      <c r="L23" s="21">
        <f>IF(B23="","",SUMIFS('Input_APM (Zenith)'!N:N,'Input_APM (Zenith)'!L:L,Check!B23,'Input_APM (Zenith)'!M:M,Check!$G$1))</f>
        <v>0</v>
      </c>
      <c r="M23" s="194">
        <f t="shared" si="4"/>
        <v>4178</v>
      </c>
      <c r="O23" t="s">
        <v>227</v>
      </c>
      <c r="P23" s="174">
        <f>IF(O23="","",IF(OR(LEFT(O23,4)="Cash",LEFT(O23,4)="Prov"),0,SUMIFS(Input_APM!N:N,Input_APM!L:L,Check!O23)))</f>
        <v>0</v>
      </c>
      <c r="Q23" s="21">
        <f>IF(O23="","",IF(LEN(O23)&gt;9,SUMIFS(Options!$H$3:$H$28,Options!$B$3:$B$28,Check!O23),SUMIFS('Master P&amp;L'!$H$11:$H$88,'Master P&amp;L'!$B$11:$B$88,Check!O23)))</f>
        <v>0</v>
      </c>
      <c r="R23" s="174">
        <f t="shared" si="1"/>
        <v>0</v>
      </c>
      <c r="S23" s="289" t="str">
        <f t="shared" si="2"/>
        <v>Ok</v>
      </c>
      <c r="V23" s="13"/>
    </row>
    <row r="24" spans="2:22">
      <c r="B24" t="s">
        <v>1004</v>
      </c>
      <c r="C24" s="188">
        <f>IF(B24="","",IF(LEN(B24)&gt;9,SUMIFS(Options!$H$3:$H$28,Options!$B$3:$B$28,Check!B24),SUMIFS('Master P&amp;L'!$H$11:$H$88,'Master P&amp;L'!$B$11:$B$88,Check!B24)))</f>
        <v>44721</v>
      </c>
      <c r="D24" s="188">
        <f>IF(B24="","",SUMIFS(Input_APM!N:N,Input_APM!L:L,Check!B24,Input_APM!M:M,Check!$F$1))</f>
        <v>41972</v>
      </c>
      <c r="E24" s="174">
        <f t="shared" si="5"/>
        <v>2749</v>
      </c>
      <c r="F24" s="188">
        <f>IF(B24="","",SUMIFS(Input_APM!N:N,Input_APM!M:M,Check!$F$1,Input_APM!L:L,Check!B24))</f>
        <v>41972</v>
      </c>
      <c r="G24" s="188">
        <f>IF(B24="","",SUMIFS(Input_APM!N:N,Input_APM!M:M,Check!$G$1,Input_APM!L:L,Check!B24))</f>
        <v>0</v>
      </c>
      <c r="H24" s="174">
        <f t="shared" si="0"/>
        <v>41972</v>
      </c>
      <c r="I24" s="174">
        <f>SUMIFS(Input_APM!N:N,Input_APM!L:L,Check!B24)</f>
        <v>41972</v>
      </c>
      <c r="J24" s="176">
        <f t="shared" si="3"/>
        <v>0</v>
      </c>
      <c r="K24" s="21">
        <f>IF(B24="","",SUMIFS('Input_APM (Zenith)'!N:N,'Input_APM (Zenith)'!L:L,Check!B24,'Input_APM (Zenith)'!M:M,Check!$F$1))</f>
        <v>0</v>
      </c>
      <c r="L24" s="21">
        <f>IF(B24="","",SUMIFS('Input_APM (Zenith)'!N:N,'Input_APM (Zenith)'!L:L,Check!B24,'Input_APM (Zenith)'!M:M,Check!$G$1))</f>
        <v>0</v>
      </c>
      <c r="M24" s="194">
        <f t="shared" si="4"/>
        <v>41972</v>
      </c>
      <c r="O24" t="s">
        <v>228</v>
      </c>
      <c r="P24" s="174">
        <f>IF(O24="","",IF(OR(LEFT(O24,4)="Cash",LEFT(O24,4)="Prov"),0,SUMIFS(Input_APM!N:N,Input_APM!L:L,Check!O24)))</f>
        <v>0</v>
      </c>
      <c r="Q24" s="21">
        <f>IF(O24="","",IF(LEN(O24)&gt;9,SUMIFS(Options!$H$3:$H$28,Options!$B$3:$B$28,Check!O24),SUMIFS('Master P&amp;L'!$H$11:$H$88,'Master P&amp;L'!$B$11:$B$88,Check!O24)))</f>
        <v>0</v>
      </c>
      <c r="R24" s="174">
        <f t="shared" si="1"/>
        <v>0</v>
      </c>
      <c r="S24" s="289" t="str">
        <f t="shared" si="2"/>
        <v>Ok</v>
      </c>
      <c r="V24" s="13"/>
    </row>
    <row r="25" spans="2:22">
      <c r="B25" t="s">
        <v>1013</v>
      </c>
      <c r="C25" s="188">
        <f>IF(B25="","",IF(LEN(B25)&gt;9,SUMIFS(Options!$H$3:$H$28,Options!$B$3:$B$28,Check!B25),SUMIFS('Master P&amp;L'!$H$11:$H$88,'Master P&amp;L'!$B$11:$B$88,Check!B25)))</f>
        <v>0</v>
      </c>
      <c r="D25" s="188">
        <f>IF(B25="","",SUMIFS(Input_APM!N:N,Input_APM!L:L,Check!B25,Input_APM!M:M,Check!$F$1))</f>
        <v>0</v>
      </c>
      <c r="E25" s="174">
        <f t="shared" si="5"/>
        <v>0</v>
      </c>
      <c r="F25" s="188">
        <f>IF(B25="","",SUMIFS(Input_APM!N:N,Input_APM!M:M,Check!$F$1,Input_APM!L:L,Check!B25))</f>
        <v>0</v>
      </c>
      <c r="G25" s="188">
        <f>IF(B25="","",SUMIFS(Input_APM!N:N,Input_APM!M:M,Check!$G$1,Input_APM!L:L,Check!B25))</f>
        <v>0</v>
      </c>
      <c r="H25" s="174">
        <f t="shared" si="0"/>
        <v>0</v>
      </c>
      <c r="I25" s="174">
        <f>SUMIFS(Input_APM!N:N,Input_APM!L:L,Check!B25)</f>
        <v>0</v>
      </c>
      <c r="J25" s="176">
        <f t="shared" si="3"/>
        <v>0</v>
      </c>
      <c r="K25" s="21">
        <f>IF(B25="","",SUMIFS('Input_APM (Zenith)'!N:N,'Input_APM (Zenith)'!L:L,Check!B25,'Input_APM (Zenith)'!M:M,Check!$F$1))</f>
        <v>0</v>
      </c>
      <c r="L25" s="21">
        <f>IF(B25="","",SUMIFS('Input_APM (Zenith)'!N:N,'Input_APM (Zenith)'!L:L,Check!B25,'Input_APM (Zenith)'!M:M,Check!$G$1))</f>
        <v>0</v>
      </c>
      <c r="M25" s="194">
        <f t="shared" si="4"/>
        <v>0</v>
      </c>
      <c r="O25" t="s">
        <v>229</v>
      </c>
      <c r="P25" s="174">
        <f>IF(O25="","",IF(OR(LEFT(O25,4)="Cash",LEFT(O25,4)="Prov"),0,SUMIFS(Input_APM!N:N,Input_APM!L:L,Check!O25)))</f>
        <v>0</v>
      </c>
      <c r="Q25" s="21">
        <f>IF(O25="","",IF(LEN(O25)&gt;9,SUMIFS(Options!$H$3:$H$28,Options!$B$3:$B$28,Check!O25),SUMIFS('Master P&amp;L'!$H$11:$H$88,'Master P&amp;L'!$B$11:$B$88,Check!O25)))</f>
        <v>0</v>
      </c>
      <c r="R25" s="174">
        <f t="shared" si="1"/>
        <v>0</v>
      </c>
      <c r="S25" s="289" t="str">
        <f t="shared" si="2"/>
        <v>Ok</v>
      </c>
      <c r="V25" s="13"/>
    </row>
    <row r="26" spans="2:22">
      <c r="B26" t="s">
        <v>84</v>
      </c>
      <c r="C26" s="188">
        <f>IF(B26="","",IF(LEN(B26)&gt;9,SUMIFS(Options!$H$3:$H$28,Options!$B$3:$B$28,Check!B26),SUMIFS('Master P&amp;L'!$H$11:$H$88,'Master P&amp;L'!$B$11:$B$88,Check!B26)))</f>
        <v>16500</v>
      </c>
      <c r="D26" s="188">
        <f>IF(B26="","",SUMIFS(Input_APM!N:N,Input_APM!L:L,Check!B26,Input_APM!M:M,Check!$F$1))</f>
        <v>0</v>
      </c>
      <c r="E26" s="176">
        <f>IF(B26="","",C26-M26)</f>
        <v>16500</v>
      </c>
      <c r="F26" s="188">
        <f>IF(B26="","",SUMIFS(Input_APM!N:N,Input_APM!M:M,Check!$F$1,Input_APM!L:L,Check!B26))</f>
        <v>0</v>
      </c>
      <c r="G26" s="188">
        <f>IF(B26="","",SUMIFS(Input_APM!N:N,Input_APM!M:M,Check!$G$1,Input_APM!L:L,Check!B26))</f>
        <v>0</v>
      </c>
      <c r="H26" s="174">
        <f t="shared" si="0"/>
        <v>0</v>
      </c>
      <c r="I26" s="174">
        <f>SUMIFS(Input_APM!N:N,Input_APM!L:L,Check!B26)</f>
        <v>0</v>
      </c>
      <c r="J26" s="176">
        <f t="shared" si="3"/>
        <v>0</v>
      </c>
      <c r="K26" s="21">
        <f>IF(B26="","",SUMIFS('Input_APM (Zenith)'!N:N,'Input_APM (Zenith)'!L:L,Check!B26,'Input_APM (Zenith)'!M:M,Check!$F$1))</f>
        <v>0</v>
      </c>
      <c r="L26" s="21">
        <f>IF(B26="","",SUMIFS('Input_APM (Zenith)'!N:N,'Input_APM (Zenith)'!L:L,Check!B26,'Input_APM (Zenith)'!M:M,Check!$G$1))</f>
        <v>0</v>
      </c>
      <c r="M26" s="194">
        <f t="shared" si="4"/>
        <v>0</v>
      </c>
      <c r="O26" t="s">
        <v>230</v>
      </c>
      <c r="P26" s="174">
        <f>IF(O26="","",IF(OR(LEFT(O26,4)="Cash",LEFT(O26,4)="Prov"),0,SUMIFS(Input_APM!N:N,Input_APM!L:L,Check!O26)))</f>
        <v>0</v>
      </c>
      <c r="Q26" s="21">
        <f>IF(O26="","",IF(LEN(O26)&gt;9,SUMIFS(Options!$H$3:$H$28,Options!$B$3:$B$28,Check!O26),SUMIFS('Master P&amp;L'!$H$11:$H$88,'Master P&amp;L'!$B$11:$B$88,Check!O26)))</f>
        <v>0</v>
      </c>
      <c r="R26" s="174">
        <f t="shared" si="1"/>
        <v>0</v>
      </c>
      <c r="S26" s="289" t="str">
        <f t="shared" si="2"/>
        <v>Ok</v>
      </c>
      <c r="V26" s="13"/>
    </row>
    <row r="27" spans="2:22">
      <c r="B27" t="s">
        <v>44</v>
      </c>
      <c r="C27" s="188">
        <f>IF(B27="","",IF(LEN(B27)&gt;9,SUMIFS(Options!$H$3:$H$28,Options!$B$3:$B$28,Check!B27),SUMIFS('Master P&amp;L'!$H$11:$H$88,'Master P&amp;L'!$B$11:$B$88,Check!B27)))</f>
        <v>0</v>
      </c>
      <c r="D27" s="188">
        <f>IF(B27="","",SUMIFS(Input_APM!N:N,Input_APM!L:L,Check!B27,Input_APM!M:M,Check!$F$1))</f>
        <v>3374</v>
      </c>
      <c r="E27" s="176">
        <f t="shared" si="5"/>
        <v>-3374</v>
      </c>
      <c r="F27" s="188">
        <f>IF(B27="","",SUMIFS(Input_APM!N:N,Input_APM!M:M,Check!$F$1,Input_APM!L:L,Check!B27))</f>
        <v>3374</v>
      </c>
      <c r="G27" s="188">
        <f>IF(B27="","",SUMIFS(Input_APM!N:N,Input_APM!M:M,Check!$G$1,Input_APM!L:L,Check!B27))</f>
        <v>0</v>
      </c>
      <c r="H27" s="174">
        <f t="shared" si="0"/>
        <v>3374</v>
      </c>
      <c r="I27" s="174">
        <f>SUMIFS(Input_APM!N:N,Input_APM!L:L,Check!B27)</f>
        <v>3374</v>
      </c>
      <c r="J27" s="176">
        <f t="shared" si="3"/>
        <v>0</v>
      </c>
      <c r="K27" s="21">
        <f>IF(B27="","",SUMIFS('Input_APM (Zenith)'!N:N,'Input_APM (Zenith)'!L:L,Check!B27,'Input_APM (Zenith)'!M:M,Check!$F$1))</f>
        <v>0</v>
      </c>
      <c r="L27" s="21">
        <f>IF(B27="","",SUMIFS('Input_APM (Zenith)'!N:N,'Input_APM (Zenith)'!L:L,Check!B27,'Input_APM (Zenith)'!M:M,Check!$G$1))</f>
        <v>0</v>
      </c>
      <c r="M27" s="194">
        <f t="shared" si="4"/>
        <v>3374</v>
      </c>
      <c r="O27" t="s">
        <v>578</v>
      </c>
      <c r="P27" s="174">
        <f>IF(O27="","",IF(OR(LEFT(O27,4)="Cash",LEFT(O27,4)="Prov"),0,SUMIFS(Input_APM!N:N,Input_APM!L:L,Check!O27)))</f>
        <v>4625000</v>
      </c>
      <c r="Q27" s="21">
        <f>IF(O27="","",IF(LEN(O27)&gt;9,SUMIFS(Options!$H$3:$H$28,Options!$B$3:$B$28,Check!O27),SUMIFS('Master P&amp;L'!$H$11:$H$88,'Master P&amp;L'!$B$11:$B$88,Check!O27)))</f>
        <v>0</v>
      </c>
      <c r="R27" s="174">
        <f t="shared" si="1"/>
        <v>4625000</v>
      </c>
      <c r="S27" s="289" t="str">
        <f t="shared" si="2"/>
        <v>Erro</v>
      </c>
      <c r="V27" s="13"/>
    </row>
    <row r="28" spans="2:22">
      <c r="B28" t="s">
        <v>345</v>
      </c>
      <c r="C28" s="188">
        <f>IF(B28="","",IF(LEN(B28)&gt;9,SUMIFS(Options!$H$3:$H$28,Options!$B$3:$B$28,Check!B28),SUMIFS('Master P&amp;L'!$H$11:$H$88,'Master P&amp;L'!$B$11:$B$88,Check!B28)))</f>
        <v>1500</v>
      </c>
      <c r="D28" s="188">
        <f>IF(B28="","",SUMIFS(Input_APM!N:N,Input_APM!L:L,Check!B28,Input_APM!M:M,Check!$F$1))</f>
        <v>1409</v>
      </c>
      <c r="E28" s="176">
        <f>IF(B28="","",C28-M28)</f>
        <v>91</v>
      </c>
      <c r="F28" s="188">
        <f>IF(B28="","",SUMIFS(Input_APM!N:N,Input_APM!M:M,Check!$F$1,Input_APM!L:L,Check!B28))</f>
        <v>1409</v>
      </c>
      <c r="G28" s="188">
        <f>IF(B28="","",SUMIFS(Input_APM!N:N,Input_APM!M:M,Check!$G$1,Input_APM!L:L,Check!B28))</f>
        <v>0</v>
      </c>
      <c r="H28" s="174">
        <f t="shared" si="0"/>
        <v>1409</v>
      </c>
      <c r="I28" s="174">
        <f>SUMIFS(Input_APM!N:N,Input_APM!L:L,Check!B28)</f>
        <v>1409</v>
      </c>
      <c r="J28" s="176">
        <f t="shared" si="3"/>
        <v>0</v>
      </c>
      <c r="K28" s="21">
        <f>IF(B28="","",SUMIFS('Input_APM (Zenith)'!N:N,'Input_APM (Zenith)'!L:L,Check!B28,'Input_APM (Zenith)'!M:M,Check!$F$1))</f>
        <v>0</v>
      </c>
      <c r="L28" s="21">
        <f>IF(B28="","",SUMIFS('Input_APM (Zenith)'!N:N,'Input_APM (Zenith)'!L:L,Check!B28,'Input_APM (Zenith)'!M:M,Check!$G$1))</f>
        <v>0</v>
      </c>
      <c r="M28" s="194">
        <f t="shared" si="4"/>
        <v>1409</v>
      </c>
      <c r="O28" t="s">
        <v>1004</v>
      </c>
      <c r="P28" s="174">
        <f>IF(O28="","",IF(OR(LEFT(O28,4)="Cash",LEFT(O28,4)="Prov"),0,SUMIFS(Input_APM!N:N,Input_APM!L:L,Check!O28)))</f>
        <v>41972</v>
      </c>
      <c r="Q28" s="21">
        <f>IF(O28="","",IF(LEN(O28)&gt;9,SUMIFS(Options!$H$3:$H$28,Options!$B$3:$B$28,Check!O28),SUMIFS('Master P&amp;L'!$H$11:$H$88,'Master P&amp;L'!$B$11:$B$88,Check!O28)))</f>
        <v>44721</v>
      </c>
      <c r="R28" s="174">
        <f t="shared" si="1"/>
        <v>-2749</v>
      </c>
      <c r="S28" s="289">
        <f t="shared" si="2"/>
        <v>0.93852999709308826</v>
      </c>
      <c r="V28" s="13"/>
    </row>
    <row r="29" spans="2:22">
      <c r="B29" t="s">
        <v>42</v>
      </c>
      <c r="C29" s="188">
        <f>IF(B29="","",IF(LEN(B29)&gt;9,SUMIFS(Options!$H$3:$H$28,Options!$B$3:$B$28,Check!B29),SUMIFS('Master P&amp;L'!$H$11:$H$88,'Master P&amp;L'!$B$11:$B$88,Check!B29)))</f>
        <v>25027</v>
      </c>
      <c r="D29" s="188">
        <f>IF(B29="","",SUMIFS(Input_APM!N:N,Input_APM!L:L,Check!B29,Input_APM!M:M,Check!$F$1))</f>
        <v>23415</v>
      </c>
      <c r="E29" s="176">
        <f t="shared" si="5"/>
        <v>1612</v>
      </c>
      <c r="F29" s="188">
        <f>IF(B29="","",SUMIFS(Input_APM!N:N,Input_APM!M:M,Check!$F$1,Input_APM!L:L,Check!B29))</f>
        <v>23415</v>
      </c>
      <c r="G29" s="188">
        <f>IF(B29="","",SUMIFS(Input_APM!N:N,Input_APM!M:M,Check!$G$1,Input_APM!L:L,Check!B29))</f>
        <v>0</v>
      </c>
      <c r="H29" s="174">
        <f t="shared" si="0"/>
        <v>23415</v>
      </c>
      <c r="I29" s="174">
        <f>SUMIFS(Input_APM!N:N,Input_APM!L:L,Check!B29)</f>
        <v>23415</v>
      </c>
      <c r="J29" s="176">
        <f t="shared" si="3"/>
        <v>0</v>
      </c>
      <c r="K29" s="21">
        <f>IF(B29="","",SUMIFS('Input_APM (Zenith)'!N:N,'Input_APM (Zenith)'!L:L,Check!B29,'Input_APM (Zenith)'!M:M,Check!$F$1))</f>
        <v>0</v>
      </c>
      <c r="L29" s="21">
        <f>IF(B29="","",SUMIFS('Input_APM (Zenith)'!N:N,'Input_APM (Zenith)'!L:L,Check!B29,'Input_APM (Zenith)'!M:M,Check!$G$1))</f>
        <v>0</v>
      </c>
      <c r="M29" s="194">
        <f>IF(B29="","",F29+G29+K29+L29)</f>
        <v>23415</v>
      </c>
      <c r="O29" t="s">
        <v>432</v>
      </c>
      <c r="P29" s="174">
        <f>IF(O29="","",IF(OR(LEFT(O29,4)="Cash",LEFT(O29,4)="Prov"),0,SUMIFS(Input_APM!N:N,Input_APM!L:L,Check!O29)))</f>
        <v>32457</v>
      </c>
      <c r="Q29" s="21">
        <f>IF(O29="","",IF(LEN(O29)&gt;9,SUMIFS(Options!$H$3:$H$28,Options!$B$3:$B$28,Check!O29),SUMIFS('Master P&amp;L'!$H$11:$H$88,'Master P&amp;L'!$B$11:$B$88,Check!O29)))</f>
        <v>34700</v>
      </c>
      <c r="R29" s="174">
        <f t="shared" si="1"/>
        <v>-2243</v>
      </c>
      <c r="S29" s="289">
        <f t="shared" si="2"/>
        <v>0.93536023054755046</v>
      </c>
      <c r="V29" s="13"/>
    </row>
    <row r="30" spans="2:22">
      <c r="B30" t="s">
        <v>334</v>
      </c>
      <c r="C30" s="188">
        <f>IF(B30="","",IF(LEN(B30)&gt;9,SUMIFS(Options!$H$3:$H$28,Options!$B$3:$B$28,Check!B30),SUMIFS('Master P&amp;L'!$H$11:$H$88,'Master P&amp;L'!$B$11:$B$88,Check!B30)))</f>
        <v>0</v>
      </c>
      <c r="D30" s="188">
        <f>IF(B30="","",SUMIFS(Input_APM!N:N,Input_APM!L:L,Check!B30,Input_APM!M:M,Check!$F$1))</f>
        <v>0</v>
      </c>
      <c r="E30" s="176">
        <f t="shared" si="5"/>
        <v>0</v>
      </c>
      <c r="F30" s="188">
        <f>IF(B30="","",SUMIFS(Input_APM!N:N,Input_APM!M:M,Check!$F$1,Input_APM!L:L,Check!B30))</f>
        <v>0</v>
      </c>
      <c r="G30" s="188">
        <f>IF(B30="","",SUMIFS(Input_APM!N:N,Input_APM!M:M,Check!$G$1,Input_APM!L:L,Check!B30))</f>
        <v>0</v>
      </c>
      <c r="H30" s="174">
        <f t="shared" si="0"/>
        <v>0</v>
      </c>
      <c r="I30" s="174">
        <f>SUMIFS(Input_APM!N:N,Input_APM!L:L,Check!B30)</f>
        <v>0</v>
      </c>
      <c r="J30" s="176">
        <f t="shared" si="3"/>
        <v>0</v>
      </c>
      <c r="K30" s="21">
        <f>IF(B30="","",SUMIFS('Input_APM (Zenith)'!N:N,'Input_APM (Zenith)'!L:L,Check!B30,'Input_APM (Zenith)'!M:M,Check!$F$1))</f>
        <v>0</v>
      </c>
      <c r="L30" s="21">
        <f>IF(B30="","",SUMIFS('Input_APM (Zenith)'!N:N,'Input_APM (Zenith)'!L:L,Check!B30,'Input_APM (Zenith)'!M:M,Check!$G$1))</f>
        <v>0</v>
      </c>
      <c r="M30" s="194">
        <f>IF(B30="","",F30+G30+K30+L30)</f>
        <v>0</v>
      </c>
      <c r="O30" t="s">
        <v>807</v>
      </c>
      <c r="P30" s="174">
        <f>IF(O30="","",IF(OR(LEFT(O30,4)="Cash",LEFT(O30,4)="Prov"),0,SUMIFS(Input_APM!N:N,Input_APM!L:L,Check!O30)))</f>
        <v>0</v>
      </c>
      <c r="Q30" s="21">
        <f>IF(O30="","",IF(LEN(O30)&gt;9,SUMIFS(Options!$H$3:$H$28,Options!$B$3:$B$28,Check!O30),SUMIFS('Master P&amp;L'!$H$11:$H$88,'Master P&amp;L'!$B$11:$B$88,Check!O30)))</f>
        <v>0</v>
      </c>
      <c r="R30" s="174">
        <f t="shared" si="1"/>
        <v>0</v>
      </c>
      <c r="S30" s="289" t="str">
        <f t="shared" si="2"/>
        <v>Ok</v>
      </c>
      <c r="V30" s="13"/>
    </row>
    <row r="31" spans="2:22">
      <c r="B31" t="s">
        <v>85</v>
      </c>
      <c r="C31" s="188">
        <f>IF(B31="","",IF(LEN(B31)&gt;9,SUMIFS(Options!$H$3:$H$28,Options!$B$3:$B$28,Check!B31),SUMIFS('Master P&amp;L'!$H$11:$H$88,'Master P&amp;L'!$B$11:$B$88,Check!B31)))</f>
        <v>3500</v>
      </c>
      <c r="D31" s="188">
        <f>IF(B31="","",SUMIFS(Input_APM!N:N,Input_APM!L:L,Check!B31,Input_APM!M:M,Check!$F$1))</f>
        <v>0</v>
      </c>
      <c r="E31" s="176">
        <f>IF(B31="","",C31-M31)</f>
        <v>3500</v>
      </c>
      <c r="F31" s="188">
        <f>IF(B31="","",SUMIFS(Input_APM!N:N,Input_APM!M:M,Check!$F$1,Input_APM!L:L,Check!B31))</f>
        <v>0</v>
      </c>
      <c r="G31" s="188">
        <f>IF(B31="","",SUMIFS(Input_APM!N:N,Input_APM!M:M,Check!$G$1,Input_APM!L:L,Check!B31))</f>
        <v>0</v>
      </c>
      <c r="H31" s="174">
        <f t="shared" si="0"/>
        <v>0</v>
      </c>
      <c r="I31" s="174">
        <f>SUMIFS(Input_APM!N:N,Input_APM!L:L,Check!B31)</f>
        <v>0</v>
      </c>
      <c r="J31" s="176">
        <f t="shared" si="3"/>
        <v>0</v>
      </c>
      <c r="K31" s="21">
        <f>IF(B31="","",SUMIFS('Input_APM (Zenith)'!N:N,'Input_APM (Zenith)'!L:L,Check!B31,'Input_APM (Zenith)'!M:M,Check!$F$1))</f>
        <v>0</v>
      </c>
      <c r="L31" s="21">
        <f>IF(B31="","",SUMIFS('Input_APM (Zenith)'!N:N,'Input_APM (Zenith)'!L:L,Check!B31,'Input_APM (Zenith)'!M:M,Check!$G$1))</f>
        <v>0</v>
      </c>
      <c r="M31" s="194">
        <f t="shared" si="4"/>
        <v>0</v>
      </c>
      <c r="O31" t="s">
        <v>924</v>
      </c>
      <c r="P31" s="174">
        <f>IF(O31="","",IF(OR(LEFT(O31,4)="Cash",LEFT(O31,4)="Prov"),0,SUMIFS(Input_APM!N:N,Input_APM!L:L,Check!O31)))</f>
        <v>797</v>
      </c>
      <c r="Q31" s="21">
        <f>IF(O31="","",IF(LEN(O31)&gt;9,SUMIFS(Options!$H$3:$H$28,Options!$B$3:$B$28,Check!O31),SUMIFS('Master P&amp;L'!$H$11:$H$88,'Master P&amp;L'!$B$11:$B$88,Check!O31)))</f>
        <v>0</v>
      </c>
      <c r="R31" s="174">
        <f t="shared" si="1"/>
        <v>797</v>
      </c>
      <c r="S31" s="289" t="str">
        <f t="shared" si="2"/>
        <v>Erro</v>
      </c>
      <c r="V31" s="13"/>
    </row>
    <row r="32" spans="2:22">
      <c r="B32" t="s">
        <v>799</v>
      </c>
      <c r="C32" s="188">
        <f>IF(B32="","",IF(LEN(B32)&gt;9,SUMIFS(Options!$H$3:$H$28,Options!$B$3:$B$28,Check!B32),SUMIFS('Master P&amp;L'!$H$11:$H$88,'Master P&amp;L'!$B$11:$B$88,Check!B32)))</f>
        <v>39000</v>
      </c>
      <c r="D32" s="188">
        <f>IF(B32="","",SUMIFS(Input_APM!N:N,Input_APM!L:L,Check!B32,Input_APM!M:M,Check!$F$1))</f>
        <v>36522</v>
      </c>
      <c r="E32" s="176">
        <f t="shared" si="5"/>
        <v>2478</v>
      </c>
      <c r="F32" s="188">
        <f>IF(B32="","",SUMIFS(Input_APM!N:N,Input_APM!M:M,Check!$F$1,Input_APM!L:L,Check!B32))</f>
        <v>36522</v>
      </c>
      <c r="G32" s="188">
        <f>IF(B32="","",SUMIFS(Input_APM!N:N,Input_APM!M:M,Check!$G$1,Input_APM!L:L,Check!B32))</f>
        <v>0</v>
      </c>
      <c r="H32" s="174">
        <f t="shared" si="0"/>
        <v>36522</v>
      </c>
      <c r="I32" s="174">
        <f>SUMIFS(Input_APM!N:N,Input_APM!L:L,Check!B32)</f>
        <v>36522</v>
      </c>
      <c r="J32" s="176">
        <f t="shared" si="3"/>
        <v>0</v>
      </c>
      <c r="K32" s="21">
        <f>IF(B32="","",SUMIFS('Input_APM (Zenith)'!N:N,'Input_APM (Zenith)'!L:L,Check!B32,'Input_APM (Zenith)'!M:M,Check!$F$1))</f>
        <v>0</v>
      </c>
      <c r="L32" s="21">
        <f>IF(B32="","",SUMIFS('Input_APM (Zenith)'!N:N,'Input_APM (Zenith)'!L:L,Check!B32,'Input_APM (Zenith)'!M:M,Check!$G$1))</f>
        <v>0</v>
      </c>
      <c r="M32" s="194">
        <f t="shared" si="4"/>
        <v>36522</v>
      </c>
      <c r="O32" t="s">
        <v>925</v>
      </c>
      <c r="P32" s="174">
        <f>IF(O32="","",IF(OR(LEFT(O32,4)="Cash",LEFT(O32,4)="Prov"),0,SUMIFS(Input_APM!N:N,Input_APM!L:L,Check!O32)))</f>
        <v>-797</v>
      </c>
      <c r="Q32" s="21">
        <f>IF(O32="","",IF(LEN(O32)&gt;9,SUMIFS(Options!$H$3:$H$28,Options!$B$3:$B$28,Check!O32),SUMIFS('Master P&amp;L'!$H$11:$H$88,'Master P&amp;L'!$B$11:$B$88,Check!O32)))</f>
        <v>0</v>
      </c>
      <c r="R32" s="174">
        <f t="shared" si="1"/>
        <v>-797</v>
      </c>
      <c r="S32" s="289" t="str">
        <f t="shared" si="2"/>
        <v>Erro</v>
      </c>
      <c r="V32" s="13"/>
    </row>
    <row r="33" spans="1:22">
      <c r="B33" t="s">
        <v>1131</v>
      </c>
      <c r="C33" s="188">
        <f>IF(B33="","",IF(LEN(B33)&gt;9,SUMIFS(Options!$H$3:$H$28,Options!$B$3:$B$28,Check!B33),SUMIFS('Master P&amp;L'!$H$11:$H$88,'Master P&amp;L'!$B$11:$B$88,Check!B33)))</f>
        <v>31500</v>
      </c>
      <c r="D33" s="188">
        <f>IF(B33="","",SUMIFS(Input_APM!N:N,Input_APM!L:L,Check!B33,Input_APM!M:M,Check!$F$1))</f>
        <v>24409</v>
      </c>
      <c r="E33" s="174">
        <f t="shared" si="5"/>
        <v>7091</v>
      </c>
      <c r="F33" s="188">
        <f>IF(B33="","",SUMIFS(Input_APM!N:N,Input_APM!M:M,Check!$F$1,Input_APM!L:L,Check!B33))</f>
        <v>24409</v>
      </c>
      <c r="G33" s="188">
        <f>IF(B33="","",SUMIFS(Input_APM!N:N,Input_APM!M:M,Check!$G$1,Input_APM!L:L,Check!B33))</f>
        <v>0</v>
      </c>
      <c r="H33" s="174">
        <f t="shared" si="0"/>
        <v>24409</v>
      </c>
      <c r="I33" s="174">
        <f>SUMIFS(Input_APM!N:N,Input_APM!L:L,Check!B33)</f>
        <v>24409</v>
      </c>
      <c r="J33" s="176">
        <f t="shared" si="3"/>
        <v>0</v>
      </c>
      <c r="K33" s="21">
        <f>IF(B33="","",SUMIFS('Input_APM (Zenith)'!N:N,'Input_APM (Zenith)'!L:L,Check!B33,'Input_APM (Zenith)'!M:M,Check!$F$1))</f>
        <v>0</v>
      </c>
      <c r="L33" s="21">
        <f>IF(B33="","",SUMIFS('Input_APM (Zenith)'!N:N,'Input_APM (Zenith)'!L:L,Check!B33,'Input_APM (Zenith)'!M:M,Check!$G$1))</f>
        <v>0</v>
      </c>
      <c r="M33" s="194">
        <f t="shared" si="4"/>
        <v>24409</v>
      </c>
      <c r="O33" t="s">
        <v>816</v>
      </c>
      <c r="P33" s="174">
        <f>IF(O33="","",IF(OR(LEFT(O33,4)="Cash",LEFT(O33,4)="Prov"),0,SUMIFS(Input_APM!N:N,Input_APM!L:L,Check!O33)))</f>
        <v>13594</v>
      </c>
      <c r="Q33" s="21">
        <f>IF(O33="","",IF(LEN(O33)&gt;9,SUMIFS(Options!$H$3:$H$28,Options!$B$3:$B$28,Check!O33),SUMIFS('Master P&amp;L'!$H$11:$H$88,'Master P&amp;L'!$B$11:$B$88,Check!O33)))</f>
        <v>14500</v>
      </c>
      <c r="R33" s="174">
        <f t="shared" si="1"/>
        <v>-906</v>
      </c>
      <c r="S33" s="289">
        <f t="shared" si="2"/>
        <v>0.93751724137931036</v>
      </c>
      <c r="V33" s="13"/>
    </row>
    <row r="34" spans="1:22">
      <c r="B34" t="s">
        <v>36</v>
      </c>
      <c r="C34" s="188">
        <f>IF(B34="","",IF(LEN(B34)&gt;9,SUMIFS(Options!$H$3:$H$28,Options!$B$3:$B$28,Check!B34),SUMIFS('Master P&amp;L'!$H$11:$H$88,'Master P&amp;L'!$B$11:$B$88,Check!B34)))</f>
        <v>23500</v>
      </c>
      <c r="D34" s="188">
        <f>IF(B34="","",SUMIFS(Input_APM!N:N,Input_APM!L:L,Check!B34,Input_APM!M:M,Check!$F$1))</f>
        <v>21977</v>
      </c>
      <c r="E34" s="174">
        <f t="shared" si="5"/>
        <v>1523</v>
      </c>
      <c r="F34" s="188">
        <f>IF(B34="","",SUMIFS(Input_APM!N:N,Input_APM!M:M,Check!$F$1,Input_APM!L:L,Check!B34))</f>
        <v>21977</v>
      </c>
      <c r="G34" s="188">
        <f>IF(B34="","",SUMIFS(Input_APM!N:N,Input_APM!M:M,Check!$G$1,Input_APM!L:L,Check!B34))</f>
        <v>0</v>
      </c>
      <c r="H34" s="174">
        <f t="shared" si="0"/>
        <v>21977</v>
      </c>
      <c r="I34" s="174">
        <f>SUMIFS(Input_APM!N:N,Input_APM!L:L,Check!B34)</f>
        <v>21977</v>
      </c>
      <c r="J34" s="176">
        <f t="shared" si="3"/>
        <v>0</v>
      </c>
      <c r="K34" s="21">
        <f>IF(B34="","",SUMIFS('Input_APM (Zenith)'!N:N,'Input_APM (Zenith)'!L:L,Check!B34,'Input_APM (Zenith)'!M:M,Check!$F$1))</f>
        <v>0</v>
      </c>
      <c r="L34" s="21">
        <f>IF(B34="","",SUMIFS('Input_APM (Zenith)'!N:N,'Input_APM (Zenith)'!L:L,Check!B34,'Input_APM (Zenith)'!M:M,Check!$G$1))</f>
        <v>0</v>
      </c>
      <c r="M34" s="194">
        <f t="shared" si="4"/>
        <v>21977</v>
      </c>
      <c r="O34" t="s">
        <v>568</v>
      </c>
      <c r="P34" s="174">
        <f>IF(O34="","",IF(OR(LEFT(O34,4)="Cash",LEFT(O34,4)="Prov"),0,SUMIFS(Input_APM!N:N,Input_APM!L:L,Check!O34)))</f>
        <v>276451</v>
      </c>
      <c r="Q34" s="21">
        <f>IF(O34="","",IF(LEN(O34)&gt;9,SUMIFS(Options!$H$3:$H$28,Options!$B$3:$B$28,Check!O34),SUMIFS('Master P&amp;L'!$H$11:$H$88,'Master P&amp;L'!$B$11:$B$88,Check!O34)))</f>
        <v>0</v>
      </c>
      <c r="R34" s="174">
        <f t="shared" si="1"/>
        <v>276451</v>
      </c>
      <c r="S34" s="289" t="str">
        <f t="shared" si="2"/>
        <v>Erro</v>
      </c>
      <c r="V34" s="13"/>
    </row>
    <row r="35" spans="1:22">
      <c r="B35" t="s">
        <v>6</v>
      </c>
      <c r="C35" s="188">
        <f>IF(B35="","",IF(LEN(B35)&gt;9,SUMIFS(Options!$H$3:$H$28,Options!$B$3:$B$28,Check!B35),SUMIFS('Master P&amp;L'!$H$11:$H$88,'Master P&amp;L'!$B$11:$B$88,Check!B35)))</f>
        <v>15000</v>
      </c>
      <c r="D35" s="188">
        <f>IF(B35="","",SUMIFS(Input_APM!N:N,Input_APM!L:L,Check!B35,Input_APM!M:M,Check!$F$1))</f>
        <v>14082</v>
      </c>
      <c r="E35" s="176">
        <f t="shared" si="5"/>
        <v>918</v>
      </c>
      <c r="F35" s="188">
        <f>IF(B35="","",SUMIFS(Input_APM!N:N,Input_APM!M:M,Check!$F$1,Input_APM!L:L,Check!B35))</f>
        <v>14082</v>
      </c>
      <c r="G35" s="188">
        <f>IF(B35="","",SUMIFS(Input_APM!N:N,Input_APM!M:M,Check!$G$1,Input_APM!L:L,Check!B35))</f>
        <v>0</v>
      </c>
      <c r="H35" s="174">
        <f t="shared" si="0"/>
        <v>14082</v>
      </c>
      <c r="I35" s="174">
        <f>SUMIFS(Input_APM!N:N,Input_APM!L:L,Check!B35)</f>
        <v>14082</v>
      </c>
      <c r="J35" s="176">
        <f t="shared" si="3"/>
        <v>0</v>
      </c>
      <c r="K35" s="21">
        <f>IF(B35="","",SUMIFS('Input_APM (Zenith)'!N:N,'Input_APM (Zenith)'!L:L,Check!B35,'Input_APM (Zenith)'!M:M,Check!$F$1))</f>
        <v>0</v>
      </c>
      <c r="L35" s="21">
        <f>IF(B35="","",SUMIFS('Input_APM (Zenith)'!N:N,'Input_APM (Zenith)'!L:L,Check!B35,'Input_APM (Zenith)'!M:M,Check!$G$1))</f>
        <v>0</v>
      </c>
      <c r="M35" s="194">
        <f t="shared" si="4"/>
        <v>14082</v>
      </c>
      <c r="O35" t="s">
        <v>569</v>
      </c>
      <c r="P35" s="174">
        <f>IF(O35="","",IF(OR(LEFT(O35,4)="Cash",LEFT(O35,4)="Prov"),0,SUMIFS(Input_APM!N:N,Input_APM!L:L,Check!O35)))</f>
        <v>-276451</v>
      </c>
      <c r="Q35" s="21">
        <f>IF(O35="","",IF(LEN(O35)&gt;9,SUMIFS(Options!$H$3:$H$28,Options!$B$3:$B$28,Check!O35),SUMIFS('Master P&amp;L'!$H$11:$H$88,'Master P&amp;L'!$B$11:$B$88,Check!O35)))</f>
        <v>0</v>
      </c>
      <c r="R35" s="174">
        <f t="shared" si="1"/>
        <v>-276451</v>
      </c>
      <c r="S35" s="289" t="str">
        <f t="shared" si="2"/>
        <v>Erro</v>
      </c>
      <c r="V35" s="13"/>
    </row>
    <row r="36" spans="1:22">
      <c r="B36" t="s">
        <v>926</v>
      </c>
      <c r="C36" s="188">
        <f>IF(B36="","",IF(LEN(B36)&gt;9,SUMIFS(Options!$H$3:$H$28,Options!$B$3:$B$28,Check!B36),SUMIFS('Master P&amp;L'!$H$11:$H$88,'Master P&amp;L'!$B$11:$B$88,Check!B36)))</f>
        <v>-13470</v>
      </c>
      <c r="D36" s="188">
        <f>IF(B36="","",SUMIFS(Input_APM!N:N,Input_APM!L:L,Check!B36,Input_APM!M:M,Check!$F$1))</f>
        <v>-12632</v>
      </c>
      <c r="E36" s="176">
        <f>IF(B36="","",C36-M36)</f>
        <v>-838</v>
      </c>
      <c r="F36" s="188">
        <f>IF(B36="","",SUMIFS(Input_APM!N:N,Input_APM!M:M,Check!$F$1,Input_APM!L:L,Check!B36))</f>
        <v>-12632</v>
      </c>
      <c r="G36" s="188">
        <f>IF(B36="","",SUMIFS(Input_APM!N:N,Input_APM!M:M,Check!$G$1,Input_APM!L:L,Check!B36))</f>
        <v>0</v>
      </c>
      <c r="H36" s="174">
        <f t="shared" si="0"/>
        <v>-12632</v>
      </c>
      <c r="I36" s="174">
        <f>SUMIFS(Input_APM!N:N,Input_APM!L:L,Check!B36)</f>
        <v>-12632</v>
      </c>
      <c r="J36" s="176">
        <f t="shared" si="3"/>
        <v>0</v>
      </c>
      <c r="K36" s="21">
        <f>IF(B36="","",SUMIFS('Input_APM (Zenith)'!N:N,'Input_APM (Zenith)'!L:L,Check!B36,'Input_APM (Zenith)'!M:M,Check!$F$1))</f>
        <v>0</v>
      </c>
      <c r="L36" s="21">
        <f>IF(B36="","",SUMIFS('Input_APM (Zenith)'!N:N,'Input_APM (Zenith)'!L:L,Check!B36,'Input_APM (Zenith)'!M:M,Check!$G$1))</f>
        <v>0</v>
      </c>
      <c r="M36" s="194">
        <f>IF(B36="","",F36+G36+K36+L36)</f>
        <v>-12632</v>
      </c>
      <c r="O36" t="s">
        <v>37</v>
      </c>
      <c r="P36" s="174">
        <f>IF(O36="","",IF(OR(LEFT(O36,4)="Cash",LEFT(O36,4)="Prov"),0,SUMIFS(Input_APM!N:N,Input_APM!L:L,Check!O36)))</f>
        <v>-10807</v>
      </c>
      <c r="Q36" s="21">
        <f>IF(O36="","",IF(LEN(O36)&gt;9,SUMIFS(Options!$H$3:$H$28,Options!$B$3:$B$28,Check!O36),SUMIFS('Master P&amp;L'!$H$11:$H$88,'Master P&amp;L'!$B$11:$B$88,Check!O36)))</f>
        <v>-11500</v>
      </c>
      <c r="R36" s="174">
        <f t="shared" si="1"/>
        <v>693</v>
      </c>
      <c r="S36" s="289">
        <f t="shared" si="2"/>
        <v>0.93973913043478263</v>
      </c>
      <c r="V36" s="13"/>
    </row>
    <row r="37" spans="1:22">
      <c r="B37" t="s">
        <v>4</v>
      </c>
      <c r="C37" s="188">
        <f>IF(B37="","",IF(LEN(B37)&gt;9,SUMIFS(Options!$H$3:$H$28,Options!$B$3:$B$28,Check!B37),SUMIFS('Master P&amp;L'!$H$11:$H$88,'Master P&amp;L'!$B$11:$B$88,Check!B37)))</f>
        <v>-27500</v>
      </c>
      <c r="D37" s="188">
        <f>IF(B37="","",SUMIFS(Input_APM!N:N,Input_APM!L:L,Check!B37,Input_APM!M:M,Check!$F$1))</f>
        <v>-25765</v>
      </c>
      <c r="E37" s="176">
        <f>IF(B37="","",C37-M37)</f>
        <v>-1735</v>
      </c>
      <c r="F37" s="188">
        <f>IF(B37="","",SUMIFS(Input_APM!N:N,Input_APM!M:M,Check!$F$1,Input_APM!L:L,Check!B37))</f>
        <v>-25765</v>
      </c>
      <c r="G37" s="188">
        <f>IF(B37="","",SUMIFS(Input_APM!N:N,Input_APM!M:M,Check!$G$1,Input_APM!L:L,Check!B37))</f>
        <v>0</v>
      </c>
      <c r="H37" s="174">
        <f t="shared" si="0"/>
        <v>-25765</v>
      </c>
      <c r="I37" s="174">
        <f>SUMIFS(Input_APM!N:N,Input_APM!L:L,Check!B37)</f>
        <v>-25765</v>
      </c>
      <c r="J37" s="176">
        <f t="shared" si="3"/>
        <v>0</v>
      </c>
      <c r="K37" s="21">
        <f>IF(B37="","",SUMIFS('Input_APM (Zenith)'!N:N,'Input_APM (Zenith)'!L:L,Check!B37,'Input_APM (Zenith)'!M:M,Check!$F$1))</f>
        <v>0</v>
      </c>
      <c r="L37" s="21">
        <f>IF(B37="","",SUMIFS('Input_APM (Zenith)'!N:N,'Input_APM (Zenith)'!L:L,Check!B37,'Input_APM (Zenith)'!M:M,Check!$G$1))</f>
        <v>0</v>
      </c>
      <c r="M37" s="194">
        <f t="shared" si="4"/>
        <v>-25765</v>
      </c>
      <c r="O37" t="s">
        <v>984</v>
      </c>
      <c r="P37" s="174">
        <f>IF(O37="","",IF(OR(LEFT(O37,4)="Cash",LEFT(O37,4)="Prov"),0,SUMIFS(Input_APM!N:N,Input_APM!L:L,Check!O37)))</f>
        <v>260</v>
      </c>
      <c r="Q37" s="21">
        <f>IF(O37="","",IF(LEN(O37)&gt;9,SUMIFS(Options!$H$3:$H$28,Options!$B$3:$B$28,Check!O37),SUMIFS('Master P&amp;L'!$H$11:$H$88,'Master P&amp;L'!$B$11:$B$88,Check!O37)))</f>
        <v>275</v>
      </c>
      <c r="R37" s="174">
        <f t="shared" si="1"/>
        <v>-15</v>
      </c>
      <c r="S37" s="289">
        <f t="shared" si="2"/>
        <v>0.94545454545454544</v>
      </c>
      <c r="V37" s="13"/>
    </row>
    <row r="38" spans="1:22">
      <c r="B38" t="s">
        <v>895</v>
      </c>
      <c r="C38" s="188">
        <f>IF(B38="","",IF(LEN(B38)&gt;9,SUMIFS(Options!$H$3:$H$28,Options!$B$3:$B$28,Check!B38),SUMIFS('Master P&amp;L'!$H$11:$H$88,'Master P&amp;L'!$B$11:$B$88,Check!B38)))</f>
        <v>1000</v>
      </c>
      <c r="D38" s="188">
        <f>IF(B38="","",SUMIFS(Input_APM!N:N,Input_APM!L:L,Check!B38,Input_APM!M:M,Check!$F$1))</f>
        <v>935</v>
      </c>
      <c r="E38" s="174">
        <f t="shared" si="5"/>
        <v>65</v>
      </c>
      <c r="F38" s="188">
        <f>IF(B38="","",SUMIFS(Input_APM!N:N,Input_APM!M:M,Check!$F$1,Input_APM!L:L,Check!B38))</f>
        <v>935</v>
      </c>
      <c r="G38" s="188">
        <f>IF(B38="","",SUMIFS(Input_APM!N:N,Input_APM!M:M,Check!$G$1,Input_APM!L:L,Check!B38))</f>
        <v>0</v>
      </c>
      <c r="H38" s="174">
        <f t="shared" si="0"/>
        <v>935</v>
      </c>
      <c r="I38" s="174">
        <f>SUMIFS(Input_APM!N:N,Input_APM!L:L,Check!B38)</f>
        <v>935</v>
      </c>
      <c r="J38" s="176">
        <f t="shared" si="3"/>
        <v>0</v>
      </c>
      <c r="K38" s="21">
        <f>IF(B38="","",SUMIFS('Input_APM (Zenith)'!N:N,'Input_APM (Zenith)'!L:L,Check!B38,'Input_APM (Zenith)'!M:M,Check!$F$1))</f>
        <v>0</v>
      </c>
      <c r="L38" s="21">
        <f>IF(B38="","",SUMIFS('Input_APM (Zenith)'!N:N,'Input_APM (Zenith)'!L:L,Check!B38,'Input_APM (Zenith)'!M:M,Check!$G$1))</f>
        <v>0</v>
      </c>
      <c r="M38" s="194">
        <f t="shared" si="4"/>
        <v>935</v>
      </c>
      <c r="O38" t="s">
        <v>985</v>
      </c>
      <c r="P38" s="174">
        <f>IF(O38="","",IF(OR(LEFT(O38,4)="Cash",LEFT(O38,4)="Prov"),0,SUMIFS(Input_APM!N:N,Input_APM!L:L,Check!O38)))</f>
        <v>-141</v>
      </c>
      <c r="Q38" s="21">
        <f>IF(O38="","",IF(LEN(O38)&gt;9,SUMIFS(Options!$H$3:$H$28,Options!$B$3:$B$28,Check!O38),SUMIFS('Master P&amp;L'!$H$11:$H$88,'Master P&amp;L'!$B$11:$B$88,Check!O38)))</f>
        <v>-150</v>
      </c>
      <c r="R38" s="174">
        <f t="shared" si="1"/>
        <v>9</v>
      </c>
      <c r="S38" s="289">
        <f t="shared" si="2"/>
        <v>0.94</v>
      </c>
      <c r="V38" s="13"/>
    </row>
    <row r="39" spans="1:22">
      <c r="B39" t="s">
        <v>774</v>
      </c>
      <c r="C39" s="188">
        <f>IF(B39="","",IF(LEN(B39)&gt;9,SUMIFS(Options!$H$3:$H$28,Options!$B$3:$B$28,Check!B39),SUMIFS('Master P&amp;L'!$H$11:$H$88,'Master P&amp;L'!$B$11:$B$88,Check!B39)))</f>
        <v>120</v>
      </c>
      <c r="D39" s="188">
        <f>IF(B39="","",SUMIFS(Input_APM!N:N,Input_APM!L:L,Check!B39,Input_APM!M:M,Check!$F$1))</f>
        <v>114</v>
      </c>
      <c r="E39" s="174">
        <f t="shared" si="5"/>
        <v>6</v>
      </c>
      <c r="F39" s="188">
        <f>IF(B39="","",SUMIFS(Input_APM!N:N,Input_APM!M:M,Check!$F$1,Input_APM!L:L,Check!B39))</f>
        <v>114</v>
      </c>
      <c r="G39" s="188">
        <f>IF(B39="","",SUMIFS(Input_APM!N:N,Input_APM!M:M,Check!$G$1,Input_APM!L:L,Check!B39))</f>
        <v>0</v>
      </c>
      <c r="H39" s="174">
        <f t="shared" si="0"/>
        <v>114</v>
      </c>
      <c r="I39" s="174">
        <f>SUMIFS(Input_APM!N:N,Input_APM!L:L,Check!B39)</f>
        <v>114</v>
      </c>
      <c r="J39" s="176">
        <f t="shared" si="3"/>
        <v>0</v>
      </c>
      <c r="K39" s="21">
        <f>IF(B39="","",SUMIFS('Input_APM (Zenith)'!N:N,'Input_APM (Zenith)'!L:L,Check!B39,'Input_APM (Zenith)'!M:M,Check!$F$1))</f>
        <v>0</v>
      </c>
      <c r="L39" s="21">
        <f>IF(B39="","",SUMIFS('Input_APM (Zenith)'!N:N,'Input_APM (Zenith)'!L:L,Check!B39,'Input_APM (Zenith)'!M:M,Check!$G$1))</f>
        <v>0</v>
      </c>
      <c r="M39" s="194">
        <f t="shared" si="4"/>
        <v>114</v>
      </c>
      <c r="O39" t="s">
        <v>983</v>
      </c>
      <c r="P39" s="174">
        <f>IF(O39="","",IF(OR(LEFT(O39,4)="Cash",LEFT(O39,4)="Prov"),0,SUMIFS(Input_APM!N:N,Input_APM!L:L,Check!O39)))</f>
        <v>-47</v>
      </c>
      <c r="Q39" s="21">
        <f>IF(O39="","",IF(LEN(O39)&gt;9,SUMIFS(Options!$H$3:$H$28,Options!$B$3:$B$28,Check!O39),SUMIFS('Master P&amp;L'!$H$11:$H$88,'Master P&amp;L'!$B$11:$B$88,Check!O39)))</f>
        <v>-50</v>
      </c>
      <c r="R39" s="174">
        <f t="shared" si="1"/>
        <v>3</v>
      </c>
      <c r="S39" s="289">
        <f t="shared" si="2"/>
        <v>0.94</v>
      </c>
      <c r="V39" s="13"/>
    </row>
    <row r="40" spans="1:22">
      <c r="B40" t="s">
        <v>1043</v>
      </c>
      <c r="C40" s="188">
        <f>IF(B40="","",IF(LEN(B40)&gt;9,SUMIFS(Options!$H$3:$H$28,Options!$B$3:$B$28,Check!B40),SUMIFS('Master P&amp;L'!$H$11:$H$88,'Master P&amp;L'!$B$11:$B$88,Check!B40)))</f>
        <v>150</v>
      </c>
      <c r="D40" s="188">
        <f>IF(B40="","",SUMIFS(Input_APM!N:N,Input_APM!L:L,Check!B40,Input_APM!M:M,Check!$F$1))</f>
        <v>142</v>
      </c>
      <c r="E40" s="176">
        <f t="shared" si="5"/>
        <v>8</v>
      </c>
      <c r="F40" s="188">
        <f>IF(B40="","",SUMIFS(Input_APM!N:N,Input_APM!M:M,Check!$F$1,Input_APM!L:L,Check!B40))</f>
        <v>142</v>
      </c>
      <c r="G40" s="188">
        <f>IF(B40="","",SUMIFS(Input_APM!N:N,Input_APM!M:M,Check!$G$1,Input_APM!L:L,Check!B40))</f>
        <v>0</v>
      </c>
      <c r="H40" s="174">
        <f t="shared" si="0"/>
        <v>142</v>
      </c>
      <c r="I40" s="174">
        <f>SUMIFS(Input_APM!N:N,Input_APM!L:L,Check!B40)</f>
        <v>142</v>
      </c>
      <c r="J40" s="176">
        <f t="shared" si="3"/>
        <v>0</v>
      </c>
      <c r="K40" s="21">
        <f>IF(B40="","",SUMIFS('Input_APM (Zenith)'!N:N,'Input_APM (Zenith)'!L:L,Check!B40,'Input_APM (Zenith)'!M:M,Check!$F$1))</f>
        <v>0</v>
      </c>
      <c r="L40" s="21">
        <f>IF(B40="","",SUMIFS('Input_APM (Zenith)'!N:N,'Input_APM (Zenith)'!L:L,Check!B40,'Input_APM (Zenith)'!M:M,Check!$G$1))</f>
        <v>0</v>
      </c>
      <c r="M40" s="194">
        <f t="shared" si="4"/>
        <v>142</v>
      </c>
      <c r="O40" t="s">
        <v>926</v>
      </c>
      <c r="P40" s="174">
        <f>IF(O40="","",IF(OR(LEFT(O40,4)="Cash",LEFT(O40,4)="Prov"),0,SUMIFS(Input_APM!N:N,Input_APM!L:L,Check!O40)))</f>
        <v>-12632</v>
      </c>
      <c r="Q40" s="21">
        <f>IF(O40="","",IF(LEN(O40)&gt;9,SUMIFS(Options!$H$3:$H$28,Options!$B$3:$B$28,Check!O40),SUMIFS('Master P&amp;L'!$H$11:$H$88,'Master P&amp;L'!$B$11:$B$88,Check!O40)))</f>
        <v>-13470</v>
      </c>
      <c r="R40" s="174">
        <f t="shared" si="1"/>
        <v>838</v>
      </c>
      <c r="S40" s="289">
        <f t="shared" si="2"/>
        <v>0.93778767631774318</v>
      </c>
      <c r="V40" s="13"/>
    </row>
    <row r="41" spans="1:22">
      <c r="B41" t="s">
        <v>1139</v>
      </c>
      <c r="C41" s="188">
        <f>IF(B41="","",IF(LEN(B41)&gt;9,SUMIFS(Options!$H$3:$H$28,Options!$B$3:$B$28,Check!B41),SUMIFS('Master P&amp;L'!$H$11:$H$88,'Master P&amp;L'!$B$11:$B$88,Check!B41)))</f>
        <v>-200</v>
      </c>
      <c r="D41" s="188">
        <f>IF(B41="","",SUMIFS(Input_APM!N:N,Input_APM!L:L,Check!B41,Input_APM!M:M,Check!$F$1))</f>
        <v>-188</v>
      </c>
      <c r="E41" s="174">
        <f t="shared" si="5"/>
        <v>-12</v>
      </c>
      <c r="F41" s="188">
        <f>IF(B41="","",SUMIFS(Input_APM!N:N,Input_APM!M:M,Check!$F$1,Input_APM!L:L,Check!B41))</f>
        <v>-188</v>
      </c>
      <c r="G41" s="188">
        <f>IF(B41="","",SUMIFS(Input_APM!N:N,Input_APM!M:M,Check!$G$1,Input_APM!L:L,Check!B41))</f>
        <v>0</v>
      </c>
      <c r="H41" s="174">
        <f t="shared" si="0"/>
        <v>-188</v>
      </c>
      <c r="I41" s="174">
        <f>SUMIFS(Input_APM!N:N,Input_APM!L:L,Check!B41)</f>
        <v>-188</v>
      </c>
      <c r="J41" s="176">
        <f t="shared" si="3"/>
        <v>0</v>
      </c>
      <c r="K41" s="21">
        <f>IF(B41="","",SUMIFS('Input_APM (Zenith)'!N:N,'Input_APM (Zenith)'!L:L,Check!B41,'Input_APM (Zenith)'!M:M,Check!$F$1))</f>
        <v>0</v>
      </c>
      <c r="L41" s="21">
        <f>IF(B41="","",SUMIFS('Input_APM (Zenith)'!N:N,'Input_APM (Zenith)'!L:L,Check!B41,'Input_APM (Zenith)'!M:M,Check!$G$1))</f>
        <v>0</v>
      </c>
      <c r="M41" s="194">
        <f t="shared" si="4"/>
        <v>-188</v>
      </c>
      <c r="O41" t="s">
        <v>958</v>
      </c>
      <c r="P41" s="174">
        <f>IF(O41="","",IF(OR(LEFT(O41,4)="Cash",LEFT(O41,4)="Prov"),0,SUMIFS(Input_APM!N:N,Input_APM!L:L,Check!O41)))</f>
        <v>10349446</v>
      </c>
      <c r="Q41" s="21">
        <f>IF(O41="","",IF(LEN(O41)&gt;9,SUMIFS(Options!$H$3:$H$28,Options!$B$3:$B$28,Check!O41),SUMIFS('Master P&amp;L'!$H$11:$H$88,'Master P&amp;L'!$B$11:$B$88,Check!O41)))</f>
        <v>0</v>
      </c>
      <c r="R41" s="174">
        <f t="shared" si="1"/>
        <v>10349446</v>
      </c>
      <c r="S41" s="289" t="str">
        <f t="shared" si="2"/>
        <v>Erro</v>
      </c>
      <c r="V41" s="13"/>
    </row>
    <row r="42" spans="1:22">
      <c r="B42" t="s">
        <v>1140</v>
      </c>
      <c r="C42" s="188">
        <f>IF(B42="","",IF(LEN(B42)&gt;9,SUMIFS(Options!$H$3:$H$28,Options!$B$3:$B$28,Check!B42),SUMIFS('Master P&amp;L'!$H$11:$H$88,'Master P&amp;L'!$B$11:$B$88,Check!B42)))</f>
        <v>-200</v>
      </c>
      <c r="D42" s="188">
        <f>IF(B42="","",SUMIFS(Input_APM!N:N,Input_APM!L:L,Check!B42,Input_APM!M:M,Check!$F$1))</f>
        <v>-188</v>
      </c>
      <c r="E42" s="176">
        <f t="shared" si="5"/>
        <v>-12</v>
      </c>
      <c r="F42" s="188">
        <f>IF(B42="","",SUMIFS(Input_APM!N:N,Input_APM!M:M,Check!$F$1,Input_APM!L:L,Check!B42))</f>
        <v>-188</v>
      </c>
      <c r="G42" s="188">
        <f>IF(B42="","",SUMIFS(Input_APM!N:N,Input_APM!M:M,Check!$G$1,Input_APM!L:L,Check!B42))</f>
        <v>0</v>
      </c>
      <c r="H42" s="174">
        <f t="shared" si="0"/>
        <v>-188</v>
      </c>
      <c r="I42" s="174">
        <f>SUMIFS(Input_APM!N:N,Input_APM!L:L,Check!B42)</f>
        <v>-188</v>
      </c>
      <c r="J42" s="176">
        <f t="shared" si="3"/>
        <v>0</v>
      </c>
      <c r="K42" s="21">
        <f>IF(B42="","",SUMIFS('Input_APM (Zenith)'!N:N,'Input_APM (Zenith)'!L:L,Check!B42,'Input_APM (Zenith)'!M:M,Check!$F$1))</f>
        <v>0</v>
      </c>
      <c r="L42" s="21">
        <f>IF(B42="","",SUMIFS('Input_APM (Zenith)'!N:N,'Input_APM (Zenith)'!L:L,Check!B42,'Input_APM (Zenith)'!M:M,Check!$G$1))</f>
        <v>0</v>
      </c>
      <c r="M42" s="194">
        <f t="shared" si="4"/>
        <v>-188</v>
      </c>
      <c r="O42" t="s">
        <v>735</v>
      </c>
      <c r="P42" s="174">
        <f>IF(O42="","",IF(OR(LEFT(O42,4)="Cash",LEFT(O42,4)="Prov"),0,SUMIFS(Input_APM!N:N,Input_APM!L:L,Check!O42)))</f>
        <v>4178</v>
      </c>
      <c r="Q42" s="21">
        <f>IF(O42="","",IF(LEN(O42)&gt;9,SUMIFS(Options!$H$3:$H$28,Options!$B$3:$B$28,Check!O42),SUMIFS('Master P&amp;L'!$H$11:$H$88,'Master P&amp;L'!$B$11:$B$88,Check!O42)))</f>
        <v>4450</v>
      </c>
      <c r="R42" s="174">
        <f t="shared" si="1"/>
        <v>-272</v>
      </c>
      <c r="S42" s="289">
        <f t="shared" si="2"/>
        <v>0.93887640449438203</v>
      </c>
      <c r="V42" s="13"/>
    </row>
    <row r="43" spans="1:22">
      <c r="A43" t="s">
        <v>448</v>
      </c>
      <c r="B43" t="s">
        <v>1094</v>
      </c>
      <c r="C43" s="188">
        <f>IF(B43="","",IF(LEN(B43)&gt;9,SUMIFS(Options!$H$3:$H$28,Options!$B$3:$B$28,Check!B43),SUMIFS('Master P&amp;L'!$H$11:$H$88,'Master P&amp;L'!$B$11:$B$88,Check!B43)))</f>
        <v>135</v>
      </c>
      <c r="D43" s="188">
        <f>IF(B43="","",SUMIFS(Input_APM!N:N,Input_APM!L:L,Check!B43,Input_APM!M:M,Check!$F$1))</f>
        <v>128</v>
      </c>
      <c r="E43" s="174">
        <f t="shared" si="5"/>
        <v>7</v>
      </c>
      <c r="F43" s="188">
        <f>IF(B43="","",SUMIFS(Input_APM!N:N,Input_APM!M:M,Check!$F$1,Input_APM!L:L,Check!B43))</f>
        <v>128</v>
      </c>
      <c r="G43" s="188">
        <f>IF(B43="","",SUMIFS(Input_APM!N:N,Input_APM!M:M,Check!$G$1,Input_APM!L:L,Check!B43))</f>
        <v>0</v>
      </c>
      <c r="H43" s="174">
        <f t="shared" si="0"/>
        <v>128</v>
      </c>
      <c r="I43" s="174">
        <f>SUMIFS(Input_APM!N:N,Input_APM!L:L,Check!B43)</f>
        <v>128</v>
      </c>
      <c r="J43" s="176">
        <f t="shared" si="3"/>
        <v>0</v>
      </c>
      <c r="K43" s="21">
        <f>IF(B43="","",SUMIFS('Input_APM (Zenith)'!N:N,'Input_APM (Zenith)'!L:L,Check!B43,'Input_APM (Zenith)'!M:M,Check!$F$1))</f>
        <v>0</v>
      </c>
      <c r="L43" s="21">
        <f>IF(B43="","",SUMIFS('Input_APM (Zenith)'!N:N,'Input_APM (Zenith)'!L:L,Check!B43,'Input_APM (Zenith)'!M:M,Check!$G$1))</f>
        <v>0</v>
      </c>
      <c r="M43" s="174">
        <f t="shared" si="4"/>
        <v>128</v>
      </c>
      <c r="O43" t="s">
        <v>947</v>
      </c>
      <c r="P43" s="174">
        <f>IF(O43="","",IF(OR(LEFT(O43,4)="Cash",LEFT(O43,4)="Prov"),0,SUMIFS(Input_APM!N:N,Input_APM!L:L,Check!O43)))</f>
        <v>0</v>
      </c>
      <c r="Q43" s="21">
        <f>IF(O43="","",IF(LEN(O43)&gt;9,SUMIFS(Options!$H$3:$H$28,Options!$B$3:$B$28,Check!O43),SUMIFS('Master P&amp;L'!$H$11:$H$88,'Master P&amp;L'!$B$11:$B$88,Check!O43)))</f>
        <v>0</v>
      </c>
      <c r="R43" s="174">
        <f t="shared" si="1"/>
        <v>0</v>
      </c>
      <c r="S43" s="289" t="str">
        <f t="shared" si="2"/>
        <v>Ok</v>
      </c>
      <c r="V43" s="13"/>
    </row>
    <row r="44" spans="1:22">
      <c r="B44" t="s">
        <v>1094</v>
      </c>
      <c r="C44" s="188">
        <f>IF(B44="","",IF(LEN(B44)&gt;9,SUMIFS(Options!$H$3:$H$28,Options!$B$3:$B$28,Check!B44),SUMIFS('Master P&amp;L'!$H$11:$H$88,'Master P&amp;L'!$B$11:$B$88,Check!B44)))</f>
        <v>135</v>
      </c>
      <c r="D44" s="188">
        <f>IF(B44="","",SUMIFS(Input_APM!N:N,Input_APM!L:L,Check!B44,Input_APM!M:M,Check!$F$1))</f>
        <v>128</v>
      </c>
      <c r="E44" s="174">
        <f>IF(B44="","",C44-M44)</f>
        <v>7</v>
      </c>
      <c r="F44" s="188">
        <f>IF(B44="","",SUMIFS(Input_APM!N:N,Input_APM!M:M,Check!$F$1,Input_APM!L:L,Check!B44))</f>
        <v>128</v>
      </c>
      <c r="G44" s="188">
        <f>IF(B44="","",SUMIFS(Input_APM!N:N,Input_APM!M:M,Check!$G$1,Input_APM!L:L,Check!B44))</f>
        <v>0</v>
      </c>
      <c r="H44" s="174">
        <f t="shared" si="0"/>
        <v>128</v>
      </c>
      <c r="I44" s="174">
        <f>SUMIFS(Input_APM!N:N,Input_APM!L:L,Check!B44)</f>
        <v>128</v>
      </c>
      <c r="J44" s="176">
        <f t="shared" si="3"/>
        <v>0</v>
      </c>
      <c r="K44" s="21">
        <f>IF(B44="","",SUMIFS('Input_APM (Zenith)'!N:N,'Input_APM (Zenith)'!L:L,Check!B44,'Input_APM (Zenith)'!M:M,Check!$F$1))</f>
        <v>0</v>
      </c>
      <c r="L44" s="21">
        <f>IF(B44="","",SUMIFS('Input_APM (Zenith)'!N:N,'Input_APM (Zenith)'!L:L,Check!B44,'Input_APM (Zenith)'!M:M,Check!$G$1))</f>
        <v>0</v>
      </c>
      <c r="M44" s="174">
        <f t="shared" si="4"/>
        <v>128</v>
      </c>
      <c r="O44" t="s">
        <v>1058</v>
      </c>
      <c r="P44" s="174">
        <f>IF(O44="","",IF(OR(LEFT(O44,4)="Cash",LEFT(O44,4)="Prov"),0,SUMIFS(Input_APM!N:N,Input_APM!L:L,Check!O44)))</f>
        <v>-9372000</v>
      </c>
      <c r="Q44" s="21">
        <f>IF(O44="","",IF(LEN(O44)&gt;9,SUMIFS(Options!$H$3:$H$28,Options!$B$3:$B$28,Check!O44),SUMIFS('Master P&amp;L'!$H$11:$H$88,'Master P&amp;L'!$B$11:$B$88,Check!O44)))</f>
        <v>0</v>
      </c>
      <c r="R44" s="174">
        <f t="shared" si="1"/>
        <v>-9372000</v>
      </c>
      <c r="S44" s="289" t="str">
        <f t="shared" si="2"/>
        <v>Erro</v>
      </c>
      <c r="V44" s="13"/>
    </row>
    <row r="45" spans="1:22">
      <c r="B45" t="s">
        <v>935</v>
      </c>
      <c r="C45" s="188">
        <f>IF(B45="","",IF(LEN(B45)&gt;9,SUMIFS(Options!$H$3:$H$28,Options!$B$3:$B$28,Check!B45),SUMIFS('Master P&amp;L'!$H$11:$H$88,'Master P&amp;L'!$B$11:$B$88,Check!B45)))</f>
        <v>450</v>
      </c>
      <c r="D45" s="188">
        <f>IF(B45="","",SUMIFS(Input_APM!N:N,Input_APM!L:L,Check!B45,Input_APM!M:M,Check!$F$1))</f>
        <v>422</v>
      </c>
      <c r="E45" s="174">
        <f t="shared" si="5"/>
        <v>28</v>
      </c>
      <c r="F45" s="188">
        <f>IF(B45="","",SUMIFS(Input_APM!N:N,Input_APM!M:M,Check!$F$1,Input_APM!L:L,Check!B45))</f>
        <v>422</v>
      </c>
      <c r="G45" s="188">
        <f>IF(B45="","",SUMIFS(Input_APM!N:N,Input_APM!M:M,Check!$G$1,Input_APM!L:L,Check!B45))</f>
        <v>0</v>
      </c>
      <c r="H45" s="174">
        <f t="shared" si="0"/>
        <v>422</v>
      </c>
      <c r="I45" s="174">
        <f>SUMIFS(Input_APM!N:N,Input_APM!L:L,Check!B45)</f>
        <v>422</v>
      </c>
      <c r="J45" s="176">
        <f t="shared" si="3"/>
        <v>0</v>
      </c>
      <c r="K45" s="21">
        <f>IF(B45="","",SUMIFS('Input_APM (Zenith)'!N:N,'Input_APM (Zenith)'!L:L,Check!B45,'Input_APM (Zenith)'!M:M,Check!$F$1))</f>
        <v>0</v>
      </c>
      <c r="L45" s="21">
        <f>IF(B45="","",SUMIFS('Input_APM (Zenith)'!N:N,'Input_APM (Zenith)'!L:L,Check!B45,'Input_APM (Zenith)'!M:M,Check!$G$1))</f>
        <v>0</v>
      </c>
      <c r="M45" s="174">
        <f t="shared" si="4"/>
        <v>422</v>
      </c>
      <c r="O45" t="s">
        <v>29</v>
      </c>
      <c r="P45" s="174">
        <f>IF(O45="","",IF(OR(LEFT(O45,4)="Cash",LEFT(O45,4)="Prov"),0,SUMIFS(Input_APM!N:N,Input_APM!L:L,Check!O45)))</f>
        <v>4183</v>
      </c>
      <c r="Q45" s="21">
        <f>IF(O45="","",IF(LEN(O45)&gt;9,SUMIFS(Options!$H$3:$H$28,Options!$B$3:$B$28,Check!O45),SUMIFS('Master P&amp;L'!$H$11:$H$88,'Master P&amp;L'!$B$11:$B$88,Check!O45)))</f>
        <v>4450</v>
      </c>
      <c r="R45" s="174">
        <f t="shared" si="1"/>
        <v>-267</v>
      </c>
      <c r="S45" s="289">
        <f t="shared" si="2"/>
        <v>0.94</v>
      </c>
      <c r="V45" s="13"/>
    </row>
    <row r="46" spans="1:22">
      <c r="B46" t="s">
        <v>1138</v>
      </c>
      <c r="C46" s="188">
        <f>IF(B46="","",IF(LEN(B46)&gt;9,SUMIFS(Options!$H$3:$H$28,Options!$B$3:$B$28,Check!B46),SUMIFS('Master P&amp;L'!$H$11:$H$88,'Master P&amp;L'!$B$11:$B$88,Check!B46)))</f>
        <v>-450</v>
      </c>
      <c r="D46" s="188">
        <f>IF(B46="","",SUMIFS(Input_APM!N:N,Input_APM!L:L,Check!B46,Input_APM!M:M,Check!$F$1))</f>
        <v>-422</v>
      </c>
      <c r="E46" s="176">
        <f t="shared" si="5"/>
        <v>-28</v>
      </c>
      <c r="F46" s="188">
        <f>IF(B46="","",SUMIFS(Input_APM!N:N,Input_APM!M:M,Check!$F$1,Input_APM!L:L,Check!B46))</f>
        <v>-422</v>
      </c>
      <c r="G46" s="188">
        <f>IF(B46="","",SUMIFS(Input_APM!N:N,Input_APM!M:M,Check!$G$1,Input_APM!L:L,Check!B46))</f>
        <v>0</v>
      </c>
      <c r="H46" s="174">
        <f t="shared" si="0"/>
        <v>-422</v>
      </c>
      <c r="I46" s="174">
        <f>SUMIFS(Input_APM!N:N,Input_APM!L:L,Check!B46)</f>
        <v>-422</v>
      </c>
      <c r="J46" s="176">
        <f t="shared" si="3"/>
        <v>0</v>
      </c>
      <c r="K46" s="21">
        <f>IF(B46="","",SUMIFS('Input_APM (Zenith)'!N:N,'Input_APM (Zenith)'!L:L,Check!B46,'Input_APM (Zenith)'!M:M,Check!$F$1))</f>
        <v>0</v>
      </c>
      <c r="L46" s="21">
        <f>IF(B46="","",SUMIFS('Input_APM (Zenith)'!N:N,'Input_APM (Zenith)'!L:L,Check!B46,'Input_APM (Zenith)'!M:M,Check!$G$1))</f>
        <v>0</v>
      </c>
      <c r="M46" s="174">
        <f t="shared" si="4"/>
        <v>-422</v>
      </c>
      <c r="O46" t="s">
        <v>1056</v>
      </c>
      <c r="P46" s="174">
        <f>IF(O46="","",IF(OR(LEFT(O46,4)="Cash",LEFT(O46,4)="Prov"),0,SUMIFS(Input_APM!N:N,Input_APM!L:L,Check!O46)))</f>
        <v>0</v>
      </c>
      <c r="Q46" s="21">
        <f>IF(O46="","",IF(LEN(O46)&gt;9,SUMIFS(Options!$H$3:$H$28,Options!$B$3:$B$28,Check!O46),SUMIFS('Master P&amp;L'!$H$11:$H$88,'Master P&amp;L'!$B$11:$B$88,Check!O46)))</f>
        <v>0</v>
      </c>
      <c r="R46" s="174">
        <f t="shared" si="1"/>
        <v>0</v>
      </c>
      <c r="S46" s="289" t="str">
        <f t="shared" si="2"/>
        <v>Ok</v>
      </c>
      <c r="V46" s="13"/>
    </row>
    <row r="47" spans="1:22">
      <c r="B47" t="s">
        <v>1095</v>
      </c>
      <c r="C47" s="188">
        <f>IF(B47="","",IF(LEN(B47)&gt;9,SUMIFS(Options!$H$3:$H$28,Options!$B$3:$B$28,Check!B47),SUMIFS('Master P&amp;L'!$H$11:$H$88,'Master P&amp;L'!$B$11:$B$88,Check!B47)))</f>
        <v>350</v>
      </c>
      <c r="D47" s="188">
        <f>IF(B47="","",SUMIFS(Input_APM!N:N,Input_APM!L:L,Check!B47,Input_APM!M:M,Check!$F$1))</f>
        <v>329</v>
      </c>
      <c r="E47" s="176">
        <f t="shared" si="5"/>
        <v>21</v>
      </c>
      <c r="F47" s="188">
        <f>IF(B47="","",SUMIFS(Input_APM!N:N,Input_APM!M:M,Check!$F$1,Input_APM!L:L,Check!B47))</f>
        <v>329</v>
      </c>
      <c r="G47" s="188">
        <f>IF(B47="","",SUMIFS(Input_APM!N:N,Input_APM!M:M,Check!$G$1,Input_APM!L:L,Check!B47))</f>
        <v>0</v>
      </c>
      <c r="H47" s="174">
        <f t="shared" si="0"/>
        <v>329</v>
      </c>
      <c r="I47" s="174">
        <f>SUMIFS(Input_APM!N:N,Input_APM!L:L,Check!B47)</f>
        <v>329</v>
      </c>
      <c r="J47" s="176">
        <f t="shared" si="3"/>
        <v>0</v>
      </c>
      <c r="K47" s="21">
        <f>IF(B47="","",SUMIFS('Input_APM (Zenith)'!N:N,'Input_APM (Zenith)'!L:L,Check!B47,'Input_APM (Zenith)'!M:M,Check!$F$1))</f>
        <v>0</v>
      </c>
      <c r="L47" s="21">
        <f>IF(B47="","",SUMIFS('Input_APM (Zenith)'!N:N,'Input_APM (Zenith)'!L:L,Check!B47,'Input_APM (Zenith)'!M:M,Check!$G$1))</f>
        <v>0</v>
      </c>
      <c r="M47" s="174">
        <f t="shared" si="4"/>
        <v>329</v>
      </c>
      <c r="O47" t="s">
        <v>1094</v>
      </c>
      <c r="P47" s="174">
        <f>IF(O47="","",IF(OR(LEFT(O47,4)="Cash",LEFT(O47,4)="Prov"),0,SUMIFS(Input_APM!N:N,Input_APM!L:L,Check!O47)))</f>
        <v>128</v>
      </c>
      <c r="Q47" s="21">
        <f>IF(O47="","",IF(LEN(O47)&gt;9,SUMIFS(Options!$H$3:$H$28,Options!$B$3:$B$28,Check!O47),SUMIFS('Master P&amp;L'!$H$11:$H$88,'Master P&amp;L'!$B$11:$B$88,Check!O47)))</f>
        <v>135</v>
      </c>
      <c r="R47" s="174">
        <f t="shared" si="1"/>
        <v>-7</v>
      </c>
      <c r="S47" s="289">
        <f t="shared" si="2"/>
        <v>0.94814814814814818</v>
      </c>
    </row>
    <row r="48" spans="1:22">
      <c r="B48" t="s">
        <v>1096</v>
      </c>
      <c r="C48" s="188">
        <f>IF(B48="","",IF(LEN(B48)&gt;9,SUMIFS(Options!$H$3:$H$28,Options!$B$3:$B$28,Check!B48),SUMIFS('Master P&amp;L'!$H$11:$H$88,'Master P&amp;L'!$B$11:$B$88,Check!B48)))</f>
        <v>-350</v>
      </c>
      <c r="D48" s="188">
        <f>IF(B48="","",SUMIFS(Input_APM!N:N,Input_APM!L:L,Check!B48,Input_APM!M:M,Check!$F$1))</f>
        <v>-329</v>
      </c>
      <c r="E48" s="176">
        <f t="shared" si="5"/>
        <v>-21</v>
      </c>
      <c r="F48" s="188">
        <f>IF(B48="","",SUMIFS(Input_APM!N:N,Input_APM!M:M,Check!$F$1,Input_APM!L:L,Check!B48))</f>
        <v>-329</v>
      </c>
      <c r="G48" s="188">
        <f>IF(B48="","",SUMIFS(Input_APM!N:N,Input_APM!M:M,Check!$G$1,Input_APM!L:L,Check!B48))</f>
        <v>0</v>
      </c>
      <c r="H48" s="174">
        <f t="shared" si="0"/>
        <v>-329</v>
      </c>
      <c r="I48" s="174">
        <f>SUMIFS(Input_APM!N:N,Input_APM!L:L,Check!B48)</f>
        <v>-329</v>
      </c>
      <c r="J48" s="176">
        <f t="shared" si="3"/>
        <v>0</v>
      </c>
      <c r="K48" s="21">
        <f>IF(B48="","",SUMIFS('Input_APM (Zenith)'!N:N,'Input_APM (Zenith)'!L:L,Check!B48,'Input_APM (Zenith)'!M:M,Check!$F$1))</f>
        <v>0</v>
      </c>
      <c r="L48" s="21">
        <f>IF(B48="","",SUMIFS('Input_APM (Zenith)'!N:N,'Input_APM (Zenith)'!L:L,Check!B48,'Input_APM (Zenith)'!M:M,Check!$G$1))</f>
        <v>0</v>
      </c>
      <c r="M48" s="174">
        <f t="shared" si="4"/>
        <v>-329</v>
      </c>
      <c r="O48" t="s">
        <v>85</v>
      </c>
      <c r="P48" s="174">
        <f>IF(O48="","",IF(OR(LEFT(O48,4)="Cash",LEFT(O48,4)="Prov"),0,SUMIFS(Input_APM!N:N,Input_APM!L:L,Check!O48)))</f>
        <v>0</v>
      </c>
      <c r="Q48" s="21">
        <f>IF(O48="","",IF(LEN(O48)&gt;9,SUMIFS(Options!$H$3:$H$28,Options!$B$3:$B$28,Check!O48),SUMIFS('Master P&amp;L'!$H$11:$H$88,'Master P&amp;L'!$B$11:$B$88,Check!O48)))</f>
        <v>3500</v>
      </c>
      <c r="R48" s="174">
        <f t="shared" si="1"/>
        <v>-3500</v>
      </c>
      <c r="S48" s="289" t="str">
        <f t="shared" si="2"/>
        <v>Erro</v>
      </c>
    </row>
    <row r="49" spans="1:19">
      <c r="B49" t="s">
        <v>985</v>
      </c>
      <c r="C49" s="188">
        <f>IF(B49="","",IF(LEN(B49)&gt;9,SUMIFS(Options!$H$3:$H$28,Options!$B$3:$B$28,Check!B49),SUMIFS('Master P&amp;L'!$H$11:$H$88,'Master P&amp;L'!$B$11:$B$88,Check!B49)))</f>
        <v>-150</v>
      </c>
      <c r="D49" s="188">
        <f>IF(B49="","",SUMIFS(Input_APM!N:N,Input_APM!L:L,Check!B49,Input_APM!M:M,Check!$F$1))</f>
        <v>-141</v>
      </c>
      <c r="E49" s="176">
        <f t="shared" si="5"/>
        <v>-9</v>
      </c>
      <c r="F49" s="188">
        <f>IF(B49="","",SUMIFS(Input_APM!N:N,Input_APM!M:M,Check!$F$1,Input_APM!L:L,Check!B49))</f>
        <v>-141</v>
      </c>
      <c r="G49" s="188">
        <f>IF(B49="","",SUMIFS(Input_APM!N:N,Input_APM!M:M,Check!$G$1,Input_APM!L:L,Check!B49))</f>
        <v>0</v>
      </c>
      <c r="H49" s="174">
        <f t="shared" si="0"/>
        <v>-141</v>
      </c>
      <c r="I49" s="174">
        <f>SUMIFS(Input_APM!N:N,Input_APM!L:L,Check!B49)</f>
        <v>-141</v>
      </c>
      <c r="J49" s="176">
        <f t="shared" si="3"/>
        <v>0</v>
      </c>
      <c r="K49" s="21">
        <f>IF(B49="","",SUMIFS('Input_APM (Zenith)'!N:N,'Input_APM (Zenith)'!L:L,Check!B49,'Input_APM (Zenith)'!M:M,Check!$F$1))</f>
        <v>0</v>
      </c>
      <c r="L49" s="21">
        <f>IF(B49="","",SUMIFS('Input_APM (Zenith)'!N:N,'Input_APM (Zenith)'!L:L,Check!B49,'Input_APM (Zenith)'!M:M,Check!$G$1))</f>
        <v>0</v>
      </c>
      <c r="M49" s="174">
        <f t="shared" si="4"/>
        <v>-141</v>
      </c>
      <c r="O49" t="s">
        <v>935</v>
      </c>
      <c r="P49" s="174">
        <f>IF(O49="","",IF(OR(LEFT(O49,4)="Cash",LEFT(O49,4)="Prov"),0,SUMIFS(Input_APM!N:N,Input_APM!L:L,Check!O49)))</f>
        <v>422</v>
      </c>
      <c r="Q49" s="21">
        <f>IF(O49="","",IF(LEN(O49)&gt;9,SUMIFS(Options!$H$3:$H$28,Options!$B$3:$B$28,Check!O49),SUMIFS('Master P&amp;L'!$H$11:$H$88,'Master P&amp;L'!$B$11:$B$88,Check!O49)))</f>
        <v>450</v>
      </c>
      <c r="R49" s="174">
        <f t="shared" si="1"/>
        <v>-28</v>
      </c>
      <c r="S49" s="289">
        <f t="shared" si="2"/>
        <v>0.93777777777777782</v>
      </c>
    </row>
    <row r="50" spans="1:19">
      <c r="A50" t="s">
        <v>448</v>
      </c>
      <c r="B50" t="s">
        <v>984</v>
      </c>
      <c r="C50" s="188">
        <f>IF(B50="","",IF(LEN(B50)&gt;9,SUMIFS(Options!$H$3:$H$28,Options!$B$3:$B$28,Check!B50),SUMIFS('Master P&amp;L'!$H$11:$H$88,'Master P&amp;L'!$B$11:$B$88,Check!B50)))</f>
        <v>275</v>
      </c>
      <c r="D50" s="188">
        <f>IF(B50="","",SUMIFS(Input_APM!N:N,Input_APM!L:L,Check!B50,Input_APM!M:M,Check!$F$1))</f>
        <v>260</v>
      </c>
      <c r="E50" s="176">
        <f t="shared" si="5"/>
        <v>15</v>
      </c>
      <c r="F50" s="188">
        <f>IF(B50="","",SUMIFS(Input_APM!N:N,Input_APM!M:M,Check!$F$1,Input_APM!L:L,Check!B50))</f>
        <v>260</v>
      </c>
      <c r="G50" s="188">
        <f>IF(B50="","",SUMIFS(Input_APM!N:N,Input_APM!M:M,Check!$G$1,Input_APM!L:L,Check!B50))</f>
        <v>0</v>
      </c>
      <c r="H50" s="174">
        <f t="shared" si="0"/>
        <v>260</v>
      </c>
      <c r="I50" s="174">
        <f>SUMIFS(Input_APM!N:N,Input_APM!L:L,Check!B50)</f>
        <v>260</v>
      </c>
      <c r="J50" s="176">
        <f t="shared" si="3"/>
        <v>0</v>
      </c>
      <c r="K50" s="21">
        <f>IF(B50="","",SUMIFS('Input_APM (Zenith)'!N:N,'Input_APM (Zenith)'!L:L,Check!B50,'Input_APM (Zenith)'!M:M,Check!$F$1))</f>
        <v>0</v>
      </c>
      <c r="L50" s="21">
        <f>IF(B50="","",SUMIFS('Input_APM (Zenith)'!N:N,'Input_APM (Zenith)'!L:L,Check!B50,'Input_APM (Zenith)'!M:M,Check!$G$1))</f>
        <v>0</v>
      </c>
      <c r="M50" s="174">
        <f t="shared" si="4"/>
        <v>260</v>
      </c>
      <c r="O50" t="s">
        <v>767</v>
      </c>
      <c r="P50" s="174">
        <f>IF(O50="","",IF(OR(LEFT(O50,4)="Cash",LEFT(O50,4)="Prov"),0,SUMIFS(Input_APM!N:N,Input_APM!L:L,Check!O50)))</f>
        <v>0</v>
      </c>
      <c r="Q50" s="21">
        <f>IF(O50="","",IF(LEN(O50)&gt;9,SUMIFS(Options!$H$3:$H$28,Options!$B$3:$B$28,Check!O50),SUMIFS('Master P&amp;L'!$H$11:$H$88,'Master P&amp;L'!$B$11:$B$88,Check!O50)))</f>
        <v>0</v>
      </c>
      <c r="R50" s="174">
        <f t="shared" si="1"/>
        <v>0</v>
      </c>
      <c r="S50" s="289" t="str">
        <f t="shared" si="2"/>
        <v>Ok</v>
      </c>
    </row>
    <row r="51" spans="1:19">
      <c r="B51" t="s">
        <v>983</v>
      </c>
      <c r="C51" s="188">
        <f>IF(B51="","",IF(LEN(B51)&gt;9,SUMIFS(Options!$H$3:$H$28,Options!$B$3:$B$28,Check!B51),SUMIFS('Master P&amp;L'!$H$11:$H$88,'Master P&amp;L'!$B$11:$B$88,Check!B51)))</f>
        <v>-50</v>
      </c>
      <c r="D51" s="188">
        <f>IF(B51="","",SUMIFS(Input_APM!N:N,Input_APM!L:L,Check!B51,Input_APM!M:M,Check!$F$1))</f>
        <v>-47</v>
      </c>
      <c r="E51" s="176">
        <f t="shared" si="5"/>
        <v>-3</v>
      </c>
      <c r="F51" s="188">
        <f>IF(B51="","",SUMIFS(Input_APM!N:N,Input_APM!M:M,Check!$F$1,Input_APM!L:L,Check!B51))</f>
        <v>-47</v>
      </c>
      <c r="G51" s="188">
        <f>IF(B51="","",SUMIFS(Input_APM!N:N,Input_APM!M:M,Check!$G$1,Input_APM!L:L,Check!B51))</f>
        <v>0</v>
      </c>
      <c r="H51" s="174">
        <f t="shared" si="0"/>
        <v>-47</v>
      </c>
      <c r="I51" s="174">
        <f>SUMIFS(Input_APM!N:N,Input_APM!L:L,Check!B51)</f>
        <v>-47</v>
      </c>
      <c r="J51" s="176">
        <f t="shared" si="3"/>
        <v>0</v>
      </c>
      <c r="K51" s="21">
        <f>IF(B51="","",SUMIFS('Input_APM (Zenith)'!N:N,'Input_APM (Zenith)'!L:L,Check!B51,'Input_APM (Zenith)'!M:M,Check!$F$1))</f>
        <v>0</v>
      </c>
      <c r="L51" s="21">
        <f>IF(B51="","",SUMIFS('Input_APM (Zenith)'!N:N,'Input_APM (Zenith)'!L:L,Check!B51,'Input_APM (Zenith)'!M:M,Check!$G$1))</f>
        <v>0</v>
      </c>
      <c r="M51" s="174">
        <f t="shared" si="4"/>
        <v>-47</v>
      </c>
      <c r="O51" t="s">
        <v>730</v>
      </c>
      <c r="P51" s="174">
        <f>IF(O51="","",IF(OR(LEFT(O51,4)="Cash",LEFT(O51,4)="Prov"),0,SUMIFS(Input_APM!N:N,Input_APM!L:L,Check!O51)))</f>
        <v>0</v>
      </c>
      <c r="Q51" s="21">
        <f>IF(O51="","",IF(LEN(O51)&gt;9,SUMIFS(Options!$H$3:$H$28,Options!$B$3:$B$28,Check!O51),SUMIFS('Master P&amp;L'!$H$11:$H$88,'Master P&amp;L'!$B$11:$B$88,Check!O51)))</f>
        <v>0</v>
      </c>
      <c r="R51" s="174">
        <f t="shared" si="1"/>
        <v>0</v>
      </c>
      <c r="S51" s="289" t="str">
        <f t="shared" si="2"/>
        <v>Ok</v>
      </c>
    </row>
    <row r="52" spans="1:19">
      <c r="B52" t="s">
        <v>1129</v>
      </c>
      <c r="C52" s="188">
        <f>IF(B52="","",IF(LEN(B52)&gt;9,SUMIFS(Options!$H$3:$H$28,Options!$B$3:$B$28,Check!B52),SUMIFS('Master P&amp;L'!$H$11:$H$88,'Master P&amp;L'!$B$11:$B$88,Check!B52)))</f>
        <v>0</v>
      </c>
      <c r="D52" s="188">
        <f>IF(B52="","",SUMIFS(Input_APM!N:N,Input_APM!L:L,Check!B52,Input_APM!M:M,Check!$F$1))</f>
        <v>0</v>
      </c>
      <c r="E52" s="174">
        <f>IF(B52="","",C52-M52)</f>
        <v>0</v>
      </c>
      <c r="F52" s="188">
        <f>IF(B52="","",SUMIFS(Input_APM!N:N,Input_APM!M:M,Check!$F$1,Input_APM!L:L,Check!B52))</f>
        <v>0</v>
      </c>
      <c r="G52" s="188">
        <f>IF(B52="","",SUMIFS(Input_APM!N:N,Input_APM!M:M,Check!$G$1,Input_APM!L:L,Check!B52))</f>
        <v>0</v>
      </c>
      <c r="H52" s="174">
        <f t="shared" si="0"/>
        <v>0</v>
      </c>
      <c r="I52" s="174">
        <f>SUMIFS(Input_APM!N:N,Input_APM!L:L,Check!B52)</f>
        <v>0</v>
      </c>
      <c r="J52" s="176">
        <f t="shared" si="3"/>
        <v>0</v>
      </c>
      <c r="K52" s="21">
        <f>IF(B52="","",SUMIFS('Input_APM (Zenith)'!N:N,'Input_APM (Zenith)'!L:L,Check!B52,'Input_APM (Zenith)'!M:M,Check!$F$1))</f>
        <v>0</v>
      </c>
      <c r="L52" s="21">
        <f>IF(B52="","",SUMIFS('Input_APM (Zenith)'!N:N,'Input_APM (Zenith)'!L:L,Check!B52,'Input_APM (Zenith)'!M:M,Check!$G$1))</f>
        <v>0</v>
      </c>
      <c r="M52" s="174">
        <f t="shared" si="4"/>
        <v>0</v>
      </c>
      <c r="O52" t="s">
        <v>766</v>
      </c>
      <c r="P52" s="174">
        <f>IF(O52="","",IF(OR(LEFT(O52,4)="Cash",LEFT(O52,4)="Prov"),0,SUMIFS(Input_APM!N:N,Input_APM!L:L,Check!O52)))</f>
        <v>0</v>
      </c>
      <c r="Q52" s="21">
        <f>IF(O52="","",IF(LEN(O52)&gt;9,SUMIFS(Options!$H$3:$H$28,Options!$B$3:$B$28,Check!O52),SUMIFS('Master P&amp;L'!$H$11:$H$88,'Master P&amp;L'!$B$11:$B$88,Check!O52)))</f>
        <v>0</v>
      </c>
      <c r="R52" s="174">
        <f t="shared" si="1"/>
        <v>0</v>
      </c>
      <c r="S52" s="289" t="str">
        <f t="shared" si="2"/>
        <v>Ok</v>
      </c>
    </row>
    <row r="53" spans="1:19">
      <c r="B53" t="s">
        <v>896</v>
      </c>
      <c r="C53" s="188">
        <f>IF(B53="","",IF(LEN(B53)&gt;9,SUMIFS(Options!$H$3:$H$28,Options!$B$3:$B$28,Check!B53),SUMIFS('Master P&amp;L'!$H$11:$H$88,'Master P&amp;L'!$B$11:$B$88,Check!B53)))</f>
        <v>1550</v>
      </c>
      <c r="D53" s="188">
        <f>IF(B53="","",SUMIFS(Input_APM!N:N,Input_APM!L:L,Check!B53,Input_APM!M:M,Check!$F$1))</f>
        <v>1453</v>
      </c>
      <c r="E53" s="174">
        <f>IF(B53="","",C53-M53)</f>
        <v>97</v>
      </c>
      <c r="F53" s="188">
        <f>IF(B53="","",SUMIFS(Input_APM!N:N,Input_APM!M:M,Check!$F$1,Input_APM!L:L,Check!B53))</f>
        <v>1453</v>
      </c>
      <c r="G53" s="188">
        <f>IF(B53="","",SUMIFS(Input_APM!N:N,Input_APM!M:M,Check!$G$1,Input_APM!L:L,Check!B53))</f>
        <v>0</v>
      </c>
      <c r="H53" s="174">
        <f t="shared" si="0"/>
        <v>1453</v>
      </c>
      <c r="I53" s="174">
        <f>SUMIFS(Input_APM!N:N,Input_APM!L:L,Check!B53)</f>
        <v>1453</v>
      </c>
      <c r="J53" s="176">
        <f t="shared" si="3"/>
        <v>0</v>
      </c>
      <c r="K53" s="21">
        <f>IF(B53="","",SUMIFS('Input_APM (Zenith)'!N:N,'Input_APM (Zenith)'!L:L,Check!B53,'Input_APM (Zenith)'!M:M,Check!$F$1))</f>
        <v>0</v>
      </c>
      <c r="L53" s="21">
        <f>IF(B53="","",SUMIFS('Input_APM (Zenith)'!N:N,'Input_APM (Zenith)'!L:L,Check!B53,'Input_APM (Zenith)'!M:M,Check!$G$1))</f>
        <v>0</v>
      </c>
      <c r="M53" s="174">
        <f>IF(B53="","",F53+G53+K53+L53)</f>
        <v>1453</v>
      </c>
      <c r="O53" t="s">
        <v>38</v>
      </c>
      <c r="P53" s="174">
        <f>IF(O53="","",IF(OR(LEFT(O53,4)="Cash",LEFT(O53,4)="Prov"),0,SUMIFS(Input_APM!N:N,Input_APM!L:L,Check!O53)))</f>
        <v>1751</v>
      </c>
      <c r="Q53" s="21">
        <f>IF(O53="","",IF(LEN(O53)&gt;9,SUMIFS(Options!$H$3:$H$28,Options!$B$3:$B$28,Check!O53),SUMIFS('Master P&amp;L'!$H$11:$H$88,'Master P&amp;L'!$B$11:$B$88,Check!O53)))</f>
        <v>2980</v>
      </c>
      <c r="R53" s="174">
        <f t="shared" si="1"/>
        <v>-1229</v>
      </c>
      <c r="S53" s="289">
        <f t="shared" si="2"/>
        <v>0.5875838926174497</v>
      </c>
    </row>
    <row r="54" spans="1:19">
      <c r="B54" t="s">
        <v>897</v>
      </c>
      <c r="C54" s="188">
        <f>IF(B54="","",IF(LEN(B54)&gt;9,SUMIFS(Options!$H$3:$H$28,Options!$B$3:$B$28,Check!B54),SUMIFS('Master P&amp;L'!$H$11:$H$88,'Master P&amp;L'!$B$11:$B$88,Check!B54)))</f>
        <v>-1275</v>
      </c>
      <c r="D54" s="188">
        <f>IF(B54="","",SUMIFS(Input_APM!N:N,Input_APM!L:L,Check!B54,Input_APM!M:M,Check!$F$1))</f>
        <v>-1195</v>
      </c>
      <c r="E54" s="176">
        <f t="shared" si="5"/>
        <v>-80</v>
      </c>
      <c r="F54" s="188">
        <f>IF(B54="","",SUMIFS(Input_APM!N:N,Input_APM!M:M,Check!$F$1,Input_APM!L:L,Check!B54))</f>
        <v>-1195</v>
      </c>
      <c r="G54" s="188">
        <f>IF(B54="","",SUMIFS(Input_APM!N:N,Input_APM!M:M,Check!$G$1,Input_APM!L:L,Check!B54))</f>
        <v>0</v>
      </c>
      <c r="H54" s="174">
        <f t="shared" si="0"/>
        <v>-1195</v>
      </c>
      <c r="I54" s="174">
        <f>SUMIFS(Input_APM!N:N,Input_APM!L:L,Check!B54)</f>
        <v>-1195</v>
      </c>
      <c r="J54" s="176">
        <f t="shared" si="3"/>
        <v>0</v>
      </c>
      <c r="K54" s="21">
        <f>IF(B54="","",SUMIFS('Input_APM (Zenith)'!N:N,'Input_APM (Zenith)'!L:L,Check!B54,'Input_APM (Zenith)'!M:M,Check!$F$1))</f>
        <v>0</v>
      </c>
      <c r="L54" s="21">
        <f>IF(B54="","",SUMIFS('Input_APM (Zenith)'!N:N,'Input_APM (Zenith)'!L:L,Check!B54,'Input_APM (Zenith)'!M:M,Check!$G$1))</f>
        <v>0</v>
      </c>
      <c r="M54" s="174">
        <f t="shared" si="4"/>
        <v>-1195</v>
      </c>
      <c r="O54" t="s">
        <v>1102</v>
      </c>
      <c r="P54" s="174">
        <f>IF(O54="","",IF(OR(LEFT(O54,4)="Cash",LEFT(O54,4)="Prov"),0,SUMIFS(Input_APM!N:N,Input_APM!L:L,Check!O54)))</f>
        <v>-5</v>
      </c>
      <c r="Q54" s="21">
        <f>IF(O54="","",IF(LEN(O54)&gt;9,SUMIFS(Options!$H$3:$H$28,Options!$B$3:$B$28,Check!O54),SUMIFS('Master P&amp;L'!$H$11:$H$88,'Master P&amp;L'!$B$11:$B$88,Check!O54)))</f>
        <v>0</v>
      </c>
      <c r="R54" s="174">
        <f t="shared" si="1"/>
        <v>-5</v>
      </c>
      <c r="S54" s="289" t="str">
        <f t="shared" si="2"/>
        <v>Erro</v>
      </c>
    </row>
    <row r="55" spans="1:19">
      <c r="B55"/>
      <c r="C55" s="188" t="str">
        <f>IF(B55="","",IF(LEN(B55)&gt;9,SUMIFS(Options!$H$3:$H$28,Options!$B$3:$B$28,Check!B55),SUMIFS('Master P&amp;L'!$H$11:$H$88,'Master P&amp;L'!$B$11:$B$88,Check!B55)))</f>
        <v/>
      </c>
      <c r="D55" s="188" t="str">
        <f>IF(B55="","",SUMIFS(Input_APM!N:N,Input_APM!L:L,Check!B55,Input_APM!M:M,Check!$F$1))</f>
        <v/>
      </c>
      <c r="E55" s="176" t="str">
        <f t="shared" si="5"/>
        <v/>
      </c>
      <c r="F55" s="188" t="str">
        <f>IF(B55="","",SUMIFS(Input_APM!N:N,Input_APM!M:M,Check!$F$1,Input_APM!L:L,Check!B55))</f>
        <v/>
      </c>
      <c r="G55" s="188" t="str">
        <f>IF(B55="","",SUMIFS(Input_APM!N:N,Input_APM!M:M,Check!$G$1,Input_APM!L:L,Check!B55))</f>
        <v/>
      </c>
      <c r="H55" s="174" t="str">
        <f t="shared" si="0"/>
        <v/>
      </c>
      <c r="I55" s="174">
        <f>SUMIFS(Input_APM!N:N,Input_APM!L:L,Check!B55)</f>
        <v>0</v>
      </c>
      <c r="J55" s="176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174" t="str">
        <f t="shared" si="4"/>
        <v/>
      </c>
      <c r="O55" t="s">
        <v>42</v>
      </c>
      <c r="P55" s="174">
        <f>IF(O55="","",IF(OR(LEFT(O55,4)="Cash",LEFT(O55,4)="Prov"),0,SUMIFS(Input_APM!N:N,Input_APM!L:L,Check!O55)))</f>
        <v>23415</v>
      </c>
      <c r="Q55" s="21">
        <f>IF(O55="","",IF(LEN(O55)&gt;9,SUMIFS(Options!$H$3:$H$28,Options!$B$3:$B$28,Check!O55),SUMIFS('Master P&amp;L'!$H$11:$H$88,'Master P&amp;L'!$B$11:$B$88,Check!O55)))</f>
        <v>25027</v>
      </c>
      <c r="R55" s="174">
        <f t="shared" si="1"/>
        <v>-1612</v>
      </c>
      <c r="S55" s="289">
        <f t="shared" si="2"/>
        <v>0.93558956327166665</v>
      </c>
    </row>
    <row r="56" spans="1:19">
      <c r="B56"/>
      <c r="C56" s="188" t="str">
        <f>IF(B56="","",IF(LEN(B56)&gt;9,SUMIFS(Options!$H$3:$H$28,Options!$B$3:$B$28,Check!B56),SUMIFS('Master P&amp;L'!$H$11:$H$88,'Master P&amp;L'!$B$11:$B$88,Check!B56)))</f>
        <v/>
      </c>
      <c r="D56" s="188" t="str">
        <f>IF(B56="","",SUMIFS(Input_APM!N:N,Input_APM!L:L,Check!B56,Input_APM!M:M,Check!$F$1))</f>
        <v/>
      </c>
      <c r="E56" s="176" t="str">
        <f t="shared" si="5"/>
        <v/>
      </c>
      <c r="F56" s="188" t="str">
        <f>IF(B56="","",SUMIFS(Input_APM!N:N,Input_APM!M:M,Check!$F$1,Input_APM!L:L,Check!B56))</f>
        <v/>
      </c>
      <c r="G56" s="188" t="str">
        <f>IF(B56="","",SUMIFS(Input_APM!N:N,Input_APM!M:M,Check!$G$1,Input_APM!L:L,Check!B56))</f>
        <v/>
      </c>
      <c r="H56" s="174" t="str">
        <f t="shared" si="0"/>
        <v/>
      </c>
      <c r="I56" s="174">
        <f>SUMIFS(Input_APM!N:N,Input_APM!L:L,Check!B56)</f>
        <v>0</v>
      </c>
      <c r="J56" s="176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174" t="str">
        <f t="shared" si="4"/>
        <v/>
      </c>
      <c r="O56" t="s">
        <v>1043</v>
      </c>
      <c r="P56" s="174">
        <f>IF(O56="","",IF(OR(LEFT(O56,4)="Cash",LEFT(O56,4)="Prov"),0,SUMIFS(Input_APM!N:N,Input_APM!L:L,Check!O56)))</f>
        <v>142</v>
      </c>
      <c r="Q56" s="21">
        <f>IF(O56="","",IF(LEN(O56)&gt;9,SUMIFS(Options!$H$3:$H$28,Options!$B$3:$B$28,Check!O56),SUMIFS('Master P&amp;L'!$H$11:$H$88,'Master P&amp;L'!$B$11:$B$88,Check!O56)))</f>
        <v>150</v>
      </c>
      <c r="R56" s="174">
        <f t="shared" si="1"/>
        <v>-8</v>
      </c>
      <c r="S56" s="289">
        <f t="shared" si="2"/>
        <v>0.94666666666666666</v>
      </c>
    </row>
    <row r="57" spans="1:19">
      <c r="B57"/>
      <c r="C57" s="188" t="str">
        <f>IF(B57="","",IF(LEN(B57)&gt;9,SUMIFS(Options!$H$3:$H$28,Options!$B$3:$B$28,Check!B57),SUMIFS('Master P&amp;L'!$H$11:$H$88,'Master P&amp;L'!$B$11:$B$88,Check!B57)))</f>
        <v/>
      </c>
      <c r="D57" s="188" t="str">
        <f>IF(B57="","",SUMIFS(Input_APM!N:N,Input_APM!L:L,Check!B57,Input_APM!M:M,Check!$F$1))</f>
        <v/>
      </c>
      <c r="E57" s="176" t="str">
        <f>IF(B57="","",C57-M57)</f>
        <v/>
      </c>
      <c r="F57" s="188" t="str">
        <f>IF(B57="","",SUMIFS(Input_APM!N:N,Input_APM!M:M,Check!$F$1,Input_APM!L:L,Check!B57))</f>
        <v/>
      </c>
      <c r="G57" s="188" t="str">
        <f>IF(B57="","",SUMIFS(Input_APM!N:N,Input_APM!M:M,Check!$G$1,Input_APM!L:L,Check!B57))</f>
        <v/>
      </c>
      <c r="H57" s="174" t="str">
        <f t="shared" si="0"/>
        <v/>
      </c>
      <c r="I57" s="174">
        <f>SUMIFS(Input_APM!N:N,Input_APM!L:L,Check!B57)</f>
        <v>0</v>
      </c>
      <c r="J57" s="176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174" t="str">
        <f t="shared" si="4"/>
        <v/>
      </c>
      <c r="O57" t="s">
        <v>1121</v>
      </c>
      <c r="P57" s="174">
        <f>IF(O57="","",IF(OR(LEFT(O57,4)="Cash",LEFT(O57,4)="Prov"),0,SUMIFS(Input_APM!N:N,Input_APM!L:L,Check!O57)))</f>
        <v>0</v>
      </c>
      <c r="Q57" s="21">
        <f>IF(O57="","",IF(LEN(O57)&gt;9,SUMIFS(Options!$H$3:$H$28,Options!$B$3:$B$28,Check!O57),SUMIFS('Master P&amp;L'!$H$11:$H$88,'Master P&amp;L'!$B$11:$B$88,Check!O57)))</f>
        <v>0</v>
      </c>
      <c r="R57" s="174">
        <f t="shared" si="1"/>
        <v>0</v>
      </c>
      <c r="S57" s="289" t="str">
        <f t="shared" si="2"/>
        <v>Ok</v>
      </c>
    </row>
    <row r="58" spans="1:19">
      <c r="B58"/>
      <c r="C58" s="188" t="str">
        <f>IF(B58="","",IF(LEN(B58)&gt;9,SUMIFS(Options!$H$3:$H$28,Options!$B$3:$B$28,Check!B58),SUMIFS('Master P&amp;L'!$H$11:$H$88,'Master P&amp;L'!$B$11:$B$88,Check!B58)))</f>
        <v/>
      </c>
      <c r="D58" s="188" t="str">
        <f>IF(B58="","",SUMIFS(Input_APM!N:N,Input_APM!L:L,Check!B58,Input_APM!M:M,Check!$F$1))</f>
        <v/>
      </c>
      <c r="E58" s="174" t="str">
        <f t="shared" si="5"/>
        <v/>
      </c>
      <c r="F58" s="188" t="str">
        <f>IF(B58="","",SUMIFS(Input_APM!N:N,Input_APM!M:M,Check!$F$1,Input_APM!L:L,Check!B58))</f>
        <v/>
      </c>
      <c r="G58" s="188" t="str">
        <f>IF(B58="","",SUMIFS(Input_APM!N:N,Input_APM!M:M,Check!$G$1,Input_APM!L:L,Check!B58))</f>
        <v/>
      </c>
      <c r="H58" s="174" t="str">
        <f t="shared" si="0"/>
        <v/>
      </c>
      <c r="I58" s="174">
        <f>SUMIFS(Input_APM!N:N,Input_APM!L:L,Check!B58)</f>
        <v>0</v>
      </c>
      <c r="J58" s="176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174" t="str">
        <f t="shared" si="4"/>
        <v/>
      </c>
      <c r="O58" t="s">
        <v>1059</v>
      </c>
      <c r="P58" s="174">
        <f>IF(O58="","",IF(OR(LEFT(O58,4)="Cash",LEFT(O58,4)="Prov"),0,SUMIFS(Input_APM!N:N,Input_APM!L:L,Check!O58)))</f>
        <v>0</v>
      </c>
      <c r="Q58" s="21">
        <f>IF(O58="","",IF(LEN(O58)&gt;9,SUMIFS(Options!$H$3:$H$28,Options!$B$3:$B$28,Check!O58),SUMIFS('Master P&amp;L'!$H$11:$H$88,'Master P&amp;L'!$B$11:$B$88,Check!O58)))</f>
        <v>0</v>
      </c>
      <c r="R58" s="174">
        <f t="shared" si="1"/>
        <v>0</v>
      </c>
      <c r="S58" s="289" t="str">
        <f t="shared" si="2"/>
        <v>Ok</v>
      </c>
    </row>
    <row r="59" spans="1:19">
      <c r="B59"/>
      <c r="C59" s="188" t="str">
        <f>IF(B59="","",IF(LEN(B59)&gt;9,SUMIFS(Options!$H$3:$H$28,Options!$B$3:$B$28,Check!B59),SUMIFS('Master P&amp;L'!$H$11:$H$88,'Master P&amp;L'!$B$11:$B$88,Check!B59)))</f>
        <v/>
      </c>
      <c r="D59" s="188" t="str">
        <f>IF(B59="","",SUMIFS(Input_APM!N:N,Input_APM!L:L,Check!B59,Input_APM!M:M,Check!$F$1))</f>
        <v/>
      </c>
      <c r="E59" s="174" t="str">
        <f t="shared" si="5"/>
        <v/>
      </c>
      <c r="F59" s="188" t="str">
        <f>IF(B59="","",SUMIFS(Input_APM!N:N,Input_APM!M:M,Check!$F$1,Input_APM!L:L,Check!B59))</f>
        <v/>
      </c>
      <c r="G59" s="188" t="str">
        <f>IF(B59="","",SUMIFS(Input_APM!N:N,Input_APM!M:M,Check!$G$1,Input_APM!L:L,Check!B59))</f>
        <v/>
      </c>
      <c r="H59" s="174" t="str">
        <f t="shared" si="0"/>
        <v/>
      </c>
      <c r="I59" s="174">
        <f>SUMIFS(Input_APM!N:N,Input_APM!L:L,Check!B59)</f>
        <v>0</v>
      </c>
      <c r="J59" s="176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174" t="str">
        <f t="shared" si="4"/>
        <v/>
      </c>
      <c r="O59" t="s">
        <v>262</v>
      </c>
      <c r="P59" s="174">
        <f>IF(O59="","",IF(OR(LEFT(O59,4)="Cash",LEFT(O59,4)="Prov"),0,SUMIFS(Input_APM!N:N,Input_APM!L:L,Check!O59)))</f>
        <v>0</v>
      </c>
      <c r="Q59" s="21">
        <f>IF(O59="","",IF(LEN(O59)&gt;9,SUMIFS(Options!$H$3:$H$28,Options!$B$3:$B$28,Check!O59),SUMIFS('Master P&amp;L'!$H$11:$H$88,'Master P&amp;L'!$B$11:$B$88,Check!O59)))</f>
        <v>0</v>
      </c>
      <c r="R59" s="174">
        <f t="shared" si="1"/>
        <v>0</v>
      </c>
      <c r="S59" s="289" t="str">
        <f t="shared" si="2"/>
        <v>Ok</v>
      </c>
    </row>
    <row r="60" spans="1:19">
      <c r="B60"/>
      <c r="C60" s="188" t="str">
        <f>IF(B60="","",IF(LEN(B60)&gt;9,SUMIFS(Options!$H$3:$H$28,Options!$B$3:$B$28,Check!B60),SUMIFS('Master P&amp;L'!$H$11:$H$88,'Master P&amp;L'!$B$11:$B$88,Check!B60)))</f>
        <v/>
      </c>
      <c r="D60" s="188" t="str">
        <f>IF(B60="","",SUMIFS(Input_APM!N:N,Input_APM!L:L,Check!B60,Input_APM!M:M,Check!$F$1))</f>
        <v/>
      </c>
      <c r="E60" s="176" t="str">
        <f t="shared" si="5"/>
        <v/>
      </c>
      <c r="F60" s="188" t="str">
        <f>IF(B60="","",SUMIFS(Input_APM!N:N,Input_APM!M:M,Check!$F$1,Input_APM!L:L,Check!B60))</f>
        <v/>
      </c>
      <c r="G60" s="188" t="str">
        <f>IF(B60="","",SUMIFS(Input_APM!N:N,Input_APM!M:M,Check!$G$1,Input_APM!L:L,Check!B60))</f>
        <v/>
      </c>
      <c r="H60" s="174" t="str">
        <f t="shared" si="0"/>
        <v/>
      </c>
      <c r="I60" s="174">
        <f>SUMIFS(Input_APM!N:N,Input_APM!L:L,Check!B60)</f>
        <v>0</v>
      </c>
      <c r="J60" s="176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174" t="str">
        <f t="shared" si="4"/>
        <v/>
      </c>
      <c r="O60" t="s">
        <v>234</v>
      </c>
      <c r="P60" s="174">
        <f>IF(O60="","",IF(OR(LEFT(O60,4)="Cash",LEFT(O60,4)="Prov"),0,SUMIFS(Input_APM!N:N,Input_APM!L:L,Check!O60)))</f>
        <v>0</v>
      </c>
      <c r="Q60" s="21">
        <f>IF(O60="","",IF(LEN(O60)&gt;9,SUMIFS(Options!$H$3:$H$28,Options!$B$3:$B$28,Check!O60),SUMIFS('Master P&amp;L'!$H$11:$H$88,'Master P&amp;L'!$B$11:$B$88,Check!O60)))</f>
        <v>0</v>
      </c>
      <c r="R60" s="174">
        <f t="shared" si="1"/>
        <v>0</v>
      </c>
      <c r="S60" s="289" t="str">
        <f t="shared" si="2"/>
        <v>Ok</v>
      </c>
    </row>
    <row r="61" spans="1:19">
      <c r="B61"/>
      <c r="C61" s="188" t="str">
        <f>IF(B61="","",IF(LEN(B61)&gt;9,SUMIFS(Options!$H$3:$H$28,Options!$B$3:$B$28,Check!B61),SUMIFS('Master P&amp;L'!$H$11:$H$88,'Master P&amp;L'!$B$11:$B$88,Check!B61)))</f>
        <v/>
      </c>
      <c r="D61" s="188" t="str">
        <f>IF(B61="","",SUMIFS(Input_APM!N:N,Input_APM!L:L,Check!B61,Input_APM!M:M,Check!$F$1))</f>
        <v/>
      </c>
      <c r="E61" s="174" t="str">
        <f t="shared" si="5"/>
        <v/>
      </c>
      <c r="F61" s="188" t="str">
        <f>IF(B61="","",SUMIFS(Input_APM!N:N,Input_APM!M:M,Check!$F$1,Input_APM!L:L,Check!B61))</f>
        <v/>
      </c>
      <c r="G61" s="188" t="str">
        <f>IF(B61="","",SUMIFS(Input_APM!N:N,Input_APM!M:M,Check!$G$1,Input_APM!L:L,Check!B61))</f>
        <v/>
      </c>
      <c r="H61" s="174" t="str">
        <f t="shared" si="0"/>
        <v/>
      </c>
      <c r="I61" s="174">
        <f>SUMIFS(Input_APM!N:N,Input_APM!L:L,Check!B61)</f>
        <v>0</v>
      </c>
      <c r="J61" s="176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4" t="str">
        <f t="shared" si="4"/>
        <v/>
      </c>
      <c r="O61" t="s">
        <v>348</v>
      </c>
      <c r="P61" s="174">
        <f>IF(O61="","",IF(OR(LEFT(O61,4)="Cash",LEFT(O61,4)="Prov"),0,SUMIFS(Input_APM!N:N,Input_APM!L:L,Check!O61)))</f>
        <v>0</v>
      </c>
      <c r="Q61" s="21">
        <f>IF(O61="","",IF(LEN(O61)&gt;9,SUMIFS(Options!$H$3:$H$28,Options!$B$3:$B$28,Check!O61),SUMIFS('Master P&amp;L'!$H$11:$H$88,'Master P&amp;L'!$B$11:$B$88,Check!O61)))</f>
        <v>0</v>
      </c>
      <c r="R61" s="174">
        <f t="shared" si="1"/>
        <v>0</v>
      </c>
      <c r="S61" s="289" t="str">
        <f t="shared" si="2"/>
        <v>Ok</v>
      </c>
    </row>
    <row r="62" spans="1:19">
      <c r="B62"/>
      <c r="C62" s="188" t="str">
        <f>IF(B62="","",IF(LEN(B62)&gt;9,SUMIFS(Options!$H$3:$H$28,Options!$B$3:$B$28,Check!B62),SUMIFS('Master P&amp;L'!$H$11:$H$88,'Master P&amp;L'!$B$11:$B$88,Check!B62)))</f>
        <v/>
      </c>
      <c r="D62" s="188" t="str">
        <f>IF(B62="","",SUMIFS(Input_APM!N:N,Input_APM!L:L,Check!B62,Input_APM!M:M,Check!$F$1))</f>
        <v/>
      </c>
      <c r="E62" s="176" t="str">
        <f t="shared" si="5"/>
        <v/>
      </c>
      <c r="F62" s="188" t="str">
        <f>IF(B62="","",SUMIFS(Input_APM!N:N,Input_APM!M:M,Check!$F$1,Input_APM!L:L,Check!B62))</f>
        <v/>
      </c>
      <c r="G62" s="188" t="str">
        <f>IF(B62="","",SUMIFS(Input_APM!N:N,Input_APM!M:M,Check!$G$1,Input_APM!L:L,Check!B62))</f>
        <v/>
      </c>
      <c r="H62" s="174" t="str">
        <f t="shared" si="0"/>
        <v/>
      </c>
      <c r="I62" s="174">
        <f>SUMIFS(Input_APM!N:N,Input_APM!L:L,Check!B62)</f>
        <v>0</v>
      </c>
      <c r="J62" s="176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4" t="str">
        <f t="shared" si="4"/>
        <v/>
      </c>
      <c r="O62" t="s">
        <v>263</v>
      </c>
      <c r="P62" s="174">
        <f>IF(O62="","",IF(OR(LEFT(O62,4)="Cash",LEFT(O62,4)="Prov"),0,SUMIFS(Input_APM!N:N,Input_APM!L:L,Check!O62)))</f>
        <v>0</v>
      </c>
      <c r="Q62" s="21">
        <f>IF(O62="","",IF(LEN(O62)&gt;9,SUMIFS(Options!$H$3:$H$28,Options!$B$3:$B$28,Check!O62),SUMIFS('Master P&amp;L'!$H$11:$H$88,'Master P&amp;L'!$B$11:$B$88,Check!O62)))</f>
        <v>0</v>
      </c>
      <c r="R62" s="174">
        <f t="shared" si="1"/>
        <v>0</v>
      </c>
      <c r="S62" s="289" t="str">
        <f t="shared" si="2"/>
        <v>Ok</v>
      </c>
    </row>
    <row r="63" spans="1:19">
      <c r="B63"/>
      <c r="C63" s="188" t="str">
        <f>IF(B63="","",IF(LEN(B63)&gt;9,SUMIFS(Options!$H$3:$H$28,Options!$B$3:$B$28,Check!B63),SUMIFS('Master P&amp;L'!$H$11:$H$88,'Master P&amp;L'!$B$11:$B$88,Check!B63)))</f>
        <v/>
      </c>
      <c r="D63" s="188" t="str">
        <f>IF(B63="","",SUMIFS(Input_APM!N:N,Input_APM!L:L,Check!B63,Input_APM!M:M,Check!$F$1))</f>
        <v/>
      </c>
      <c r="E63" s="176" t="str">
        <f t="shared" si="5"/>
        <v/>
      </c>
      <c r="F63" s="188" t="str">
        <f>IF(B63="","",SUMIFS(Input_APM!N:N,Input_APM!M:M,Check!$F$1,Input_APM!L:L,Check!B63))</f>
        <v/>
      </c>
      <c r="G63" s="188" t="str">
        <f>IF(B63="","",SUMIFS(Input_APM!N:N,Input_APM!M:M,Check!$G$1,Input_APM!L:L,Check!B63))</f>
        <v/>
      </c>
      <c r="H63" s="174" t="str">
        <f t="shared" si="0"/>
        <v/>
      </c>
      <c r="I63" s="174">
        <f>SUMIFS(Input_APM!N:N,Input_APM!L:L,Check!B63)</f>
        <v>0</v>
      </c>
      <c r="J63" s="176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4" t="str">
        <f t="shared" si="4"/>
        <v/>
      </c>
      <c r="O63" t="s">
        <v>235</v>
      </c>
      <c r="P63" s="174">
        <f>IF(O63="","",IF(OR(LEFT(O63,4)="Cash",LEFT(O63,4)="Prov"),0,SUMIFS(Input_APM!N:N,Input_APM!L:L,Check!O63)))</f>
        <v>0</v>
      </c>
      <c r="Q63" s="21">
        <f>IF(O63="","",IF(LEN(O63)&gt;9,SUMIFS(Options!$H$3:$H$28,Options!$B$3:$B$28,Check!O63),SUMIFS('Master P&amp;L'!$H$11:$H$88,'Master P&amp;L'!$B$11:$B$88,Check!O63)))</f>
        <v>0</v>
      </c>
      <c r="R63" s="174">
        <f t="shared" si="1"/>
        <v>0</v>
      </c>
      <c r="S63" s="289" t="str">
        <f t="shared" si="2"/>
        <v>Ok</v>
      </c>
    </row>
    <row r="64" spans="1:19">
      <c r="B64"/>
      <c r="C64" s="188" t="str">
        <f>IF(B64="","",IF(LEN(B64)&gt;9,SUMIFS(Options!$H$3:$H$28,Options!$B$3:$B$28,Check!B64),SUMIFS('Master P&amp;L'!$H$11:$H$88,'Master P&amp;L'!$B$11:$B$88,Check!B64)))</f>
        <v/>
      </c>
      <c r="D64" s="188" t="str">
        <f>IF(B64="","",SUMIFS(Input_APM!N:N,Input_APM!L:L,Check!B64,Input_APM!M:M,Check!$F$1))</f>
        <v/>
      </c>
      <c r="E64" s="176" t="str">
        <f t="shared" si="5"/>
        <v/>
      </c>
      <c r="F64" s="188" t="str">
        <f>IF(B64="","",SUMIFS(Input_APM!N:N,Input_APM!M:M,Check!$F$1,Input_APM!L:L,Check!B64))</f>
        <v/>
      </c>
      <c r="G64" s="188" t="str">
        <f>IF(B64="","",SUMIFS(Input_APM!N:N,Input_APM!M:M,Check!$G$1,Input_APM!L:L,Check!B64))</f>
        <v/>
      </c>
      <c r="H64" s="174" t="str">
        <f t="shared" si="0"/>
        <v/>
      </c>
      <c r="I64" s="174">
        <f>SUMIFS(Input_APM!N:N,Input_APM!L:L,Check!B64)</f>
        <v>0</v>
      </c>
      <c r="J64" s="176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4" t="str">
        <f t="shared" si="4"/>
        <v/>
      </c>
      <c r="O64" t="s">
        <v>1119</v>
      </c>
      <c r="P64" s="174">
        <f>IF(O64="","",IF(OR(LEFT(O64,4)="Cash",LEFT(O64,4)="Prov"),0,SUMIFS(Input_APM!N:N,Input_APM!L:L,Check!O64)))</f>
        <v>0</v>
      </c>
      <c r="Q64" s="21">
        <f>IF(O64="","",IF(LEN(O64)&gt;9,SUMIFS(Options!$H$3:$H$28,Options!$B$3:$B$28,Check!O64),SUMIFS('Master P&amp;L'!$H$11:$H$88,'Master P&amp;L'!$B$11:$B$88,Check!O64)))</f>
        <v>0</v>
      </c>
      <c r="R64" s="174">
        <f t="shared" si="1"/>
        <v>0</v>
      </c>
      <c r="S64" s="289" t="str">
        <f t="shared" si="2"/>
        <v>Ok</v>
      </c>
    </row>
    <row r="65" spans="2:19">
      <c r="B65"/>
      <c r="C65" s="188" t="str">
        <f>IF(B65="","",IF(LEN(B65)&gt;9,SUMIFS(Options!$H$3:$H$28,Options!$B$3:$B$28,Check!B65),SUMIFS('Master P&amp;L'!$H$11:$H$88,'Master P&amp;L'!$B$11:$B$88,Check!B65)))</f>
        <v/>
      </c>
      <c r="D65" s="188" t="str">
        <f>IF(B65="","",SUMIFS(Input_APM!N:N,Input_APM!L:L,Check!B65,Input_APM!M:M,Check!$F$1))</f>
        <v/>
      </c>
      <c r="E65" s="176" t="str">
        <f t="shared" si="5"/>
        <v/>
      </c>
      <c r="F65" s="188" t="str">
        <f>IF(B65="","",SUMIFS(Input_APM!N:N,Input_APM!M:M,Check!$F$1,Input_APM!L:L,Check!B65))</f>
        <v/>
      </c>
      <c r="G65" s="188" t="str">
        <f>IF(B65="","",SUMIFS(Input_APM!N:N,Input_APM!M:M,Check!$G$1,Input_APM!L:L,Check!B65))</f>
        <v/>
      </c>
      <c r="H65" s="174" t="str">
        <f t="shared" si="0"/>
        <v/>
      </c>
      <c r="I65" s="174">
        <f>SUMIFS(Input_APM!N:N,Input_APM!L:L,Check!B65)</f>
        <v>0</v>
      </c>
      <c r="J65" s="176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4" t="str">
        <f t="shared" si="4"/>
        <v/>
      </c>
      <c r="O65" t="s">
        <v>1118</v>
      </c>
      <c r="P65" s="174">
        <f>IF(O65="","",IF(OR(LEFT(O65,4)="Cash",LEFT(O65,4)="Prov"),0,SUMIFS(Input_APM!N:N,Input_APM!L:L,Check!O65)))</f>
        <v>0</v>
      </c>
      <c r="Q65" s="21">
        <f>IF(O65="","",IF(LEN(O65)&gt;9,SUMIFS(Options!$H$3:$H$28,Options!$B$3:$B$28,Check!O65),SUMIFS('Master P&amp;L'!$H$11:$H$88,'Master P&amp;L'!$B$11:$B$88,Check!O65)))</f>
        <v>0</v>
      </c>
      <c r="R65" s="174">
        <f t="shared" si="1"/>
        <v>0</v>
      </c>
      <c r="S65" s="289" t="str">
        <f t="shared" si="2"/>
        <v>Ok</v>
      </c>
    </row>
    <row r="66" spans="2:19">
      <c r="B66"/>
      <c r="C66" s="188" t="str">
        <f>IF(B66="","",IF(LEN(B66)&gt;9,SUMIFS(Options!$H$3:$H$28,Options!$B$3:$B$28,Check!B66),SUMIFS('Master P&amp;L'!$H$11:$H$88,'Master P&amp;L'!$B$11:$B$88,Check!B66)))</f>
        <v/>
      </c>
      <c r="D66" s="188" t="str">
        <f>IF(B66="","",SUMIFS(Input_APM!N:N,Input_APM!L:L,Check!B66,Input_APM!M:M,Check!$F$1))</f>
        <v/>
      </c>
      <c r="E66" s="176" t="str">
        <f t="shared" ref="E66:E72" si="6">IF(B66="","",C66-M66)</f>
        <v/>
      </c>
      <c r="F66" s="188" t="str">
        <f>IF(B66="","",SUMIFS(Input_APM!N:N,Input_APM!M:M,Check!$F$1,Input_APM!L:L,Check!B66))</f>
        <v/>
      </c>
      <c r="G66" s="188" t="str">
        <f>IF(B66="","",SUMIFS(Input_APM!N:N,Input_APM!M:M,Check!$G$1,Input_APM!L:L,Check!B66))</f>
        <v/>
      </c>
      <c r="H66" s="174" t="str">
        <f t="shared" si="0"/>
        <v/>
      </c>
      <c r="I66" s="174">
        <f>SUMIFS(Input_APM!N:N,Input_APM!L:L,Check!B66)</f>
        <v>0</v>
      </c>
      <c r="J66" s="176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4" t="str">
        <f t="shared" si="4"/>
        <v/>
      </c>
      <c r="O66" t="s">
        <v>799</v>
      </c>
      <c r="P66" s="174">
        <f>IF(O66="","",IF(OR(LEFT(O66,4)="Cash",LEFT(O66,4)="Prov"),0,SUMIFS(Input_APM!N:N,Input_APM!L:L,Check!O66)))</f>
        <v>36522</v>
      </c>
      <c r="Q66" s="21">
        <f>IF(O66="","",IF(LEN(O66)&gt;9,SUMIFS(Options!$H$3:$H$28,Options!$B$3:$B$28,Check!O66),SUMIFS('Master P&amp;L'!$H$11:$H$88,'Master P&amp;L'!$B$11:$B$88,Check!O66)))</f>
        <v>39000</v>
      </c>
      <c r="R66" s="174">
        <f t="shared" si="1"/>
        <v>-2478</v>
      </c>
      <c r="S66" s="289">
        <f t="shared" si="2"/>
        <v>0.93646153846153846</v>
      </c>
    </row>
    <row r="67" spans="2:19">
      <c r="B67"/>
      <c r="C67" s="188" t="str">
        <f>IF(B67="","",IF(LEN(B67)&gt;9,SUMIFS(Options!$H$3:$H$28,Options!$B$3:$B$28,Check!B67),SUMIFS('Master P&amp;L'!$H$11:$H$88,'Master P&amp;L'!$B$11:$B$88,Check!B67)))</f>
        <v/>
      </c>
      <c r="D67" s="188" t="str">
        <f>IF(B67="","",SUMIFS(Input_APM!N:N,Input_APM!L:L,Check!B67,Input_APM!M:M,Check!$F$1))</f>
        <v/>
      </c>
      <c r="E67" s="176" t="str">
        <f t="shared" si="6"/>
        <v/>
      </c>
      <c r="F67" s="188" t="str">
        <f>IF(B67="","",SUMIFS(Input_APM!N:N,Input_APM!M:M,Check!$F$1,Input_APM!L:L,Check!B67))</f>
        <v/>
      </c>
      <c r="G67" s="188" t="str">
        <f>IF(B67="","",SUMIFS(Input_APM!N:N,Input_APM!M:M,Check!$G$1,Input_APM!L:L,Check!B67))</f>
        <v/>
      </c>
      <c r="H67" s="174" t="str">
        <f t="shared" si="0"/>
        <v/>
      </c>
      <c r="I67" s="174">
        <f>SUMIFS(Input_APM!N:N,Input_APM!L:L,Check!B67)</f>
        <v>0</v>
      </c>
      <c r="J67" s="176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4" t="str">
        <f t="shared" si="4"/>
        <v/>
      </c>
      <c r="O67" t="s">
        <v>3</v>
      </c>
      <c r="P67" s="174">
        <f>IF(O67="","",IF(OR(LEFT(O67,4)="Cash",LEFT(O67,4)="Prov"),0,SUMIFS(Input_APM!N:N,Input_APM!L:L,Check!O67)))</f>
        <v>0</v>
      </c>
      <c r="Q67" s="21">
        <f>IF(O67="","",IF(LEN(O67)&gt;9,SUMIFS(Options!$H$3:$H$28,Options!$B$3:$B$28,Check!O67),SUMIFS('Master P&amp;L'!$H$11:$H$88,'Master P&amp;L'!$B$11:$B$88,Check!O67)))</f>
        <v>0</v>
      </c>
      <c r="R67" s="174">
        <f t="shared" si="1"/>
        <v>0</v>
      </c>
      <c r="S67" s="289" t="str">
        <f t="shared" si="2"/>
        <v>Ok</v>
      </c>
    </row>
    <row r="68" spans="2:19">
      <c r="B68"/>
      <c r="C68" s="188" t="str">
        <f>IF(B68="","",IF(LEN(B68)&gt;9,SUMIFS(Options!$H$3:$H$28,Options!$B$3:$B$28,Check!B68),SUMIFS('Master P&amp;L'!$H$11:$H$88,'Master P&amp;L'!$B$11:$B$88,Check!B68)))</f>
        <v/>
      </c>
      <c r="D68" s="188" t="str">
        <f>IF(B68="","",SUMIFS(Input_APM!N:N,Input_APM!L:L,Check!B68,Input_APM!M:M,Check!$F$1))</f>
        <v/>
      </c>
      <c r="E68" s="176" t="str">
        <f t="shared" si="6"/>
        <v/>
      </c>
      <c r="F68" s="188" t="str">
        <f>IF(B68="","",SUMIFS(Input_APM!N:N,Input_APM!M:M,Check!$F$1,Input_APM!L:L,Check!B68))</f>
        <v/>
      </c>
      <c r="G68" s="188" t="str">
        <f>IF(B68="","",SUMIFS(Input_APM!N:N,Input_APM!M:M,Check!$G$1,Input_APM!L:L,Check!B68))</f>
        <v/>
      </c>
      <c r="H68" s="174" t="str">
        <f t="shared" si="0"/>
        <v/>
      </c>
      <c r="I68" s="174">
        <f>SUMIFS(Input_APM!N:N,Input_APM!L:L,Check!B68)</f>
        <v>0</v>
      </c>
      <c r="J68" s="176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4" t="str">
        <f t="shared" si="4"/>
        <v/>
      </c>
      <c r="O68" t="s">
        <v>439</v>
      </c>
      <c r="P68" s="174">
        <f>IF(O68="","",IF(OR(LEFT(O68,4)="Cash",LEFT(O68,4)="Prov"),0,SUMIFS(Input_APM!N:N,Input_APM!L:L,Check!O68)))</f>
        <v>655</v>
      </c>
      <c r="Q68" s="21">
        <f>IF(O68="","",IF(LEN(O68)&gt;9,SUMIFS(Options!$H$3:$H$28,Options!$B$3:$B$28,Check!O68),SUMIFS('Master P&amp;L'!$H$11:$H$88,'Master P&amp;L'!$B$11:$B$88,Check!O68)))</f>
        <v>0</v>
      </c>
      <c r="R68" s="174">
        <f t="shared" si="1"/>
        <v>655</v>
      </c>
      <c r="S68" s="289" t="str">
        <f t="shared" si="2"/>
        <v>Erro</v>
      </c>
    </row>
    <row r="69" spans="2:19">
      <c r="B69"/>
      <c r="C69" s="188" t="str">
        <f>IF(B69="","",IF(LEN(B69)&gt;9,SUMIFS(Options!$H$3:$H$28,Options!$B$3:$B$28,Check!B69),SUMIFS('Master P&amp;L'!$H$11:$H$88,'Master P&amp;L'!$B$11:$B$88,Check!B69)))</f>
        <v/>
      </c>
      <c r="D69" s="188" t="str">
        <f>IF(B69="","",SUMIFS(Input_APM!N:N,Input_APM!L:L,Check!B69,Input_APM!M:M,Check!$F$1))</f>
        <v/>
      </c>
      <c r="E69" s="174" t="str">
        <f t="shared" si="6"/>
        <v/>
      </c>
      <c r="F69" s="188" t="str">
        <f>IF(B69="","",SUMIFS(Input_APM!N:N,Input_APM!M:M,Check!$F$1,Input_APM!L:L,Check!B69))</f>
        <v/>
      </c>
      <c r="G69" s="188" t="str">
        <f>IF(B69="","",SUMIFS(Input_APM!N:N,Input_APM!M:M,Check!$G$1,Input_APM!L:L,Check!B69))</f>
        <v/>
      </c>
      <c r="H69" s="174" t="str">
        <f t="shared" si="0"/>
        <v/>
      </c>
      <c r="I69" s="174">
        <f>SUMIFS(Input_APM!N:N,Input_APM!L:L,Check!B69)</f>
        <v>0</v>
      </c>
      <c r="J69" s="176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4" t="str">
        <f t="shared" si="4"/>
        <v/>
      </c>
      <c r="O69" t="s">
        <v>982</v>
      </c>
      <c r="P69" s="174">
        <f>IF(O69="","",IF(OR(LEFT(O69,4)="Cash",LEFT(O69,4)="Prov"),0,SUMIFS(Input_APM!N:N,Input_APM!L:L,Check!O69)))</f>
        <v>643</v>
      </c>
      <c r="Q69" s="21">
        <f>IF(O69="","",IF(LEN(O69)&gt;9,SUMIFS(Options!$H$3:$H$28,Options!$B$3:$B$28,Check!O69),SUMIFS('Master P&amp;L'!$H$11:$H$88,'Master P&amp;L'!$B$11:$B$88,Check!O69)))</f>
        <v>0</v>
      </c>
      <c r="R69" s="174">
        <f t="shared" si="1"/>
        <v>643</v>
      </c>
      <c r="S69" s="289" t="str">
        <f t="shared" si="2"/>
        <v>Erro</v>
      </c>
    </row>
    <row r="70" spans="2:19">
      <c r="B70"/>
      <c r="C70" s="188" t="str">
        <f>IF(B70="","",IF(LEN(B70)&gt;9,SUMIFS(Options!$H$3:$H$28,Options!$B$3:$B$28,Check!B70),SUMIFS('Master P&amp;L'!$H$11:$H$88,'Master P&amp;L'!$B$11:$B$88,Check!B70)))</f>
        <v/>
      </c>
      <c r="D70" s="188" t="str">
        <f>IF(B70="","",SUMIFS(Input_APM!N:N,Input_APM!L:L,Check!B70,Input_APM!M:M,Check!$F$1))</f>
        <v/>
      </c>
      <c r="E70" s="174" t="str">
        <f t="shared" si="6"/>
        <v/>
      </c>
      <c r="F70" s="188" t="str">
        <f>IF(B70="","",SUMIFS(Input_APM!N:N,Input_APM!M:M,Check!$F$1,Input_APM!L:L,Check!B70))</f>
        <v/>
      </c>
      <c r="G70" s="188" t="str">
        <f>IF(B70="","",SUMIFS(Input_APM!N:N,Input_APM!M:M,Check!$G$1,Input_APM!L:L,Check!B70))</f>
        <v/>
      </c>
      <c r="H70" s="174" t="str">
        <f t="shared" ref="H70:H77" si="7">IF(B70="","",F70-G70)</f>
        <v/>
      </c>
      <c r="I70" s="174">
        <f>SUMIFS(Input_APM!N:N,Input_APM!L:L,Check!B70)</f>
        <v>0</v>
      </c>
      <c r="J70" s="176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4" t="str">
        <f t="shared" ref="M70:M79" si="9">IF(B70="","",F70+G70+K70+L70)</f>
        <v/>
      </c>
      <c r="O70" t="s">
        <v>1060</v>
      </c>
      <c r="P70" s="174">
        <f>IF(O70="","",IF(OR(LEFT(O70,4)="Cash",LEFT(O70,4)="Prov"),0,SUMIFS(Input_APM!N:N,Input_APM!L:L,Check!O70)))</f>
        <v>2470</v>
      </c>
      <c r="Q70" s="21">
        <f>IF(O70="","",IF(LEN(O70)&gt;9,SUMIFS(Options!$H$3:$H$28,Options!$B$3:$B$28,Check!O70),SUMIFS('Master P&amp;L'!$H$11:$H$88,'Master P&amp;L'!$B$11:$B$88,Check!O70)))</f>
        <v>0</v>
      </c>
      <c r="R70" s="174">
        <f t="shared" ref="R70:R99" si="10">IF(O70="","",P70-Q70)</f>
        <v>2470</v>
      </c>
      <c r="S70" s="289" t="str">
        <f t="shared" ref="S70:S133" si="11">IF(O70="","",IF((P70+Q70)=0,"Ok",IF(OR(P70=0,Q70=0),"Erro",P70/Q70)))</f>
        <v>Erro</v>
      </c>
    </row>
    <row r="71" spans="2:19">
      <c r="B71"/>
      <c r="C71" s="188" t="str">
        <f>IF(B71="","",IF(LEN(B71)&gt;9,SUMIFS(Options!$H$3:$H$28,Options!$B$3:$B$28,Check!B71),SUMIFS('Master P&amp;L'!$H$11:$H$88,'Master P&amp;L'!$B$11:$B$88,Check!B71)))</f>
        <v/>
      </c>
      <c r="D71" s="188" t="str">
        <f>IF(B71="","",SUMIFS(Input_APM!N:N,Input_APM!L:L,Check!B71,Input_APM!M:M,Check!$F$1))</f>
        <v/>
      </c>
      <c r="E71" s="174" t="str">
        <f t="shared" si="6"/>
        <v/>
      </c>
      <c r="F71" s="188" t="str">
        <f>IF(B71="","",SUMIFS(Input_APM!N:N,Input_APM!M:M,Check!$F$1,Input_APM!L:L,Check!B71))</f>
        <v/>
      </c>
      <c r="G71" s="188" t="str">
        <f>IF(B71="","",SUMIFS(Input_APM!N:N,Input_APM!M:M,Check!$G$1,Input_APM!L:L,Check!B71))</f>
        <v/>
      </c>
      <c r="H71" s="174" t="str">
        <f t="shared" si="7"/>
        <v/>
      </c>
      <c r="I71" s="174">
        <f>SUMIFS(Input_APM!N:N,Input_APM!L:L,Check!B71)</f>
        <v>0</v>
      </c>
      <c r="J71" s="176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4" t="str">
        <f t="shared" si="9"/>
        <v/>
      </c>
      <c r="O71" t="s">
        <v>1062</v>
      </c>
      <c r="P71" s="174">
        <f>IF(O71="","",IF(OR(LEFT(O71,4)="Cash",LEFT(O71,4)="Prov"),0,SUMIFS(Input_APM!N:N,Input_APM!L:L,Check!O71)))</f>
        <v>9090840</v>
      </c>
      <c r="Q71" s="21">
        <f>IF(O71="","",IF(LEN(O71)&gt;9,SUMIFS(Options!$H$3:$H$28,Options!$B$3:$B$28,Check!O71),SUMIFS('Master P&amp;L'!$H$11:$H$88,'Master P&amp;L'!$B$11:$B$88,Check!O71)))</f>
        <v>0</v>
      </c>
      <c r="R71" s="174">
        <f t="shared" si="10"/>
        <v>9090840</v>
      </c>
      <c r="S71" s="289" t="str">
        <f t="shared" si="11"/>
        <v>Erro</v>
      </c>
    </row>
    <row r="72" spans="2:19">
      <c r="B72"/>
      <c r="C72" s="188" t="str">
        <f>IF(B72="","",IF(LEN(B72)&gt;9,SUMIFS(Options!$H$3:$H$28,Options!$B$3:$B$28,Check!B72),SUMIFS('Master P&amp;L'!$H$11:$H$88,'Master P&amp;L'!$B$11:$B$88,Check!B72)))</f>
        <v/>
      </c>
      <c r="D72" s="188" t="str">
        <f>IF(B72="","",SUMIFS(Input_APM!N:N,Input_APM!L:L,Check!B72,Input_APM!M:M,Check!$F$1))</f>
        <v/>
      </c>
      <c r="E72" s="174" t="str">
        <f t="shared" si="6"/>
        <v/>
      </c>
      <c r="F72" s="188" t="str">
        <f>IF(B72="","",SUMIFS(Input_APM!N:N,Input_APM!M:M,Check!$F$1,Input_APM!L:L,Check!B72))</f>
        <v/>
      </c>
      <c r="G72" s="188" t="str">
        <f>IF(B72="","",SUMIFS(Input_APM!N:N,Input_APM!M:M,Check!$G$1,Input_APM!L:L,Check!B72))</f>
        <v/>
      </c>
      <c r="H72" s="174" t="str">
        <f t="shared" si="7"/>
        <v/>
      </c>
      <c r="I72" s="174">
        <f>SUMIFS(Input_APM!N:N,Input_APM!L:L,Check!B72)</f>
        <v>0</v>
      </c>
      <c r="J72" s="176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4" t="str">
        <f t="shared" si="9"/>
        <v/>
      </c>
      <c r="O72" t="s">
        <v>44</v>
      </c>
      <c r="P72" s="174">
        <f>IF(O72="","",IF(OR(LEFT(O72,4)="Cash",LEFT(O72,4)="Prov"),0,SUMIFS(Input_APM!N:N,Input_APM!L:L,Check!O72)))</f>
        <v>3374</v>
      </c>
      <c r="Q72" s="21">
        <f>IF(O72="","",IF(LEN(O72)&gt;9,SUMIFS(Options!$H$3:$H$28,Options!$B$3:$B$28,Check!O72),SUMIFS('Master P&amp;L'!$H$11:$H$88,'Master P&amp;L'!$B$11:$B$88,Check!O72)))</f>
        <v>0</v>
      </c>
      <c r="R72" s="174">
        <f t="shared" si="10"/>
        <v>3374</v>
      </c>
      <c r="S72" s="289" t="str">
        <f t="shared" si="11"/>
        <v>Erro</v>
      </c>
    </row>
    <row r="73" spans="2:19">
      <c r="B73"/>
      <c r="C73" s="188" t="str">
        <f>IF(B73="","",IF(LEN(B73)&gt;9,SUMIFS(Options!$H$3:$H$28,Options!$B$3:$B$28,Check!B73),SUMIFS('Master P&amp;L'!$H$11:$H$88,'Master P&amp;L'!$B$11:$B$88,Check!B73)))</f>
        <v/>
      </c>
      <c r="D73" s="188" t="str">
        <f>IF(B73="","",SUMIFS(Input_APM!N:N,Input_APM!L:L,Check!B73,Input_APM!M:M,Check!$F$1))</f>
        <v/>
      </c>
      <c r="E73" s="174" t="str">
        <f t="shared" ref="E73:E79" si="12">IF(B73="","",C73-M73)</f>
        <v/>
      </c>
      <c r="F73" s="188" t="str">
        <f>IF(B73="","",SUMIFS(Input_APM!N:N,Input_APM!M:M,Check!$F$1,Input_APM!L:L,Check!B73))</f>
        <v/>
      </c>
      <c r="G73" s="188" t="str">
        <f>IF(B73="","",SUMIFS(Input_APM!N:N,Input_APM!M:M,Check!$G$1,Input_APM!L:L,Check!B73))</f>
        <v/>
      </c>
      <c r="H73" s="174" t="str">
        <f t="shared" si="7"/>
        <v/>
      </c>
      <c r="I73" s="174">
        <f>SUMIFS(Input_APM!N:N,Input_APM!L:L,Check!B73)</f>
        <v>0</v>
      </c>
      <c r="J73" s="176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4" t="str">
        <f t="shared" si="9"/>
        <v/>
      </c>
      <c r="O73" t="s">
        <v>896</v>
      </c>
      <c r="P73" s="174">
        <f>IF(O73="","",IF(OR(LEFT(O73,4)="Cash",LEFT(O73,4)="Prov"),0,SUMIFS(Input_APM!N:N,Input_APM!L:L,Check!O73)))</f>
        <v>1453</v>
      </c>
      <c r="Q73" s="21">
        <f>IF(O73="","",IF(LEN(O73)&gt;9,SUMIFS(Options!$H$3:$H$28,Options!$B$3:$B$28,Check!O73),SUMIFS('Master P&amp;L'!$H$11:$H$88,'Master P&amp;L'!$B$11:$B$88,Check!O73)))</f>
        <v>1550</v>
      </c>
      <c r="R73" s="174">
        <f t="shared" si="10"/>
        <v>-97</v>
      </c>
      <c r="S73" s="289">
        <f t="shared" si="11"/>
        <v>0.93741935483870964</v>
      </c>
    </row>
    <row r="74" spans="2:19">
      <c r="B74"/>
      <c r="C74" s="188" t="str">
        <f>IF(B74="","",IF(LEN(B74)&gt;9,SUMIFS(Options!$H$3:$H$28,Options!$B$3:$B$28,Check!B74),SUMIFS('Master P&amp;L'!$H$11:$H$88,'Master P&amp;L'!$B$11:$B$88,Check!B74)))</f>
        <v/>
      </c>
      <c r="D74" s="188" t="str">
        <f>IF(B74="","",SUMIFS(Input_APM!N:N,Input_APM!L:L,Check!B74,Input_APM!M:M,Check!$F$1))</f>
        <v/>
      </c>
      <c r="E74" s="174" t="str">
        <f t="shared" si="12"/>
        <v/>
      </c>
      <c r="F74" s="188" t="str">
        <f>IF(B74="","",SUMIFS(Input_APM!N:N,Input_APM!M:M,Check!$F$1,Input_APM!L:L,Check!B74))</f>
        <v/>
      </c>
      <c r="G74" s="188" t="str">
        <f>IF(B74="","",SUMIFS(Input_APM!N:N,Input_APM!M:M,Check!$G$1,Input_APM!L:L,Check!B74))</f>
        <v/>
      </c>
      <c r="H74" s="174" t="str">
        <f t="shared" si="7"/>
        <v/>
      </c>
      <c r="I74" s="174">
        <f>SUMIFS(Input_APM!N:N,Input_APM!L:L,Check!B74)</f>
        <v>0</v>
      </c>
      <c r="J74" s="176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4" t="str">
        <f t="shared" si="9"/>
        <v/>
      </c>
      <c r="O74" t="s">
        <v>897</v>
      </c>
      <c r="P74" s="174">
        <f>IF(O74="","",IF(OR(LEFT(O74,4)="Cash",LEFT(O74,4)="Prov"),0,SUMIFS(Input_APM!N:N,Input_APM!L:L,Check!O74)))</f>
        <v>-1195</v>
      </c>
      <c r="Q74" s="21">
        <f>IF(O74="","",IF(LEN(O74)&gt;9,SUMIFS(Options!$H$3:$H$28,Options!$B$3:$B$28,Check!O74),SUMIFS('Master P&amp;L'!$H$11:$H$88,'Master P&amp;L'!$B$11:$B$88,Check!O74)))</f>
        <v>-1275</v>
      </c>
      <c r="R74" s="174">
        <f t="shared" si="10"/>
        <v>80</v>
      </c>
      <c r="S74" s="289">
        <f t="shared" si="11"/>
        <v>0.93725490196078431</v>
      </c>
    </row>
    <row r="75" spans="2:19">
      <c r="B75"/>
      <c r="C75" s="188" t="str">
        <f>IF(B75="","",IF(LEN(B75)&gt;9,SUMIFS(Options!$H$3:$H$28,Options!$B$3:$B$28,Check!B75),SUMIFS('Master P&amp;L'!$H$11:$H$88,'Master P&amp;L'!$B$11:$B$88,Check!B75)))</f>
        <v/>
      </c>
      <c r="D75" s="188" t="str">
        <f>IF(B75="","",SUMIFS(Input_APM!N:N,Input_APM!L:L,Check!B75,Input_APM!M:M,Check!$F$1))</f>
        <v/>
      </c>
      <c r="E75" s="174" t="str">
        <f t="shared" si="12"/>
        <v/>
      </c>
      <c r="F75" s="188" t="str">
        <f>IF(B75="","",SUMIFS(Input_APM!N:N,Input_APM!M:M,Check!$F$1,Input_APM!L:L,Check!B75))</f>
        <v/>
      </c>
      <c r="G75" s="188" t="str">
        <f>IF(B75="","",SUMIFS(Input_APM!N:N,Input_APM!M:M,Check!$G$1,Input_APM!L:L,Check!B75))</f>
        <v/>
      </c>
      <c r="H75" s="174" t="str">
        <f t="shared" si="7"/>
        <v/>
      </c>
      <c r="I75" s="174">
        <f>SUMIFS(Input_APM!N:N,Input_APM!L:L,Check!B75)</f>
        <v>0</v>
      </c>
      <c r="J75" s="176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4" t="str">
        <f t="shared" si="9"/>
        <v/>
      </c>
      <c r="O75" t="s">
        <v>36</v>
      </c>
      <c r="P75" s="174">
        <f>IF(O75="","",IF(OR(LEFT(O75,4)="Cash",LEFT(O75,4)="Prov"),0,SUMIFS(Input_APM!N:N,Input_APM!L:L,Check!O75)))</f>
        <v>21977</v>
      </c>
      <c r="Q75" s="21">
        <f>IF(O75="","",IF(LEN(O75)&gt;9,SUMIFS(Options!$H$3:$H$28,Options!$B$3:$B$28,Check!O75),SUMIFS('Master P&amp;L'!$H$11:$H$88,'Master P&amp;L'!$B$11:$B$88,Check!O75)))</f>
        <v>23500</v>
      </c>
      <c r="R75" s="174">
        <f t="shared" si="10"/>
        <v>-1523</v>
      </c>
      <c r="S75" s="289">
        <f t="shared" si="11"/>
        <v>0.93519148936170216</v>
      </c>
    </row>
    <row r="76" spans="2:19">
      <c r="B76"/>
      <c r="C76" s="188" t="str">
        <f>IF(B76="","",IF(LEN(B76)&gt;9,SUMIFS(Options!$H$3:$H$28,Options!$B$3:$B$28,Check!B76),SUMIFS('Master P&amp;L'!$H$11:$H$88,'Master P&amp;L'!$B$11:$B$88,Check!B76)))</f>
        <v/>
      </c>
      <c r="D76" s="188" t="str">
        <f>IF(B76="","",SUMIFS(Input_APM!N:N,Input_APM!L:L,Check!B76,Input_APM!M:M,Check!$F$1))</f>
        <v/>
      </c>
      <c r="E76" s="174" t="str">
        <f t="shared" si="12"/>
        <v/>
      </c>
      <c r="F76" s="188" t="str">
        <f>IF(B76="","",SUMIFS(Input_APM!N:N,Input_APM!M:M,Check!$F$1,Input_APM!L:L,Check!B76))</f>
        <v/>
      </c>
      <c r="G76" s="188" t="str">
        <f>IF(B76="","",SUMIFS(Input_APM!N:N,Input_APM!M:M,Check!$G$1,Input_APM!L:L,Check!B76))</f>
        <v/>
      </c>
      <c r="H76" s="174" t="str">
        <f t="shared" si="7"/>
        <v/>
      </c>
      <c r="I76" s="174">
        <f>SUMIFS(Input_APM!N:N,Input_APM!L:L,Check!B76)</f>
        <v>0</v>
      </c>
      <c r="J76" s="176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4" t="str">
        <f t="shared" si="9"/>
        <v/>
      </c>
      <c r="O76" t="s">
        <v>4</v>
      </c>
      <c r="P76" s="174">
        <f>IF(O76="","",IF(OR(LEFT(O76,4)="Cash",LEFT(O76,4)="Prov"),0,SUMIFS(Input_APM!N:N,Input_APM!L:L,Check!O76)))</f>
        <v>-25765</v>
      </c>
      <c r="Q76" s="21">
        <f>IF(O76="","",IF(LEN(O76)&gt;9,SUMIFS(Options!$H$3:$H$28,Options!$B$3:$B$28,Check!O76),SUMIFS('Master P&amp;L'!$H$11:$H$88,'Master P&amp;L'!$B$11:$B$88,Check!O76)))</f>
        <v>-27500</v>
      </c>
      <c r="R76" s="174">
        <f t="shared" si="10"/>
        <v>1735</v>
      </c>
      <c r="S76" s="289">
        <f t="shared" si="11"/>
        <v>0.93690909090909091</v>
      </c>
    </row>
    <row r="77" spans="2:19">
      <c r="B77"/>
      <c r="C77" s="188" t="str">
        <f>IF(B77="","",IF(LEN(B77)&gt;9,SUMIFS(Options!$H$3:$H$28,Options!$B$3:$B$28,Check!B77),SUMIFS('Master P&amp;L'!$H$11:$H$88,'Master P&amp;L'!$B$11:$B$88,Check!B77)))</f>
        <v/>
      </c>
      <c r="D77" s="188" t="str">
        <f>IF(B77="","",SUMIFS(Input_APM!N:N,Input_APM!L:L,Check!B77,Input_APM!M:M,Check!$F$1))</f>
        <v/>
      </c>
      <c r="E77" s="174" t="str">
        <f t="shared" si="12"/>
        <v/>
      </c>
      <c r="F77" s="188" t="str">
        <f>IF(B77="","",SUMIFS(Input_APM!N:N,Input_APM!M:M,Check!$F$1,Input_APM!L:L,Check!B77))</f>
        <v/>
      </c>
      <c r="G77" s="188" t="str">
        <f>IF(B77="","",SUMIFS(Input_APM!N:N,Input_APM!M:M,Check!$G$1,Input_APM!L:L,Check!B77))</f>
        <v/>
      </c>
      <c r="H77" s="174" t="str">
        <f t="shared" si="7"/>
        <v/>
      </c>
      <c r="I77" s="174">
        <f>SUMIFS(Input_APM!N:N,Input_APM!L:L,Check!B77)</f>
        <v>0</v>
      </c>
      <c r="J77" s="176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4" t="str">
        <f t="shared" si="9"/>
        <v/>
      </c>
      <c r="O77" t="s">
        <v>1092</v>
      </c>
      <c r="P77" s="174">
        <f>IF(O77="","",IF(OR(LEFT(O77,4)="Cash",LEFT(O77,4)="Prov"),0,SUMIFS(Input_APM!N:N,Input_APM!L:L,Check!O77)))</f>
        <v>0</v>
      </c>
      <c r="Q77" s="21">
        <f>IF(O77="","",IF(LEN(O77)&gt;9,SUMIFS(Options!$H$3:$H$28,Options!$B$3:$B$28,Check!O77),SUMIFS('Master P&amp;L'!$H$11:$H$88,'Master P&amp;L'!$B$11:$B$88,Check!O77)))</f>
        <v>0</v>
      </c>
      <c r="R77" s="174">
        <f t="shared" si="10"/>
        <v>0</v>
      </c>
      <c r="S77" s="289" t="str">
        <f t="shared" si="11"/>
        <v>Ok</v>
      </c>
    </row>
    <row r="78" spans="2:19">
      <c r="B78"/>
      <c r="C78" s="188" t="str">
        <f>IF(B78="","",IF(LEN(B78)&gt;9,SUMIFS(Options!$H$3:$H$28,Options!$B$3:$B$28,Check!B78),SUMIFS('Master P&amp;L'!$H$11:$H$88,'Master P&amp;L'!$B$11:$B$88,Check!B78)))</f>
        <v/>
      </c>
      <c r="D78" s="188" t="str">
        <f>IF(B78="","",SUMIFS(Input_APM!N:N,Input_APM!L:L,Check!B78,Input_APM!M:M,Check!$F$1))</f>
        <v/>
      </c>
      <c r="E78" s="174" t="str">
        <f t="shared" si="12"/>
        <v/>
      </c>
      <c r="F78" s="188" t="str">
        <f>IF(B78="","",SUMIFS(Input_APM!N:N,Input_APM!M:M,Check!$F$1,Input_APM!L:L,Check!B78))</f>
        <v/>
      </c>
      <c r="G78" s="188" t="str">
        <f>IF(B78="","",SUMIFS(Input_APM!N:N,Input_APM!M:M,Check!$G$1,Input_APM!L:L,Check!B78))</f>
        <v/>
      </c>
      <c r="H78" s="174" t="str">
        <f>IF(B78="","",F78-G78)</f>
        <v/>
      </c>
      <c r="I78" s="174">
        <f>SUMIFS(Input_APM!N:N,Input_APM!L:L,Check!B78)</f>
        <v>0</v>
      </c>
      <c r="J78" s="176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4" t="str">
        <f t="shared" si="9"/>
        <v/>
      </c>
      <c r="O78" t="s">
        <v>239</v>
      </c>
      <c r="P78" s="174" t="str">
        <f>IF(O78="","",IF(OR(LEFT(O78,4)="Cash",LEFT(O78,4)="Prov"),0,SUMIFS(Input_APM!N:N,Input_APM!L:L,Check!O78)))</f>
        <v/>
      </c>
      <c r="Q78" s="21" t="str">
        <f>IF(O78="","",IF(LEN(O78)&gt;9,SUMIFS(Options!$H$3:$H$28,Options!$B$3:$B$28,Check!O78),SUMIFS('Master P&amp;L'!$H$11:$H$88,'Master P&amp;L'!$B$11:$B$88,Check!O78)))</f>
        <v/>
      </c>
      <c r="R78" s="174" t="str">
        <f t="shared" si="10"/>
        <v/>
      </c>
      <c r="S78" s="289" t="str">
        <f t="shared" si="11"/>
        <v/>
      </c>
    </row>
    <row r="79" spans="2:19">
      <c r="B79"/>
      <c r="C79" s="188" t="str">
        <f>IF(B79="","",IF(LEN(B79)&gt;9,SUMIFS(Options!$H$3:$H$28,Options!$B$3:$B$28,Check!B79),SUMIFS('Master P&amp;L'!$H$11:$H$88,'Master P&amp;L'!$B$11:$B$88,Check!B79)))</f>
        <v/>
      </c>
      <c r="D79" s="188" t="str">
        <f>IF(B79="","",SUMIFS(Input_APM!N:N,Input_APM!L:L,Check!B79,Input_APM!M:M,Check!$F$1))</f>
        <v/>
      </c>
      <c r="E79" s="174" t="str">
        <f t="shared" si="12"/>
        <v/>
      </c>
      <c r="F79" s="188" t="str">
        <f>IF(B79="","",SUMIFS(Input_APM!N:N,Input_APM!M:M,Check!$F$1,Input_APM!L:L,Check!B79))</f>
        <v/>
      </c>
      <c r="G79" s="188" t="str">
        <f>IF(B79="","",SUMIFS(Input_APM!N:N,Input_APM!M:M,Check!$G$1,Input_APM!L:L,Check!B79))</f>
        <v/>
      </c>
      <c r="H79" s="174" t="str">
        <f>IF(B79="","",F79-G79)</f>
        <v/>
      </c>
      <c r="I79" s="174">
        <f>SUMIFS(Input_APM!N:N,Input_APM!L:L,Check!B79)</f>
        <v>0</v>
      </c>
      <c r="J79" s="176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4" t="str">
        <f t="shared" si="9"/>
        <v/>
      </c>
      <c r="O79"/>
      <c r="P79" s="174" t="str">
        <f>IF(O79="","",IF(OR(LEFT(O79,4)="Cash",LEFT(O79,4)="Prov"),0,SUMIFS(Input_APM!N:N,Input_APM!L:L,Check!O79)))</f>
        <v/>
      </c>
      <c r="Q79" s="21" t="str">
        <f>IF(O79="","",IF(LEN(O79)&gt;9,SUMIFS(Options!$H$3:$H$28,Options!$B$3:$B$28,Check!O79),SUMIFS('Master P&amp;L'!$H$11:$H$88,'Master P&amp;L'!$B$11:$B$88,Check!O79)))</f>
        <v/>
      </c>
      <c r="R79" s="174" t="str">
        <f t="shared" si="10"/>
        <v/>
      </c>
      <c r="S79" s="289" t="str">
        <f t="shared" si="11"/>
        <v/>
      </c>
    </row>
    <row r="80" spans="2:19">
      <c r="B80"/>
      <c r="C80" s="188" t="str">
        <f>IF(B80="","",IF(LEN(B80)&gt;9,SUMIFS(Options!$H$3:$H$28,Options!$B$3:$B$28,Check!B80),SUMIFS('Master P&amp;L'!$H$11:$H$88,'Master P&amp;L'!$B$11:$B$88,Check!B80)))</f>
        <v/>
      </c>
      <c r="D80" s="188" t="str">
        <f>IF(B80="","",SUMIFS(Input_APM!N:N,Input_APM!L:L,Check!B80,Input_APM!M:M,Check!$F$1))</f>
        <v/>
      </c>
      <c r="E80" s="174" t="str">
        <f t="shared" ref="E80:E89" si="13">IF(B80="","",C80-M80)</f>
        <v/>
      </c>
      <c r="F80" s="188" t="str">
        <f>IF(B80="","",SUMIFS(Input_APM!N:N,Input_APM!M:M,Check!$F$1,Input_APM!L:L,Check!B80))</f>
        <v/>
      </c>
      <c r="G80" s="188" t="str">
        <f>IF(B80="","",SUMIFS(Input_APM!N:N,Input_APM!M:M,Check!$G$1,Input_APM!L:L,Check!B80))</f>
        <v/>
      </c>
      <c r="H80" s="174" t="str">
        <f t="shared" ref="H80:H89" si="14">IF(B80="","",F80-G80)</f>
        <v/>
      </c>
      <c r="I80" s="174">
        <f>SUMIFS(Input_APM!N:N,Input_APM!L:L,Check!B80)</f>
        <v>0</v>
      </c>
      <c r="J80" s="176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4" t="str">
        <f t="shared" ref="M80:M89" si="16">IF(B80="","",F80+G80+K80+L80)</f>
        <v/>
      </c>
      <c r="O80"/>
      <c r="P80" s="174" t="str">
        <f>IF(O80="","",IF(OR(LEFT(O80,4)="Cash",LEFT(O80,4)="Prov"),0,SUMIFS(Input_APM!N:N,Input_APM!L:L,Check!O80)))</f>
        <v/>
      </c>
      <c r="Q80" s="21" t="str">
        <f>IF(O80="","",IF(LEN(O80)&gt;9,SUMIFS(Options!$H$3:$H$28,Options!$B$3:$B$28,Check!O80),SUMIFS('Master P&amp;L'!$H$11:$H$88,'Master P&amp;L'!$B$11:$B$88,Check!O80)))</f>
        <v/>
      </c>
      <c r="R80" s="174" t="str">
        <f t="shared" si="10"/>
        <v/>
      </c>
      <c r="S80" s="289" t="str">
        <f t="shared" si="11"/>
        <v/>
      </c>
    </row>
    <row r="81" spans="2:19">
      <c r="B81"/>
      <c r="C81" s="188" t="str">
        <f>IF(B81="","",IF(LEN(B81)&gt;9,SUMIFS(Options!$H$3:$H$28,Options!$B$3:$B$28,Check!B81),SUMIFS('Master P&amp;L'!$H$11:$H$88,'Master P&amp;L'!$B$11:$B$88,Check!B81)))</f>
        <v/>
      </c>
      <c r="D81" s="188" t="str">
        <f>IF(B81="","",SUMIFS(Input_APM!N:N,Input_APM!L:L,Check!B81,Input_APM!M:M,Check!$F$1))</f>
        <v/>
      </c>
      <c r="E81" s="174" t="str">
        <f t="shared" si="13"/>
        <v/>
      </c>
      <c r="F81" s="188" t="str">
        <f>IF(B81="","",SUMIFS(Input_APM!N:N,Input_APM!M:M,Check!$F$1,Input_APM!L:L,Check!B81))</f>
        <v/>
      </c>
      <c r="G81" s="188" t="str">
        <f>IF(B81="","",SUMIFS(Input_APM!N:N,Input_APM!M:M,Check!$G$1,Input_APM!L:L,Check!B81))</f>
        <v/>
      </c>
      <c r="H81" s="174" t="str">
        <f t="shared" si="14"/>
        <v/>
      </c>
      <c r="I81" s="174">
        <f>SUMIFS(Input_APM!N:N,Input_APM!L:L,Check!B81)</f>
        <v>0</v>
      </c>
      <c r="J81" s="176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4" t="str">
        <f t="shared" si="16"/>
        <v/>
      </c>
      <c r="O81"/>
      <c r="P81" s="174" t="str">
        <f>IF(O81="","",IF(OR(LEFT(O81,4)="Cash",LEFT(O81,4)="Prov"),0,SUMIFS(Input_APM!N:N,Input_APM!L:L,Check!O81)))</f>
        <v/>
      </c>
      <c r="Q81" s="21" t="str">
        <f>IF(O81="","",IF(LEN(O81)&gt;9,SUMIFS(Options!$H$3:$H$28,Options!$B$3:$B$28,Check!O81),SUMIFS('Master P&amp;L'!$H$11:$H$88,'Master P&amp;L'!$B$11:$B$88,Check!O81)))</f>
        <v/>
      </c>
      <c r="R81" s="174" t="str">
        <f t="shared" si="10"/>
        <v/>
      </c>
      <c r="S81" s="289" t="str">
        <f t="shared" si="11"/>
        <v/>
      </c>
    </row>
    <row r="82" spans="2:19">
      <c r="B82"/>
      <c r="C82" s="188" t="str">
        <f>IF(B82="","",IF(LEN(B82)&gt;9,SUMIFS(Options!$H$3:$H$28,Options!$B$3:$B$28,Check!B82),SUMIFS('Master P&amp;L'!$H$11:$H$88,'Master P&amp;L'!$B$11:$B$88,Check!B82)))</f>
        <v/>
      </c>
      <c r="D82" s="188" t="str">
        <f>IF(B82="","",SUMIFS(Input_APM!N:N,Input_APM!L:L,Check!B82,Input_APM!M:M,Check!$F$1))</f>
        <v/>
      </c>
      <c r="E82" s="174" t="str">
        <f t="shared" si="13"/>
        <v/>
      </c>
      <c r="F82" s="188" t="str">
        <f>IF(B82="","",SUMIFS(Input_APM!N:N,Input_APM!M:M,Check!$F$1,Input_APM!L:L,Check!B82))</f>
        <v/>
      </c>
      <c r="G82" s="188" t="str">
        <f>IF(B82="","",SUMIFS(Input_APM!N:N,Input_APM!M:M,Check!$G$1,Input_APM!L:L,Check!B82))</f>
        <v/>
      </c>
      <c r="H82" s="174" t="str">
        <f t="shared" si="14"/>
        <v/>
      </c>
      <c r="I82" s="174">
        <f>SUMIFS(Input_APM!N:N,Input_APM!L:L,Check!B82)</f>
        <v>0</v>
      </c>
      <c r="J82" s="176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4" t="str">
        <f t="shared" si="16"/>
        <v/>
      </c>
      <c r="O82"/>
      <c r="P82" s="174" t="str">
        <f>IF(O82="","",IF(OR(LEFT(O82,4)="Cash",LEFT(O82,4)="Prov"),0,SUMIFS(Input_APM!N:N,Input_APM!L:L,Check!O82)))</f>
        <v/>
      </c>
      <c r="Q82" s="21" t="str">
        <f>IF(O82="","",IF(LEN(O82)&gt;9,SUMIFS(Options!$H$3:$H$28,Options!$B$3:$B$28,Check!O82),SUMIFS('Master P&amp;L'!$H$11:$H$88,'Master P&amp;L'!$B$11:$B$88,Check!O82)))</f>
        <v/>
      </c>
      <c r="R82" s="174" t="str">
        <f t="shared" si="10"/>
        <v/>
      </c>
      <c r="S82" s="289" t="str">
        <f t="shared" si="11"/>
        <v/>
      </c>
    </row>
    <row r="83" spans="2:19">
      <c r="B83"/>
      <c r="C83" s="188" t="str">
        <f>IF(B83="","",IF(LEN(B83)&gt;9,SUMIFS(Options!$H$3:$H$28,Options!$B$3:$B$28,Check!B83),SUMIFS('Master P&amp;L'!$H$11:$H$88,'Master P&amp;L'!$B$11:$B$88,Check!B83)))</f>
        <v/>
      </c>
      <c r="D83" s="188" t="str">
        <f>IF(B83="","",SUMIFS(Input_APM!N:N,Input_APM!L:L,Check!B83,Input_APM!M:M,Check!$F$1))</f>
        <v/>
      </c>
      <c r="E83" s="174" t="str">
        <f t="shared" si="13"/>
        <v/>
      </c>
      <c r="F83" s="188" t="str">
        <f>IF(B83="","",SUMIFS(Input_APM!N:N,Input_APM!M:M,Check!$F$1,Input_APM!L:L,Check!B83))</f>
        <v/>
      </c>
      <c r="G83" s="188" t="str">
        <f>IF(B83="","",SUMIFS(Input_APM!N:N,Input_APM!M:M,Check!$G$1,Input_APM!L:L,Check!B83))</f>
        <v/>
      </c>
      <c r="H83" s="174" t="str">
        <f t="shared" si="14"/>
        <v/>
      </c>
      <c r="I83" s="174">
        <f>SUMIFS(Input_APM!N:N,Input_APM!L:L,Check!B83)</f>
        <v>0</v>
      </c>
      <c r="J83" s="176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4" t="str">
        <f t="shared" si="16"/>
        <v/>
      </c>
      <c r="O83"/>
      <c r="P83" s="174" t="str">
        <f>IF(O83="","",IF(OR(LEFT(O83,4)="Cash",LEFT(O83,4)="Prov"),0,SUMIFS(Input_APM!N:N,Input_APM!L:L,Check!O83)))</f>
        <v/>
      </c>
      <c r="Q83" s="21" t="str">
        <f>IF(O83="","",IF(LEN(O83)&gt;9,SUMIFS(Options!$H$3:$H$28,Options!$B$3:$B$28,Check!O83),SUMIFS('Master P&amp;L'!$H$11:$H$88,'Master P&amp;L'!$B$11:$B$88,Check!O83)))</f>
        <v/>
      </c>
      <c r="R83" s="174" t="str">
        <f t="shared" si="10"/>
        <v/>
      </c>
      <c r="S83" s="289" t="str">
        <f t="shared" si="11"/>
        <v/>
      </c>
    </row>
    <row r="84" spans="2:19">
      <c r="B84"/>
      <c r="C84" s="188" t="str">
        <f>IF(B84="","",IF(LEN(B84)&gt;9,SUMIFS(Options!$H$3:$H$28,Options!$B$3:$B$28,Check!B84),SUMIFS('Master P&amp;L'!$H$11:$H$88,'Master P&amp;L'!$B$11:$B$88,Check!B84)))</f>
        <v/>
      </c>
      <c r="D84" s="188" t="str">
        <f>IF(B84="","",SUMIFS(Input_APM!N:N,Input_APM!L:L,Check!B84,Input_APM!M:M,Check!$F$1))</f>
        <v/>
      </c>
      <c r="E84" s="174" t="str">
        <f t="shared" si="13"/>
        <v/>
      </c>
      <c r="F84" s="188" t="str">
        <f>IF(B84="","",SUMIFS(Input_APM!N:N,Input_APM!M:M,Check!$F$1,Input_APM!L:L,Check!B84))</f>
        <v/>
      </c>
      <c r="G84" s="188" t="str">
        <f>IF(B84="","",SUMIFS(Input_APM!N:N,Input_APM!M:M,Check!$G$1,Input_APM!L:L,Check!B84))</f>
        <v/>
      </c>
      <c r="H84" s="174" t="str">
        <f t="shared" si="14"/>
        <v/>
      </c>
      <c r="I84" s="174">
        <f>SUMIFS(Input_APM!N:N,Input_APM!L:L,Check!B84)</f>
        <v>0</v>
      </c>
      <c r="J84" s="176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4" t="str">
        <f t="shared" si="16"/>
        <v/>
      </c>
      <c r="O84"/>
      <c r="P84" s="174" t="str">
        <f>IF(O84="","",IF(OR(LEFT(O84,4)="Cash",LEFT(O84,4)="Prov"),0,SUMIFS(Input_APM!N:N,Input_APM!L:L,Check!O84)))</f>
        <v/>
      </c>
      <c r="Q84" s="21" t="str">
        <f>IF(O84="","",IF(LEN(O84)&gt;9,SUMIFS(Options!$H$3:$H$28,Options!$B$3:$B$28,Check!O84),SUMIFS('Master P&amp;L'!$H$11:$H$88,'Master P&amp;L'!$B$11:$B$88,Check!O84)))</f>
        <v/>
      </c>
      <c r="R84" s="174" t="str">
        <f t="shared" si="10"/>
        <v/>
      </c>
      <c r="S84" s="289" t="str">
        <f t="shared" si="11"/>
        <v/>
      </c>
    </row>
    <row r="85" spans="2:19">
      <c r="B85"/>
      <c r="C85" s="188" t="str">
        <f>IF(B85="","",IF(LEN(B85)&gt;9,SUMIFS(Options!$H$3:$H$28,Options!$B$3:$B$28,Check!B85),SUMIFS('Master P&amp;L'!$H$11:$H$88,'Master P&amp;L'!$B$11:$B$88,Check!B85)))</f>
        <v/>
      </c>
      <c r="D85" s="188" t="str">
        <f>IF(B85="","",SUMIFS(Input_APM!N:N,Input_APM!L:L,Check!B85,Input_APM!M:M,Check!$F$1))</f>
        <v/>
      </c>
      <c r="E85" s="174" t="str">
        <f t="shared" si="13"/>
        <v/>
      </c>
      <c r="F85" s="188" t="str">
        <f>IF(B85="","",SUMIFS(Input_APM!N:N,Input_APM!M:M,Check!$F$1,Input_APM!L:L,Check!B85))</f>
        <v/>
      </c>
      <c r="G85" s="188" t="str">
        <f>IF(B85="","",SUMIFS(Input_APM!N:N,Input_APM!M:M,Check!$G$1,Input_APM!L:L,Check!B85))</f>
        <v/>
      </c>
      <c r="H85" s="174" t="str">
        <f t="shared" si="14"/>
        <v/>
      </c>
      <c r="I85" s="174">
        <f>SUMIFS(Input_APM!N:N,Input_APM!L:L,Check!B85)</f>
        <v>0</v>
      </c>
      <c r="J85" s="176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4" t="str">
        <f t="shared" si="16"/>
        <v/>
      </c>
      <c r="O85"/>
      <c r="P85" s="174" t="str">
        <f>IF(O85="","",IF(OR(LEFT(O85,4)="Cash",LEFT(O85,4)="Prov"),0,SUMIFS(Input_APM!N:N,Input_APM!L:L,Check!O85)))</f>
        <v/>
      </c>
      <c r="Q85" s="21" t="str">
        <f>IF(O85="","",IF(LEN(O85)&gt;9,SUMIFS(Options!$H$3:$H$28,Options!$B$3:$B$28,Check!O85),SUMIFS('Master P&amp;L'!$H$11:$H$88,'Master P&amp;L'!$B$11:$B$88,Check!O85)))</f>
        <v/>
      </c>
      <c r="R85" s="174" t="str">
        <f t="shared" si="10"/>
        <v/>
      </c>
      <c r="S85" s="289" t="str">
        <f t="shared" si="11"/>
        <v/>
      </c>
    </row>
    <row r="86" spans="2:19">
      <c r="B86"/>
      <c r="C86" s="188" t="str">
        <f>IF(B86="","",IF(LEN(B86)&gt;9,SUMIFS(Options!$H$3:$H$28,Options!$B$3:$B$28,Check!B86),SUMIFS('Master P&amp;L'!$H$11:$H$88,'Master P&amp;L'!$B$11:$B$88,Check!B86)))</f>
        <v/>
      </c>
      <c r="D86" s="188" t="str">
        <f>IF(B86="","",SUMIFS(Input_APM!N:N,Input_APM!L:L,Check!B86,Input_APM!M:M,Check!$F$1))</f>
        <v/>
      </c>
      <c r="E86" s="174" t="str">
        <f t="shared" si="13"/>
        <v/>
      </c>
      <c r="F86" s="188" t="str">
        <f>IF(B86="","",SUMIFS(Input_APM!N:N,Input_APM!M:M,Check!$F$1,Input_APM!L:L,Check!B86))</f>
        <v/>
      </c>
      <c r="G86" s="188" t="str">
        <f>IF(B86="","",SUMIFS(Input_APM!N:N,Input_APM!M:M,Check!$G$1,Input_APM!L:L,Check!B86))</f>
        <v/>
      </c>
      <c r="H86" s="174" t="str">
        <f t="shared" si="14"/>
        <v/>
      </c>
      <c r="I86" s="174">
        <f>SUMIFS(Input_APM!N:N,Input_APM!L:L,Check!B86)</f>
        <v>0</v>
      </c>
      <c r="J86" s="176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4" t="str">
        <f t="shared" si="16"/>
        <v/>
      </c>
      <c r="O86"/>
      <c r="P86" s="174" t="str">
        <f>IF(O86="","",IF(OR(LEFT(O86,4)="Cash",LEFT(O86,4)="Prov"),0,SUMIFS(Input_APM!N:N,Input_APM!L:L,Check!O86)))</f>
        <v/>
      </c>
      <c r="Q86" s="21" t="str">
        <f>IF(O86="","",IF(LEN(O86)&gt;9,SUMIFS(Options!$H$3:$H$28,Options!$B$3:$B$28,Check!O86),SUMIFS('Master P&amp;L'!$H$11:$H$88,'Master P&amp;L'!$B$11:$B$88,Check!O86)))</f>
        <v/>
      </c>
      <c r="R86" s="174" t="str">
        <f t="shared" si="10"/>
        <v/>
      </c>
      <c r="S86" s="289" t="str">
        <f t="shared" si="11"/>
        <v/>
      </c>
    </row>
    <row r="87" spans="2:19">
      <c r="B87"/>
      <c r="C87" s="188" t="str">
        <f>IF(B87="","",IF(LEN(B87)&gt;9,SUMIFS(Options!$H$3:$H$28,Options!$B$3:$B$28,Check!B87),SUMIFS('Master P&amp;L'!$H$11:$H$88,'Master P&amp;L'!$B$11:$B$88,Check!B87)))</f>
        <v/>
      </c>
      <c r="D87" s="188" t="str">
        <f>IF(B87="","",SUMIFS(Input_APM!N:N,Input_APM!L:L,Check!B87,Input_APM!M:M,Check!$F$1))</f>
        <v/>
      </c>
      <c r="E87" s="174" t="str">
        <f t="shared" si="13"/>
        <v/>
      </c>
      <c r="F87" s="188" t="str">
        <f>IF(B87="","",SUMIFS(Input_APM!N:N,Input_APM!M:M,Check!$F$1,Input_APM!L:L,Check!B87))</f>
        <v/>
      </c>
      <c r="G87" s="188" t="str">
        <f>IF(B87="","",SUMIFS(Input_APM!N:N,Input_APM!M:M,Check!$G$1,Input_APM!L:L,Check!B87))</f>
        <v/>
      </c>
      <c r="H87" s="174" t="str">
        <f t="shared" si="14"/>
        <v/>
      </c>
      <c r="I87" s="174">
        <f>SUMIFS(Input_APM!N:N,Input_APM!L:L,Check!B87)</f>
        <v>0</v>
      </c>
      <c r="J87" s="176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4" t="str">
        <f t="shared" si="16"/>
        <v/>
      </c>
      <c r="O87"/>
      <c r="P87" s="174" t="str">
        <f>IF(O87="","",IF(OR(LEFT(O87,4)="Cash",LEFT(O87,4)="Prov"),0,SUMIFS(Input_APM!N:N,Input_APM!L:L,Check!O87)))</f>
        <v/>
      </c>
      <c r="Q87" s="21" t="str">
        <f>IF(O87="","",IF(LEN(O87)&gt;9,SUMIFS(Options!$H$3:$H$28,Options!$B$3:$B$28,Check!O87),SUMIFS('Master P&amp;L'!$H$11:$H$88,'Master P&amp;L'!$B$11:$B$88,Check!O87)))</f>
        <v/>
      </c>
      <c r="R87" s="174" t="str">
        <f t="shared" si="10"/>
        <v/>
      </c>
      <c r="S87" s="289" t="str">
        <f t="shared" si="11"/>
        <v/>
      </c>
    </row>
    <row r="88" spans="2:19">
      <c r="B88"/>
      <c r="C88" s="188" t="str">
        <f>IF(B88="","",IF(LEN(B88)&gt;9,SUMIFS(Options!$H$3:$H$28,Options!$B$3:$B$28,Check!B88),SUMIFS('Master P&amp;L'!$H$11:$H$88,'Master P&amp;L'!$B$11:$B$88,Check!B88)))</f>
        <v/>
      </c>
      <c r="D88" s="188" t="str">
        <f>IF(B88="","",SUMIFS(Input_APM!N:N,Input_APM!L:L,Check!B88,Input_APM!M:M,Check!$F$1))</f>
        <v/>
      </c>
      <c r="E88" s="174" t="str">
        <f t="shared" si="13"/>
        <v/>
      </c>
      <c r="F88" s="188" t="str">
        <f>IF(B88="","",SUMIFS(Input_APM!N:N,Input_APM!M:M,Check!$F$1,Input_APM!L:L,Check!B88))</f>
        <v/>
      </c>
      <c r="G88" s="188" t="str">
        <f>IF(B88="","",SUMIFS(Input_APM!N:N,Input_APM!M:M,Check!$G$1,Input_APM!L:L,Check!B88))</f>
        <v/>
      </c>
      <c r="H88" s="174" t="str">
        <f t="shared" si="14"/>
        <v/>
      </c>
      <c r="I88" s="174">
        <f>SUMIFS(Input_APM!N:N,Input_APM!L:L,Check!B88)</f>
        <v>0</v>
      </c>
      <c r="J88" s="176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4" t="str">
        <f t="shared" si="16"/>
        <v/>
      </c>
      <c r="O88"/>
      <c r="P88" s="174" t="str">
        <f>IF(O88="","",IF(OR(LEFT(O88,4)="Cash",LEFT(O88,4)="Prov"),0,SUMIFS(Input_APM!N:N,Input_APM!L:L,Check!O88)))</f>
        <v/>
      </c>
      <c r="Q88" s="21" t="str">
        <f>IF(O88="","",IF(LEN(O88)&gt;9,SUMIFS(Options!$H$3:$H$28,Options!$B$3:$B$28,Check!O88),SUMIFS('Master P&amp;L'!$H$11:$H$88,'Master P&amp;L'!$B$11:$B$88,Check!O88)))</f>
        <v/>
      </c>
      <c r="R88" s="174" t="str">
        <f t="shared" si="10"/>
        <v/>
      </c>
      <c r="S88" s="289" t="str">
        <f t="shared" si="11"/>
        <v/>
      </c>
    </row>
    <row r="89" spans="2:19">
      <c r="B89"/>
      <c r="C89" s="188" t="str">
        <f>IF(B89="","",IF(LEN(B89)&gt;9,SUMIFS(Options!$H$3:$H$28,Options!$B$3:$B$28,Check!B89),SUMIFS('Master P&amp;L'!$H$11:$H$88,'Master P&amp;L'!$B$11:$B$88,Check!B89)))</f>
        <v/>
      </c>
      <c r="D89" s="188" t="str">
        <f>IF(B89="","",SUMIFS(Input_APM!N:N,Input_APM!L:L,Check!B89,Input_APM!M:M,Check!$F$1))</f>
        <v/>
      </c>
      <c r="E89" s="174" t="str">
        <f t="shared" si="13"/>
        <v/>
      </c>
      <c r="F89" s="188" t="str">
        <f>IF(B89="","",SUMIFS(Input_APM!N:N,Input_APM!M:M,Check!$F$1,Input_APM!L:L,Check!B89))</f>
        <v/>
      </c>
      <c r="G89" s="188" t="str">
        <f>IF(B89="","",SUMIFS(Input_APM!N:N,Input_APM!M:M,Check!$G$1,Input_APM!L:L,Check!B89))</f>
        <v/>
      </c>
      <c r="H89" s="174" t="str">
        <f t="shared" si="14"/>
        <v/>
      </c>
      <c r="I89" s="174">
        <f>SUMIFS(Input_APM!N:N,Input_APM!L:L,Check!B89)</f>
        <v>0</v>
      </c>
      <c r="J89" s="176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4" t="str">
        <f t="shared" si="16"/>
        <v/>
      </c>
      <c r="O89"/>
      <c r="P89" s="174" t="str">
        <f>IF(O89="","",IF(OR(LEFT(O89,4)="Cash",LEFT(O89,4)="Prov"),0,SUMIFS(Input_APM!N:N,Input_APM!L:L,Check!O89)))</f>
        <v/>
      </c>
      <c r="Q89" s="21" t="str">
        <f>IF(O89="","",IF(LEN(O89)&gt;9,SUMIFS(Options!$H$3:$H$28,Options!$B$3:$B$28,Check!O89),SUMIFS('Master P&amp;L'!$H$11:$H$88,'Master P&amp;L'!$B$11:$B$88,Check!O89)))</f>
        <v/>
      </c>
      <c r="R89" s="174" t="str">
        <f t="shared" si="10"/>
        <v/>
      </c>
      <c r="S89" s="289" t="str">
        <f t="shared" si="11"/>
        <v/>
      </c>
    </row>
    <row r="90" spans="2:19">
      <c r="B90"/>
      <c r="C90" s="188" t="str">
        <f>IF(B90="","",IF(LEN(B90)&gt;9,SUMIFS(Options!$H$3:$H$28,Options!$B$3:$B$28,Check!B90),SUMIFS('Master P&amp;L'!$H$11:$H$88,'Master P&amp;L'!$B$11:$B$88,Check!B90)))</f>
        <v/>
      </c>
      <c r="D90" s="188" t="str">
        <f>IF(B90="","",SUMIFS(Input_APM!N:N,Input_APM!L:L,Check!B90,Input_APM!M:M,Check!$F$1))</f>
        <v/>
      </c>
      <c r="E90" s="174" t="str">
        <f t="shared" ref="E90:E95" si="17">IF(B90="","",C90-M90)</f>
        <v/>
      </c>
      <c r="F90" s="188" t="str">
        <f>IF(B90="","",SUMIFS(Input_APM!N:N,Input_APM!M:M,Check!$F$1,Input_APM!L:L,Check!B90))</f>
        <v/>
      </c>
      <c r="G90" s="188" t="str">
        <f>IF(B90="","",SUMIFS(Input_APM!N:N,Input_APM!M:M,Check!$G$1,Input_APM!L:L,Check!B90))</f>
        <v/>
      </c>
      <c r="H90" s="174" t="str">
        <f t="shared" ref="H90:H95" si="18">IF(B90="","",F90-G90)</f>
        <v/>
      </c>
      <c r="I90" s="174">
        <f>SUMIFS(Input_APM!N:N,Input_APM!L:L,Check!B90)</f>
        <v>0</v>
      </c>
      <c r="J90" s="176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4" t="str">
        <f t="shared" ref="M90:M95" si="20">IF(B90="","",F90+G90+K90+L90)</f>
        <v/>
      </c>
      <c r="O90"/>
      <c r="P90" s="174" t="str">
        <f>IF(O90="","",IF(OR(LEFT(O90,4)="Cash",LEFT(O90,4)="Prov"),0,SUMIFS(Input_APM!N:N,Input_APM!L:L,Check!O90)))</f>
        <v/>
      </c>
      <c r="Q90" s="21" t="str">
        <f>IF(O90="","",IF(LEN(O90)&gt;9,SUMIFS(Options!$H$3:$H$28,Options!$B$3:$B$28,Check!O90),SUMIFS('Master P&amp;L'!$H$11:$H$88,'Master P&amp;L'!$B$11:$B$88,Check!O90)))</f>
        <v/>
      </c>
      <c r="R90" s="174" t="str">
        <f t="shared" si="10"/>
        <v/>
      </c>
      <c r="S90" s="289" t="str">
        <f t="shared" si="11"/>
        <v/>
      </c>
    </row>
    <row r="91" spans="2:19">
      <c r="B91"/>
      <c r="C91" s="188" t="str">
        <f>IF(B91="","",IF(LEN(B91)&gt;9,SUMIFS(Options!$H$3:$H$28,Options!$B$3:$B$28,Check!B91),SUMIFS('Master P&amp;L'!$H$11:$H$88,'Master P&amp;L'!$B$11:$B$88,Check!B91)))</f>
        <v/>
      </c>
      <c r="D91" s="188" t="str">
        <f>IF(B91="","",SUMIFS(Input_APM!N:N,Input_APM!L:L,Check!B91,Input_APM!M:M,Check!$F$1))</f>
        <v/>
      </c>
      <c r="E91" s="174" t="str">
        <f t="shared" si="17"/>
        <v/>
      </c>
      <c r="F91" s="188" t="str">
        <f>IF(B91="","",SUMIFS(Input_APM!N:N,Input_APM!M:M,Check!$F$1,Input_APM!L:L,Check!B91))</f>
        <v/>
      </c>
      <c r="G91" s="188" t="str">
        <f>IF(B91="","",SUMIFS(Input_APM!N:N,Input_APM!M:M,Check!$G$1,Input_APM!L:L,Check!B91))</f>
        <v/>
      </c>
      <c r="H91" s="174" t="str">
        <f t="shared" si="18"/>
        <v/>
      </c>
      <c r="I91" s="174">
        <f>SUMIFS(Input_APM!N:N,Input_APM!L:L,Check!B91)</f>
        <v>0</v>
      </c>
      <c r="J91" s="176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4" t="str">
        <f t="shared" si="20"/>
        <v/>
      </c>
      <c r="O91"/>
      <c r="P91" s="174" t="str">
        <f>IF(O91="","",IF(OR(LEFT(O91,4)="Cash",LEFT(O91,4)="Prov"),0,SUMIFS(Input_APM!N:N,Input_APM!L:L,Check!O91)))</f>
        <v/>
      </c>
      <c r="Q91" s="21" t="str">
        <f>IF(O91="","",IF(LEN(O91)&gt;9,SUMIFS(Options!$H$3:$H$28,Options!$B$3:$B$28,Check!O91),SUMIFS('Master P&amp;L'!$H$11:$H$88,'Master P&amp;L'!$B$11:$B$88,Check!O91)))</f>
        <v/>
      </c>
      <c r="R91" s="174" t="str">
        <f t="shared" si="10"/>
        <v/>
      </c>
      <c r="S91" s="289" t="str">
        <f t="shared" si="11"/>
        <v/>
      </c>
    </row>
    <row r="92" spans="2:19">
      <c r="B92"/>
      <c r="C92" s="188" t="str">
        <f>IF(B92="","",IF(LEN(B92)&gt;9,SUMIFS(Options!$H$3:$H$28,Options!$B$3:$B$28,Check!B92),SUMIFS('Master P&amp;L'!$H$11:$H$88,'Master P&amp;L'!$B$11:$B$88,Check!B92)))</f>
        <v/>
      </c>
      <c r="D92" s="188" t="str">
        <f>IF(B92="","",SUMIFS(Input_APM!N:N,Input_APM!L:L,Check!B92,Input_APM!M:M,Check!$F$1))</f>
        <v/>
      </c>
      <c r="E92" s="174" t="str">
        <f t="shared" si="17"/>
        <v/>
      </c>
      <c r="F92" s="188" t="str">
        <f>IF(B92="","",SUMIFS(Input_APM!N:N,Input_APM!M:M,Check!$F$1,Input_APM!L:L,Check!B92))</f>
        <v/>
      </c>
      <c r="G92" s="188" t="str">
        <f>IF(B92="","",SUMIFS(Input_APM!N:N,Input_APM!M:M,Check!$G$1,Input_APM!L:L,Check!B92))</f>
        <v/>
      </c>
      <c r="H92" s="174" t="str">
        <f t="shared" si="18"/>
        <v/>
      </c>
      <c r="I92" s="174">
        <f>SUMIFS(Input_APM!N:N,Input_APM!L:L,Check!B92)</f>
        <v>0</v>
      </c>
      <c r="J92" s="176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4" t="str">
        <f t="shared" si="20"/>
        <v/>
      </c>
      <c r="O92"/>
      <c r="P92" s="174" t="str">
        <f>IF(O92="","",IF(OR(LEFT(O92,4)="Cash",LEFT(O92,4)="Prov"),0,SUMIFS(Input_APM!N:N,Input_APM!L:L,Check!O92)))</f>
        <v/>
      </c>
      <c r="Q92" s="21" t="str">
        <f>IF(O92="","",IF(LEN(O92)&gt;9,SUMIFS(Options!$H$3:$H$28,Options!$B$3:$B$28,Check!O92),SUMIFS('Master P&amp;L'!$H$11:$H$88,'Master P&amp;L'!$B$11:$B$88,Check!O92)))</f>
        <v/>
      </c>
      <c r="R92" s="174" t="str">
        <f t="shared" si="10"/>
        <v/>
      </c>
      <c r="S92" s="289" t="str">
        <f t="shared" si="11"/>
        <v/>
      </c>
    </row>
    <row r="93" spans="2:19">
      <c r="B93"/>
      <c r="C93" s="188" t="str">
        <f>IF(B93="","",IF(LEN(B93)&gt;9,SUMIFS(Options!$H$3:$H$28,Options!$B$3:$B$28,Check!B93),SUMIFS('Master P&amp;L'!$H$11:$H$88,'Master P&amp;L'!$B$11:$B$88,Check!B93)))</f>
        <v/>
      </c>
      <c r="D93" s="188" t="str">
        <f>IF(B93="","",SUMIFS(Input_APM!N:N,Input_APM!L:L,Check!B93,Input_APM!M:M,Check!$F$1))</f>
        <v/>
      </c>
      <c r="E93" s="174" t="str">
        <f t="shared" si="17"/>
        <v/>
      </c>
      <c r="F93" s="188" t="str">
        <f>IF(B93="","",SUMIFS(Input_APM!N:N,Input_APM!M:M,Check!$F$1,Input_APM!L:L,Check!B93))</f>
        <v/>
      </c>
      <c r="G93" s="188" t="str">
        <f>IF(B93="","",SUMIFS(Input_APM!N:N,Input_APM!M:M,Check!$G$1,Input_APM!L:L,Check!B93))</f>
        <v/>
      </c>
      <c r="H93" s="174" t="str">
        <f t="shared" si="18"/>
        <v/>
      </c>
      <c r="I93" s="174">
        <f>SUMIFS(Input_APM!N:N,Input_APM!L:L,Check!B93)</f>
        <v>0</v>
      </c>
      <c r="J93" s="176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4" t="str">
        <f t="shared" si="20"/>
        <v/>
      </c>
      <c r="O93"/>
      <c r="P93" s="174" t="str">
        <f>IF(O93="","",IF(OR(LEFT(O93,4)="Cash",LEFT(O93,4)="Prov"),0,SUMIFS(Input_APM!N:N,Input_APM!L:L,Check!O93)))</f>
        <v/>
      </c>
      <c r="Q93" s="21" t="str">
        <f>IF(O93="","",IF(LEN(O93)&gt;9,SUMIFS(Options!$H$3:$H$28,Options!$B$3:$B$28,Check!O93),SUMIFS('Master P&amp;L'!$H$11:$H$88,'Master P&amp;L'!$B$11:$B$88,Check!O93)))</f>
        <v/>
      </c>
      <c r="R93" s="174" t="str">
        <f t="shared" si="10"/>
        <v/>
      </c>
      <c r="S93" s="289" t="str">
        <f t="shared" si="11"/>
        <v/>
      </c>
    </row>
    <row r="94" spans="2:19">
      <c r="B94"/>
      <c r="C94" s="188" t="str">
        <f>IF(B94="","",IF(LEN(B94)&gt;9,SUMIFS(Options!$H$3:$H$28,Options!$B$3:$B$28,Check!B94),SUMIFS('Master P&amp;L'!$H$11:$H$88,'Master P&amp;L'!$B$11:$B$88,Check!B94)))</f>
        <v/>
      </c>
      <c r="D94" s="188" t="str">
        <f>IF(B94="","",SUMIFS(Input_APM!N:N,Input_APM!L:L,Check!B94,Input_APM!M:M,Check!$F$1))</f>
        <v/>
      </c>
      <c r="E94" s="174" t="str">
        <f t="shared" si="17"/>
        <v/>
      </c>
      <c r="F94" s="188" t="str">
        <f>IF(B94="","",SUMIFS(Input_APM!N:N,Input_APM!M:M,Check!$F$1,Input_APM!L:L,Check!B94))</f>
        <v/>
      </c>
      <c r="G94" s="188" t="str">
        <f>IF(B94="","",SUMIFS(Input_APM!N:N,Input_APM!M:M,Check!$G$1,Input_APM!L:L,Check!B94))</f>
        <v/>
      </c>
      <c r="H94" s="174" t="str">
        <f t="shared" si="18"/>
        <v/>
      </c>
      <c r="I94" s="174">
        <f>SUMIFS(Input_APM!N:N,Input_APM!L:L,Check!B94)</f>
        <v>0</v>
      </c>
      <c r="J94" s="176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4" t="str">
        <f t="shared" si="20"/>
        <v/>
      </c>
      <c r="O94"/>
      <c r="P94" s="174" t="str">
        <f>IF(O94="","",IF(OR(LEFT(O94,4)="Cash",LEFT(O94,4)="Prov"),0,SUMIFS(Input_APM!N:N,Input_APM!L:L,Check!O94)))</f>
        <v/>
      </c>
      <c r="Q94" s="21" t="str">
        <f>IF(O94="","",IF(LEN(O94)&gt;9,SUMIFS(Options!$H$3:$H$28,Options!$B$3:$B$28,Check!O94),SUMIFS('Master P&amp;L'!$H$11:$H$88,'Master P&amp;L'!$B$11:$B$88,Check!O94)))</f>
        <v/>
      </c>
      <c r="R94" s="174" t="str">
        <f t="shared" si="10"/>
        <v/>
      </c>
      <c r="S94" s="289" t="str">
        <f t="shared" si="11"/>
        <v/>
      </c>
    </row>
    <row r="95" spans="2:19">
      <c r="C95" s="188" t="str">
        <f>IF(B95="","",IF(LEN(B95)&gt;9,SUMIFS(Options!$H$3:$H$28,Options!$B$3:$B$28,Check!B95),SUMIFS('Master P&amp;L'!$H$11:$H$88,'Master P&amp;L'!$B$11:$B$88,Check!B95)))</f>
        <v/>
      </c>
      <c r="D95" s="188" t="str">
        <f>IF(B95="","",SUMIFS(Input_APM!N:N,Input_APM!L:L,Check!B95,Input_APM!M:M,Check!$F$1))</f>
        <v/>
      </c>
      <c r="E95" s="174" t="str">
        <f t="shared" si="17"/>
        <v/>
      </c>
      <c r="F95" s="188" t="str">
        <f>IF(B95="","",SUMIFS(Input_APM!N:N,Input_APM!M:M,Check!$F$1,Input_APM!L:L,Check!B95))</f>
        <v/>
      </c>
      <c r="G95" s="188" t="str">
        <f>IF(B95="","",SUMIFS(Input_APM!N:N,Input_APM!M:M,Check!$G$1,Input_APM!L:L,Check!B95))</f>
        <v/>
      </c>
      <c r="H95" s="174" t="str">
        <f t="shared" si="18"/>
        <v/>
      </c>
      <c r="I95" s="174">
        <f>SUMIFS(Input_APM!N:N,Input_APM!L:L,Check!B95)</f>
        <v>0</v>
      </c>
      <c r="J95" s="176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4" t="str">
        <f t="shared" si="20"/>
        <v/>
      </c>
      <c r="O95"/>
      <c r="P95" s="174" t="str">
        <f>IF(O95="","",IF(OR(LEFT(O95,4)="Cash",LEFT(O95,4)="Prov"),0,SUMIFS(Input_APM!N:N,Input_APM!L:L,Check!O95)))</f>
        <v/>
      </c>
      <c r="Q95" s="21" t="str">
        <f>IF(O95="","",IF(LEN(O95)&gt;9,SUMIFS(Options!$H$3:$H$28,Options!$B$3:$B$28,Check!O95),SUMIFS('Master P&amp;L'!$H$11:$H$88,'Master P&amp;L'!$B$11:$B$88,Check!O95)))</f>
        <v/>
      </c>
      <c r="R95" s="174" t="str">
        <f t="shared" si="10"/>
        <v/>
      </c>
      <c r="S95" s="289" t="str">
        <f t="shared" si="11"/>
        <v/>
      </c>
    </row>
    <row r="96" spans="2:19">
      <c r="C96" s="188" t="str">
        <f>IF(B96="","",IF(LEN(B96)&gt;9,SUMIFS(Options!$H$3:$H$28,Options!$B$3:$B$28,Check!B96),SUMIFS('Master P&amp;L'!$H$11:$H$88,'Master P&amp;L'!$B$11:$B$88,Check!B96)))</f>
        <v/>
      </c>
      <c r="D96" s="188" t="str">
        <f>IF(B96="","",SUMIFS(Input_APM!N:N,Input_APM!L:L,Check!B96,Input_APM!M:M,Check!$F$1))</f>
        <v/>
      </c>
      <c r="E96" s="174" t="str">
        <f>IF(B96="","",C96-M96)</f>
        <v/>
      </c>
      <c r="F96" s="188" t="str">
        <f>IF(B96="","",SUMIFS(Input_APM!N:N,Input_APM!M:M,Check!$F$1,Input_APM!L:L,Check!B96))</f>
        <v/>
      </c>
      <c r="G96" s="188" t="str">
        <f>IF(B96="","",SUMIFS(Input_APM!N:N,Input_APM!M:M,Check!$G$1,Input_APM!L:L,Check!B96))</f>
        <v/>
      </c>
      <c r="H96" s="174" t="str">
        <f>IF(B96="","",F96-G96)</f>
        <v/>
      </c>
      <c r="I96" s="174">
        <f>SUMIFS(Input_APM!N:N,Input_APM!L:L,Check!B96)</f>
        <v>0</v>
      </c>
      <c r="J96" s="176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4" t="str">
        <f>IF(B96="","",F96+G96+K96+L96)</f>
        <v/>
      </c>
      <c r="O96"/>
      <c r="P96" s="174" t="str">
        <f>IF(O96="","",IF(OR(LEFT(O96,4)="Cash",LEFT(O96,4)="Prov"),0,SUMIFS(Input_APM!N:N,Input_APM!L:L,Check!O96)))</f>
        <v/>
      </c>
      <c r="Q96" s="21" t="str">
        <f>IF(O96="","",IF(LEN(O96)&gt;9,SUMIFS(Options!$H$3:$H$28,Options!$B$3:$B$28,Check!O96),SUMIFS('Master P&amp;L'!$H$11:$H$88,'Master P&amp;L'!$B$11:$B$88,Check!O96)))</f>
        <v/>
      </c>
      <c r="R96" s="174" t="str">
        <f t="shared" si="10"/>
        <v/>
      </c>
      <c r="S96" s="289" t="str">
        <f t="shared" si="11"/>
        <v/>
      </c>
    </row>
    <row r="97" spans="1:19">
      <c r="C97" s="188" t="str">
        <f>IF(B97="","",IF(LEN(B97)&gt;9,SUMIFS(Options!$H$3:$H$28,Options!$B$3:$B$28,Check!B97),SUMIFS('Master P&amp;L'!$H$11:$H$88,'Master P&amp;L'!$B$11:$B$88,Check!B97)))</f>
        <v/>
      </c>
      <c r="D97" s="188" t="str">
        <f>IF(B97="","",SUMIFS(Input_APM!N:N,Input_APM!L:L,Check!B97,Input_APM!M:M,Check!$F$1))</f>
        <v/>
      </c>
      <c r="E97" s="174" t="str">
        <f>IF(B97="","",C97-M97)</f>
        <v/>
      </c>
      <c r="F97" s="188" t="str">
        <f>IF(B97="","",SUMIFS(Input_APM!N:N,Input_APM!M:M,Check!$F$1,Input_APM!L:L,Check!B97))</f>
        <v/>
      </c>
      <c r="G97" s="188" t="str">
        <f>IF(B97="","",SUMIFS(Input_APM!N:N,Input_APM!M:M,Check!$G$1,Input_APM!L:L,Check!B97))</f>
        <v/>
      </c>
      <c r="H97" s="174" t="str">
        <f>IF(B97="","",F97-G97)</f>
        <v/>
      </c>
      <c r="I97" s="174">
        <f>SUMIFS(Input_APM!N:N,Input_APM!L:L,Check!B97)</f>
        <v>0</v>
      </c>
      <c r="J97" s="176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4" t="str">
        <f>IF(B97="","",F97+G97+K97+L97)</f>
        <v/>
      </c>
      <c r="O97"/>
      <c r="P97" s="174" t="str">
        <f>IF(O97="","",IF(OR(LEFT(O97,4)="Cash",LEFT(O97,4)="Prov"),0,SUMIFS(Input_APM!N:N,Input_APM!L:L,Check!O97)))</f>
        <v/>
      </c>
      <c r="Q97" s="21" t="str">
        <f>IF(O97="","",IF(LEN(O97)&gt;9,SUMIFS(Options!$H$3:$H$28,Options!$B$3:$B$28,Check!O97),SUMIFS('Master P&amp;L'!$H$11:$H$88,'Master P&amp;L'!$B$11:$B$88,Check!O97)))</f>
        <v/>
      </c>
      <c r="R97" s="174" t="str">
        <f t="shared" si="10"/>
        <v/>
      </c>
      <c r="S97" s="289" t="str">
        <f t="shared" si="11"/>
        <v/>
      </c>
    </row>
    <row r="98" spans="1:19">
      <c r="C98" s="188" t="str">
        <f>IF(B98="","",IF(LEN(B98)&gt;9,SUMIFS(Options!$H$3:$H$28,Options!$B$3:$B$28,Check!B98),SUMIFS('Master P&amp;L'!$H$11:$H$88,'Master P&amp;L'!$B$11:$B$88,Check!B98)))</f>
        <v/>
      </c>
      <c r="D98" s="188" t="str">
        <f>IF(B98="","",SUMIFS(Input_APM!N:N,Input_APM!L:L,Check!B98,Input_APM!M:M,Check!$F$1))</f>
        <v/>
      </c>
      <c r="E98" s="174" t="str">
        <f>IF(B98="","",C98-M98)</f>
        <v/>
      </c>
      <c r="F98" s="188" t="str">
        <f>IF(B98="","",SUMIFS(Input_APM!N:N,Input_APM!M:M,Check!$F$1,Input_APM!L:L,Check!B98))</f>
        <v/>
      </c>
      <c r="G98" s="188" t="str">
        <f>IF(B98="","",SUMIFS(Input_APM!N:N,Input_APM!M:M,Check!$G$1,Input_APM!L:L,Check!B98))</f>
        <v/>
      </c>
      <c r="H98" s="174" t="str">
        <f>IF(B98="","",F98-G98)</f>
        <v/>
      </c>
      <c r="I98" s="174">
        <f>SUMIFS(Input_APM!N:N,Input_APM!L:L,Check!B98)</f>
        <v>0</v>
      </c>
      <c r="J98" s="176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4" t="str">
        <f>IF(B98="","",F98+G98+K98+L98)</f>
        <v/>
      </c>
      <c r="O98"/>
      <c r="P98" s="174" t="str">
        <f>IF(O98="","",IF(OR(LEFT(O98,4)="Cash",LEFT(O98,4)="Prov"),0,SUMIFS(Input_APM!N:N,Input_APM!L:L,Check!O98)))</f>
        <v/>
      </c>
      <c r="Q98" s="21" t="str">
        <f>IF(O98="","",IF(LEN(O98)&gt;9,SUMIFS(Options!$H$3:$H$28,Options!$B$3:$B$28,Check!O98),SUMIFS('Master P&amp;L'!$H$11:$H$88,'Master P&amp;L'!$B$11:$B$88,Check!O98)))</f>
        <v/>
      </c>
      <c r="R98" s="174" t="str">
        <f t="shared" si="10"/>
        <v/>
      </c>
      <c r="S98" s="289" t="str">
        <f t="shared" si="11"/>
        <v/>
      </c>
    </row>
    <row r="99" spans="1:19">
      <c r="C99" s="188" t="str">
        <f>IF(B99="","",IF(LEN(B99)&gt;9,SUMIFS(Options!$H$3:$H$28,Options!$B$3:$B$28,Check!B99),SUMIFS('Master P&amp;L'!$H$11:$H$88,'Master P&amp;L'!$B$11:$B$88,Check!B99)))</f>
        <v/>
      </c>
      <c r="D99" s="188" t="str">
        <f>IF(B99="","",SUMIFS(Input_APM!N:N,Input_APM!L:L,Check!B99,Input_APM!M:M,Check!$F$1))</f>
        <v/>
      </c>
      <c r="E99" s="174" t="str">
        <f t="shared" ref="E99:E113" si="21">IF(B99="","",C99-M99)</f>
        <v/>
      </c>
      <c r="F99" s="188" t="str">
        <f>IF(B99="","",SUMIFS(Input_APM!N:N,Input_APM!M:M,Check!$F$1,Input_APM!L:L,Check!B99))</f>
        <v/>
      </c>
      <c r="G99" s="188" t="str">
        <f>IF(B99="","",SUMIFS(Input_APM!N:N,Input_APM!M:M,Check!$G$1,Input_APM!L:L,Check!B99))</f>
        <v/>
      </c>
      <c r="H99" s="174" t="str">
        <f t="shared" ref="H99:H113" si="22">IF(B99="","",F99-G99)</f>
        <v/>
      </c>
      <c r="I99" s="174">
        <f>SUMIFS(Input_APM!N:N,Input_APM!L:L,Check!B99)</f>
        <v>0</v>
      </c>
      <c r="J99" s="176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4" t="str">
        <f t="shared" ref="M99:M113" si="24">IF(B99="","",F99+G99+K99+L99)</f>
        <v/>
      </c>
      <c r="O99"/>
      <c r="P99" s="174" t="str">
        <f>IF(O99="","",IF(OR(LEFT(O99,4)="Cash",LEFT(O99,4)="Prov"),0,SUMIFS(Input_APM!N:N,Input_APM!L:L,Check!O99)))</f>
        <v/>
      </c>
      <c r="Q99" s="21" t="str">
        <f>IF(O99="","",IF(LEN(O99)&gt;9,SUMIFS(Options!$H$3:$H$28,Options!$B$3:$B$28,Check!O99),SUMIFS('Master P&amp;L'!$H$11:$H$88,'Master P&amp;L'!$B$11:$B$88,Check!O99)))</f>
        <v/>
      </c>
      <c r="R99" s="174" t="str">
        <f t="shared" si="10"/>
        <v/>
      </c>
      <c r="S99" s="289" t="str">
        <f t="shared" si="11"/>
        <v/>
      </c>
    </row>
    <row r="100" spans="1:19">
      <c r="C100" s="188" t="str">
        <f>IF(B100="","",IF(LEN(B100)&gt;9,SUMIFS(Options!$H$3:$H$28,Options!$B$3:$B$28,Check!B100),SUMIFS('Master P&amp;L'!$H$11:$H$88,'Master P&amp;L'!$B$11:$B$88,Check!B100)))</f>
        <v/>
      </c>
      <c r="D100" s="188" t="str">
        <f>IF(B100="","",SUMIFS(Input_APM!N:N,Input_APM!L:L,Check!B100,Input_APM!M:M,Check!$F$1))</f>
        <v/>
      </c>
      <c r="E100" s="174" t="str">
        <f>IF(B100="","",C100-M100)</f>
        <v/>
      </c>
      <c r="F100" s="188" t="str">
        <f>IF(B100="","",SUMIFS(Input_APM!N:N,Input_APM!M:M,Check!$F$1,Input_APM!L:L,Check!B100))</f>
        <v/>
      </c>
      <c r="G100" s="188" t="str">
        <f>IF(B100="","",SUMIFS(Input_APM!N:N,Input_APM!M:M,Check!$G$1,Input_APM!L:L,Check!B100))</f>
        <v/>
      </c>
      <c r="H100" s="174" t="str">
        <f t="shared" si="22"/>
        <v/>
      </c>
      <c r="I100" s="174">
        <f>SUMIFS(Input_APM!N:N,Input_APM!L:L,Check!B100)</f>
        <v>0</v>
      </c>
      <c r="J100" s="176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4" t="str">
        <f t="shared" si="24"/>
        <v/>
      </c>
      <c r="O100"/>
      <c r="P100" s="174" t="str">
        <f>IF(O100="","",IF(OR(LEFT(O100,4)="Cash",LEFT(O100,4)="Prov"),0,SUMIFS(Input_APM!N:N,Input_APM!L:L,Check!O100)))</f>
        <v/>
      </c>
      <c r="Q100" s="21" t="str">
        <f>IF(O100="","",IF(LEN(O100)&gt;9,SUMIFS(Options!$H$3:$H$28,Options!$B$3:$B$28,Check!O100),SUMIFS('Master P&amp;L'!$H$11:$H$88,'Master P&amp;L'!$B$11:$B$88,Check!O100)))</f>
        <v/>
      </c>
      <c r="R100" s="174" t="str">
        <f t="shared" ref="R100:R107" si="25">IF(O100="","",P100-Q100)</f>
        <v/>
      </c>
      <c r="S100" s="289" t="str">
        <f t="shared" si="11"/>
        <v/>
      </c>
    </row>
    <row r="101" spans="1:19">
      <c r="C101" s="188" t="str">
        <f>IF(B101="","",IF(LEN(B101)&gt;9,SUMIFS(Options!$H$3:$H$28,Options!$B$3:$B$28,Check!B101),SUMIFS('Master P&amp;L'!$H$11:$H$88,'Master P&amp;L'!$B$11:$B$88,Check!B101)))</f>
        <v/>
      </c>
      <c r="D101" s="188" t="str">
        <f>IF(B101="","",SUMIFS(Input_APM!N:N,Input_APM!L:L,Check!B101,Input_APM!M:M,Check!$F$1))</f>
        <v/>
      </c>
      <c r="E101" s="174" t="str">
        <f t="shared" si="21"/>
        <v/>
      </c>
      <c r="F101" s="188" t="str">
        <f>IF(B101="","",SUMIFS(Input_APM!N:N,Input_APM!M:M,Check!$F$1,Input_APM!L:L,Check!B101))</f>
        <v/>
      </c>
      <c r="G101" s="188" t="str">
        <f>IF(B101="","",SUMIFS(Input_APM!N:N,Input_APM!M:M,Check!$G$1,Input_APM!L:L,Check!B101))</f>
        <v/>
      </c>
      <c r="H101" s="174" t="str">
        <f t="shared" si="22"/>
        <v/>
      </c>
      <c r="I101" s="174">
        <f>SUMIFS(Input_APM!N:N,Input_APM!L:L,Check!B101)</f>
        <v>0</v>
      </c>
      <c r="J101" s="176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4" t="str">
        <f t="shared" si="24"/>
        <v/>
      </c>
      <c r="O101"/>
      <c r="P101" s="174" t="str">
        <f>IF(O101="","",IF(OR(LEFT(O101,4)="Cash",LEFT(O101,4)="Prov"),0,SUMIFS(Input_APM!N:N,Input_APM!L:L,Check!O101)))</f>
        <v/>
      </c>
      <c r="Q101" s="21" t="str">
        <f>IF(O101="","",IF(LEN(O101)&gt;9,SUMIFS(Options!$H$3:$H$28,Options!$B$3:$B$28,Check!O101),SUMIFS('Master P&amp;L'!$H$11:$H$88,'Master P&amp;L'!$B$11:$B$88,Check!O101)))</f>
        <v/>
      </c>
      <c r="R101" s="174" t="str">
        <f t="shared" si="25"/>
        <v/>
      </c>
      <c r="S101" s="289" t="str">
        <f t="shared" si="11"/>
        <v/>
      </c>
    </row>
    <row r="102" spans="1:19">
      <c r="C102" s="188" t="str">
        <f>IF(B102="","",IF(LEN(B102)&gt;9,SUMIFS(Options!$H$3:$H$28,Options!$B$3:$B$28,Check!B102),SUMIFS('Master P&amp;L'!$H$11:$H$88,'Master P&amp;L'!$B$11:$B$88,Check!B102)))</f>
        <v/>
      </c>
      <c r="D102" s="188" t="str">
        <f>IF(B102="","",SUMIFS(Input_APM!N:N,Input_APM!L:L,Check!B102,Input_APM!M:M,Check!$F$1))</f>
        <v/>
      </c>
      <c r="E102" s="174" t="str">
        <f t="shared" si="21"/>
        <v/>
      </c>
      <c r="F102" s="188" t="str">
        <f>IF(B102="","",SUMIFS(Input_APM!N:N,Input_APM!M:M,Check!$F$1,Input_APM!L:L,Check!B102))</f>
        <v/>
      </c>
      <c r="G102" s="188" t="str">
        <f>IF(B102="","",SUMIFS(Input_APM!N:N,Input_APM!M:M,Check!$G$1,Input_APM!L:L,Check!B102))</f>
        <v/>
      </c>
      <c r="H102" s="174" t="str">
        <f t="shared" si="22"/>
        <v/>
      </c>
      <c r="I102" s="174">
        <f>SUMIFS(Input_APM!N:N,Input_APM!L:L,Check!B102)</f>
        <v>0</v>
      </c>
      <c r="J102" s="176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4" t="str">
        <f t="shared" si="24"/>
        <v/>
      </c>
      <c r="O102"/>
      <c r="P102" s="174" t="str">
        <f>IF(O102="","",IF(OR(LEFT(O102,4)="Cash",LEFT(O102,4)="Prov"),0,SUMIFS(Input_APM!N:N,Input_APM!L:L,Check!O102)))</f>
        <v/>
      </c>
      <c r="Q102" s="21" t="str">
        <f>IF(O102="","",IF(LEN(O102)&gt;9,SUMIFS(Options!$H$3:$H$28,Options!$B$3:$B$28,Check!O102),SUMIFS('Master P&amp;L'!$H$11:$H$88,'Master P&amp;L'!$B$11:$B$88,Check!O102)))</f>
        <v/>
      </c>
      <c r="R102" s="174" t="str">
        <f t="shared" si="25"/>
        <v/>
      </c>
      <c r="S102" s="289" t="str">
        <f t="shared" si="11"/>
        <v/>
      </c>
    </row>
    <row r="103" spans="1:19">
      <c r="C103" s="188" t="str">
        <f>IF(B103="","",IF(LEN(B103)&gt;9,SUMIFS(Options!$H$3:$H$28,Options!$B$3:$B$28,Check!B103),SUMIFS('Master P&amp;L'!$H$11:$H$88,'Master P&amp;L'!$B$11:$B$88,Check!B103)))</f>
        <v/>
      </c>
      <c r="D103" s="188" t="str">
        <f>IF(B103="","",SUMIFS(Input_APM!N:N,Input_APM!L:L,Check!B103,Input_APM!M:M,Check!$F$1))</f>
        <v/>
      </c>
      <c r="E103" s="174" t="str">
        <f t="shared" si="21"/>
        <v/>
      </c>
      <c r="F103" s="188" t="str">
        <f>IF(B103="","",SUMIFS(Input_APM!N:N,Input_APM!M:M,Check!$F$1,Input_APM!L:L,Check!B103))</f>
        <v/>
      </c>
      <c r="G103" s="188" t="str">
        <f>IF(B103="","",SUMIFS(Input_APM!N:N,Input_APM!M:M,Check!$G$1,Input_APM!L:L,Check!B103))</f>
        <v/>
      </c>
      <c r="H103" s="174" t="str">
        <f t="shared" si="22"/>
        <v/>
      </c>
      <c r="I103" s="174">
        <f>SUMIFS(Input_APM!N:N,Input_APM!L:L,Check!B103)</f>
        <v>0</v>
      </c>
      <c r="J103" s="176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4" t="str">
        <f t="shared" si="24"/>
        <v/>
      </c>
      <c r="O103"/>
      <c r="P103" s="174" t="str">
        <f>IF(O103="","",IF(OR(LEFT(O103,4)="Cash",LEFT(O103,4)="Prov"),0,SUMIFS(Input_APM!N:N,Input_APM!L:L,Check!O103)))</f>
        <v/>
      </c>
      <c r="Q103" s="21" t="str">
        <f>IF(O103="","",IF(LEN(O103)&gt;9,SUMIFS(Options!$H$3:$H$28,Options!$B$3:$B$28,Check!O103),SUMIFS('Master P&amp;L'!$H$11:$H$88,'Master P&amp;L'!$B$11:$B$88,Check!O103)))</f>
        <v/>
      </c>
      <c r="R103" s="174" t="str">
        <f t="shared" si="25"/>
        <v/>
      </c>
      <c r="S103" s="289" t="str">
        <f t="shared" si="11"/>
        <v/>
      </c>
    </row>
    <row r="104" spans="1:19">
      <c r="C104" s="188" t="str">
        <f>IF(B104="","",IF(LEN(B104)&gt;9,SUMIFS(Options!$H$3:$H$28,Options!$B$3:$B$28,Check!B104),SUMIFS('Master P&amp;L'!$H$11:$H$88,'Master P&amp;L'!$B$11:$B$88,Check!B104)))</f>
        <v/>
      </c>
      <c r="D104" s="188" t="str">
        <f>IF(B104="","",SUMIFS(Input_APM!N:N,Input_APM!L:L,Check!B104,Input_APM!M:M,Check!$F$1))</f>
        <v/>
      </c>
      <c r="E104" s="174" t="str">
        <f t="shared" si="21"/>
        <v/>
      </c>
      <c r="F104" s="188" t="str">
        <f>IF(B104="","",SUMIFS(Input_APM!N:N,Input_APM!M:M,Check!$F$1,Input_APM!L:L,Check!B104))</f>
        <v/>
      </c>
      <c r="G104" s="188" t="str">
        <f>IF(B104="","",SUMIFS(Input_APM!N:N,Input_APM!M:M,Check!$G$1,Input_APM!L:L,Check!B104))</f>
        <v/>
      </c>
      <c r="H104" s="174" t="str">
        <f t="shared" si="22"/>
        <v/>
      </c>
      <c r="I104" s="174">
        <f>SUMIFS(Input_APM!N:N,Input_APM!L:L,Check!B104)</f>
        <v>0</v>
      </c>
      <c r="J104" s="176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4" t="str">
        <f t="shared" si="24"/>
        <v/>
      </c>
      <c r="O104"/>
      <c r="P104" s="174" t="str">
        <f>IF(O104="","",IF(OR(LEFT(O104,4)="Cash",LEFT(O104,4)="Prov"),0,SUMIFS(Input_APM!N:N,Input_APM!L:L,Check!O104)))</f>
        <v/>
      </c>
      <c r="Q104" s="21" t="str">
        <f>IF(O104="","",IF(LEN(O104)&gt;9,SUMIFS(Options!$H$3:$H$28,Options!$B$3:$B$28,Check!O104),SUMIFS('Master P&amp;L'!$H$11:$H$88,'Master P&amp;L'!$B$11:$B$88,Check!O104)))</f>
        <v/>
      </c>
      <c r="R104" s="174" t="str">
        <f t="shared" si="25"/>
        <v/>
      </c>
      <c r="S104" s="289" t="str">
        <f t="shared" si="11"/>
        <v/>
      </c>
    </row>
    <row r="105" spans="1:19">
      <c r="A105" t="s">
        <v>448</v>
      </c>
      <c r="C105" s="188" t="str">
        <f>IF(B105="","",IF(LEN(B105)&gt;9,SUMIFS(Options!$H$3:$H$28,Options!$B$3:$B$28,Check!B105),SUMIFS('Master P&amp;L'!$H$11:$H$88,'Master P&amp;L'!$B$11:$B$88,Check!B105)))</f>
        <v/>
      </c>
      <c r="D105" s="188" t="str">
        <f>IF(B105="","",SUMIFS(Input_APM!N:N,Input_APM!L:L,Check!B105,Input_APM!M:M,Check!$F$1))</f>
        <v/>
      </c>
      <c r="E105" s="174" t="str">
        <f t="shared" si="21"/>
        <v/>
      </c>
      <c r="F105" s="188" t="str">
        <f>IF(B105="","",SUMIFS(Input_APM!N:N,Input_APM!M:M,Check!$F$1,Input_APM!L:L,Check!B105))</f>
        <v/>
      </c>
      <c r="G105" s="188" t="str">
        <f>IF(B105="","",SUMIFS(Input_APM!N:N,Input_APM!M:M,Check!$G$1,Input_APM!L:L,Check!B105))</f>
        <v/>
      </c>
      <c r="H105" s="174" t="str">
        <f t="shared" si="22"/>
        <v/>
      </c>
      <c r="I105" s="174">
        <f>SUMIFS(Input_APM!N:N,Input_APM!L:L,Check!B105)</f>
        <v>0</v>
      </c>
      <c r="J105" s="176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4" t="str">
        <f t="shared" si="24"/>
        <v/>
      </c>
      <c r="O105"/>
      <c r="P105" s="174" t="str">
        <f>IF(O105="","",IF(OR(LEFT(O105,4)="Cash",LEFT(O105,4)="Prov"),0,SUMIFS(Input_APM!N:N,Input_APM!L:L,Check!O105)))</f>
        <v/>
      </c>
      <c r="Q105" s="21" t="str">
        <f>IF(O105="","",IF(LEN(O105)&gt;9,SUMIFS(Options!$H$3:$H$28,Options!$B$3:$B$28,Check!O105),SUMIFS('Master P&amp;L'!$H$11:$H$88,'Master P&amp;L'!$B$11:$B$88,Check!O105)))</f>
        <v/>
      </c>
      <c r="R105" s="174" t="str">
        <f t="shared" si="25"/>
        <v/>
      </c>
      <c r="S105" s="289" t="str">
        <f t="shared" si="11"/>
        <v/>
      </c>
    </row>
    <row r="106" spans="1:19">
      <c r="C106" s="188" t="str">
        <f>IF(B106="","",IF(LEN(B106)&gt;9,SUMIFS(Options!$H$3:$H$28,Options!$B$3:$B$28,Check!B106),SUMIFS('Master P&amp;L'!$H$11:$H$88,'Master P&amp;L'!$B$11:$B$88,Check!B106)))</f>
        <v/>
      </c>
      <c r="D106" s="188" t="str">
        <f>IF(B106="","",SUMIFS(Input_APM!N:N,Input_APM!L:L,Check!B106,Input_APM!M:M,Check!$F$1))</f>
        <v/>
      </c>
      <c r="E106" s="174" t="str">
        <f t="shared" si="21"/>
        <v/>
      </c>
      <c r="F106" s="188" t="str">
        <f>IF(B106="","",SUMIFS(Input_APM!N:N,Input_APM!M:M,Check!$F$1,Input_APM!L:L,Check!B106))</f>
        <v/>
      </c>
      <c r="G106" s="188" t="str">
        <f>IF(B106="","",SUMIFS(Input_APM!N:N,Input_APM!M:M,Check!$G$1,Input_APM!L:L,Check!B106))</f>
        <v/>
      </c>
      <c r="H106" s="174" t="str">
        <f t="shared" si="22"/>
        <v/>
      </c>
      <c r="I106" s="174">
        <f>SUMIFS(Input_APM!N:N,Input_APM!L:L,Check!B106)</f>
        <v>0</v>
      </c>
      <c r="J106" s="176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4" t="str">
        <f t="shared" si="24"/>
        <v/>
      </c>
      <c r="O106"/>
      <c r="P106" s="174" t="str">
        <f>IF(O106="","",IF(OR(LEFT(O106,4)="Cash",LEFT(O106,4)="Prov"),0,SUMIFS(Input_APM!N:N,Input_APM!L:L,Check!O106)))</f>
        <v/>
      </c>
      <c r="Q106" s="21" t="str">
        <f>IF(O106="","",IF(LEN(O106)&gt;9,SUMIFS(Options!$H$3:$H$28,Options!$B$3:$B$28,Check!O106),SUMIFS('Master P&amp;L'!$H$11:$H$88,'Master P&amp;L'!$B$11:$B$88,Check!O106)))</f>
        <v/>
      </c>
      <c r="R106" s="174" t="str">
        <f t="shared" si="25"/>
        <v/>
      </c>
      <c r="S106" s="289" t="str">
        <f t="shared" si="11"/>
        <v/>
      </c>
    </row>
    <row r="107" spans="1:19">
      <c r="C107" s="188" t="str">
        <f>IF(B107="","",IF(LEN(B107)&gt;9,SUMIFS(Options!$H$3:$H$28,Options!$B$3:$B$28,Check!B107),SUMIFS('Master P&amp;L'!$H$11:$H$88,'Master P&amp;L'!$B$11:$B$88,Check!B107)))</f>
        <v/>
      </c>
      <c r="D107" s="188" t="str">
        <f>IF(B107="","",SUMIFS(Input_APM!N:N,Input_APM!L:L,Check!B107,Input_APM!M:M,Check!$F$1))</f>
        <v/>
      </c>
      <c r="E107" s="174" t="str">
        <f t="shared" si="21"/>
        <v/>
      </c>
      <c r="F107" s="188" t="str">
        <f>IF(B107="","",SUMIFS(Input_APM!N:N,Input_APM!M:M,Check!$F$1,Input_APM!L:L,Check!B107))</f>
        <v/>
      </c>
      <c r="G107" s="188" t="str">
        <f>IF(B107="","",SUMIFS(Input_APM!N:N,Input_APM!M:M,Check!$G$1,Input_APM!L:L,Check!B107))</f>
        <v/>
      </c>
      <c r="H107" s="174" t="str">
        <f t="shared" si="22"/>
        <v/>
      </c>
      <c r="I107" s="174">
        <f>SUMIFS(Input_APM!N:N,Input_APM!L:L,Check!B107)</f>
        <v>0</v>
      </c>
      <c r="J107" s="176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4" t="str">
        <f t="shared" si="24"/>
        <v/>
      </c>
      <c r="O107"/>
      <c r="P107" s="174" t="str">
        <f>IF(O107="","",IF(OR(LEFT(O107,4)="Cash",LEFT(O107,4)="Prov"),0,SUMIFS(Input_APM!N:N,Input_APM!L:L,Check!O107)))</f>
        <v/>
      </c>
      <c r="Q107" s="21" t="str">
        <f>IF(O107="","",IF(LEN(O107)&gt;9,SUMIFS(Options!$H$3:$H$28,Options!$B$3:$B$28,Check!O107),SUMIFS('Master P&amp;L'!$H$11:$H$88,'Master P&amp;L'!$B$11:$B$88,Check!O107)))</f>
        <v/>
      </c>
      <c r="R107" s="174" t="str">
        <f t="shared" si="25"/>
        <v/>
      </c>
      <c r="S107" s="289" t="str">
        <f t="shared" si="11"/>
        <v/>
      </c>
    </row>
    <row r="108" spans="1:19">
      <c r="C108" s="188" t="str">
        <f>IF(B108="","",IF(LEN(B108)&gt;9,SUMIFS(Options!$H$3:$H$28,Options!$B$3:$B$28,Check!B108),SUMIFS('Master P&amp;L'!$H$11:$H$88,'Master P&amp;L'!$B$11:$B$88,Check!B108)))</f>
        <v/>
      </c>
      <c r="D108" s="188" t="str">
        <f>IF(B108="","",SUMIFS(Input_APM!N:N,Input_APM!L:L,Check!B108,Input_APM!M:M,Check!$F$1))</f>
        <v/>
      </c>
      <c r="E108" s="174" t="str">
        <f>IF(B108="","",C108-M108)</f>
        <v/>
      </c>
      <c r="F108" s="188" t="str">
        <f>IF(B108="","",SUMIFS(Input_APM!N:N,Input_APM!M:M,Check!$F$1,Input_APM!L:L,Check!B108))</f>
        <v/>
      </c>
      <c r="G108" s="188" t="str">
        <f>IF(B108="","",SUMIFS(Input_APM!N:N,Input_APM!M:M,Check!$G$1,Input_APM!L:L,Check!B108))</f>
        <v/>
      </c>
      <c r="H108" s="174" t="str">
        <f t="shared" si="22"/>
        <v/>
      </c>
      <c r="I108" s="174">
        <f>SUMIFS(Input_APM!N:N,Input_APM!L:L,Check!B108)</f>
        <v>0</v>
      </c>
      <c r="J108" s="176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4" t="str">
        <f t="shared" si="24"/>
        <v/>
      </c>
      <c r="O108"/>
      <c r="P108" s="174" t="str">
        <f>IF(O108="","",IF(OR(LEFT(O108,4)="Cash",LEFT(O108,4)="Prov"),0,SUMIFS(Input_APM!N:N,Input_APM!L:L,Check!O108)))</f>
        <v/>
      </c>
      <c r="Q108" s="21" t="str">
        <f>IF(O108="","",IF(LEN(O108)&gt;9,SUMIFS(Options!$H$3:$H$28,Options!$B$3:$B$28,Check!O108),SUMIFS('Master P&amp;L'!$H$11:$H$88,'Master P&amp;L'!$B$11:$B$88,Check!O108)))</f>
        <v/>
      </c>
      <c r="R108" s="174" t="str">
        <f t="shared" ref="R108:R113" si="26">IF(O108="","",P108-Q108)</f>
        <v/>
      </c>
      <c r="S108" s="289" t="str">
        <f t="shared" si="11"/>
        <v/>
      </c>
    </row>
    <row r="109" spans="1:19">
      <c r="C109" s="188" t="str">
        <f>IF(B109="","",IF(LEN(B109)&gt;9,SUMIFS(Options!$H$3:$H$28,Options!$B$3:$B$28,Check!B109),SUMIFS('Master P&amp;L'!$H$11:$H$88,'Master P&amp;L'!$B$11:$B$88,Check!B109)))</f>
        <v/>
      </c>
      <c r="D109" s="188" t="str">
        <f>IF(B109="","",SUMIFS(Input_APM!N:N,Input_APM!L:L,Check!B109,Input_APM!M:M,Check!$F$1))</f>
        <v/>
      </c>
      <c r="E109" s="174" t="str">
        <f>IF(B109="","",C109-M109)</f>
        <v/>
      </c>
      <c r="F109" s="188" t="str">
        <f>IF(B109="","",SUMIFS(Input_APM!N:N,Input_APM!M:M,Check!$F$1,Input_APM!L:L,Check!B109))</f>
        <v/>
      </c>
      <c r="G109" s="188" t="str">
        <f>IF(B109="","",SUMIFS(Input_APM!N:N,Input_APM!M:M,Check!$G$1,Input_APM!L:L,Check!B109))</f>
        <v/>
      </c>
      <c r="H109" s="174" t="str">
        <f t="shared" si="22"/>
        <v/>
      </c>
      <c r="I109" s="174">
        <f>SUMIFS(Input_APM!N:N,Input_APM!L:L,Check!B109)</f>
        <v>0</v>
      </c>
      <c r="J109" s="176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4" t="str">
        <f t="shared" si="24"/>
        <v/>
      </c>
      <c r="O109"/>
      <c r="P109" s="174" t="str">
        <f>IF(O109="","",IF(OR(LEFT(O109,4)="Cash",LEFT(O109,4)="Prov"),0,SUMIFS(Input_APM!N:N,Input_APM!L:L,Check!O109)))</f>
        <v/>
      </c>
      <c r="Q109" s="21" t="str">
        <f>IF(O109="","",IF(LEN(O109)&gt;9,SUMIFS(Options!$H$3:$H$28,Options!$B$3:$B$28,Check!O109),SUMIFS('Master P&amp;L'!$H$11:$H$88,'Master P&amp;L'!$B$11:$B$88,Check!O109)))</f>
        <v/>
      </c>
      <c r="R109" s="174" t="str">
        <f t="shared" si="26"/>
        <v/>
      </c>
      <c r="S109" s="289" t="str">
        <f t="shared" si="11"/>
        <v/>
      </c>
    </row>
    <row r="110" spans="1:19">
      <c r="A110" t="s">
        <v>448</v>
      </c>
      <c r="C110" s="188" t="str">
        <f>IF(B110="","",IF(LEN(B110)&gt;9,SUMIFS(Options!$H$3:$H$28,Options!$B$3:$B$28,Check!B110),SUMIFS('Master P&amp;L'!$H$11:$H$88,'Master P&amp;L'!$B$11:$B$88,Check!B110)))</f>
        <v/>
      </c>
      <c r="D110" s="188" t="str">
        <f>IF(B110="","",SUMIFS(Input_APM!N:N,Input_APM!L:L,Check!B110,Input_APM!M:M,Check!$F$1))</f>
        <v/>
      </c>
      <c r="E110" s="174" t="str">
        <f t="shared" si="21"/>
        <v/>
      </c>
      <c r="F110" s="188" t="str">
        <f>IF(B110="","",SUMIFS(Input_APM!N:N,Input_APM!M:M,Check!$F$1,Input_APM!L:L,Check!B110))</f>
        <v/>
      </c>
      <c r="G110" s="188" t="str">
        <f>IF(B110="","",SUMIFS(Input_APM!N:N,Input_APM!M:M,Check!$G$1,Input_APM!L:L,Check!B110))</f>
        <v/>
      </c>
      <c r="H110" s="174" t="str">
        <f t="shared" si="22"/>
        <v/>
      </c>
      <c r="I110" s="174">
        <f>SUMIFS(Input_APM!N:N,Input_APM!L:L,Check!B110)</f>
        <v>0</v>
      </c>
      <c r="J110" s="176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4" t="str">
        <f t="shared" si="24"/>
        <v/>
      </c>
      <c r="O110"/>
      <c r="P110" s="174" t="str">
        <f>IF(O110="","",IF(OR(LEFT(O110,4)="Cash",LEFT(O110,4)="Prov"),0,SUMIFS(Input_APM!N:N,Input_APM!L:L,Check!O110)))</f>
        <v/>
      </c>
      <c r="Q110" s="21" t="str">
        <f>IF(O110="","",IF(LEN(O110)&gt;9,SUMIFS(Options!$H$3:$H$28,Options!$B$3:$B$28,Check!O110),SUMIFS('Master P&amp;L'!$H$11:$H$88,'Master P&amp;L'!$B$11:$B$88,Check!O110)))</f>
        <v/>
      </c>
      <c r="R110" s="174" t="str">
        <f t="shared" si="26"/>
        <v/>
      </c>
      <c r="S110" s="289" t="str">
        <f t="shared" si="11"/>
        <v/>
      </c>
    </row>
    <row r="111" spans="1:19">
      <c r="C111" s="188" t="str">
        <f>IF(B111="","",IF(LEN(B111)&gt;9,SUMIFS(Options!$H$3:$H$28,Options!$B$3:$B$28,Check!B111),SUMIFS('Master P&amp;L'!$H$11:$H$88,'Master P&amp;L'!$B$11:$B$88,Check!B111)))</f>
        <v/>
      </c>
      <c r="D111" s="188" t="str">
        <f>IF(B111="","",SUMIFS(Input_APM!N:N,Input_APM!L:L,Check!B111,Input_APM!M:M,Check!$F$1))</f>
        <v/>
      </c>
      <c r="E111" s="174" t="str">
        <f t="shared" si="21"/>
        <v/>
      </c>
      <c r="F111" s="188" t="str">
        <f>IF(B111="","",SUMIFS(Input_APM!N:N,Input_APM!M:M,Check!$F$1,Input_APM!L:L,Check!B111))</f>
        <v/>
      </c>
      <c r="G111" s="188" t="str">
        <f>IF(B111="","",SUMIFS(Input_APM!N:N,Input_APM!M:M,Check!$G$1,Input_APM!L:L,Check!B111))</f>
        <v/>
      </c>
      <c r="H111" s="174" t="str">
        <f t="shared" si="22"/>
        <v/>
      </c>
      <c r="I111" s="174">
        <f>SUMIFS(Input_APM!N:N,Input_APM!L:L,Check!B111)</f>
        <v>0</v>
      </c>
      <c r="J111" s="176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4" t="str">
        <f t="shared" si="24"/>
        <v/>
      </c>
      <c r="O111"/>
      <c r="P111" s="174" t="str">
        <f>IF(O111="","",IF(OR(LEFT(O111,4)="Cash",LEFT(O111,4)="Prov"),0,SUMIFS(Input_APM!N:N,Input_APM!L:L,Check!O111)))</f>
        <v/>
      </c>
      <c r="Q111" s="21" t="str">
        <f>IF(O111="","",IF(LEN(O111)&gt;9,SUMIFS(Options!$H$3:$H$28,Options!$B$3:$B$28,Check!O111),SUMIFS('Master P&amp;L'!$H$11:$H$88,'Master P&amp;L'!$B$11:$B$88,Check!O111)))</f>
        <v/>
      </c>
      <c r="R111" s="174" t="str">
        <f t="shared" si="26"/>
        <v/>
      </c>
      <c r="S111" s="289" t="str">
        <f t="shared" si="11"/>
        <v/>
      </c>
    </row>
    <row r="112" spans="1:19">
      <c r="C112" s="188" t="str">
        <f>IF(B112="","",IF(LEN(B112)&gt;9,SUMIFS(Options!$H$3:$H$28,Options!$B$3:$B$28,Check!B112),SUMIFS('Master P&amp;L'!$H$11:$H$88,'Master P&amp;L'!$B$11:$B$88,Check!B112)))</f>
        <v/>
      </c>
      <c r="D112" s="188" t="str">
        <f>IF(B112="","",SUMIFS(Input_APM!N:N,Input_APM!L:L,Check!B112,Input_APM!M:M,Check!$F$1))</f>
        <v/>
      </c>
      <c r="E112" s="174" t="str">
        <f t="shared" si="21"/>
        <v/>
      </c>
      <c r="F112" s="188" t="str">
        <f>IF(B112="","",SUMIFS(Input_APM!N:N,Input_APM!M:M,Check!$F$1,Input_APM!L:L,Check!B112))</f>
        <v/>
      </c>
      <c r="G112" s="188" t="str">
        <f>IF(B112="","",SUMIFS(Input_APM!N:N,Input_APM!M:M,Check!$G$1,Input_APM!L:L,Check!B112))</f>
        <v/>
      </c>
      <c r="H112" s="174" t="str">
        <f t="shared" si="22"/>
        <v/>
      </c>
      <c r="I112" s="174">
        <f>SUMIFS(Input_APM!N:N,Input_APM!L:L,Check!B112)</f>
        <v>0</v>
      </c>
      <c r="J112" s="176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4" t="str">
        <f t="shared" si="24"/>
        <v/>
      </c>
      <c r="O112"/>
      <c r="P112" s="174" t="str">
        <f>IF(O112="","",IF(OR(LEFT(O112,4)="Cash",LEFT(O112,4)="Prov"),0,SUMIFS(Input_APM!N:N,Input_APM!L:L,Check!O112)))</f>
        <v/>
      </c>
      <c r="Q112" s="21" t="str">
        <f>IF(O112="","",IF(LEN(O112)&gt;9,SUMIFS(Options!$H$3:$H$28,Options!$B$3:$B$28,Check!O112),SUMIFS('Master P&amp;L'!$H$11:$H$88,'Master P&amp;L'!$B$11:$B$88,Check!O112)))</f>
        <v/>
      </c>
      <c r="R112" s="174" t="str">
        <f t="shared" si="26"/>
        <v/>
      </c>
      <c r="S112" s="289" t="str">
        <f t="shared" si="11"/>
        <v/>
      </c>
    </row>
    <row r="113" spans="3:20">
      <c r="C113" s="188" t="str">
        <f>IF(B113="","",IF(LEN(B113)&gt;9,SUMIFS(Options!$H$3:$H$28,Options!$B$3:$B$28,Check!B113),SUMIFS('Master P&amp;L'!$H$11:$H$88,'Master P&amp;L'!$B$11:$B$88,Check!B113)))</f>
        <v/>
      </c>
      <c r="D113" s="188" t="str">
        <f>IF(B113="","",SUMIFS(Input_APM!N:N,Input_APM!L:L,Check!B113,Input_APM!M:M,Check!$F$1))</f>
        <v/>
      </c>
      <c r="E113" s="174" t="str">
        <f t="shared" si="21"/>
        <v/>
      </c>
      <c r="F113" s="188" t="str">
        <f>IF(B113="","",SUMIFS(Input_APM!N:N,Input_APM!M:M,Check!$F$1,Input_APM!L:L,Check!B113))</f>
        <v/>
      </c>
      <c r="G113" s="188" t="str">
        <f>IF(B113="","",SUMIFS(Input_APM!N:N,Input_APM!M:M,Check!$G$1,Input_APM!L:L,Check!B113))</f>
        <v/>
      </c>
      <c r="H113" s="174" t="str">
        <f t="shared" si="22"/>
        <v/>
      </c>
      <c r="I113" s="174">
        <f>SUMIFS(Input_APM!N:N,Input_APM!L:L,Check!B113)</f>
        <v>0</v>
      </c>
      <c r="J113" s="176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4" t="str">
        <f t="shared" si="24"/>
        <v/>
      </c>
      <c r="O113"/>
      <c r="P113" s="174" t="str">
        <f>IF(O113="","",IF(OR(LEFT(O113,4)="Cash",LEFT(O113,4)="Prov"),0,SUMIFS(Input_APM!N:N,Input_APM!L:L,Check!O113)))</f>
        <v/>
      </c>
      <c r="Q113" s="21" t="str">
        <f>IF(O113="","",IF(LEN(O113)&gt;9,SUMIFS(Options!$H$3:$H$28,Options!$B$3:$B$28,Check!O113),SUMIFS('Master P&amp;L'!$H$11:$H$88,'Master P&amp;L'!$B$11:$B$88,Check!O113)))</f>
        <v/>
      </c>
      <c r="R113" s="174" t="str">
        <f t="shared" si="26"/>
        <v/>
      </c>
      <c r="S113" s="289" t="str">
        <f t="shared" si="11"/>
        <v/>
      </c>
    </row>
    <row r="114" spans="3:20">
      <c r="C114" s="188" t="str">
        <f>IF(B114="","",IF(LEN(B114)&gt;9,SUMIFS(Options!$H$3:$H$28,Options!$B$3:$B$28,Check!B114),SUMIFS('Master P&amp;L'!$H$11:$H$88,'Master P&amp;L'!$B$11:$B$88,Check!B114)))</f>
        <v/>
      </c>
      <c r="D114" s="188" t="str">
        <f>IF(B114="","",SUMIFS(Input_APM!N:N,Input_APM!L:L,Check!B114,Input_APM!M:M,Check!$F$1))</f>
        <v/>
      </c>
      <c r="E114" s="174" t="str">
        <f>IF(B114="","",C114-M114)</f>
        <v/>
      </c>
      <c r="F114" s="188" t="str">
        <f>IF(B114="","",SUMIFS(Input_APM!N:N,Input_APM!M:M,Check!$F$1,Input_APM!L:L,Check!B114))</f>
        <v/>
      </c>
      <c r="G114" s="188" t="str">
        <f>IF(B114="","",SUMIFS(Input_APM!N:N,Input_APM!M:M,Check!$G$1,Input_APM!L:L,Check!B114))</f>
        <v/>
      </c>
      <c r="H114" s="174" t="str">
        <f>IF(B114="","",F114-G114)</f>
        <v/>
      </c>
      <c r="I114" s="174">
        <f>SUMIFS(Input_APM!N:N,Input_APM!L:L,Check!B114)</f>
        <v>0</v>
      </c>
      <c r="J114" s="176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4" t="str">
        <f>IF(B114="","",F114+G114+K114+L114)</f>
        <v/>
      </c>
      <c r="O114"/>
      <c r="P114" s="174" t="str">
        <f>IF(O114="","",IF(OR(LEFT(O114,4)="Cash",LEFT(O114,4)="Prov"),0,SUMIFS(Input_APM!N:N,Input_APM!L:L,Check!O114)))</f>
        <v/>
      </c>
      <c r="Q114" s="21" t="str">
        <f>IF(O114="","",IF(LEN(O114)&gt;9,SUMIFS(Options!$H$3:$H$28,Options!$B$3:$B$28,Check!O114),SUMIFS('Master P&amp;L'!$H$11:$H$88,'Master P&amp;L'!$B$11:$B$88,Check!O114)))</f>
        <v/>
      </c>
      <c r="R114" s="174" t="str">
        <f>IF(O114="","",P114-Q114)</f>
        <v/>
      </c>
      <c r="S114" s="289" t="str">
        <f t="shared" si="11"/>
        <v/>
      </c>
    </row>
    <row r="115" spans="3:20">
      <c r="C115" s="188" t="str">
        <f>IF(B115="","",IF(LEN(B115)&gt;9,SUMIFS(Options!$H$3:$H$28,Options!$B$3:$B$28,Check!B115),SUMIFS('Master P&amp;L'!$H$11:$H$88,'Master P&amp;L'!$B$11:$B$88,Check!B115)))</f>
        <v/>
      </c>
      <c r="D115" s="188" t="str">
        <f>IF(B115="","",SUMIFS(Input_APM!N:N,Input_APM!L:L,Check!B115,Input_APM!M:M,Check!$F$1))</f>
        <v/>
      </c>
      <c r="E115" s="174" t="str">
        <f>IF(B115="","",C115-M115)</f>
        <v/>
      </c>
      <c r="F115" s="188" t="str">
        <f>IF(B115="","",SUMIFS(Input_APM!N:N,Input_APM!M:M,Check!$F$1,Input_APM!L:L,Check!B115))</f>
        <v/>
      </c>
      <c r="G115" s="188" t="str">
        <f>IF(B115="","",SUMIFS(Input_APM!N:N,Input_APM!M:M,Check!$G$1,Input_APM!L:L,Check!B115))</f>
        <v/>
      </c>
      <c r="H115" s="174" t="str">
        <f>IF(B115="","",F115-G115)</f>
        <v/>
      </c>
      <c r="I115" s="174">
        <f>SUMIFS(Input_APM!N:N,Input_APM!L:L,Check!B115)</f>
        <v>0</v>
      </c>
      <c r="J115" s="176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4" t="str">
        <f>IF(B115="","",F115+G115+K115+L115)</f>
        <v/>
      </c>
      <c r="O115"/>
      <c r="P115" s="174" t="str">
        <f>IF(O115="","",IF(OR(LEFT(O115,4)="Cash",LEFT(O115,4)="Prov"),0,SUMIFS(Input_APM!N:N,Input_APM!L:L,Check!O115)))</f>
        <v/>
      </c>
      <c r="Q115" s="21" t="str">
        <f>IF(O115="","",IF(LEN(O115)&gt;9,SUMIFS(Options!$H$3:$H$28,Options!$B$3:$B$28,Check!O115),SUMIFS('Master P&amp;L'!$H$11:$H$88,'Master P&amp;L'!$B$11:$B$88,Check!O115)))</f>
        <v/>
      </c>
      <c r="R115" s="174" t="str">
        <f>IF(O115="","",P115-Q115)</f>
        <v/>
      </c>
      <c r="S115" s="289" t="str">
        <f t="shared" si="11"/>
        <v/>
      </c>
    </row>
    <row r="116" spans="3:20">
      <c r="C116" s="188" t="str">
        <f>IF(B116="","",IF(LEN(B116)&gt;9,SUMIFS(Options!$H$3:$H$28,Options!$B$3:$B$28,Check!B116),SUMIFS('Master P&amp;L'!$H$11:$H$88,'Master P&amp;L'!$B$11:$B$88,Check!B116)))</f>
        <v/>
      </c>
      <c r="D116" s="188" t="str">
        <f>IF(B116="","",SUMIFS(Input_APM!N:N,Input_APM!L:L,Check!B116,Input_APM!M:M,Check!$F$1))</f>
        <v/>
      </c>
      <c r="E116" s="174" t="str">
        <f>IF(B116="","",C116-M116)</f>
        <v/>
      </c>
      <c r="F116" s="188" t="str">
        <f>IF(B116="","",SUMIFS(Input_APM!N:N,Input_APM!M:M,Check!$F$1,Input_APM!L:L,Check!B116))</f>
        <v/>
      </c>
      <c r="G116" s="188" t="str">
        <f>IF(B116="","",SUMIFS(Input_APM!N:N,Input_APM!M:M,Check!$G$1,Input_APM!L:L,Check!B116))</f>
        <v/>
      </c>
      <c r="H116" s="174" t="str">
        <f>IF(B116="","",F116-G116)</f>
        <v/>
      </c>
      <c r="I116" s="174">
        <f>SUMIFS(Input_APM!N:N,Input_APM!L:L,Check!B116)</f>
        <v>0</v>
      </c>
      <c r="J116" s="176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4" t="str">
        <f>IF(B116="","",F116+G116+K116+L116)</f>
        <v/>
      </c>
      <c r="O116"/>
      <c r="P116" s="174" t="str">
        <f>IF(O116="","",IF(OR(LEFT(O116,4)="Cash",LEFT(O116,4)="Prov"),0,SUMIFS(Input_APM!N:N,Input_APM!L:L,Check!O116)))</f>
        <v/>
      </c>
      <c r="Q116" s="21" t="str">
        <f>IF(O116="","",IF(LEN(O116)&gt;9,SUMIFS(Options!$H$3:$H$28,Options!$B$3:$B$28,Check!O116),SUMIFS('Master P&amp;L'!$H$11:$H$88,'Master P&amp;L'!$B$11:$B$88,Check!O116)))</f>
        <v/>
      </c>
      <c r="R116" s="174" t="str">
        <f>IF(O116="","",P116-Q116)</f>
        <v/>
      </c>
      <c r="S116" s="289" t="str">
        <f t="shared" si="11"/>
        <v/>
      </c>
    </row>
    <row r="117" spans="3:20">
      <c r="C117" s="188" t="str">
        <f>IF(B117="","",IF(LEN(B117)&gt;9,SUMIFS(Options!$H$3:$H$28,Options!$B$3:$B$28,Check!B117),SUMIFS('Master P&amp;L'!$H$11:$H$88,'Master P&amp;L'!$B$11:$B$88,Check!B117)))</f>
        <v/>
      </c>
      <c r="D117" s="188" t="str">
        <f>IF(B117="","",SUMIFS(Input_APM!N:N,Input_APM!L:L,Check!B117,Input_APM!M:M,Check!$F$1))</f>
        <v/>
      </c>
      <c r="E117" s="174" t="str">
        <f>IF(B117="","",C117-M117)</f>
        <v/>
      </c>
      <c r="F117" s="188" t="str">
        <f>IF(B117="","",SUMIFS(Input_APM!N:N,Input_APM!M:M,Check!$F$1,Input_APM!L:L,Check!B117))</f>
        <v/>
      </c>
      <c r="G117" s="188" t="str">
        <f>IF(B117="","",SUMIFS(Input_APM!N:N,Input_APM!M:M,Check!$G$1,Input_APM!L:L,Check!B117))</f>
        <v/>
      </c>
      <c r="H117" s="174" t="str">
        <f>IF(B117="","",F117-G117)</f>
        <v/>
      </c>
      <c r="I117" s="174">
        <f>SUMIFS(Input_APM!N:N,Input_APM!L:L,Check!B117)</f>
        <v>0</v>
      </c>
      <c r="J117" s="176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4" t="str">
        <f>IF(B117="","",F117+G117+K117+L117)</f>
        <v/>
      </c>
      <c r="O117"/>
      <c r="P117" s="174" t="str">
        <f>IF(O117="","",IF(OR(LEFT(O117,4)="Cash",LEFT(O117,4)="Prov"),0,SUMIFS(Input_APM!N:N,Input_APM!L:L,Check!O117)))</f>
        <v/>
      </c>
      <c r="Q117" s="21" t="str">
        <f>IF(O117="","",IF(LEN(O117)&gt;9,SUMIFS(Options!$H$3:$H$28,Options!$B$3:$B$28,Check!O117),SUMIFS('Master P&amp;L'!$H$11:$H$88,'Master P&amp;L'!$B$11:$B$88,Check!O117)))</f>
        <v/>
      </c>
      <c r="R117" s="174" t="str">
        <f>IF(O117="","",P117-Q117)</f>
        <v/>
      </c>
      <c r="S117" s="289" t="str">
        <f t="shared" si="11"/>
        <v/>
      </c>
    </row>
    <row r="118" spans="3:20">
      <c r="C118" s="188" t="str">
        <f>IF(B118="","",IF(LEN(B118)&gt;9,SUMIFS(Options!$H$3:$H$28,Options!$B$3:$B$28,Check!B118),SUMIFS('Master P&amp;L'!$H$11:$H$88,'Master P&amp;L'!$B$11:$B$88,Check!B118)))</f>
        <v/>
      </c>
      <c r="D118" s="188" t="str">
        <f>IF(B118="","",SUMIFS(Input_APM!N:N,Input_APM!L:L,Check!B118,Input_APM!M:M,Check!$F$1))</f>
        <v/>
      </c>
      <c r="E118" s="174" t="str">
        <f>IF(B118="","",C118-M118)</f>
        <v/>
      </c>
      <c r="F118" s="188" t="str">
        <f>IF(B118="","",SUMIFS(Input_APM!N:N,Input_APM!M:M,Check!$F$1,Input_APM!L:L,Check!B118))</f>
        <v/>
      </c>
      <c r="G118" s="188" t="str">
        <f>IF(B118="","",SUMIFS(Input_APM!N:N,Input_APM!M:M,Check!$G$1,Input_APM!L:L,Check!B118))</f>
        <v/>
      </c>
      <c r="H118" s="174" t="str">
        <f>IF(B118="","",F118-G118)</f>
        <v/>
      </c>
      <c r="I118" s="174">
        <f>SUMIFS(Input_APM!N:N,Input_APM!L:L,Check!B118)</f>
        <v>0</v>
      </c>
      <c r="J118" s="176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4" t="str">
        <f>IF(B118="","",F118+G118+K118+L118)</f>
        <v/>
      </c>
      <c r="O118"/>
      <c r="P118" s="174" t="str">
        <f>IF(O118="","",IF(OR(LEFT(O118,4)="Cash",LEFT(O118,4)="Prov"),0,SUMIFS(Input_APM!N:N,Input_APM!L:L,Check!O118)))</f>
        <v/>
      </c>
      <c r="Q118" s="21" t="str">
        <f>IF(O118="","",IF(LEN(O118)&gt;9,SUMIFS(Options!$H$3:$H$28,Options!$B$3:$B$28,Check!O118),SUMIFS('Master P&amp;L'!$H$11:$H$88,'Master P&amp;L'!$B$11:$B$88,Check!O118)))</f>
        <v/>
      </c>
      <c r="R118" s="174" t="str">
        <f t="shared" ref="R118:R124" si="27">IF(O118="","",P118-Q118)</f>
        <v/>
      </c>
      <c r="S118" s="289" t="str">
        <f t="shared" si="11"/>
        <v/>
      </c>
    </row>
    <row r="119" spans="3:20">
      <c r="C119" s="188" t="str">
        <f>IF(B119="","",IF(LEN(B119)&gt;9,SUMIFS(Options!$H$3:$H$28,Options!$B$3:$B$28,Check!B119),SUMIFS('Master P&amp;L'!$H$11:$H$88,'Master P&amp;L'!$B$11:$B$88,Check!B119)))</f>
        <v/>
      </c>
      <c r="D119" s="188" t="str">
        <f>IF(B119="","",SUMIFS(Input_APM!N:N,Input_APM!L:L,Check!B119,Input_APM!M:M,Check!$F$1))</f>
        <v/>
      </c>
      <c r="E119" s="174" t="str">
        <f t="shared" ref="E119:E128" si="28">IF(B119="","",C119-M119)</f>
        <v/>
      </c>
      <c r="F119" s="188" t="str">
        <f>IF(B119="","",SUMIFS(Input_APM!N:N,Input_APM!M:M,Check!$F$1,Input_APM!L:L,Check!B119))</f>
        <v/>
      </c>
      <c r="G119" s="188" t="str">
        <f>IF(B119="","",SUMIFS(Input_APM!N:N,Input_APM!M:M,Check!$G$1,Input_APM!L:L,Check!B119))</f>
        <v/>
      </c>
      <c r="H119" s="174" t="str">
        <f t="shared" ref="H119:H128" si="29">IF(B119="","",F119-G119)</f>
        <v/>
      </c>
      <c r="I119" s="174">
        <f>SUMIFS(Input_APM!N:N,Input_APM!L:L,Check!B119)</f>
        <v>0</v>
      </c>
      <c r="J119" s="176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4" t="str">
        <f t="shared" ref="M119:M128" si="31">IF(B119="","",F119+G119+K119+L119)</f>
        <v/>
      </c>
      <c r="O119"/>
      <c r="P119" s="174" t="str">
        <f>IF(O119="","",IF(OR(LEFT(O119,4)="Cash",LEFT(O119,4)="Prov"),0,SUMIFS(Input_APM!N:N,Input_APM!L:L,Check!O119)))</f>
        <v/>
      </c>
      <c r="Q119" s="21" t="str">
        <f>IF(O119="","",IF(LEN(O119)&gt;9,SUMIFS(Options!$H$3:$H$28,Options!$B$3:$B$28,Check!O119),SUMIFS('Master P&amp;L'!$H$11:$H$88,'Master P&amp;L'!$B$11:$B$88,Check!O119)))</f>
        <v/>
      </c>
      <c r="R119" s="174" t="str">
        <f t="shared" si="27"/>
        <v/>
      </c>
      <c r="S119" s="289" t="str">
        <f t="shared" si="11"/>
        <v/>
      </c>
    </row>
    <row r="120" spans="3:20">
      <c r="C120" s="188" t="str">
        <f>IF(B120="","",IF(LEN(B120)&gt;9,SUMIFS(Options!$H$3:$H$28,Options!$B$3:$B$28,Check!B120),SUMIFS('Master P&amp;L'!$H$11:$H$88,'Master P&amp;L'!$B$11:$B$88,Check!B120)))</f>
        <v/>
      </c>
      <c r="D120" s="188" t="str">
        <f>IF(B120="","",SUMIFS(Input_APM!N:N,Input_APM!L:L,Check!B120,Input_APM!M:M,Check!$F$1))</f>
        <v/>
      </c>
      <c r="E120" s="174" t="str">
        <f t="shared" si="28"/>
        <v/>
      </c>
      <c r="F120" s="188" t="str">
        <f>IF(B120="","",SUMIFS(Input_APM!N:N,Input_APM!M:M,Check!$F$1,Input_APM!L:L,Check!B120))</f>
        <v/>
      </c>
      <c r="G120" s="188" t="str">
        <f>IF(B120="","",SUMIFS(Input_APM!N:N,Input_APM!M:M,Check!$G$1,Input_APM!L:L,Check!B120))</f>
        <v/>
      </c>
      <c r="H120" s="174" t="str">
        <f t="shared" si="29"/>
        <v/>
      </c>
      <c r="I120" s="174">
        <f>SUMIFS(Input_APM!N:N,Input_APM!L:L,Check!B120)</f>
        <v>0</v>
      </c>
      <c r="J120" s="176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4" t="str">
        <f t="shared" si="31"/>
        <v/>
      </c>
      <c r="O120"/>
      <c r="P120" s="174" t="str">
        <f>IF(O120="","",IF(OR(LEFT(O120,4)="Cash",LEFT(O120,4)="Prov"),0,SUMIFS(Input_APM!N:N,Input_APM!L:L,Check!O120)))</f>
        <v/>
      </c>
      <c r="Q120" s="21" t="str">
        <f>IF(O120="","",IF(LEN(O120)&gt;9,SUMIFS(Options!$H$3:$H$28,Options!$B$3:$B$28,Check!O120),SUMIFS('Master P&amp;L'!$H$11:$H$88,'Master P&amp;L'!$B$11:$B$88,Check!O120)))</f>
        <v/>
      </c>
      <c r="R120" s="174" t="str">
        <f t="shared" si="27"/>
        <v/>
      </c>
      <c r="S120" s="289" t="str">
        <f t="shared" si="11"/>
        <v/>
      </c>
    </row>
    <row r="121" spans="3:20">
      <c r="C121" s="188" t="str">
        <f>IF(B121="","",IF(LEN(B121)&gt;9,SUMIFS(Options!$H$3:$H$28,Options!$B$3:$B$28,Check!B121),SUMIFS('Master P&amp;L'!$H$11:$H$88,'Master P&amp;L'!$B$11:$B$88,Check!B121)))</f>
        <v/>
      </c>
      <c r="D121" s="188" t="str">
        <f>IF(B121="","",SUMIFS(Input_APM!N:N,Input_APM!L:L,Check!B121,Input_APM!M:M,Check!$F$1))</f>
        <v/>
      </c>
      <c r="E121" s="174" t="str">
        <f t="shared" si="28"/>
        <v/>
      </c>
      <c r="F121" s="188" t="str">
        <f>IF(B121="","",SUMIFS(Input_APM!N:N,Input_APM!M:M,Check!$F$1,Input_APM!L:L,Check!B121))</f>
        <v/>
      </c>
      <c r="G121" s="188" t="str">
        <f>IF(B121="","",SUMIFS(Input_APM!N:N,Input_APM!M:M,Check!$G$1,Input_APM!L:L,Check!B121))</f>
        <v/>
      </c>
      <c r="H121" s="174" t="str">
        <f t="shared" si="29"/>
        <v/>
      </c>
      <c r="I121" s="174">
        <f>SUMIFS(Input_APM!N:N,Input_APM!L:L,Check!B121)</f>
        <v>0</v>
      </c>
      <c r="J121" s="176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4" t="str">
        <f t="shared" si="31"/>
        <v/>
      </c>
      <c r="O121"/>
      <c r="P121" s="174" t="str">
        <f>IF(O121="","",IF(OR(LEFT(O121,4)="Cash",LEFT(O121,4)="Prov"),0,SUMIFS(Input_APM!N:N,Input_APM!L:L,Check!O121)))</f>
        <v/>
      </c>
      <c r="Q121" s="21" t="str">
        <f>IF(O121="","",IF(LEN(O121)&gt;9,SUMIFS(Options!$H$3:$H$28,Options!$B$3:$B$28,Check!O121),SUMIFS('Master P&amp;L'!$H$11:$H$88,'Master P&amp;L'!$B$11:$B$88,Check!O121)))</f>
        <v/>
      </c>
      <c r="R121" s="174" t="str">
        <f t="shared" si="27"/>
        <v/>
      </c>
      <c r="S121" s="289" t="str">
        <f t="shared" si="11"/>
        <v/>
      </c>
    </row>
    <row r="122" spans="3:20">
      <c r="C122" s="188" t="str">
        <f>IF(B122="","",IF(LEN(B122)&gt;9,SUMIFS(Options!$H$3:$H$28,Options!$B$3:$B$28,Check!B122),SUMIFS('Master P&amp;L'!$H$11:$H$88,'Master P&amp;L'!$B$11:$B$88,Check!B122)))</f>
        <v/>
      </c>
      <c r="D122" s="188" t="str">
        <f>IF(B122="","",SUMIFS(Input_APM!N:N,Input_APM!L:L,Check!B122,Input_APM!M:M,Check!$F$1))</f>
        <v/>
      </c>
      <c r="E122" s="174" t="str">
        <f t="shared" si="28"/>
        <v/>
      </c>
      <c r="F122" s="188" t="str">
        <f>IF(B122="","",SUMIFS(Input_APM!N:N,Input_APM!M:M,Check!$F$1,Input_APM!L:L,Check!B122))</f>
        <v/>
      </c>
      <c r="G122" s="188" t="str">
        <f>IF(B122="","",SUMIFS(Input_APM!N:N,Input_APM!M:M,Check!$G$1,Input_APM!L:L,Check!B122))</f>
        <v/>
      </c>
      <c r="H122" s="174" t="str">
        <f t="shared" si="29"/>
        <v/>
      </c>
      <c r="I122" s="174">
        <f>SUMIFS(Input_APM!N:N,Input_APM!L:L,Check!B122)</f>
        <v>0</v>
      </c>
      <c r="J122" s="176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4" t="str">
        <f t="shared" si="31"/>
        <v/>
      </c>
      <c r="O122"/>
      <c r="P122" s="256" t="str">
        <f>IF(O122="","",IF(OR(LEFT(O122,4)="Cash",LEFT(O122,4)="Prov"),0,SUMIFS(Input_APM!N:N,Input_APM!L:L,Check!O122)))</f>
        <v/>
      </c>
      <c r="Q122" s="134" t="str">
        <f>IF(O122="","",IF(LEN(O122)&gt;9,SUMIFS(Options!$H$3:$H$28,Options!$B$3:$B$28,Check!O122),SUMIFS('Master P&amp;L'!$H$11:$H$88,'Master P&amp;L'!$B$11:$B$88,Check!O122)))</f>
        <v/>
      </c>
      <c r="R122" s="256" t="str">
        <f t="shared" si="27"/>
        <v/>
      </c>
      <c r="S122" s="289" t="str">
        <f t="shared" si="11"/>
        <v/>
      </c>
      <c r="T122" s="58"/>
    </row>
    <row r="123" spans="3:20">
      <c r="C123" s="188" t="str">
        <f>IF(B123="","",IF(LEN(B123)&gt;9,SUMIFS(Options!$H$3:$H$28,Options!$B$3:$B$28,Check!B123),SUMIFS('Master P&amp;L'!$H$11:$H$88,'Master P&amp;L'!$B$11:$B$88,Check!B123)))</f>
        <v/>
      </c>
      <c r="D123" s="188" t="str">
        <f>IF(B123="","",SUMIFS(Input_APM!N:N,Input_APM!L:L,Check!B123,Input_APM!M:M,Check!$F$1))</f>
        <v/>
      </c>
      <c r="E123" s="174" t="str">
        <f t="shared" si="28"/>
        <v/>
      </c>
      <c r="F123" s="188" t="str">
        <f>IF(B123="","",SUMIFS(Input_APM!N:N,Input_APM!M:M,Check!$F$1,Input_APM!L:L,Check!B123))</f>
        <v/>
      </c>
      <c r="G123" s="188" t="str">
        <f>IF(B123="","",SUMIFS(Input_APM!N:N,Input_APM!M:M,Check!$G$1,Input_APM!L:L,Check!B123))</f>
        <v/>
      </c>
      <c r="H123" s="174" t="str">
        <f t="shared" si="29"/>
        <v/>
      </c>
      <c r="I123" s="174">
        <f>SUMIFS(Input_APM!N:N,Input_APM!L:L,Check!B123)</f>
        <v>0</v>
      </c>
      <c r="J123" s="176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4" t="str">
        <f t="shared" si="31"/>
        <v/>
      </c>
      <c r="O123"/>
      <c r="P123" s="174" t="str">
        <f>IF(O123="","",IF(OR(LEFT(O123,4)="Cash",LEFT(O123,4)="Prov"),0,SUMIFS(Input_APM!N:N,Input_APM!L:L,Check!O123)))</f>
        <v/>
      </c>
      <c r="Q123" s="21" t="str">
        <f>IF(O123="","",IF(LEN(O123)&gt;9,SUMIFS(Options!$H$3:$H$28,Options!$B$3:$B$28,Check!O123),SUMIFS('Master P&amp;L'!$H$11:$H$88,'Master P&amp;L'!$B$11:$B$88,Check!O123)))</f>
        <v/>
      </c>
      <c r="R123" s="174" t="str">
        <f t="shared" si="27"/>
        <v/>
      </c>
      <c r="S123" s="289" t="str">
        <f t="shared" si="11"/>
        <v/>
      </c>
    </row>
    <row r="124" spans="3:20">
      <c r="C124" s="188" t="str">
        <f>IF(B124="","",IF(LEN(B124)&gt;9,SUMIFS(Options!$H$3:$H$28,Options!$B$3:$B$28,Check!B124),SUMIFS('Master P&amp;L'!$H$11:$H$88,'Master P&amp;L'!$B$11:$B$88,Check!B124)))</f>
        <v/>
      </c>
      <c r="D124" s="188" t="str">
        <f>IF(B124="","",SUMIFS(Input_APM!N:N,Input_APM!L:L,Check!B124,Input_APM!M:M,Check!$F$1))</f>
        <v/>
      </c>
      <c r="E124" s="174" t="str">
        <f t="shared" si="28"/>
        <v/>
      </c>
      <c r="F124" s="188" t="str">
        <f>IF(B124="","",SUMIFS(Input_APM!N:N,Input_APM!M:M,Check!$F$1,Input_APM!L:L,Check!B124))</f>
        <v/>
      </c>
      <c r="G124" s="188" t="str">
        <f>IF(B124="","",SUMIFS(Input_APM!N:N,Input_APM!M:M,Check!$G$1,Input_APM!L:L,Check!B124))</f>
        <v/>
      </c>
      <c r="H124" s="174" t="str">
        <f t="shared" si="29"/>
        <v/>
      </c>
      <c r="I124" s="174">
        <f>SUMIFS(Input_APM!N:N,Input_APM!L:L,Check!B124)</f>
        <v>0</v>
      </c>
      <c r="J124" s="176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4" t="str">
        <f t="shared" si="31"/>
        <v/>
      </c>
      <c r="O124"/>
      <c r="P124" s="174" t="str">
        <f>IF(O124="","",IF(OR(LEFT(O124,4)="Cash",LEFT(O124,4)="Prov"),0,SUMIFS(Input_APM!N:N,Input_APM!L:L,Check!O124)))</f>
        <v/>
      </c>
      <c r="Q124" s="21" t="str">
        <f>IF(O124="","",IF(LEN(O124)&gt;9,SUMIFS(Options!$H$3:$H$28,Options!$B$3:$B$28,Check!O124),SUMIFS('Master P&amp;L'!$H$11:$H$88,'Master P&amp;L'!$B$11:$B$88,Check!O124)))</f>
        <v/>
      </c>
      <c r="R124" s="174" t="str">
        <f t="shared" si="27"/>
        <v/>
      </c>
      <c r="S124" s="289" t="str">
        <f t="shared" si="11"/>
        <v/>
      </c>
    </row>
    <row r="125" spans="3:20">
      <c r="C125" s="188" t="str">
        <f>IF(B125="","",IF(LEN(B125)&gt;9,SUMIFS(Options!$H$3:$H$28,Options!$B$3:$B$28,Check!B125),SUMIFS('Master P&amp;L'!$H$11:$H$88,'Master P&amp;L'!$B$11:$B$88,Check!B125)))</f>
        <v/>
      </c>
      <c r="D125" s="188" t="str">
        <f>IF(B125="","",SUMIFS(Input_APM!N:N,Input_APM!L:L,Check!B125,Input_APM!M:M,Check!$F$1))</f>
        <v/>
      </c>
      <c r="E125" s="174" t="str">
        <f t="shared" si="28"/>
        <v/>
      </c>
      <c r="F125" s="188" t="str">
        <f>IF(B125="","",SUMIFS(Input_APM!N:N,Input_APM!M:M,Check!$F$1,Input_APM!L:L,Check!B125))</f>
        <v/>
      </c>
      <c r="G125" s="188" t="str">
        <f>IF(B125="","",SUMIFS(Input_APM!N:N,Input_APM!M:M,Check!$G$1,Input_APM!L:L,Check!B125))</f>
        <v/>
      </c>
      <c r="H125" s="174" t="str">
        <f t="shared" si="29"/>
        <v/>
      </c>
      <c r="I125" s="174">
        <f>SUMIFS(Input_APM!N:N,Input_APM!L:L,Check!B125)</f>
        <v>0</v>
      </c>
      <c r="J125" s="176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4" t="str">
        <f t="shared" si="31"/>
        <v/>
      </c>
      <c r="O125"/>
      <c r="P125" s="174" t="str">
        <f>IF(O125="","",IF(OR(LEFT(O125,4)="Cash",LEFT(O125,4)="Prov"),0,SUMIFS(Input_APM!N:N,Input_APM!L:L,Check!O125)))</f>
        <v/>
      </c>
      <c r="Q125" s="21" t="str">
        <f>IF(O125="","",IF(LEN(O125)&gt;9,SUMIFS(Options!$H$3:$H$28,Options!$B$3:$B$28,Check!O125),SUMIFS('Master P&amp;L'!$H$11:$H$88,'Master P&amp;L'!$B$11:$B$88,Check!O125)))</f>
        <v/>
      </c>
      <c r="R125" s="174" t="str">
        <f>IF(O125="","",P125-Q125)</f>
        <v/>
      </c>
      <c r="S125" s="289" t="str">
        <f t="shared" si="11"/>
        <v/>
      </c>
    </row>
    <row r="126" spans="3:20">
      <c r="C126" s="188" t="str">
        <f>IF(B126="","",IF(LEN(B126)&gt;9,SUMIFS(Options!$H$3:$H$28,Options!$B$3:$B$28,Check!B126),SUMIFS('Master P&amp;L'!$H$11:$H$88,'Master P&amp;L'!$B$11:$B$88,Check!B126)))</f>
        <v/>
      </c>
      <c r="D126" s="188" t="str">
        <f>IF(B126="","",SUMIFS(Input_APM!N:N,Input_APM!L:L,Check!B126,Input_APM!M:M,Check!$F$1))</f>
        <v/>
      </c>
      <c r="E126" s="174" t="str">
        <f t="shared" si="28"/>
        <v/>
      </c>
      <c r="F126" s="188" t="str">
        <f>IF(B126="","",SUMIFS(Input_APM!N:N,Input_APM!M:M,Check!$F$1,Input_APM!L:L,Check!B126))</f>
        <v/>
      </c>
      <c r="G126" s="188" t="str">
        <f>IF(B126="","",SUMIFS(Input_APM!N:N,Input_APM!M:M,Check!$G$1,Input_APM!L:L,Check!B126))</f>
        <v/>
      </c>
      <c r="H126" s="174" t="str">
        <f t="shared" si="29"/>
        <v/>
      </c>
      <c r="I126" s="174">
        <f>SUMIFS(Input_APM!N:N,Input_APM!L:L,Check!B126)</f>
        <v>0</v>
      </c>
      <c r="J126" s="176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4" t="str">
        <f t="shared" si="31"/>
        <v/>
      </c>
      <c r="O126"/>
      <c r="P126" s="174" t="str">
        <f>IF(O126="","",IF(OR(LEFT(O126,4)="Cash",LEFT(O126,4)="Prov"),0,SUMIFS(Input_APM!N:N,Input_APM!L:L,Check!O126)))</f>
        <v/>
      </c>
      <c r="Q126" s="21" t="str">
        <f>IF(O126="","",IF(LEN(O126)&gt;9,SUMIFS(Options!$H$3:$H$28,Options!$B$3:$B$28,Check!O126),SUMIFS('Master P&amp;L'!$H$11:$H$88,'Master P&amp;L'!$B$11:$B$88,Check!O126)))</f>
        <v/>
      </c>
      <c r="R126" s="174" t="str">
        <f>IF(O126="","",P126-Q126)</f>
        <v/>
      </c>
      <c r="S126" s="289" t="str">
        <f t="shared" si="11"/>
        <v/>
      </c>
    </row>
    <row r="127" spans="3:20">
      <c r="C127" s="188" t="str">
        <f>IF(B127="","",IF(LEN(B127)&gt;9,SUMIFS(Options!$H$3:$H$28,Options!$B$3:$B$28,Check!B127),SUMIFS('Master P&amp;L'!$H$11:$H$88,'Master P&amp;L'!$B$11:$B$88,Check!B127)))</f>
        <v/>
      </c>
      <c r="D127" s="188" t="str">
        <f>IF(B127="","",SUMIFS(Input_APM!N:N,Input_APM!L:L,Check!B127,Input_APM!M:M,Check!$F$1))</f>
        <v/>
      </c>
      <c r="E127" s="174" t="str">
        <f t="shared" si="28"/>
        <v/>
      </c>
      <c r="F127" s="188" t="str">
        <f>IF(B127="","",SUMIFS(Input_APM!N:N,Input_APM!M:M,Check!$F$1,Input_APM!L:L,Check!B127))</f>
        <v/>
      </c>
      <c r="G127" s="188" t="str">
        <f>IF(B127="","",SUMIFS(Input_APM!N:N,Input_APM!M:M,Check!$G$1,Input_APM!L:L,Check!B127))</f>
        <v/>
      </c>
      <c r="H127" s="174" t="str">
        <f t="shared" si="29"/>
        <v/>
      </c>
      <c r="I127" s="174">
        <f>SUMIFS(Input_APM!N:N,Input_APM!L:L,Check!B127)</f>
        <v>0</v>
      </c>
      <c r="J127" s="176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4" t="str">
        <f t="shared" si="31"/>
        <v/>
      </c>
      <c r="O127"/>
      <c r="P127" s="174" t="str">
        <f>IF(O127="","",IF(OR(LEFT(O127,4)="Cash",LEFT(O127,4)="Prov"),0,SUMIFS(Input_APM!N:N,Input_APM!L:L,Check!O127)))</f>
        <v/>
      </c>
      <c r="Q127" s="21" t="str">
        <f>IF(O127="","",IF(LEN(O127)&gt;9,SUMIFS(Options!$H$3:$H$28,Options!$B$3:$B$28,Check!O127),SUMIFS('Master P&amp;L'!$H$11:$H$88,'Master P&amp;L'!$B$11:$B$88,Check!O127)))</f>
        <v/>
      </c>
      <c r="R127" s="174" t="str">
        <f t="shared" ref="R127:R133" si="32">IF(O127="","",P127-Q127)</f>
        <v/>
      </c>
      <c r="S127" s="289" t="str">
        <f t="shared" si="11"/>
        <v/>
      </c>
    </row>
    <row r="128" spans="3:20">
      <c r="C128" s="188" t="str">
        <f>IF(B128="","",IF(LEN(B128)&gt;9,SUMIFS(Options!$H$3:$H$28,Options!$B$3:$B$28,Check!B128),SUMIFS('Master P&amp;L'!$H$11:$H$88,'Master P&amp;L'!$B$11:$B$88,Check!B128)))</f>
        <v/>
      </c>
      <c r="D128" s="188" t="str">
        <f>IF(B128="","",SUMIFS(Input_APM!N:N,Input_APM!L:L,Check!B128,Input_APM!M:M,Check!$F$1))</f>
        <v/>
      </c>
      <c r="E128" s="174" t="str">
        <f t="shared" si="28"/>
        <v/>
      </c>
      <c r="F128" s="188" t="str">
        <f>IF(B128="","",SUMIFS(Input_APM!N:N,Input_APM!M:M,Check!$F$1,Input_APM!L:L,Check!B128))</f>
        <v/>
      </c>
      <c r="G128" s="188" t="str">
        <f>IF(B128="","",SUMIFS(Input_APM!N:N,Input_APM!M:M,Check!$G$1,Input_APM!L:L,Check!B128))</f>
        <v/>
      </c>
      <c r="H128" s="174" t="str">
        <f t="shared" si="29"/>
        <v/>
      </c>
      <c r="I128" s="174">
        <f>SUMIFS(Input_APM!N:N,Input_APM!L:L,Check!B128)</f>
        <v>0</v>
      </c>
      <c r="J128" s="176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4" t="str">
        <f t="shared" si="31"/>
        <v/>
      </c>
      <c r="O128"/>
      <c r="P128" s="174" t="str">
        <f>IF(O128="","",IF(OR(LEFT(O128,4)="Cash",LEFT(O128,4)="Prov"),0,SUMIFS(Input_APM!N:N,Input_APM!L:L,Check!O128)))</f>
        <v/>
      </c>
      <c r="Q128" s="21" t="str">
        <f>IF(O128="","",IF(LEN(O128)&gt;9,SUMIFS(Options!$H$3:$H$28,Options!$B$3:$B$28,Check!O128),SUMIFS('Master P&amp;L'!$H$11:$H$88,'Master P&amp;L'!$B$11:$B$88,Check!O128)))</f>
        <v/>
      </c>
      <c r="R128" s="174" t="str">
        <f t="shared" si="32"/>
        <v/>
      </c>
      <c r="S128" s="289" t="str">
        <f t="shared" si="11"/>
        <v/>
      </c>
    </row>
    <row r="129" spans="3:20">
      <c r="C129" s="188" t="str">
        <f>IF(B129="","",IF(LEN(B129)&gt;9,SUMIFS(Options!$H$3:$H$28,Options!$B$3:$B$28,Check!B129),SUMIFS('Master P&amp;L'!$H$11:$H$88,'Master P&amp;L'!$B$11:$B$88,Check!B129)))</f>
        <v/>
      </c>
      <c r="D129" s="188" t="str">
        <f>IF(B129="","",SUMIFS(Input_APM!N:N,Input_APM!L:L,Check!B129,Input_APM!M:M,Check!$F$1))</f>
        <v/>
      </c>
      <c r="E129" s="174" t="str">
        <f t="shared" ref="E129:E135" si="33">IF(B129="","",C129-M129)</f>
        <v/>
      </c>
      <c r="F129" s="188" t="str">
        <f>IF(B129="","",SUMIFS(Input_APM!N:N,Input_APM!M:M,Check!$F$1,Input_APM!L:L,Check!B129))</f>
        <v/>
      </c>
      <c r="G129" s="188" t="str">
        <f>IF(B129="","",SUMIFS(Input_APM!N:N,Input_APM!M:M,Check!$G$1,Input_APM!L:L,Check!B129))</f>
        <v/>
      </c>
      <c r="H129" s="174" t="str">
        <f t="shared" ref="H129:H135" si="34">IF(B129="","",F129-G129)</f>
        <v/>
      </c>
      <c r="I129" s="174">
        <f>SUMIFS(Input_APM!N:N,Input_APM!L:L,Check!B129)</f>
        <v>0</v>
      </c>
      <c r="J129" s="176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4" t="str">
        <f t="shared" ref="M129:M135" si="36">IF(B129="","",F129+G129+K129+L129)</f>
        <v/>
      </c>
      <c r="O129"/>
      <c r="P129" s="174" t="str">
        <f>IF(O129="","",IF(OR(LEFT(O129,4)="Cash",LEFT(O129,4)="Prov"),0,SUMIFS(Input_APM!N:N,Input_APM!L:L,Check!O129)))</f>
        <v/>
      </c>
      <c r="Q129" s="21" t="str">
        <f>IF(O129="","",IF(LEN(O129)&gt;9,SUMIFS(Options!$H$3:$H$28,Options!$B$3:$B$28,Check!O129),SUMIFS('Master P&amp;L'!$H$11:$H$88,'Master P&amp;L'!$B$11:$B$88,Check!O129)))</f>
        <v/>
      </c>
      <c r="R129" s="174" t="str">
        <f t="shared" si="32"/>
        <v/>
      </c>
      <c r="S129" s="289" t="str">
        <f t="shared" si="11"/>
        <v/>
      </c>
    </row>
    <row r="130" spans="3:20">
      <c r="C130" s="188" t="str">
        <f>IF(B130="","",IF(LEN(B130)&gt;9,SUMIFS(Options!$H$3:$H$28,Options!$B$3:$B$28,Check!B130),SUMIFS('Master P&amp;L'!$H$11:$H$88,'Master P&amp;L'!$B$11:$B$88,Check!B130)))</f>
        <v/>
      </c>
      <c r="D130" s="188" t="str">
        <f>IF(B130="","",SUMIFS(Input_APM!N:N,Input_APM!L:L,Check!B130,Input_APM!M:M,Check!$F$1))</f>
        <v/>
      </c>
      <c r="E130" s="174" t="str">
        <f t="shared" si="33"/>
        <v/>
      </c>
      <c r="F130" s="188" t="str">
        <f>IF(B130="","",SUMIFS(Input_APM!N:N,Input_APM!M:M,Check!$F$1,Input_APM!L:L,Check!B130))</f>
        <v/>
      </c>
      <c r="G130" s="188" t="str">
        <f>IF(B130="","",SUMIFS(Input_APM!N:N,Input_APM!M:M,Check!$G$1,Input_APM!L:L,Check!B130))</f>
        <v/>
      </c>
      <c r="H130" s="174" t="str">
        <f t="shared" si="34"/>
        <v/>
      </c>
      <c r="I130" s="174">
        <f>SUMIFS(Input_APM!N:N,Input_APM!L:L,Check!B130)</f>
        <v>0</v>
      </c>
      <c r="J130" s="176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4" t="str">
        <f t="shared" si="36"/>
        <v/>
      </c>
      <c r="O130"/>
      <c r="P130" s="174" t="str">
        <f>IF(O130="","",IF(OR(LEFT(O130,4)="Cash",LEFT(O130,4)="Prov"),0,SUMIFS(Input_APM!N:N,Input_APM!L:L,Check!O130)))</f>
        <v/>
      </c>
      <c r="Q130" s="21" t="str">
        <f>IF(O130="","",IF(LEN(O130)&gt;9,SUMIFS(Options!$H$3:$H$28,Options!$B$3:$B$28,Check!O130),SUMIFS('Master P&amp;L'!$H$11:$H$88,'Master P&amp;L'!$B$11:$B$88,Check!O130)))</f>
        <v/>
      </c>
      <c r="R130" s="174" t="str">
        <f t="shared" si="32"/>
        <v/>
      </c>
      <c r="S130" s="289" t="str">
        <f t="shared" si="11"/>
        <v/>
      </c>
    </row>
    <row r="131" spans="3:20">
      <c r="C131" s="188" t="str">
        <f>IF(B131="","",IF(LEN(B131)&gt;9,SUMIFS(Options!$H$3:$H$28,Options!$B$3:$B$28,Check!B131),SUMIFS('Master P&amp;L'!$H$11:$H$88,'Master P&amp;L'!$B$11:$B$88,Check!B131)))</f>
        <v/>
      </c>
      <c r="D131" s="188" t="str">
        <f>IF(B131="","",SUMIFS(Input_APM!N:N,Input_APM!L:L,Check!B131,Input_APM!M:M,Check!$F$1))</f>
        <v/>
      </c>
      <c r="E131" s="174" t="str">
        <f t="shared" si="33"/>
        <v/>
      </c>
      <c r="F131" s="188" t="str">
        <f>IF(B131="","",SUMIFS(Input_APM!N:N,Input_APM!M:M,Check!$F$1,Input_APM!L:L,Check!B131))</f>
        <v/>
      </c>
      <c r="G131" s="188" t="str">
        <f>IF(B131="","",SUMIFS(Input_APM!N:N,Input_APM!M:M,Check!$G$1,Input_APM!L:L,Check!B131))</f>
        <v/>
      </c>
      <c r="H131" s="174" t="str">
        <f t="shared" si="34"/>
        <v/>
      </c>
      <c r="I131" s="174">
        <f>SUMIFS(Input_APM!N:N,Input_APM!L:L,Check!B131)</f>
        <v>0</v>
      </c>
      <c r="J131" s="176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4" t="str">
        <f t="shared" si="36"/>
        <v/>
      </c>
      <c r="O131"/>
      <c r="P131" s="174" t="str">
        <f>IF(O131="","",IF(OR(LEFT(O131,4)="Cash",LEFT(O131,4)="Prov"),0,SUMIFS(Input_APM!N:N,Input_APM!L:L,Check!O131)))</f>
        <v/>
      </c>
      <c r="Q131" s="21" t="str">
        <f>IF(O131="","",IF(LEN(O131)&gt;9,SUMIFS(Options!$H$3:$H$28,Options!$B$3:$B$28,Check!O131),SUMIFS('Master P&amp;L'!$H$11:$H$88,'Master P&amp;L'!$B$11:$B$88,Check!O131)))</f>
        <v/>
      </c>
      <c r="R131" s="174" t="str">
        <f t="shared" si="32"/>
        <v/>
      </c>
      <c r="S131" s="289" t="str">
        <f t="shared" si="11"/>
        <v/>
      </c>
    </row>
    <row r="132" spans="3:20">
      <c r="C132" s="188" t="str">
        <f>IF(B132="","",IF(LEN(B132)&gt;9,SUMIFS(Options!$H$3:$H$28,Options!$B$3:$B$28,Check!B132),SUMIFS('Master P&amp;L'!$H$11:$H$88,'Master P&amp;L'!$B$11:$B$88,Check!B132)))</f>
        <v/>
      </c>
      <c r="D132" s="188" t="str">
        <f>IF(B132="","",SUMIFS(Input_APM!N:N,Input_APM!L:L,Check!B132,Input_APM!M:M,Check!$F$1))</f>
        <v/>
      </c>
      <c r="E132" s="174" t="str">
        <f t="shared" si="33"/>
        <v/>
      </c>
      <c r="F132" s="188" t="str">
        <f>IF(B132="","",SUMIFS(Input_APM!N:N,Input_APM!M:M,Check!$F$1,Input_APM!L:L,Check!B132))</f>
        <v/>
      </c>
      <c r="G132" s="188" t="str">
        <f>IF(B132="","",SUMIFS(Input_APM!N:N,Input_APM!M:M,Check!$G$1,Input_APM!L:L,Check!B132))</f>
        <v/>
      </c>
      <c r="H132" s="174" t="str">
        <f t="shared" si="34"/>
        <v/>
      </c>
      <c r="I132" s="174">
        <f>SUMIFS(Input_APM!N:N,Input_APM!L:L,Check!B132)</f>
        <v>0</v>
      </c>
      <c r="J132" s="176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4" t="str">
        <f t="shared" si="36"/>
        <v/>
      </c>
      <c r="O132"/>
      <c r="P132" s="174" t="str">
        <f>IF(O132="","",IF(OR(LEFT(O132,4)="Cash",LEFT(O132,4)="Prov"),0,SUMIFS(Input_APM!N:N,Input_APM!L:L,Check!O132)))</f>
        <v/>
      </c>
      <c r="Q132" s="21" t="str">
        <f>IF(O132="","",IF(LEN(O132)&gt;9,SUMIFS(Options!$H$3:$H$28,Options!$B$3:$B$28,Check!O132),SUMIFS('Master P&amp;L'!$H$11:$H$88,'Master P&amp;L'!$B$11:$B$88,Check!O132)))</f>
        <v/>
      </c>
      <c r="R132" s="174" t="str">
        <f t="shared" si="32"/>
        <v/>
      </c>
      <c r="S132" s="289" t="str">
        <f t="shared" si="11"/>
        <v/>
      </c>
    </row>
    <row r="133" spans="3:20">
      <c r="C133" s="188" t="str">
        <f>IF(B133="","",IF(LEN(B133)&gt;9,SUMIFS(Options!$H$3:$H$28,Options!$B$3:$B$28,Check!B133),SUMIFS('Master P&amp;L'!$H$11:$H$88,'Master P&amp;L'!$B$11:$B$88,Check!B133)))</f>
        <v/>
      </c>
      <c r="D133" s="188" t="str">
        <f>IF(B133="","",SUMIFS(Input_APM!N:N,Input_APM!L:L,Check!B133,Input_APM!M:M,Check!$F$1))</f>
        <v/>
      </c>
      <c r="E133" s="174" t="str">
        <f t="shared" si="33"/>
        <v/>
      </c>
      <c r="F133" s="188" t="str">
        <f>IF(B133="","",SUMIFS(Input_APM!N:N,Input_APM!M:M,Check!$F$1,Input_APM!L:L,Check!B133))</f>
        <v/>
      </c>
      <c r="G133" s="188" t="str">
        <f>IF(B133="","",SUMIFS(Input_APM!N:N,Input_APM!M:M,Check!$G$1,Input_APM!L:L,Check!B133))</f>
        <v/>
      </c>
      <c r="H133" s="174" t="str">
        <f t="shared" si="34"/>
        <v/>
      </c>
      <c r="I133" s="174">
        <f>SUMIFS(Input_APM!N:N,Input_APM!L:L,Check!B133)</f>
        <v>0</v>
      </c>
      <c r="J133" s="176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4" t="str">
        <f t="shared" si="36"/>
        <v/>
      </c>
      <c r="O133"/>
      <c r="P133" s="174" t="str">
        <f>IF(O133="","",IF(OR(LEFT(O133,4)="Cash",LEFT(O133,4)="Prov"),0,SUMIFS(Input_APM!N:N,Input_APM!L:L,Check!O133)))</f>
        <v/>
      </c>
      <c r="Q133" s="21" t="str">
        <f>IF(O133="","",IF(LEN(O133)&gt;9,SUMIFS(Options!$H$3:$H$28,Options!$B$3:$B$28,Check!O133),SUMIFS('Master P&amp;L'!$H$11:$H$88,'Master P&amp;L'!$B$11:$B$88,Check!O133)))</f>
        <v/>
      </c>
      <c r="R133" s="174" t="str">
        <f t="shared" si="32"/>
        <v/>
      </c>
      <c r="S133" s="289" t="str">
        <f t="shared" si="11"/>
        <v/>
      </c>
    </row>
    <row r="134" spans="3:20">
      <c r="C134" s="188" t="str">
        <f>IF(B134="","",IF(LEN(B134)&gt;9,SUMIFS(Options!$H$3:$H$28,Options!$B$3:$B$28,Check!B134),SUMIFS('Master P&amp;L'!$H$11:$H$88,'Master P&amp;L'!$B$11:$B$88,Check!B134)))</f>
        <v/>
      </c>
      <c r="D134" s="188" t="str">
        <f>IF(B134="","",SUMIFS(Input_APM!N:N,Input_APM!L:L,Check!B134,Input_APM!M:M,Check!$F$1))</f>
        <v/>
      </c>
      <c r="E134" s="174" t="str">
        <f t="shared" si="33"/>
        <v/>
      </c>
      <c r="F134" s="188" t="str">
        <f>IF(B134="","",SUMIFS(Input_APM!N:N,Input_APM!M:M,Check!$F$1,Input_APM!L:L,Check!B134))</f>
        <v/>
      </c>
      <c r="G134" s="188" t="str">
        <f>IF(B134="","",SUMIFS(Input_APM!N:N,Input_APM!M:M,Check!$G$1,Input_APM!L:L,Check!B134))</f>
        <v/>
      </c>
      <c r="H134" s="174" t="str">
        <f t="shared" si="34"/>
        <v/>
      </c>
      <c r="I134" s="174">
        <f>SUMIFS(Input_APM!N:N,Input_APM!L:L,Check!B134)</f>
        <v>0</v>
      </c>
      <c r="J134" s="176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4" t="str">
        <f t="shared" si="36"/>
        <v/>
      </c>
      <c r="O134"/>
      <c r="P134" s="174" t="str">
        <f>IF(O134="","",IF(OR(LEFT(O134,4)="Cash",LEFT(O134,4)="Prov"),0,SUMIFS(Input_APM!N:N,Input_APM!L:L,Check!O134)))</f>
        <v/>
      </c>
      <c r="Q134" s="21" t="str">
        <f>IF(O134="","",IF(LEN(O134)&gt;9,SUMIFS(Options!$H$3:$H$28,Options!$B$3:$B$28,Check!O134),SUMIFS('Master P&amp;L'!$H$11:$H$88,'Master P&amp;L'!$B$11:$B$88,Check!O134)))</f>
        <v/>
      </c>
      <c r="R134" s="174" t="str">
        <f>IF(O134="","",P134-Q134)</f>
        <v/>
      </c>
      <c r="S134" s="289" t="str">
        <f t="shared" ref="S134:S197" si="37">IF(O134="","",IF((P134+Q134)=0,"Ok",IF(OR(P134=0,Q134=0),"Erro",P134/Q134)))</f>
        <v/>
      </c>
    </row>
    <row r="135" spans="3:20">
      <c r="C135" s="188" t="str">
        <f>IF(B135="","",IF(LEN(B135)&gt;9,SUMIFS(Options!$H$3:$H$28,Options!$B$3:$B$28,Check!B135),SUMIFS('Master P&amp;L'!$H$11:$H$88,'Master P&amp;L'!$B$11:$B$88,Check!B135)))</f>
        <v/>
      </c>
      <c r="D135" s="188" t="str">
        <f>IF(B135="","",SUMIFS(Input_APM!N:N,Input_APM!L:L,Check!B135,Input_APM!M:M,Check!$F$1))</f>
        <v/>
      </c>
      <c r="E135" s="174" t="str">
        <f t="shared" si="33"/>
        <v/>
      </c>
      <c r="F135" s="188" t="str">
        <f>IF(B135="","",SUMIFS(Input_APM!N:N,Input_APM!M:M,Check!$F$1,Input_APM!L:L,Check!B135))</f>
        <v/>
      </c>
      <c r="G135" s="188" t="str">
        <f>IF(B135="","",SUMIFS(Input_APM!N:N,Input_APM!M:M,Check!$G$1,Input_APM!L:L,Check!B135))</f>
        <v/>
      </c>
      <c r="H135" s="174" t="str">
        <f t="shared" si="34"/>
        <v/>
      </c>
      <c r="I135" s="174">
        <f>SUMIFS(Input_APM!N:N,Input_APM!L:L,Check!B135)</f>
        <v>0</v>
      </c>
      <c r="J135" s="176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4" t="str">
        <f t="shared" si="36"/>
        <v/>
      </c>
      <c r="O135"/>
      <c r="P135" s="174" t="str">
        <f>IF(O135="","",IF(OR(LEFT(O135,4)="Cash",LEFT(O135,4)="Prov"),0,SUMIFS(Input_APM!N:N,Input_APM!L:L,Check!O135)))</f>
        <v/>
      </c>
      <c r="Q135" s="21" t="str">
        <f>IF(O135="","",IF(LEN(O135)&gt;9,SUMIFS(Options!$H$3:$H$28,Options!$B$3:$B$28,Check!O135),SUMIFS('Master P&amp;L'!$H$11:$H$88,'Master P&amp;L'!$B$11:$B$88,Check!O135)))</f>
        <v/>
      </c>
      <c r="R135" s="174" t="str">
        <f>IF(O135="","",P135-Q135)</f>
        <v/>
      </c>
      <c r="S135" s="289" t="str">
        <f t="shared" si="37"/>
        <v/>
      </c>
    </row>
    <row r="136" spans="3:20">
      <c r="C136" s="188" t="str">
        <f>IF(B136="","",IF(LEN(B136)&gt;9,SUMIFS(Options!$H$3:$H$28,Options!$B$3:$B$28,Check!B136),SUMIFS('Master P&amp;L'!$H$11:$H$88,'Master P&amp;L'!$B$11:$B$88,Check!B136)))</f>
        <v/>
      </c>
      <c r="D136" s="188" t="str">
        <f>IF(B136="","",SUMIFS(Input_APM!N:N,Input_APM!L:L,Check!B136,Input_APM!M:M,Check!$F$1))</f>
        <v/>
      </c>
      <c r="E136" s="174" t="str">
        <f t="shared" ref="E136:E150" si="38">IF(B136="","",C136-M136)</f>
        <v/>
      </c>
      <c r="F136" s="188" t="str">
        <f>IF(B136="","",SUMIFS(Input_APM!N:N,Input_APM!M:M,Check!$F$1,Input_APM!L:L,Check!B136))</f>
        <v/>
      </c>
      <c r="G136" s="188" t="str">
        <f>IF(B136="","",SUMIFS(Input_APM!N:N,Input_APM!M:M,Check!$G$1,Input_APM!L:L,Check!B136))</f>
        <v/>
      </c>
      <c r="H136" s="174" t="str">
        <f t="shared" ref="H136:H150" si="39">IF(B136="","",F136-G136)</f>
        <v/>
      </c>
      <c r="I136" s="174">
        <f>SUMIFS(Input_APM!N:N,Input_APM!L:L,Check!B136)</f>
        <v>0</v>
      </c>
      <c r="J136" s="176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4" t="str">
        <f t="shared" ref="M136:M150" si="41">IF(B136="","",F136+G136+K136+L136)</f>
        <v/>
      </c>
      <c r="O136"/>
      <c r="P136" s="174" t="str">
        <f>IF(O136="","",IF(OR(LEFT(O136,4)="Cash",LEFT(O136,4)="Prov"),0,SUMIFS(Input_APM!N:N,Input_APM!L:L,Check!O136)))</f>
        <v/>
      </c>
      <c r="Q136" s="21" t="str">
        <f>IF(O136="","",IF(LEN(O136)&gt;9,SUMIFS(Options!$H$3:$H$28,Options!$B$3:$B$28,Check!O136),SUMIFS('Master P&amp;L'!$H$11:$H$88,'Master P&amp;L'!$B$11:$B$88,Check!O136)))</f>
        <v/>
      </c>
      <c r="R136" s="174" t="str">
        <f t="shared" ref="R136:R142" si="42">IF(O136="","",P136-Q136)</f>
        <v/>
      </c>
      <c r="S136" s="289" t="str">
        <f t="shared" si="37"/>
        <v/>
      </c>
    </row>
    <row r="137" spans="3:20">
      <c r="C137" s="188" t="str">
        <f>IF(B137="","",IF(LEN(B137)&gt;9,SUMIFS(Options!$H$3:$H$28,Options!$B$3:$B$28,Check!B137),SUMIFS('Master P&amp;L'!$H$11:$H$88,'Master P&amp;L'!$B$11:$B$88,Check!B137)))</f>
        <v/>
      </c>
      <c r="D137" s="188" t="str">
        <f>IF(B137="","",SUMIFS(Input_APM!N:N,Input_APM!L:L,Check!B137,Input_APM!M:M,Check!$F$1))</f>
        <v/>
      </c>
      <c r="E137" s="174" t="str">
        <f t="shared" si="38"/>
        <v/>
      </c>
      <c r="F137" s="188" t="str">
        <f>IF(B137="","",SUMIFS(Input_APM!N:N,Input_APM!M:M,Check!$F$1,Input_APM!L:L,Check!B137))</f>
        <v/>
      </c>
      <c r="G137" s="188" t="str">
        <f>IF(B137="","",SUMIFS(Input_APM!N:N,Input_APM!M:M,Check!$G$1,Input_APM!L:L,Check!B137))</f>
        <v/>
      </c>
      <c r="H137" s="174" t="str">
        <f t="shared" si="39"/>
        <v/>
      </c>
      <c r="I137" s="174">
        <f>SUMIFS(Input_APM!N:N,Input_APM!L:L,Check!B137)</f>
        <v>0</v>
      </c>
      <c r="J137" s="176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4" t="str">
        <f t="shared" si="41"/>
        <v/>
      </c>
      <c r="O137"/>
      <c r="P137" s="174" t="str">
        <f>IF(O137="","",IF(OR(LEFT(O137,4)="Cash",LEFT(O137,4)="Prov"),0,SUMIFS(Input_APM!N:N,Input_APM!L:L,Check!O137)))</f>
        <v/>
      </c>
      <c r="Q137" s="21" t="str">
        <f>IF(O137="","",IF(LEN(O137)&gt;9,SUMIFS(Options!$H$3:$H$28,Options!$B$3:$B$28,Check!O137),SUMIFS('Master P&amp;L'!$H$11:$H$88,'Master P&amp;L'!$B$11:$B$88,Check!O137)))</f>
        <v/>
      </c>
      <c r="R137" s="174" t="str">
        <f t="shared" si="42"/>
        <v/>
      </c>
      <c r="S137" s="289" t="str">
        <f t="shared" si="37"/>
        <v/>
      </c>
    </row>
    <row r="138" spans="3:20">
      <c r="C138" s="188" t="str">
        <f>IF(B138="","",IF(LEN(B138)&gt;9,SUMIFS(Options!$H$3:$H$28,Options!$B$3:$B$28,Check!B138),SUMIFS('Master P&amp;L'!$H$11:$H$88,'Master P&amp;L'!$B$11:$B$88,Check!B138)))</f>
        <v/>
      </c>
      <c r="D138" s="188" t="str">
        <f>IF(B138="","",SUMIFS(Input_APM!N:N,Input_APM!L:L,Check!B138,Input_APM!M:M,Check!$F$1))</f>
        <v/>
      </c>
      <c r="E138" s="174" t="str">
        <f t="shared" si="38"/>
        <v/>
      </c>
      <c r="F138" s="188" t="str">
        <f>IF(B138="","",SUMIFS(Input_APM!N:N,Input_APM!M:M,Check!$F$1,Input_APM!L:L,Check!B138))</f>
        <v/>
      </c>
      <c r="G138" s="188" t="str">
        <f>IF(B138="","",SUMIFS(Input_APM!N:N,Input_APM!M:M,Check!$G$1,Input_APM!L:L,Check!B138))</f>
        <v/>
      </c>
      <c r="H138" s="174" t="str">
        <f t="shared" si="39"/>
        <v/>
      </c>
      <c r="I138" s="174">
        <f>SUMIFS(Input_APM!N:N,Input_APM!L:L,Check!B138)</f>
        <v>0</v>
      </c>
      <c r="J138" s="176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4" t="str">
        <f t="shared" si="41"/>
        <v/>
      </c>
      <c r="O138"/>
      <c r="P138" s="174" t="str">
        <f>IF(O138="","",IF(OR(LEFT(O138,4)="Cash",LEFT(O138,4)="Prov"),0,SUMIFS(Input_APM!N:N,Input_APM!L:L,Check!O138)))</f>
        <v/>
      </c>
      <c r="Q138" s="21" t="str">
        <f>IF(O138="","",IF(LEN(O138)&gt;9,SUMIFS(Options!$H$3:$H$28,Options!$B$3:$B$28,Check!O138),SUMIFS('Master P&amp;L'!$H$11:$H$88,'Master P&amp;L'!$B$11:$B$88,Check!O138)))</f>
        <v/>
      </c>
      <c r="R138" s="174" t="str">
        <f t="shared" si="42"/>
        <v/>
      </c>
      <c r="S138" s="289" t="str">
        <f t="shared" si="37"/>
        <v/>
      </c>
    </row>
    <row r="139" spans="3:20">
      <c r="C139" s="188" t="str">
        <f>IF(B139="","",IF(LEN(B139)&gt;9,SUMIFS(Options!$H$3:$H$28,Options!$B$3:$B$28,Check!B139),SUMIFS('Master P&amp;L'!$H$11:$H$88,'Master P&amp;L'!$B$11:$B$88,Check!B139)))</f>
        <v/>
      </c>
      <c r="D139" s="188" t="str">
        <f>IF(B139="","",SUMIFS(Input_APM!N:N,Input_APM!L:L,Check!B139,Input_APM!M:M,Check!$F$1))</f>
        <v/>
      </c>
      <c r="E139" s="174" t="str">
        <f t="shared" si="38"/>
        <v/>
      </c>
      <c r="F139" s="188" t="str">
        <f>IF(B139="","",SUMIFS(Input_APM!N:N,Input_APM!M:M,Check!$F$1,Input_APM!L:L,Check!B139))</f>
        <v/>
      </c>
      <c r="G139" s="188" t="str">
        <f>IF(B139="","",SUMIFS(Input_APM!N:N,Input_APM!M:M,Check!$G$1,Input_APM!L:L,Check!B139))</f>
        <v/>
      </c>
      <c r="H139" s="174" t="str">
        <f t="shared" si="39"/>
        <v/>
      </c>
      <c r="I139" s="174">
        <f>SUMIFS(Input_APM!N:N,Input_APM!L:L,Check!B139)</f>
        <v>0</v>
      </c>
      <c r="J139" s="176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4" t="str">
        <f t="shared" si="41"/>
        <v/>
      </c>
      <c r="O139"/>
      <c r="P139" s="174" t="str">
        <f>IF(O139="","",IF(OR(LEFT(O139,4)="Cash",LEFT(O139,4)="Prov"),0,SUMIFS(Input_APM!N:N,Input_APM!L:L,Check!O139)))</f>
        <v/>
      </c>
      <c r="Q139" s="21" t="str">
        <f>IF(O139="","",IF(LEN(O139)&gt;9,SUMIFS(Options!$H$3:$H$28,Options!$B$3:$B$28,Check!O139),SUMIFS('Master P&amp;L'!$H$11:$H$88,'Master P&amp;L'!$B$11:$B$88,Check!O139)))</f>
        <v/>
      </c>
      <c r="R139" s="174" t="str">
        <f t="shared" si="42"/>
        <v/>
      </c>
      <c r="S139" s="289" t="str">
        <f t="shared" si="37"/>
        <v/>
      </c>
    </row>
    <row r="140" spans="3:20">
      <c r="C140" s="188" t="str">
        <f>IF(B140="","",IF(LEN(B140)&gt;9,SUMIFS(Options!$H$3:$H$28,Options!$B$3:$B$28,Check!B140),SUMIFS('Master P&amp;L'!$H$11:$H$88,'Master P&amp;L'!$B$11:$B$88,Check!B140)))</f>
        <v/>
      </c>
      <c r="D140" s="188" t="str">
        <f>IF(B140="","",SUMIFS(Input_APM!N:N,Input_APM!L:L,Check!B140,Input_APM!M:M,Check!$F$1))</f>
        <v/>
      </c>
      <c r="E140" s="174" t="str">
        <f t="shared" si="38"/>
        <v/>
      </c>
      <c r="F140" s="188" t="str">
        <f>IF(B140="","",SUMIFS(Input_APM!N:N,Input_APM!M:M,Check!$F$1,Input_APM!L:L,Check!B140))</f>
        <v/>
      </c>
      <c r="G140" s="188" t="str">
        <f>IF(B140="","",SUMIFS(Input_APM!N:N,Input_APM!M:M,Check!$G$1,Input_APM!L:L,Check!B140))</f>
        <v/>
      </c>
      <c r="H140" s="174" t="str">
        <f t="shared" si="39"/>
        <v/>
      </c>
      <c r="I140" s="174">
        <f>SUMIFS(Input_APM!N:N,Input_APM!L:L,Check!B140)</f>
        <v>0</v>
      </c>
      <c r="J140" s="176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4" t="str">
        <f t="shared" si="41"/>
        <v/>
      </c>
      <c r="O140"/>
      <c r="P140" s="174" t="str">
        <f>IF(O140="","",IF(OR(LEFT(O140,4)="Cash",LEFT(O140,4)="Prov"),0,SUMIFS(Input_APM!N:N,Input_APM!L:L,Check!O140)))</f>
        <v/>
      </c>
      <c r="Q140" s="21" t="str">
        <f>IF(O140="","",IF(LEN(O140)&gt;9,SUMIFS(Options!$H$3:$H$28,Options!$B$3:$B$28,Check!O140),SUMIFS('Master P&amp;L'!$H$11:$H$88,'Master P&amp;L'!$B$11:$B$88,Check!O140)))</f>
        <v/>
      </c>
      <c r="R140" s="174" t="str">
        <f t="shared" si="42"/>
        <v/>
      </c>
      <c r="S140" s="289" t="str">
        <f t="shared" si="37"/>
        <v/>
      </c>
    </row>
    <row r="141" spans="3:20">
      <c r="C141" s="188" t="str">
        <f>IF(B141="","",IF(LEN(B141)&gt;9,SUMIFS(Options!$H$3:$H$28,Options!$B$3:$B$28,Check!B141),SUMIFS('Master P&amp;L'!$H$11:$H$88,'Master P&amp;L'!$B$11:$B$88,Check!B141)))</f>
        <v/>
      </c>
      <c r="D141" s="188" t="str">
        <f>IF(B141="","",SUMIFS(Input_APM!N:N,Input_APM!L:L,Check!B141,Input_APM!M:M,Check!$F$1))</f>
        <v/>
      </c>
      <c r="E141" s="174" t="str">
        <f t="shared" si="38"/>
        <v/>
      </c>
      <c r="F141" s="188" t="str">
        <f>IF(B141="","",SUMIFS(Input_APM!N:N,Input_APM!M:M,Check!$F$1,Input_APM!L:L,Check!B141))</f>
        <v/>
      </c>
      <c r="G141" s="188" t="str">
        <f>IF(B141="","",SUMIFS(Input_APM!N:N,Input_APM!M:M,Check!$G$1,Input_APM!L:L,Check!B141))</f>
        <v/>
      </c>
      <c r="H141" s="174" t="str">
        <f t="shared" si="39"/>
        <v/>
      </c>
      <c r="I141" s="174">
        <f>SUMIFS(Input_APM!N:N,Input_APM!L:L,Check!B141)</f>
        <v>0</v>
      </c>
      <c r="J141" s="176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4" t="str">
        <f t="shared" si="41"/>
        <v/>
      </c>
      <c r="O141"/>
      <c r="P141" s="174" t="str">
        <f>IF(O141="","",IF(OR(LEFT(O141,4)="Cash",LEFT(O141,4)="Prov"),0,SUMIFS(Input_APM!N:N,Input_APM!L:L,Check!O141)))</f>
        <v/>
      </c>
      <c r="Q141" s="21" t="str">
        <f>IF(O141="","",IF(LEN(O141)&gt;9,SUMIFS(Options!$H$3:$H$28,Options!$B$3:$B$28,Check!O141),SUMIFS('Master P&amp;L'!$H$11:$H$88,'Master P&amp;L'!$B$11:$B$88,Check!O141)))</f>
        <v/>
      </c>
      <c r="R141" s="174" t="str">
        <f t="shared" si="42"/>
        <v/>
      </c>
      <c r="S141" s="289" t="str">
        <f t="shared" si="37"/>
        <v/>
      </c>
      <c r="T141" t="s">
        <v>448</v>
      </c>
    </row>
    <row r="142" spans="3:20">
      <c r="C142" s="188" t="str">
        <f>IF(B142="","",IF(LEN(B142)&gt;9,SUMIFS(Options!$H$3:$H$28,Options!$B$3:$B$28,Check!B142),SUMIFS('Master P&amp;L'!$H$11:$H$88,'Master P&amp;L'!$B$11:$B$88,Check!B142)))</f>
        <v/>
      </c>
      <c r="D142" s="188" t="str">
        <f>IF(B142="","",SUMIFS(Input_APM!N:N,Input_APM!L:L,Check!B142,Input_APM!M:M,Check!$F$1))</f>
        <v/>
      </c>
      <c r="E142" s="174" t="str">
        <f>IF(B142="","",C142-M142)</f>
        <v/>
      </c>
      <c r="F142" s="188" t="str">
        <f>IF(B142="","",SUMIFS(Input_APM!N:N,Input_APM!M:M,Check!$F$1,Input_APM!L:L,Check!B142))</f>
        <v/>
      </c>
      <c r="G142" s="188" t="str">
        <f>IF(B142="","",SUMIFS(Input_APM!N:N,Input_APM!M:M,Check!$G$1,Input_APM!L:L,Check!B142))</f>
        <v/>
      </c>
      <c r="H142" s="174" t="str">
        <f t="shared" si="39"/>
        <v/>
      </c>
      <c r="I142" s="174">
        <f>SUMIFS(Input_APM!N:N,Input_APM!L:L,Check!B142)</f>
        <v>0</v>
      </c>
      <c r="J142" s="176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4" t="str">
        <f t="shared" si="41"/>
        <v/>
      </c>
      <c r="O142"/>
      <c r="P142" s="256" t="str">
        <f>IF(O142="","",IF(OR(LEFT(O142,4)="Cash",LEFT(O142,4)="Prov"),0,SUMIFS(Input_APM!N:N,Input_APM!L:L,Check!O142)))</f>
        <v/>
      </c>
      <c r="Q142" s="134" t="str">
        <f>IF(O142="","",IF(LEN(O142)&gt;9,SUMIFS(Options!$H$3:$H$28,Options!$B$3:$B$28,Check!O142),SUMIFS('Master P&amp;L'!$H$11:$H$88,'Master P&amp;L'!$B$11:$B$88,Check!O142)))</f>
        <v/>
      </c>
      <c r="R142" s="256" t="str">
        <f t="shared" si="42"/>
        <v/>
      </c>
      <c r="S142" s="289" t="str">
        <f t="shared" si="37"/>
        <v/>
      </c>
      <c r="T142" s="58" t="s">
        <v>448</v>
      </c>
    </row>
    <row r="143" spans="3:20">
      <c r="C143" s="188" t="str">
        <f>IF(B143="","",IF(LEN(B143)&gt;9,SUMIFS(Options!$H$3:$H$28,Options!$B$3:$B$28,Check!B143),SUMIFS('Master P&amp;L'!$H$11:$H$88,'Master P&amp;L'!$B$11:$B$88,Check!B143)))</f>
        <v/>
      </c>
      <c r="D143" s="188" t="str">
        <f>IF(B143="","",SUMIFS(Input_APM!N:N,Input_APM!L:L,Check!B143,Input_APM!M:M,Check!$F$1))</f>
        <v/>
      </c>
      <c r="E143" s="174" t="str">
        <f t="shared" si="38"/>
        <v/>
      </c>
      <c r="F143" s="188" t="str">
        <f>IF(B143="","",SUMIFS(Input_APM!N:N,Input_APM!M:M,Check!$F$1,Input_APM!L:L,Check!B143))</f>
        <v/>
      </c>
      <c r="G143" s="188" t="str">
        <f>IF(B143="","",SUMIFS(Input_APM!N:N,Input_APM!M:M,Check!$G$1,Input_APM!L:L,Check!B143))</f>
        <v/>
      </c>
      <c r="H143" s="174" t="str">
        <f t="shared" si="39"/>
        <v/>
      </c>
      <c r="I143" s="174">
        <f>SUMIFS(Input_APM!N:N,Input_APM!L:L,Check!B143)</f>
        <v>0</v>
      </c>
      <c r="J143" s="176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4" t="str">
        <f t="shared" si="41"/>
        <v/>
      </c>
      <c r="O143"/>
      <c r="P143" s="174" t="str">
        <f>IF(O143="","",IF(OR(LEFT(O143,4)="Cash",LEFT(O143,4)="Prov"),0,SUMIFS(Input_APM!N:N,Input_APM!L:L,Check!O143)))</f>
        <v/>
      </c>
      <c r="Q143" s="21" t="str">
        <f>IF(O143="","",IF(LEN(O143)&gt;9,SUMIFS(Options!$H$3:$H$28,Options!$B$3:$B$28,Check!O143),SUMIFS('Master P&amp;L'!$H$11:$H$88,'Master P&amp;L'!$B$11:$B$88,Check!O143)))</f>
        <v/>
      </c>
      <c r="R143" s="174" t="str">
        <f t="shared" ref="R143:R150" si="43">IF(O143="","",P143-Q143)</f>
        <v/>
      </c>
      <c r="S143" s="289" t="str">
        <f t="shared" si="37"/>
        <v/>
      </c>
    </row>
    <row r="144" spans="3:20">
      <c r="C144" s="188" t="str">
        <f>IF(B144="","",IF(LEN(B144)&gt;9,SUMIFS(Options!$H$3:$H$28,Options!$B$3:$B$28,Check!B144),SUMIFS('Master P&amp;L'!$H$11:$H$88,'Master P&amp;L'!$B$11:$B$88,Check!B144)))</f>
        <v/>
      </c>
      <c r="D144" s="188" t="str">
        <f>IF(B144="","",SUMIFS(Input_APM!N:N,Input_APM!L:L,Check!B144,Input_APM!M:M,Check!$F$1))</f>
        <v/>
      </c>
      <c r="E144" s="174" t="str">
        <f t="shared" si="38"/>
        <v/>
      </c>
      <c r="F144" s="188" t="str">
        <f>IF(B144="","",SUMIFS(Input_APM!N:N,Input_APM!M:M,Check!$F$1,Input_APM!L:L,Check!B144))</f>
        <v/>
      </c>
      <c r="G144" s="188" t="str">
        <f>IF(B144="","",SUMIFS(Input_APM!N:N,Input_APM!M:M,Check!$G$1,Input_APM!L:L,Check!B144))</f>
        <v/>
      </c>
      <c r="H144" s="174" t="str">
        <f t="shared" si="39"/>
        <v/>
      </c>
      <c r="I144" s="174">
        <f>SUMIFS(Input_APM!N:N,Input_APM!L:L,Check!B144)</f>
        <v>0</v>
      </c>
      <c r="J144" s="176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4" t="str">
        <f t="shared" si="41"/>
        <v/>
      </c>
      <c r="O144"/>
      <c r="P144" s="174" t="str">
        <f>IF(O144="","",IF(OR(LEFT(O144,4)="Cash",LEFT(O144,4)="Prov"),0,SUMIFS(Input_APM!N:N,Input_APM!L:L,Check!O144)))</f>
        <v/>
      </c>
      <c r="Q144" s="21" t="str">
        <f>IF(O144="","",IF(LEN(O144)&gt;9,SUMIFS(Options!$H$3:$H$28,Options!$B$3:$B$28,Check!O144),SUMIFS('Master P&amp;L'!$H$11:$H$88,'Master P&amp;L'!$B$11:$B$88,Check!O144)))</f>
        <v/>
      </c>
      <c r="R144" s="174" t="str">
        <f t="shared" si="43"/>
        <v/>
      </c>
      <c r="S144" s="289" t="str">
        <f t="shared" si="37"/>
        <v/>
      </c>
    </row>
    <row r="145" spans="3:20">
      <c r="C145" s="188" t="str">
        <f>IF(B145="","",IF(LEN(B145)&gt;9,SUMIFS(Options!$H$3:$H$28,Options!$B$3:$B$28,Check!B145),SUMIFS('Master P&amp;L'!$H$11:$H$88,'Master P&amp;L'!$B$11:$B$88,Check!B145)))</f>
        <v/>
      </c>
      <c r="D145" s="188" t="str">
        <f>IF(B145="","",SUMIFS(Input_APM!N:N,Input_APM!L:L,Check!B145,Input_APM!M:M,Check!$F$1))</f>
        <v/>
      </c>
      <c r="E145" s="174" t="str">
        <f t="shared" si="38"/>
        <v/>
      </c>
      <c r="F145" s="188" t="str">
        <f>IF(B145="","",SUMIFS(Input_APM!N:N,Input_APM!M:M,Check!$F$1,Input_APM!L:L,Check!B145))</f>
        <v/>
      </c>
      <c r="G145" s="188" t="str">
        <f>IF(B145="","",SUMIFS(Input_APM!N:N,Input_APM!M:M,Check!$G$1,Input_APM!L:L,Check!B145))</f>
        <v/>
      </c>
      <c r="H145" s="174" t="str">
        <f t="shared" si="39"/>
        <v/>
      </c>
      <c r="I145" s="174">
        <f>SUMIFS(Input_APM!N:N,Input_APM!L:L,Check!B145)</f>
        <v>0</v>
      </c>
      <c r="J145" s="176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4" t="str">
        <f t="shared" si="41"/>
        <v/>
      </c>
      <c r="O145"/>
      <c r="P145" s="256" t="str">
        <f>IF(O145="","",IF(OR(LEFT(O145,4)="Cash",LEFT(O145,4)="Prov"),0,SUMIFS(Input_APM!N:N,Input_APM!L:L,Check!O145)))</f>
        <v/>
      </c>
      <c r="Q145" s="134" t="str">
        <f>IF(O145="","",IF(LEN(O145)&gt;9,SUMIFS(Options!$H$3:$H$28,Options!$B$3:$B$28,Check!O145),SUMIFS('Master P&amp;L'!$H$11:$H$88,'Master P&amp;L'!$B$11:$B$88,Check!O145)))</f>
        <v/>
      </c>
      <c r="R145" s="256" t="str">
        <f t="shared" si="43"/>
        <v/>
      </c>
      <c r="S145" s="289" t="str">
        <f t="shared" si="37"/>
        <v/>
      </c>
      <c r="T145" s="58" t="s">
        <v>448</v>
      </c>
    </row>
    <row r="146" spans="3:20">
      <c r="C146" s="188" t="str">
        <f>IF(B146="","",IF(LEN(B146)&gt;9,SUMIFS(Options!$H$3:$H$28,Options!$B$3:$B$28,Check!B146),SUMIFS('Master P&amp;L'!$H$11:$H$88,'Master P&amp;L'!$B$11:$B$88,Check!B146)))</f>
        <v/>
      </c>
      <c r="D146" s="188" t="str">
        <f>IF(B146="","",SUMIFS(Input_APM!N:N,Input_APM!L:L,Check!B146,Input_APM!M:M,Check!$F$1))</f>
        <v/>
      </c>
      <c r="E146" s="174" t="str">
        <f t="shared" si="38"/>
        <v/>
      </c>
      <c r="F146" s="188" t="str">
        <f>IF(B146="","",SUMIFS(Input_APM!N:N,Input_APM!M:M,Check!$F$1,Input_APM!L:L,Check!B146))</f>
        <v/>
      </c>
      <c r="G146" s="188" t="str">
        <f>IF(B146="","",SUMIFS(Input_APM!N:N,Input_APM!M:M,Check!$G$1,Input_APM!L:L,Check!B146))</f>
        <v/>
      </c>
      <c r="H146" s="174" t="str">
        <f t="shared" si="39"/>
        <v/>
      </c>
      <c r="I146" s="174">
        <f>SUMIFS(Input_APM!N:N,Input_APM!L:L,Check!B146)</f>
        <v>0</v>
      </c>
      <c r="J146" s="176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4" t="str">
        <f t="shared" si="41"/>
        <v/>
      </c>
      <c r="O146"/>
      <c r="P146" s="256" t="str">
        <f>IF(O146="","",IF(OR(LEFT(O146,4)="Cash",LEFT(O146,4)="Prov"),0,SUMIFS(Input_APM!N:N,Input_APM!L:L,Check!O146)))</f>
        <v/>
      </c>
      <c r="Q146" s="134" t="str">
        <f>IF(O146="","",IF(LEN(O146)&gt;9,SUMIFS(Options!$H$3:$H$28,Options!$B$3:$B$28,Check!O146),SUMIFS('Master P&amp;L'!$H$11:$H$88,'Master P&amp;L'!$B$11:$B$88,Check!O146)))</f>
        <v/>
      </c>
      <c r="R146" s="256" t="str">
        <f t="shared" si="43"/>
        <v/>
      </c>
      <c r="S146" s="289" t="str">
        <f t="shared" si="37"/>
        <v/>
      </c>
      <c r="T146" s="58" t="s">
        <v>448</v>
      </c>
    </row>
    <row r="147" spans="3:20">
      <c r="C147" s="188" t="str">
        <f>IF(B147="","",IF(LEN(B147)&gt;9,SUMIFS(Options!$H$3:$H$28,Options!$B$3:$B$28,Check!B147),SUMIFS('Master P&amp;L'!$H$11:$H$88,'Master P&amp;L'!$B$11:$B$88,Check!B147)))</f>
        <v/>
      </c>
      <c r="D147" s="188" t="str">
        <f>IF(B147="","",SUMIFS(Input_APM!N:N,Input_APM!L:L,Check!B147,Input_APM!M:M,Check!$F$1))</f>
        <v/>
      </c>
      <c r="E147" s="174" t="str">
        <f t="shared" si="38"/>
        <v/>
      </c>
      <c r="F147" s="188" t="str">
        <f>IF(B147="","",SUMIFS(Input_APM!N:N,Input_APM!M:M,Check!$F$1,Input_APM!L:L,Check!B147))</f>
        <v/>
      </c>
      <c r="G147" s="188" t="str">
        <f>IF(B147="","",SUMIFS(Input_APM!N:N,Input_APM!M:M,Check!$G$1,Input_APM!L:L,Check!B147))</f>
        <v/>
      </c>
      <c r="H147" s="174" t="str">
        <f t="shared" si="39"/>
        <v/>
      </c>
      <c r="I147" s="174">
        <f>SUMIFS(Input_APM!N:N,Input_APM!L:L,Check!B147)</f>
        <v>0</v>
      </c>
      <c r="J147" s="176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4" t="str">
        <f t="shared" si="41"/>
        <v/>
      </c>
      <c r="O147"/>
      <c r="P147" s="174" t="str">
        <f>IF(O147="","",IF(OR(LEFT(O147,4)="Cash",LEFT(O147,4)="Prov"),0,SUMIFS(Input_APM!N:N,Input_APM!L:L,Check!O147)))</f>
        <v/>
      </c>
      <c r="Q147" s="21" t="str">
        <f>IF(O147="","",IF(LEN(O147)&gt;9,SUMIFS(Options!$H$3:$H$28,Options!$B$3:$B$28,Check!O147),SUMIFS('Master P&amp;L'!$H$11:$H$88,'Master P&amp;L'!$B$11:$B$88,Check!O147)))</f>
        <v/>
      </c>
      <c r="R147" s="174" t="str">
        <f t="shared" si="43"/>
        <v/>
      </c>
      <c r="S147" s="289" t="str">
        <f t="shared" si="37"/>
        <v/>
      </c>
    </row>
    <row r="148" spans="3:20">
      <c r="C148" s="188" t="str">
        <f>IF(B148="","",IF(LEN(B148)&gt;9,SUMIFS(Options!$H$3:$H$28,Options!$B$3:$B$28,Check!B148),SUMIFS('Master P&amp;L'!$H$11:$H$88,'Master P&amp;L'!$B$11:$B$88,Check!B148)))</f>
        <v/>
      </c>
      <c r="D148" s="188" t="str">
        <f>IF(B148="","",SUMIFS(Input_APM!N:N,Input_APM!L:L,Check!B148,Input_APM!M:M,Check!$F$1))</f>
        <v/>
      </c>
      <c r="E148" s="174" t="str">
        <f t="shared" si="38"/>
        <v/>
      </c>
      <c r="F148" s="188" t="str">
        <f>IF(B148="","",SUMIFS(Input_APM!N:N,Input_APM!M:M,Check!$F$1,Input_APM!L:L,Check!B148))</f>
        <v/>
      </c>
      <c r="G148" s="188" t="str">
        <f>IF(B148="","",SUMIFS(Input_APM!N:N,Input_APM!M:M,Check!$G$1,Input_APM!L:L,Check!B148))</f>
        <v/>
      </c>
      <c r="H148" s="174" t="str">
        <f t="shared" si="39"/>
        <v/>
      </c>
      <c r="I148" s="174">
        <f>SUMIFS(Input_APM!N:N,Input_APM!L:L,Check!B148)</f>
        <v>0</v>
      </c>
      <c r="J148" s="176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4" t="str">
        <f t="shared" si="41"/>
        <v/>
      </c>
      <c r="O148"/>
      <c r="P148" s="174" t="str">
        <f>IF(O148="","",IF(OR(LEFT(O148,4)="Cash",LEFT(O148,4)="Prov"),0,SUMIFS(Input_APM!N:N,Input_APM!L:L,Check!O148)))</f>
        <v/>
      </c>
      <c r="Q148" s="21" t="str">
        <f>IF(O148="","",IF(LEN(O148)&gt;9,SUMIFS(Options!$H$3:$H$28,Options!$B$3:$B$28,Check!O148),SUMIFS('Master P&amp;L'!$H$11:$H$88,'Master P&amp;L'!$B$11:$B$88,Check!O148)))</f>
        <v/>
      </c>
      <c r="R148" s="174" t="str">
        <f t="shared" si="43"/>
        <v/>
      </c>
      <c r="S148" s="289" t="str">
        <f t="shared" si="37"/>
        <v/>
      </c>
    </row>
    <row r="149" spans="3:20">
      <c r="C149" s="188" t="str">
        <f>IF(B149="","",IF(LEN(B149)&gt;9,SUMIFS(Options!$H$3:$H$28,Options!$B$3:$B$28,Check!B149),SUMIFS('Master P&amp;L'!$H$11:$H$88,'Master P&amp;L'!$B$11:$B$88,Check!B149)))</f>
        <v/>
      </c>
      <c r="D149" s="188" t="str">
        <f>IF(B149="","",SUMIFS(Input_APM!N:N,Input_APM!L:L,Check!B149,Input_APM!M:M,Check!$F$1))</f>
        <v/>
      </c>
      <c r="E149" s="174" t="str">
        <f t="shared" si="38"/>
        <v/>
      </c>
      <c r="F149" s="188" t="str">
        <f>IF(B149="","",SUMIFS(Input_APM!N:N,Input_APM!M:M,Check!$F$1,Input_APM!L:L,Check!B149))</f>
        <v/>
      </c>
      <c r="G149" s="188" t="str">
        <f>IF(B149="","",SUMIFS(Input_APM!N:N,Input_APM!M:M,Check!$G$1,Input_APM!L:L,Check!B149))</f>
        <v/>
      </c>
      <c r="H149" s="174" t="str">
        <f t="shared" si="39"/>
        <v/>
      </c>
      <c r="I149" s="174">
        <f>SUMIFS(Input_APM!N:N,Input_APM!L:L,Check!B149)</f>
        <v>0</v>
      </c>
      <c r="J149" s="176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4" t="str">
        <f t="shared" si="41"/>
        <v/>
      </c>
      <c r="O149"/>
      <c r="P149" s="174" t="str">
        <f>IF(O149="","",IF(OR(LEFT(O149,4)="Cash",LEFT(O149,4)="Prov"),0,SUMIFS(Input_APM!N:N,Input_APM!L:L,Check!O149)))</f>
        <v/>
      </c>
      <c r="Q149" s="21" t="str">
        <f>IF(O149="","",IF(LEN(O149)&gt;9,SUMIFS(Options!$H$3:$H$28,Options!$B$3:$B$28,Check!O149),SUMIFS('Master P&amp;L'!$H$11:$H$88,'Master P&amp;L'!$B$11:$B$88,Check!O149)))</f>
        <v/>
      </c>
      <c r="R149" s="174" t="str">
        <f t="shared" si="43"/>
        <v/>
      </c>
      <c r="S149" s="289" t="str">
        <f t="shared" si="37"/>
        <v/>
      </c>
    </row>
    <row r="150" spans="3:20">
      <c r="C150" s="188" t="str">
        <f>IF(B150="","",IF(LEN(B150)&gt;9,SUMIFS(Options!$H$3:$H$28,Options!$B$3:$B$28,Check!B150),SUMIFS('Master P&amp;L'!$H$11:$H$88,'Master P&amp;L'!$B$11:$B$88,Check!B150)))</f>
        <v/>
      </c>
      <c r="D150" s="188" t="str">
        <f>IF(B150="","",SUMIFS(Input_APM!N:N,Input_APM!L:L,Check!B150,Input_APM!M:M,Check!$F$1))</f>
        <v/>
      </c>
      <c r="E150" s="174" t="str">
        <f t="shared" si="38"/>
        <v/>
      </c>
      <c r="F150" s="188" t="str">
        <f>IF(B150="","",SUMIFS(Input_APM!N:N,Input_APM!M:M,Check!$F$1,Input_APM!L:L,Check!B150))</f>
        <v/>
      </c>
      <c r="G150" s="188" t="str">
        <f>IF(B150="","",SUMIFS(Input_APM!N:N,Input_APM!M:M,Check!$G$1,Input_APM!L:L,Check!B150))</f>
        <v/>
      </c>
      <c r="H150" s="174" t="str">
        <f t="shared" si="39"/>
        <v/>
      </c>
      <c r="I150" s="174">
        <f>SUMIFS(Input_APM!N:N,Input_APM!L:L,Check!B150)</f>
        <v>0</v>
      </c>
      <c r="J150" s="176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4" t="str">
        <f t="shared" si="41"/>
        <v/>
      </c>
      <c r="O150"/>
      <c r="P150" s="174" t="str">
        <f>IF(O150="","",IF(OR(LEFT(O150,4)="Cash",LEFT(O150,4)="Prov"),0,SUMIFS(Input_APM!N:N,Input_APM!L:L,Check!O150)))</f>
        <v/>
      </c>
      <c r="Q150" s="21" t="str">
        <f>IF(O150="","",IF(LEN(O150)&gt;9,SUMIFS(Options!$H$3:$H$28,Options!$B$3:$B$28,Check!O150),SUMIFS('Master P&amp;L'!$H$11:$H$88,'Master P&amp;L'!$B$11:$B$88,Check!O150)))</f>
        <v/>
      </c>
      <c r="R150" s="174" t="str">
        <f t="shared" si="43"/>
        <v/>
      </c>
      <c r="S150" s="289" t="str">
        <f t="shared" si="37"/>
        <v/>
      </c>
    </row>
    <row r="151" spans="3:20">
      <c r="C151" s="188" t="str">
        <f>IF(B151="","",IF(LEN(B151)&gt;9,SUMIFS(Options!$H$3:$H$28,Options!$B$3:$B$28,Check!B151),SUMIFS('Master P&amp;L'!$H$11:$H$88,'Master P&amp;L'!$B$11:$B$88,Check!B151)))</f>
        <v/>
      </c>
      <c r="D151" s="188" t="str">
        <f>IF(B151="","",SUMIFS(Input_APM!N:N,Input_APM!L:L,Check!B151,Input_APM!M:M,Check!$F$1))</f>
        <v/>
      </c>
      <c r="E151" s="174" t="str">
        <f t="shared" ref="E151:E157" si="44">IF(B151="","",C151-M151)</f>
        <v/>
      </c>
      <c r="F151" s="188" t="str">
        <f>IF(B151="","",SUMIFS(Input_APM!N:N,Input_APM!M:M,Check!$F$1,Input_APM!L:L,Check!B151))</f>
        <v/>
      </c>
      <c r="G151" s="188" t="str">
        <f>IF(B151="","",SUMIFS(Input_APM!N:N,Input_APM!M:M,Check!$G$1,Input_APM!L:L,Check!B151))</f>
        <v/>
      </c>
      <c r="H151" s="174" t="str">
        <f t="shared" ref="H151:H158" si="45">IF(B151="","",F151-G151)</f>
        <v/>
      </c>
      <c r="I151" s="174">
        <f>SUMIFS(Input_APM!N:N,Input_APM!L:L,Check!B151)</f>
        <v>0</v>
      </c>
      <c r="J151" s="176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4" t="str">
        <f t="shared" ref="M151:M158" si="47">IF(B151="","",F151+G151+K151+L151)</f>
        <v/>
      </c>
      <c r="O151"/>
      <c r="P151" s="174" t="str">
        <f>IF(O151="","",IF(OR(LEFT(O151,4)="Cash",LEFT(O151,4)="Prov"),0,SUMIFS(Input_APM!N:N,Input_APM!L:L,Check!O151)))</f>
        <v/>
      </c>
      <c r="Q151" s="21" t="str">
        <f>IF(O151="","",IF(LEN(O151)&gt;9,SUMIFS(Options!$H$3:$H$28,Options!$B$3:$B$28,Check!O151),SUMIFS('Master P&amp;L'!$H$11:$H$88,'Master P&amp;L'!$B$11:$B$88,Check!O151)))</f>
        <v/>
      </c>
      <c r="R151" s="174" t="str">
        <f>IF(O151="","",P151-Q151)</f>
        <v/>
      </c>
      <c r="S151" s="289" t="str">
        <f t="shared" si="37"/>
        <v/>
      </c>
    </row>
    <row r="152" spans="3:20">
      <c r="C152" s="188" t="str">
        <f>IF(B152="","",IF(LEN(B152)&gt;9,SUMIFS(Options!$H$3:$H$28,Options!$B$3:$B$28,Check!B152),SUMIFS('Master P&amp;L'!$H$11:$H$88,'Master P&amp;L'!$B$11:$B$88,Check!B152)))</f>
        <v/>
      </c>
      <c r="D152" s="188" t="str">
        <f>IF(B152="","",SUMIFS(Input_APM!N:N,Input_APM!L:L,Check!B152,Input_APM!M:M,Check!$F$1))</f>
        <v/>
      </c>
      <c r="E152" s="174" t="str">
        <f t="shared" si="44"/>
        <v/>
      </c>
      <c r="F152" s="188" t="str">
        <f>IF(B152="","",SUMIFS(Input_APM!N:N,Input_APM!M:M,Check!$F$1,Input_APM!L:L,Check!B152))</f>
        <v/>
      </c>
      <c r="G152" s="188" t="str">
        <f>IF(B152="","",SUMIFS(Input_APM!N:N,Input_APM!M:M,Check!$G$1,Input_APM!L:L,Check!B152))</f>
        <v/>
      </c>
      <c r="H152" s="174" t="str">
        <f t="shared" si="45"/>
        <v/>
      </c>
      <c r="I152" s="174">
        <f>SUMIFS(Input_APM!N:N,Input_APM!L:L,Check!B152)</f>
        <v>0</v>
      </c>
      <c r="J152" s="176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4" t="str">
        <f t="shared" si="47"/>
        <v/>
      </c>
      <c r="O152"/>
      <c r="P152" s="174" t="str">
        <f>IF(O152="","",IF(OR(LEFT(O152,4)="Cash",LEFT(O152,4)="Prov"),0,SUMIFS(Input_APM!N:N,Input_APM!L:L,Check!O152)))</f>
        <v/>
      </c>
      <c r="Q152" s="21" t="str">
        <f>IF(O152="","",IF(LEN(O152)&gt;9,SUMIFS(Options!$H$3:$H$28,Options!$B$3:$B$28,Check!O152),SUMIFS('Master P&amp;L'!$H$11:$H$88,'Master P&amp;L'!$B$11:$B$88,Check!O152)))</f>
        <v/>
      </c>
      <c r="R152" s="174" t="str">
        <f>IF(O152="","",P152-Q152)</f>
        <v/>
      </c>
      <c r="S152" s="289" t="str">
        <f t="shared" si="37"/>
        <v/>
      </c>
    </row>
    <row r="153" spans="3:20">
      <c r="C153" s="188" t="str">
        <f>IF(B153="","",IF(LEN(B153)&gt;9,SUMIFS(Options!$H$3:$H$28,Options!$B$3:$B$28,Check!B153),SUMIFS('Master P&amp;L'!$H$11:$H$88,'Master P&amp;L'!$B$11:$B$88,Check!B153)))</f>
        <v/>
      </c>
      <c r="D153" s="188" t="str">
        <f>IF(B153="","",SUMIFS(Input_APM!N:N,Input_APM!L:L,Check!B153,Input_APM!M:M,Check!$F$1))</f>
        <v/>
      </c>
      <c r="E153" s="174" t="str">
        <f t="shared" si="44"/>
        <v/>
      </c>
      <c r="F153" s="188" t="str">
        <f>IF(B153="","",SUMIFS(Input_APM!N:N,Input_APM!M:M,Check!$F$1,Input_APM!L:L,Check!B153))</f>
        <v/>
      </c>
      <c r="G153" s="188" t="str">
        <f>IF(B153="","",SUMIFS(Input_APM!N:N,Input_APM!M:M,Check!$G$1,Input_APM!L:L,Check!B153))</f>
        <v/>
      </c>
      <c r="H153" s="174" t="str">
        <f t="shared" si="45"/>
        <v/>
      </c>
      <c r="I153" s="174">
        <f>SUMIFS(Input_APM!N:N,Input_APM!L:L,Check!B153)</f>
        <v>0</v>
      </c>
      <c r="J153" s="176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4" t="str">
        <f t="shared" si="47"/>
        <v/>
      </c>
      <c r="O153"/>
      <c r="P153" s="174" t="str">
        <f>IF(O153="","",IF(OR(LEFT(O153,4)="Cash",LEFT(O153,4)="Prov"),0,SUMIFS(Input_APM!N:N,Input_APM!L:L,Check!O153)))</f>
        <v/>
      </c>
      <c r="Q153" s="21" t="str">
        <f>IF(O153="","",IF(LEN(O153)&gt;9,SUMIFS(Options!$H$3:$H$28,Options!$B$3:$B$28,Check!O153),SUMIFS('Master P&amp;L'!$H$11:$H$88,'Master P&amp;L'!$B$11:$B$88,Check!O153)))</f>
        <v/>
      </c>
      <c r="R153" s="174" t="str">
        <f>IF(O153="","",P153-Q153)</f>
        <v/>
      </c>
      <c r="S153" s="289" t="str">
        <f t="shared" si="37"/>
        <v/>
      </c>
    </row>
    <row r="154" spans="3:20">
      <c r="C154" s="188" t="str">
        <f>IF(B154="","",IF(LEN(B154)&gt;9,SUMIFS(Options!$H$3:$H$28,Options!$B$3:$B$28,Check!B154),SUMIFS('Master P&amp;L'!$H$11:$H$88,'Master P&amp;L'!$B$11:$B$88,Check!B154)))</f>
        <v/>
      </c>
      <c r="D154" s="188" t="str">
        <f>IF(B154="","",SUMIFS(Input_APM!N:N,Input_APM!L:L,Check!B154,Input_APM!M:M,Check!$F$1))</f>
        <v/>
      </c>
      <c r="E154" s="174" t="str">
        <f t="shared" si="44"/>
        <v/>
      </c>
      <c r="F154" s="188" t="str">
        <f>IF(B154="","",SUMIFS(Input_APM!N:N,Input_APM!M:M,Check!$F$1,Input_APM!L:L,Check!B154))</f>
        <v/>
      </c>
      <c r="G154" s="188" t="str">
        <f>IF(B154="","",SUMIFS(Input_APM!N:N,Input_APM!M:M,Check!$G$1,Input_APM!L:L,Check!B154))</f>
        <v/>
      </c>
      <c r="H154" s="174" t="str">
        <f t="shared" si="45"/>
        <v/>
      </c>
      <c r="I154" s="174">
        <f>SUMIFS(Input_APM!N:N,Input_APM!L:L,Check!B154)</f>
        <v>0</v>
      </c>
      <c r="J154" s="176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4" t="str">
        <f t="shared" si="47"/>
        <v/>
      </c>
      <c r="O154"/>
      <c r="P154" s="174" t="str">
        <f>IF(O154="","",IF(OR(LEFT(O154,4)="Cash",LEFT(O154,4)="Prov"),0,SUMIFS(Input_APM!N:N,Input_APM!L:L,Check!O154)))</f>
        <v/>
      </c>
      <c r="Q154" s="21" t="str">
        <f>IF(O154="","",IF(LEN(O154)&gt;9,SUMIFS(Options!$H$3:$H$28,Options!$B$3:$B$28,Check!O154),SUMIFS('Master P&amp;L'!$H$11:$H$88,'Master P&amp;L'!$B$11:$B$88,Check!O154)))</f>
        <v/>
      </c>
      <c r="R154" s="174" t="str">
        <f>IF(O154="","",P154-Q154)</f>
        <v/>
      </c>
      <c r="S154" s="289" t="str">
        <f t="shared" si="37"/>
        <v/>
      </c>
    </row>
    <row r="155" spans="3:20">
      <c r="C155" s="188" t="str">
        <f>IF(B155="","",IF(LEN(B155)&gt;9,SUMIFS(Options!$H$3:$H$28,Options!$B$3:$B$28,Check!B155),SUMIFS('Master P&amp;L'!$H$11:$H$88,'Master P&amp;L'!$B$11:$B$88,Check!B155)))</f>
        <v/>
      </c>
      <c r="D155" s="188" t="str">
        <f>IF(B155="","",SUMIFS(Input_APM!N:N,Input_APM!L:L,Check!B155,Input_APM!M:M,Check!$F$1))</f>
        <v/>
      </c>
      <c r="E155" s="174" t="str">
        <f t="shared" si="44"/>
        <v/>
      </c>
      <c r="F155" s="188" t="str">
        <f>IF(B155="","",SUMIFS(Input_APM!N:N,Input_APM!M:M,Check!$F$1,Input_APM!L:L,Check!B155))</f>
        <v/>
      </c>
      <c r="G155" s="188" t="str">
        <f>IF(B155="","",SUMIFS(Input_APM!N:N,Input_APM!M:M,Check!$G$1,Input_APM!L:L,Check!B155))</f>
        <v/>
      </c>
      <c r="H155" s="174" t="str">
        <f t="shared" si="45"/>
        <v/>
      </c>
      <c r="I155" s="174">
        <f>SUMIFS(Input_APM!N:N,Input_APM!L:L,Check!B155)</f>
        <v>0</v>
      </c>
      <c r="J155" s="176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4" t="str">
        <f t="shared" si="47"/>
        <v/>
      </c>
      <c r="O155"/>
      <c r="P155" s="174" t="str">
        <f>IF(O155="","",IF(OR(LEFT(O155,4)="Cash",LEFT(O155,4)="Prov"),0,SUMIFS(Input_APM!N:N,Input_APM!L:L,Check!O155)))</f>
        <v/>
      </c>
      <c r="Q155" s="21" t="str">
        <f>IF(O155="","",IF(LEN(O155)&gt;9,SUMIFS(Options!$H$3:$H$28,Options!$B$3:$B$28,Check!O155),SUMIFS('Master P&amp;L'!$H$11:$H$88,'Master P&amp;L'!$B$11:$B$88,Check!O155)))</f>
        <v/>
      </c>
      <c r="R155" s="174" t="str">
        <f t="shared" ref="R155:R166" si="48">IF(O155="","",P155-Q155)</f>
        <v/>
      </c>
      <c r="S155" s="289" t="str">
        <f t="shared" si="37"/>
        <v/>
      </c>
    </row>
    <row r="156" spans="3:20">
      <c r="C156" s="188" t="str">
        <f>IF(B156="","",IF(LEN(B156)&gt;9,SUMIFS(Options!$H$3:$H$28,Options!$B$3:$B$28,Check!B156),SUMIFS('Master P&amp;L'!$H$11:$H$88,'Master P&amp;L'!$B$11:$B$88,Check!B156)))</f>
        <v/>
      </c>
      <c r="D156" s="188" t="str">
        <f>IF(B156="","",SUMIFS(Input_APM!N:N,Input_APM!L:L,Check!B156,Input_APM!M:M,Check!$F$1))</f>
        <v/>
      </c>
      <c r="E156" s="174" t="str">
        <f t="shared" si="44"/>
        <v/>
      </c>
      <c r="F156" s="188" t="str">
        <f>IF(B156="","",SUMIFS(Input_APM!N:N,Input_APM!M:M,Check!$F$1,Input_APM!L:L,Check!B156))</f>
        <v/>
      </c>
      <c r="G156" s="188" t="str">
        <f>IF(B156="","",SUMIFS(Input_APM!N:N,Input_APM!M:M,Check!$G$1,Input_APM!L:L,Check!B156))</f>
        <v/>
      </c>
      <c r="H156" s="174" t="str">
        <f t="shared" si="45"/>
        <v/>
      </c>
      <c r="I156" s="174">
        <f>SUMIFS(Input_APM!N:N,Input_APM!L:L,Check!B156)</f>
        <v>0</v>
      </c>
      <c r="J156" s="176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4" t="str">
        <f t="shared" si="47"/>
        <v/>
      </c>
      <c r="O156"/>
      <c r="P156" s="174" t="str">
        <f>IF(O156="","",IF(OR(LEFT(O156,4)="Cash",LEFT(O156,4)="Prov"),0,SUMIFS(Input_APM!N:N,Input_APM!L:L,Check!O156)))</f>
        <v/>
      </c>
      <c r="Q156" s="21" t="str">
        <f>IF(O156="","",IF(LEN(O156)&gt;9,SUMIFS(Options!$H$3:$H$28,Options!$B$3:$B$28,Check!O156),SUMIFS('Master P&amp;L'!$H$11:$H$88,'Master P&amp;L'!$B$11:$B$88,Check!O156)))</f>
        <v/>
      </c>
      <c r="R156" s="174" t="str">
        <f t="shared" si="48"/>
        <v/>
      </c>
      <c r="S156" s="289" t="str">
        <f t="shared" si="37"/>
        <v/>
      </c>
    </row>
    <row r="157" spans="3:20">
      <c r="C157" s="188" t="str">
        <f>IF(B157="","",IF(LEN(B157)&gt;9,SUMIFS(Options!$H$3:$H$28,Options!$B$3:$B$28,Check!B157),SUMIFS('Master P&amp;L'!$H$11:$H$88,'Master P&amp;L'!$B$11:$B$88,Check!B157)))</f>
        <v/>
      </c>
      <c r="D157" s="188" t="str">
        <f>IF(B157="","",SUMIFS(Input_APM!N:N,Input_APM!L:L,Check!B157,Input_APM!M:M,Check!$F$1))</f>
        <v/>
      </c>
      <c r="E157" s="174" t="str">
        <f t="shared" si="44"/>
        <v/>
      </c>
      <c r="F157" s="188" t="str">
        <f>IF(B157="","",SUMIFS(Input_APM!N:N,Input_APM!M:M,Check!$F$1,Input_APM!L:L,Check!B157))</f>
        <v/>
      </c>
      <c r="G157" s="188" t="str">
        <f>IF(B157="","",SUMIFS(Input_APM!N:N,Input_APM!M:M,Check!$G$1,Input_APM!L:L,Check!B157))</f>
        <v/>
      </c>
      <c r="H157" s="174" t="str">
        <f t="shared" si="45"/>
        <v/>
      </c>
      <c r="I157" s="174">
        <f>SUMIFS(Input_APM!N:N,Input_APM!L:L,Check!B157)</f>
        <v>0</v>
      </c>
      <c r="J157" s="176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4" t="str">
        <f t="shared" si="47"/>
        <v/>
      </c>
      <c r="O157"/>
      <c r="P157" s="174" t="str">
        <f>IF(O157="","",IF(OR(LEFT(O157,4)="Cash",LEFT(O157,4)="Prov"),0,SUMIFS(Input_APM!N:N,Input_APM!L:L,Check!O157)))</f>
        <v/>
      </c>
      <c r="Q157" s="21" t="str">
        <f>IF(O157="","",IF(LEN(O157)&gt;9,SUMIFS(Options!$H$3:$H$28,Options!$B$3:$B$28,Check!O157),SUMIFS('Master P&amp;L'!$H$11:$H$88,'Master P&amp;L'!$B$11:$B$88,Check!O157)))</f>
        <v/>
      </c>
      <c r="R157" s="174" t="str">
        <f t="shared" si="48"/>
        <v/>
      </c>
      <c r="S157" s="289" t="str">
        <f t="shared" si="37"/>
        <v/>
      </c>
    </row>
    <row r="158" spans="3:20">
      <c r="C158" s="188" t="str">
        <f>IF(B158="","",IF(LEN(B158)&gt;9,SUMIFS(Options!$H$3:$H$28,Options!$B$3:$B$28,Check!B158),SUMIFS('Master P&amp;L'!$H$11:$H$88,'Master P&amp;L'!$B$11:$B$88,Check!B158)))</f>
        <v/>
      </c>
      <c r="D158" s="188" t="str">
        <f>IF(B158="","",SUMIFS(Input_APM!N:N,Input_APM!L:L,Check!B158,Input_APM!M:M,Check!$F$1))</f>
        <v/>
      </c>
      <c r="E158" s="174" t="str">
        <f>IF(B158="","",C158-M158)</f>
        <v/>
      </c>
      <c r="F158" s="188" t="str">
        <f>IF(B158="","",SUMIFS(Input_APM!N:N,Input_APM!M:M,Check!$F$1,Input_APM!L:L,Check!B158))</f>
        <v/>
      </c>
      <c r="G158" s="188" t="str">
        <f>IF(B158="","",SUMIFS(Input_APM!N:N,Input_APM!M:M,Check!$G$1,Input_APM!L:L,Check!B158))</f>
        <v/>
      </c>
      <c r="H158" s="174" t="str">
        <f t="shared" si="45"/>
        <v/>
      </c>
      <c r="I158" s="174">
        <f>SUMIFS(Input_APM!N:N,Input_APM!L:L,Check!B158)</f>
        <v>0</v>
      </c>
      <c r="J158" s="176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4" t="str">
        <f t="shared" si="47"/>
        <v/>
      </c>
      <c r="O158"/>
      <c r="P158" s="174" t="str">
        <f>IF(O158="","",IF(OR(LEFT(O158,4)="Cash",LEFT(O158,4)="Prov"),0,SUMIFS(Input_APM!N:N,Input_APM!L:L,Check!O158)))</f>
        <v/>
      </c>
      <c r="Q158" s="21" t="str">
        <f>IF(O158="","",IF(LEN(O158)&gt;9,SUMIFS(Options!$H$3:$H$28,Options!$B$3:$B$28,Check!O158),SUMIFS('Master P&amp;L'!$H$11:$H$88,'Master P&amp;L'!$B$11:$B$88,Check!O158)))</f>
        <v/>
      </c>
      <c r="R158" s="174" t="str">
        <f t="shared" si="48"/>
        <v/>
      </c>
      <c r="S158" s="289" t="str">
        <f t="shared" si="37"/>
        <v/>
      </c>
    </row>
    <row r="159" spans="3:20">
      <c r="C159" s="188" t="str">
        <f>IF(B159="","",IF(LEN(B159)&gt;9,SUMIFS(Options!$H$3:$H$28,Options!$B$3:$B$28,Check!B159),SUMIFS('Master P&amp;L'!$H$11:$H$88,'Master P&amp;L'!$B$11:$B$88,Check!B159)))</f>
        <v/>
      </c>
      <c r="D159" s="188" t="str">
        <f>IF(B159="","",SUMIFS(Input_APM!N:N,Input_APM!L:L,Check!B159,Input_APM!M:M,Check!$F$1))</f>
        <v/>
      </c>
      <c r="E159" s="174" t="str">
        <f t="shared" ref="E159:E165" si="49">IF(B159="","",C159-M159)</f>
        <v/>
      </c>
      <c r="F159" s="188" t="str">
        <f>IF(B159="","",SUMIFS(Input_APM!N:N,Input_APM!M:M,Check!$F$1,Input_APM!L:L,Check!B159))</f>
        <v/>
      </c>
      <c r="G159" s="188" t="str">
        <f>IF(B159="","",SUMIFS(Input_APM!N:N,Input_APM!M:M,Check!$G$1,Input_APM!L:L,Check!B159))</f>
        <v/>
      </c>
      <c r="H159" s="174" t="str">
        <f t="shared" ref="H159:H165" si="50">IF(B159="","",F159-G159)</f>
        <v/>
      </c>
      <c r="I159" s="174">
        <f>SUMIFS(Input_APM!N:N,Input_APM!L:L,Check!B159)</f>
        <v>0</v>
      </c>
      <c r="J159" s="176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4" t="str">
        <f t="shared" ref="M159:M165" si="52">IF(B159="","",F159+G159+K159+L159)</f>
        <v/>
      </c>
      <c r="O159"/>
      <c r="P159" s="174" t="str">
        <f>IF(O159="","",IF(OR(LEFT(O159,4)="Cash",LEFT(O159,4)="Prov"),0,SUMIFS(Input_APM!N:N,Input_APM!L:L,Check!O159)))</f>
        <v/>
      </c>
      <c r="Q159" s="21" t="str">
        <f>IF(O159="","",IF(LEN(O159)&gt;9,SUMIFS(Options!$H$3:$H$28,Options!$B$3:$B$28,Check!O159),SUMIFS('Master P&amp;L'!$H$11:$H$88,'Master P&amp;L'!$B$11:$B$88,Check!O159)))</f>
        <v/>
      </c>
      <c r="R159" s="174" t="str">
        <f t="shared" si="48"/>
        <v/>
      </c>
      <c r="S159" s="289" t="str">
        <f t="shared" si="37"/>
        <v/>
      </c>
    </row>
    <row r="160" spans="3:20">
      <c r="C160" s="188" t="str">
        <f>IF(B160="","",IF(LEN(B160)&gt;9,SUMIFS(Options!$H$3:$H$28,Options!$B$3:$B$28,Check!B160),SUMIFS('Master P&amp;L'!$H$11:$H$88,'Master P&amp;L'!$B$11:$B$88,Check!B160)))</f>
        <v/>
      </c>
      <c r="D160" s="188" t="str">
        <f>IF(B160="","",SUMIFS(Input_APM!N:N,Input_APM!L:L,Check!B160,Input_APM!M:M,Check!$F$1))</f>
        <v/>
      </c>
      <c r="E160" s="174" t="str">
        <f t="shared" si="49"/>
        <v/>
      </c>
      <c r="F160" s="188" t="str">
        <f>IF(B160="","",SUMIFS(Input_APM!N:N,Input_APM!M:M,Check!$F$1,Input_APM!L:L,Check!B160))</f>
        <v/>
      </c>
      <c r="G160" s="188" t="str">
        <f>IF(B160="","",SUMIFS(Input_APM!N:N,Input_APM!M:M,Check!$G$1,Input_APM!L:L,Check!B160))</f>
        <v/>
      </c>
      <c r="H160" s="174" t="str">
        <f t="shared" si="50"/>
        <v/>
      </c>
      <c r="I160" s="174">
        <f>SUMIFS(Input_APM!N:N,Input_APM!L:L,Check!B160)</f>
        <v>0</v>
      </c>
      <c r="J160" s="176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4" t="str">
        <f t="shared" si="52"/>
        <v/>
      </c>
      <c r="O160"/>
      <c r="P160" s="174" t="str">
        <f>IF(O160="","",IF(OR(LEFT(O160,4)="Cash",LEFT(O160,4)="Prov"),0,SUMIFS(Input_APM!N:N,Input_APM!L:L,Check!O160)))</f>
        <v/>
      </c>
      <c r="Q160" s="21" t="str">
        <f>IF(O160="","",IF(LEN(O160)&gt;9,SUMIFS(Options!$H$3:$H$28,Options!$B$3:$B$28,Check!O160),SUMIFS('Master P&amp;L'!$H$11:$H$88,'Master P&amp;L'!$B$11:$B$88,Check!O160)))</f>
        <v/>
      </c>
      <c r="R160" s="174" t="str">
        <f t="shared" si="48"/>
        <v/>
      </c>
      <c r="S160" s="289" t="str">
        <f t="shared" si="37"/>
        <v/>
      </c>
    </row>
    <row r="161" spans="3:19">
      <c r="C161" s="188" t="str">
        <f>IF(B161="","",IF(LEN(B161)&gt;9,SUMIFS(Options!$H$3:$H$28,Options!$B$3:$B$28,Check!B161),SUMIFS('Master P&amp;L'!$H$11:$H$88,'Master P&amp;L'!$B$11:$B$88,Check!B161)))</f>
        <v/>
      </c>
      <c r="D161" s="188" t="str">
        <f>IF(B161="","",SUMIFS(Input_APM!N:N,Input_APM!L:L,Check!B161,Input_APM!M:M,Check!$F$1))</f>
        <v/>
      </c>
      <c r="E161" s="174" t="str">
        <f t="shared" si="49"/>
        <v/>
      </c>
      <c r="F161" s="188" t="str">
        <f>IF(B161="","",SUMIFS(Input_APM!N:N,Input_APM!M:M,Check!$F$1,Input_APM!L:L,Check!B161))</f>
        <v/>
      </c>
      <c r="G161" s="188" t="str">
        <f>IF(B161="","",SUMIFS(Input_APM!N:N,Input_APM!M:M,Check!$G$1,Input_APM!L:L,Check!B161))</f>
        <v/>
      </c>
      <c r="H161" s="174" t="str">
        <f t="shared" si="50"/>
        <v/>
      </c>
      <c r="I161" s="174">
        <f>SUMIFS(Input_APM!N:N,Input_APM!L:L,Check!B161)</f>
        <v>0</v>
      </c>
      <c r="J161" s="176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4" t="str">
        <f t="shared" si="52"/>
        <v/>
      </c>
      <c r="O161"/>
      <c r="P161" s="174" t="str">
        <f>IF(O161="","",IF(OR(LEFT(O161,4)="Cash",LEFT(O161,4)="Prov"),0,SUMIFS(Input_APM!N:N,Input_APM!L:L,Check!O161)))</f>
        <v/>
      </c>
      <c r="Q161" s="21" t="str">
        <f>IF(O161="","",IF(LEN(O161)&gt;9,SUMIFS(Options!$H$3:$H$28,Options!$B$3:$B$28,Check!O161),SUMIFS('Master P&amp;L'!$H$11:$H$88,'Master P&amp;L'!$B$11:$B$88,Check!O161)))</f>
        <v/>
      </c>
      <c r="R161" s="174" t="str">
        <f t="shared" si="48"/>
        <v/>
      </c>
      <c r="S161" s="289" t="str">
        <f t="shared" si="37"/>
        <v/>
      </c>
    </row>
    <row r="162" spans="3:19">
      <c r="C162" s="188" t="str">
        <f>IF(B162="","",IF(LEN(B162)&gt;9,SUMIFS(Options!$H$3:$H$28,Options!$B$3:$B$28,Check!B162),SUMIFS('Master P&amp;L'!$H$11:$H$88,'Master P&amp;L'!$B$11:$B$88,Check!B162)))</f>
        <v/>
      </c>
      <c r="D162" s="188" t="str">
        <f>IF(B162="","",SUMIFS(Input_APM!N:N,Input_APM!L:L,Check!B162,Input_APM!M:M,Check!$F$1))</f>
        <v/>
      </c>
      <c r="E162" s="174" t="str">
        <f t="shared" si="49"/>
        <v/>
      </c>
      <c r="F162" s="188" t="str">
        <f>IF(B162="","",SUMIFS(Input_APM!N:N,Input_APM!M:M,Check!$F$1,Input_APM!L:L,Check!B162))</f>
        <v/>
      </c>
      <c r="G162" s="188" t="str">
        <f>IF(B162="","",SUMIFS(Input_APM!N:N,Input_APM!M:M,Check!$G$1,Input_APM!L:L,Check!B162))</f>
        <v/>
      </c>
      <c r="H162" s="174" t="str">
        <f t="shared" si="50"/>
        <v/>
      </c>
      <c r="I162" s="174">
        <f>SUMIFS(Input_APM!N:N,Input_APM!L:L,Check!B162)</f>
        <v>0</v>
      </c>
      <c r="J162" s="176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4" t="str">
        <f t="shared" si="52"/>
        <v/>
      </c>
      <c r="O162"/>
      <c r="P162" s="174" t="str">
        <f>IF(O162="","",IF(OR(LEFT(O162,4)="Cash",LEFT(O162,4)="Prov"),0,SUMIFS(Input_APM!N:N,Input_APM!L:L,Check!O162)))</f>
        <v/>
      </c>
      <c r="Q162" s="21" t="str">
        <f>IF(O162="","",IF(LEN(O162)&gt;9,SUMIFS(Options!$H$3:$H$28,Options!$B$3:$B$28,Check!O162),SUMIFS('Master P&amp;L'!$H$11:$H$88,'Master P&amp;L'!$B$11:$B$88,Check!O162)))</f>
        <v/>
      </c>
      <c r="R162" s="174" t="str">
        <f t="shared" si="48"/>
        <v/>
      </c>
      <c r="S162" s="289" t="str">
        <f t="shared" si="37"/>
        <v/>
      </c>
    </row>
    <row r="163" spans="3:19">
      <c r="C163" s="188" t="str">
        <f>IF(B163="","",IF(LEN(B163)&gt;9,SUMIFS(Options!$H$3:$H$28,Options!$B$3:$B$28,Check!B163),SUMIFS('Master P&amp;L'!$H$11:$H$88,'Master P&amp;L'!$B$11:$B$88,Check!B163)))</f>
        <v/>
      </c>
      <c r="D163" s="188" t="str">
        <f>IF(B163="","",SUMIFS(Input_APM!N:N,Input_APM!L:L,Check!B163,Input_APM!M:M,Check!$F$1))</f>
        <v/>
      </c>
      <c r="E163" s="174" t="str">
        <f t="shared" si="49"/>
        <v/>
      </c>
      <c r="F163" s="188" t="str">
        <f>IF(B163="","",SUMIFS(Input_APM!N:N,Input_APM!M:M,Check!$F$1,Input_APM!L:L,Check!B163))</f>
        <v/>
      </c>
      <c r="G163" s="188" t="str">
        <f>IF(B163="","",SUMIFS(Input_APM!N:N,Input_APM!M:M,Check!$G$1,Input_APM!L:L,Check!B163))</f>
        <v/>
      </c>
      <c r="H163" s="174" t="str">
        <f t="shared" si="50"/>
        <v/>
      </c>
      <c r="I163" s="174">
        <f>SUMIFS(Input_APM!N:N,Input_APM!L:L,Check!B163)</f>
        <v>0</v>
      </c>
      <c r="J163" s="176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4" t="str">
        <f t="shared" si="52"/>
        <v/>
      </c>
      <c r="O163"/>
      <c r="P163" s="174" t="str">
        <f>IF(O163="","",IF(OR(LEFT(O163,4)="Cash",LEFT(O163,4)="Prov"),0,SUMIFS(Input_APM!N:N,Input_APM!L:L,Check!O163)))</f>
        <v/>
      </c>
      <c r="Q163" s="21" t="str">
        <f>IF(O163="","",IF(LEN(O163)&gt;9,SUMIFS(Options!$H$3:$H$28,Options!$B$3:$B$28,Check!O163),SUMIFS('Master P&amp;L'!$H$11:$H$88,'Master P&amp;L'!$B$11:$B$88,Check!O163)))</f>
        <v/>
      </c>
      <c r="R163" s="174" t="str">
        <f t="shared" si="48"/>
        <v/>
      </c>
      <c r="S163" s="289" t="str">
        <f t="shared" si="37"/>
        <v/>
      </c>
    </row>
    <row r="164" spans="3:19">
      <c r="C164" s="188" t="str">
        <f>IF(B164="","",IF(LEN(B164)&gt;9,SUMIFS(Options!$H$3:$H$28,Options!$B$3:$B$28,Check!B164),SUMIFS('Master P&amp;L'!$H$11:$H$88,'Master P&amp;L'!$B$11:$B$88,Check!B164)))</f>
        <v/>
      </c>
      <c r="D164" s="188" t="str">
        <f>IF(B164="","",SUMIFS(Input_APM!N:N,Input_APM!L:L,Check!B164,Input_APM!M:M,Check!$F$1))</f>
        <v/>
      </c>
      <c r="E164" s="174" t="str">
        <f t="shared" si="49"/>
        <v/>
      </c>
      <c r="F164" s="188" t="str">
        <f>IF(B164="","",SUMIFS(Input_APM!N:N,Input_APM!M:M,Check!$F$1,Input_APM!L:L,Check!B164))</f>
        <v/>
      </c>
      <c r="G164" s="188" t="str">
        <f>IF(B164="","",SUMIFS(Input_APM!N:N,Input_APM!M:M,Check!$G$1,Input_APM!L:L,Check!B164))</f>
        <v/>
      </c>
      <c r="H164" s="174" t="str">
        <f t="shared" si="50"/>
        <v/>
      </c>
      <c r="I164" s="174">
        <f>SUMIFS(Input_APM!N:N,Input_APM!L:L,Check!B164)</f>
        <v>0</v>
      </c>
      <c r="J164" s="176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4" t="str">
        <f t="shared" si="52"/>
        <v/>
      </c>
      <c r="O164"/>
      <c r="P164" s="174" t="str">
        <f>IF(O164="","",IF(OR(LEFT(O164,4)="Cash",LEFT(O164,4)="Prov"),0,SUMIFS(Input_APM!N:N,Input_APM!L:L,Check!O164)))</f>
        <v/>
      </c>
      <c r="Q164" s="21" t="str">
        <f>IF(O164="","",IF(LEN(O164)&gt;9,SUMIFS(Options!$H$3:$H$28,Options!$B$3:$B$28,Check!O164),SUMIFS('Master P&amp;L'!$H$11:$H$88,'Master P&amp;L'!$B$11:$B$88,Check!O164)))</f>
        <v/>
      </c>
      <c r="R164" s="174" t="str">
        <f t="shared" si="48"/>
        <v/>
      </c>
      <c r="S164" s="289" t="str">
        <f t="shared" si="37"/>
        <v/>
      </c>
    </row>
    <row r="165" spans="3:19">
      <c r="C165" s="188" t="str">
        <f>IF(B165="","",IF(LEN(B165)&gt;9,SUMIFS(Options!$H$3:$H$28,Options!$B$3:$B$28,Check!B165),SUMIFS('Master P&amp;L'!$H$11:$H$88,'Master P&amp;L'!$B$11:$B$88,Check!B165)))</f>
        <v/>
      </c>
      <c r="D165" s="188" t="str">
        <f>IF(B165="","",SUMIFS(Input_APM!N:N,Input_APM!L:L,Check!B165,Input_APM!M:M,Check!$F$1))</f>
        <v/>
      </c>
      <c r="E165" s="174" t="str">
        <f t="shared" si="49"/>
        <v/>
      </c>
      <c r="F165" s="188" t="str">
        <f>IF(B165="","",SUMIFS(Input_APM!N:N,Input_APM!M:M,Check!$F$1,Input_APM!L:L,Check!B165))</f>
        <v/>
      </c>
      <c r="G165" s="188" t="str">
        <f>IF(B165="","",SUMIFS(Input_APM!N:N,Input_APM!M:M,Check!$G$1,Input_APM!L:L,Check!B165))</f>
        <v/>
      </c>
      <c r="H165" s="174" t="str">
        <f t="shared" si="50"/>
        <v/>
      </c>
      <c r="I165" s="174">
        <f>SUMIFS(Input_APM!N:N,Input_APM!L:L,Check!B165)</f>
        <v>0</v>
      </c>
      <c r="J165" s="176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4" t="str">
        <f t="shared" si="52"/>
        <v/>
      </c>
      <c r="O165"/>
      <c r="P165" s="174" t="str">
        <f>IF(O165="","",IF(OR(LEFT(O165,4)="Cash",LEFT(O165,4)="Prov"),0,SUMIFS(Input_APM!N:N,Input_APM!L:L,Check!O165)))</f>
        <v/>
      </c>
      <c r="Q165" s="21" t="str">
        <f>IF(O165="","",IF(LEN(O165)&gt;9,SUMIFS(Options!$H$3:$H$28,Options!$B$3:$B$28,Check!O165),SUMIFS('Master P&amp;L'!$H$11:$H$88,'Master P&amp;L'!$B$11:$B$88,Check!O165)))</f>
        <v/>
      </c>
      <c r="R165" s="174" t="str">
        <f t="shared" si="48"/>
        <v/>
      </c>
      <c r="S165" s="289" t="str">
        <f t="shared" si="37"/>
        <v/>
      </c>
    </row>
    <row r="166" spans="3:19">
      <c r="C166" s="188" t="str">
        <f>IF(B166="","",IF(LEN(B166)&gt;9,SUMIFS(Options!$H$3:$H$28,Options!$B$3:$B$28,Check!B166),SUMIFS('Master P&amp;L'!$H$11:$H$88,'Master P&amp;L'!$B$11:$B$88,Check!B166)))</f>
        <v/>
      </c>
      <c r="D166" s="188" t="str">
        <f>IF(B166="","",SUMIFS(Input_APM!N:N,Input_APM!L:L,Check!B166,Input_APM!M:M,Check!$F$1))</f>
        <v/>
      </c>
      <c r="E166" s="174" t="str">
        <f>IF(B166="","",C166-M166)</f>
        <v/>
      </c>
      <c r="F166" s="188" t="str">
        <f>IF(B166="","",SUMIFS(Input_APM!N:N,Input_APM!M:M,Check!$F$1,Input_APM!L:L,Check!B166))</f>
        <v/>
      </c>
      <c r="G166" s="188" t="str">
        <f>IF(B166="","",SUMIFS(Input_APM!N:N,Input_APM!M:M,Check!$G$1,Input_APM!L:L,Check!B166))</f>
        <v/>
      </c>
      <c r="H166" s="174" t="str">
        <f>IF(B166="","",F166-G166)</f>
        <v/>
      </c>
      <c r="I166" s="174">
        <f>SUMIFS(Input_APM!N:N,Input_APM!L:L,Check!B166)</f>
        <v>0</v>
      </c>
      <c r="J166" s="176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4" t="str">
        <f>IF(B166="","",F166+G166+K166+L166)</f>
        <v/>
      </c>
      <c r="O166"/>
      <c r="P166" s="174" t="str">
        <f>IF(O166="","",IF(OR(LEFT(O166,4)="Cash",LEFT(O166,4)="Prov"),0,SUMIFS(Input_APM!N:N,Input_APM!L:L,Check!O166)))</f>
        <v/>
      </c>
      <c r="Q166" s="21" t="str">
        <f>IF(O166="","",IF(LEN(O166)&gt;9,SUMIFS(Options!$H$3:$H$28,Options!$B$3:$B$28,Check!O166),SUMIFS('Master P&amp;L'!$H$11:$H$88,'Master P&amp;L'!$B$11:$B$88,Check!O166)))</f>
        <v/>
      </c>
      <c r="R166" s="174" t="str">
        <f t="shared" si="48"/>
        <v/>
      </c>
      <c r="S166" s="289" t="str">
        <f t="shared" si="37"/>
        <v/>
      </c>
    </row>
    <row r="167" spans="3:19">
      <c r="C167" s="188" t="str">
        <f>IF(B167="","",IF(LEN(B167)&gt;9,SUMIFS(Options!$H$3:$H$28,Options!$B$3:$B$28,Check!B167),SUMIFS('Master P&amp;L'!$H$11:$H$88,'Master P&amp;L'!$B$11:$B$88,Check!B167)))</f>
        <v/>
      </c>
      <c r="D167" s="188" t="str">
        <f>IF(B167="","",SUMIFS(Input_APM!N:N,Input_APM!L:L,Check!B167,Input_APM!M:M,Check!$F$1))</f>
        <v/>
      </c>
      <c r="E167" s="174" t="str">
        <f>IF(B167="","",C167-M167)</f>
        <v/>
      </c>
      <c r="F167" s="188" t="str">
        <f>IF(B167="","",SUMIFS(Input_APM!N:N,Input_APM!M:M,Check!$F$1,Input_APM!L:L,Check!B167))</f>
        <v/>
      </c>
      <c r="G167" s="188" t="str">
        <f>IF(B167="","",SUMIFS(Input_APM!N:N,Input_APM!M:M,Check!$G$1,Input_APM!L:L,Check!B167))</f>
        <v/>
      </c>
      <c r="H167" s="174" t="str">
        <f>IF(B167="","",F167-G167)</f>
        <v/>
      </c>
      <c r="I167" s="174">
        <f>SUMIFS(Input_APM!N:N,Input_APM!L:L,Check!B167)</f>
        <v>0</v>
      </c>
      <c r="J167" s="176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4" t="str">
        <f>IF(B167="","",F167+G167+K167+L167)</f>
        <v/>
      </c>
      <c r="O167"/>
      <c r="P167" s="174" t="str">
        <f>IF(O167="","",IF(OR(LEFT(O167,4)="Cash",LEFT(O167,4)="Prov"),0,SUMIFS(Input_APM!N:N,Input_APM!L:L,Check!O167)))</f>
        <v/>
      </c>
      <c r="Q167" s="21" t="str">
        <f>IF(O167="","",IF(LEN(O167)&gt;9,SUMIFS(Options!$H$3:$H$28,Options!$B$3:$B$28,Check!O167),SUMIFS('Master P&amp;L'!$H$11:$H$88,'Master P&amp;L'!$B$11:$B$88,Check!O167)))</f>
        <v/>
      </c>
      <c r="R167" s="174" t="str">
        <f t="shared" ref="R167:R177" si="53">IF(O167="","",P167-Q167)</f>
        <v/>
      </c>
      <c r="S167" s="289" t="str">
        <f t="shared" si="37"/>
        <v/>
      </c>
    </row>
    <row r="168" spans="3:19">
      <c r="C168" s="188" t="str">
        <f>IF(B168="","",IF(LEN(B168)&gt;9,SUMIFS(Options!$H$3:$H$28,Options!$B$3:$B$28,Check!B168),SUMIFS('Master P&amp;L'!$H$11:$H$88,'Master P&amp;L'!$B$11:$B$88,Check!B168)))</f>
        <v/>
      </c>
      <c r="D168" s="188" t="str">
        <f>IF(B168="","",SUMIFS(Input_APM!N:N,Input_APM!L:L,Check!B168,Input_APM!M:M,Check!$F$1))</f>
        <v/>
      </c>
      <c r="E168" s="174" t="str">
        <f t="shared" ref="E168:E175" si="54">IF(B168="","",C168-M168)</f>
        <v/>
      </c>
      <c r="F168" s="188" t="str">
        <f>IF(B168="","",SUMIFS(Input_APM!N:N,Input_APM!M:M,Check!$F$1,Input_APM!L:L,Check!B168))</f>
        <v/>
      </c>
      <c r="G168" s="188" t="str">
        <f>IF(B168="","",SUMIFS(Input_APM!N:N,Input_APM!M:M,Check!$G$1,Input_APM!L:L,Check!B168))</f>
        <v/>
      </c>
      <c r="H168" s="174" t="str">
        <f t="shared" ref="H168:H175" si="55">IF(B168="","",F168-G168)</f>
        <v/>
      </c>
      <c r="I168" s="174">
        <f>SUMIFS(Input_APM!N:N,Input_APM!L:L,Check!B168)</f>
        <v>0</v>
      </c>
      <c r="J168" s="176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4" t="str">
        <f t="shared" ref="M168:M175" si="57">IF(B168="","",F168+G168+K168+L168)</f>
        <v/>
      </c>
      <c r="O168"/>
      <c r="P168" s="174" t="str">
        <f>IF(O168="","",IF(OR(LEFT(O168,4)="Cash",LEFT(O168,4)="Prov"),0,SUMIFS(Input_APM!N:N,Input_APM!L:L,Check!O168)))</f>
        <v/>
      </c>
      <c r="Q168" s="21" t="str">
        <f>IF(O168="","",IF(LEN(O168)&gt;9,SUMIFS(Options!$H$3:$H$28,Options!$B$3:$B$28,Check!O168),SUMIFS('Master P&amp;L'!$H$11:$H$88,'Master P&amp;L'!$B$11:$B$88,Check!O168)))</f>
        <v/>
      </c>
      <c r="R168" s="174" t="str">
        <f t="shared" si="53"/>
        <v/>
      </c>
      <c r="S168" s="289" t="str">
        <f t="shared" si="37"/>
        <v/>
      </c>
    </row>
    <row r="169" spans="3:19">
      <c r="C169" s="188" t="str">
        <f>IF(B169="","",IF(LEN(B169)&gt;9,SUMIFS(Options!$H$3:$H$28,Options!$B$3:$B$28,Check!B169),SUMIFS('Master P&amp;L'!$H$11:$H$88,'Master P&amp;L'!$B$11:$B$88,Check!B169)))</f>
        <v/>
      </c>
      <c r="D169" s="188" t="str">
        <f>IF(B169="","",SUMIFS(Input_APM!N:N,Input_APM!L:L,Check!B169,Input_APM!M:M,Check!$F$1))</f>
        <v/>
      </c>
      <c r="E169" s="174" t="str">
        <f t="shared" si="54"/>
        <v/>
      </c>
      <c r="F169" s="188" t="str">
        <f>IF(B169="","",SUMIFS(Input_APM!N:N,Input_APM!M:M,Check!$F$1,Input_APM!L:L,Check!B169))</f>
        <v/>
      </c>
      <c r="G169" s="188" t="str">
        <f>IF(B169="","",SUMIFS(Input_APM!N:N,Input_APM!M:M,Check!$G$1,Input_APM!L:L,Check!B169))</f>
        <v/>
      </c>
      <c r="H169" s="174" t="str">
        <f t="shared" si="55"/>
        <v/>
      </c>
      <c r="I169" s="174">
        <f>SUMIFS(Input_APM!N:N,Input_APM!L:L,Check!B169)</f>
        <v>0</v>
      </c>
      <c r="J169" s="176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4" t="str">
        <f t="shared" si="57"/>
        <v/>
      </c>
      <c r="O169"/>
      <c r="P169" s="174" t="str">
        <f>IF(O169="","",IF(OR(LEFT(O169,4)="Cash",LEFT(O169,4)="Prov"),0,SUMIFS(Input_APM!N:N,Input_APM!L:L,Check!O169)))</f>
        <v/>
      </c>
      <c r="Q169" s="21" t="str">
        <f>IF(O169="","",IF(LEN(O169)&gt;9,SUMIFS(Options!$H$3:$H$28,Options!$B$3:$B$28,Check!O169),SUMIFS('Master P&amp;L'!$H$11:$H$88,'Master P&amp;L'!$B$11:$B$88,Check!O169)))</f>
        <v/>
      </c>
      <c r="R169" s="174" t="str">
        <f t="shared" si="53"/>
        <v/>
      </c>
      <c r="S169" s="289" t="str">
        <f t="shared" si="37"/>
        <v/>
      </c>
    </row>
    <row r="170" spans="3:19">
      <c r="C170" s="188" t="str">
        <f>IF(B170="","",IF(LEN(B170)&gt;9,SUMIFS(Options!$H$3:$H$28,Options!$B$3:$B$28,Check!B170),SUMIFS('Master P&amp;L'!$H$11:$H$88,'Master P&amp;L'!$B$11:$B$88,Check!B170)))</f>
        <v/>
      </c>
      <c r="D170" s="188" t="str">
        <f>IF(B170="","",SUMIFS(Input_APM!N:N,Input_APM!L:L,Check!B170,Input_APM!M:M,Check!$F$1))</f>
        <v/>
      </c>
      <c r="E170" s="174" t="str">
        <f t="shared" si="54"/>
        <v/>
      </c>
      <c r="F170" s="188" t="str">
        <f>IF(B170="","",SUMIFS(Input_APM!N:N,Input_APM!M:M,Check!$F$1,Input_APM!L:L,Check!B170))</f>
        <v/>
      </c>
      <c r="G170" s="188" t="str">
        <f>IF(B170="","",SUMIFS(Input_APM!N:N,Input_APM!M:M,Check!$G$1,Input_APM!L:L,Check!B170))</f>
        <v/>
      </c>
      <c r="H170" s="174" t="str">
        <f t="shared" si="55"/>
        <v/>
      </c>
      <c r="I170" s="174">
        <f>SUMIFS(Input_APM!N:N,Input_APM!L:L,Check!B170)</f>
        <v>0</v>
      </c>
      <c r="J170" s="176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4" t="str">
        <f t="shared" si="57"/>
        <v/>
      </c>
      <c r="O170"/>
      <c r="P170" s="174" t="str">
        <f>IF(O170="","",IF(OR(LEFT(O170,4)="Cash",LEFT(O170,4)="Prov"),0,SUMIFS(Input_APM!N:N,Input_APM!L:L,Check!O170)))</f>
        <v/>
      </c>
      <c r="Q170" s="21" t="str">
        <f>IF(O170="","",IF(LEN(O170)&gt;9,SUMIFS(Options!$H$3:$H$28,Options!$B$3:$B$28,Check!O170),SUMIFS('Master P&amp;L'!$H$11:$H$88,'Master P&amp;L'!$B$11:$B$88,Check!O170)))</f>
        <v/>
      </c>
      <c r="R170" s="174" t="str">
        <f t="shared" si="53"/>
        <v/>
      </c>
      <c r="S170" s="289" t="str">
        <f t="shared" si="37"/>
        <v/>
      </c>
    </row>
    <row r="171" spans="3:19">
      <c r="C171" s="188" t="str">
        <f>IF(B171="","",IF(LEN(B171)&gt;9,SUMIFS(Options!$H$3:$H$28,Options!$B$3:$B$28,Check!B171),SUMIFS('Master P&amp;L'!$H$11:$H$88,'Master P&amp;L'!$B$11:$B$88,Check!B171)))</f>
        <v/>
      </c>
      <c r="D171" s="188" t="str">
        <f>IF(B171="","",SUMIFS(Input_APM!N:N,Input_APM!L:L,Check!B171,Input_APM!M:M,Check!$F$1))</f>
        <v/>
      </c>
      <c r="E171" s="174" t="str">
        <f t="shared" si="54"/>
        <v/>
      </c>
      <c r="F171" s="188" t="str">
        <f>IF(B171="","",SUMIFS(Input_APM!N:N,Input_APM!M:M,Check!$F$1,Input_APM!L:L,Check!B171))</f>
        <v/>
      </c>
      <c r="G171" s="188" t="str">
        <f>IF(B171="","",SUMIFS(Input_APM!N:N,Input_APM!M:M,Check!$G$1,Input_APM!L:L,Check!B171))</f>
        <v/>
      </c>
      <c r="H171" s="174" t="str">
        <f t="shared" si="55"/>
        <v/>
      </c>
      <c r="I171" s="174">
        <f>SUMIFS(Input_APM!N:N,Input_APM!L:L,Check!B171)</f>
        <v>0</v>
      </c>
      <c r="J171" s="176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4" t="str">
        <f t="shared" si="57"/>
        <v/>
      </c>
      <c r="O171"/>
      <c r="P171" s="174" t="str">
        <f>IF(O171="","",IF(OR(LEFT(O171,4)="Cash",LEFT(O171,4)="Prov"),0,SUMIFS(Input_APM!N:N,Input_APM!L:L,Check!O171)))</f>
        <v/>
      </c>
      <c r="Q171" s="21" t="str">
        <f>IF(O171="","",IF(LEN(O171)&gt;9,SUMIFS(Options!$H$3:$H$28,Options!$B$3:$B$28,Check!O171),SUMIFS('Master P&amp;L'!$H$11:$H$88,'Master P&amp;L'!$B$11:$B$88,Check!O171)))</f>
        <v/>
      </c>
      <c r="R171" s="174" t="str">
        <f t="shared" si="53"/>
        <v/>
      </c>
      <c r="S171" s="289" t="str">
        <f t="shared" si="37"/>
        <v/>
      </c>
    </row>
    <row r="172" spans="3:19">
      <c r="C172" s="188" t="str">
        <f>IF(B172="","",IF(LEN(B172)&gt;9,SUMIFS(Options!$H$3:$H$28,Options!$B$3:$B$28,Check!B172),SUMIFS('Master P&amp;L'!$H$11:$H$88,'Master P&amp;L'!$B$11:$B$88,Check!B172)))</f>
        <v/>
      </c>
      <c r="D172" s="188" t="str">
        <f>IF(B172="","",SUMIFS(Input_APM!N:N,Input_APM!L:L,Check!B172,Input_APM!M:M,Check!$F$1))</f>
        <v/>
      </c>
      <c r="E172" s="174" t="str">
        <f t="shared" si="54"/>
        <v/>
      </c>
      <c r="F172" s="188" t="str">
        <f>IF(B172="","",SUMIFS(Input_APM!N:N,Input_APM!M:M,Check!$F$1,Input_APM!L:L,Check!B172))</f>
        <v/>
      </c>
      <c r="G172" s="188" t="str">
        <f>IF(B172="","",SUMIFS(Input_APM!N:N,Input_APM!M:M,Check!$G$1,Input_APM!L:L,Check!B172))</f>
        <v/>
      </c>
      <c r="H172" s="174" t="str">
        <f t="shared" si="55"/>
        <v/>
      </c>
      <c r="I172" s="174">
        <f>SUMIFS(Input_APM!N:N,Input_APM!L:L,Check!B172)</f>
        <v>0</v>
      </c>
      <c r="J172" s="176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4" t="str">
        <f t="shared" si="57"/>
        <v/>
      </c>
      <c r="O172"/>
      <c r="P172" s="174" t="str">
        <f>IF(O172="","",IF(OR(LEFT(O172,4)="Cash",LEFT(O172,4)="Prov"),0,SUMIFS(Input_APM!N:N,Input_APM!L:L,Check!O172)))</f>
        <v/>
      </c>
      <c r="Q172" s="21" t="str">
        <f>IF(O172="","",IF(LEN(O172)&gt;9,SUMIFS(Options!$H$3:$H$28,Options!$B$3:$B$28,Check!O172),SUMIFS('Master P&amp;L'!$H$11:$H$88,'Master P&amp;L'!$B$11:$B$88,Check!O172)))</f>
        <v/>
      </c>
      <c r="R172" s="174" t="str">
        <f t="shared" si="53"/>
        <v/>
      </c>
      <c r="S172" s="289" t="str">
        <f t="shared" si="37"/>
        <v/>
      </c>
    </row>
    <row r="173" spans="3:19">
      <c r="C173" s="188" t="str">
        <f>IF(B173="","",IF(LEN(B173)&gt;9,SUMIFS(Options!$H$3:$H$28,Options!$B$3:$B$28,Check!B173),SUMIFS('Master P&amp;L'!$H$11:$H$88,'Master P&amp;L'!$B$11:$B$88,Check!B173)))</f>
        <v/>
      </c>
      <c r="D173" s="188" t="str">
        <f>IF(B173="","",SUMIFS(Input_APM!N:N,Input_APM!L:L,Check!B173,Input_APM!M:M,Check!$F$1))</f>
        <v/>
      </c>
      <c r="E173" s="174" t="str">
        <f t="shared" si="54"/>
        <v/>
      </c>
      <c r="F173" s="188" t="str">
        <f>IF(B173="","",SUMIFS(Input_APM!N:N,Input_APM!M:M,Check!$F$1,Input_APM!L:L,Check!B173))</f>
        <v/>
      </c>
      <c r="G173" s="188" t="str">
        <f>IF(B173="","",SUMIFS(Input_APM!N:N,Input_APM!M:M,Check!$G$1,Input_APM!L:L,Check!B173))</f>
        <v/>
      </c>
      <c r="H173" s="174" t="str">
        <f t="shared" si="55"/>
        <v/>
      </c>
      <c r="I173" s="174">
        <f>SUMIFS(Input_APM!N:N,Input_APM!L:L,Check!B173)</f>
        <v>0</v>
      </c>
      <c r="J173" s="176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4" t="str">
        <f t="shared" si="57"/>
        <v/>
      </c>
      <c r="O173"/>
      <c r="P173" s="174" t="str">
        <f>IF(O173="","",IF(OR(LEFT(O173,4)="Cash",LEFT(O173,4)="Prov"),0,SUMIFS(Input_APM!N:N,Input_APM!L:L,Check!O173)))</f>
        <v/>
      </c>
      <c r="Q173" s="21" t="str">
        <f>IF(O173="","",IF(LEN(O173)&gt;9,SUMIFS(Options!$H$3:$H$28,Options!$B$3:$B$28,Check!O173),SUMIFS('Master P&amp;L'!$H$11:$H$88,'Master P&amp;L'!$B$11:$B$88,Check!O173)))</f>
        <v/>
      </c>
      <c r="R173" s="174" t="str">
        <f t="shared" si="53"/>
        <v/>
      </c>
      <c r="S173" s="289" t="str">
        <f t="shared" si="37"/>
        <v/>
      </c>
    </row>
    <row r="174" spans="3:19">
      <c r="C174" s="188" t="str">
        <f>IF(B174="","",IF(LEN(B174)&gt;9,SUMIFS(Options!$H$3:$H$28,Options!$B$3:$B$28,Check!B174),SUMIFS('Master P&amp;L'!$H$11:$H$88,'Master P&amp;L'!$B$11:$B$88,Check!B174)))</f>
        <v/>
      </c>
      <c r="D174" s="188" t="str">
        <f>IF(B174="","",SUMIFS(Input_APM!N:N,Input_APM!L:L,Check!B174,Input_APM!M:M,Check!$F$1))</f>
        <v/>
      </c>
      <c r="E174" s="174" t="str">
        <f t="shared" si="54"/>
        <v/>
      </c>
      <c r="F174" s="188" t="str">
        <f>IF(B174="","",SUMIFS(Input_APM!N:N,Input_APM!M:M,Check!$F$1,Input_APM!L:L,Check!B174))</f>
        <v/>
      </c>
      <c r="G174" s="188" t="str">
        <f>IF(B174="","",SUMIFS(Input_APM!N:N,Input_APM!M:M,Check!$G$1,Input_APM!L:L,Check!B174))</f>
        <v/>
      </c>
      <c r="H174" s="174" t="str">
        <f t="shared" si="55"/>
        <v/>
      </c>
      <c r="I174" s="174">
        <f>SUMIFS(Input_APM!N:N,Input_APM!L:L,Check!B174)</f>
        <v>0</v>
      </c>
      <c r="J174" s="176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4" t="str">
        <f t="shared" si="57"/>
        <v/>
      </c>
      <c r="O174"/>
      <c r="P174" s="174" t="str">
        <f>IF(O174="","",IF(OR(LEFT(O174,4)="Cash",LEFT(O174,4)="Prov"),0,SUMIFS(Input_APM!N:N,Input_APM!L:L,Check!O174)))</f>
        <v/>
      </c>
      <c r="Q174" s="21" t="str">
        <f>IF(O174="","",IF(LEN(O174)&gt;9,SUMIFS(Options!$H$3:$H$28,Options!$B$3:$B$28,Check!O174),SUMIFS('Master P&amp;L'!$H$11:$H$88,'Master P&amp;L'!$B$11:$B$88,Check!O174)))</f>
        <v/>
      </c>
      <c r="R174" s="174" t="str">
        <f t="shared" si="53"/>
        <v/>
      </c>
      <c r="S174" s="289" t="str">
        <f t="shared" si="37"/>
        <v/>
      </c>
    </row>
    <row r="175" spans="3:19">
      <c r="C175" s="188" t="str">
        <f>IF(B175="","",IF(LEN(B175)&gt;9,SUMIFS(Options!$H$3:$H$28,Options!$B$3:$B$28,Check!B175),SUMIFS('Master P&amp;L'!$H$11:$H$88,'Master P&amp;L'!$B$11:$B$88,Check!B175)))</f>
        <v/>
      </c>
      <c r="D175" s="188" t="str">
        <f>IF(B175="","",SUMIFS(Input_APM!N:N,Input_APM!L:L,Check!B175,Input_APM!M:M,Check!$F$1))</f>
        <v/>
      </c>
      <c r="E175" s="174" t="str">
        <f t="shared" si="54"/>
        <v/>
      </c>
      <c r="F175" s="188" t="str">
        <f>IF(B175="","",SUMIFS(Input_APM!N:N,Input_APM!M:M,Check!$F$1,Input_APM!L:L,Check!B175))</f>
        <v/>
      </c>
      <c r="G175" s="188" t="str">
        <f>IF(B175="","",SUMIFS(Input_APM!N:N,Input_APM!M:M,Check!$G$1,Input_APM!L:L,Check!B175))</f>
        <v/>
      </c>
      <c r="H175" s="174" t="str">
        <f t="shared" si="55"/>
        <v/>
      </c>
      <c r="I175" s="174">
        <f>SUMIFS(Input_APM!N:N,Input_APM!L:L,Check!B175)</f>
        <v>0</v>
      </c>
      <c r="J175" s="176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4" t="str">
        <f t="shared" si="57"/>
        <v/>
      </c>
      <c r="O175"/>
      <c r="P175" s="174" t="str">
        <f>IF(O175="","",IF(OR(LEFT(O175,4)="Cash",LEFT(O175,4)="Prov"),0,SUMIFS(Input_APM!N:N,Input_APM!L:L,Check!O175)))</f>
        <v/>
      </c>
      <c r="Q175" s="21" t="str">
        <f>IF(O175="","",IF(LEN(O175)&gt;9,SUMIFS(Options!$H$3:$H$28,Options!$B$3:$B$28,Check!O175),SUMIFS('Master P&amp;L'!$H$11:$H$88,'Master P&amp;L'!$B$11:$B$88,Check!O175)))</f>
        <v/>
      </c>
      <c r="R175" s="174" t="str">
        <f t="shared" si="53"/>
        <v/>
      </c>
      <c r="S175" s="289" t="str">
        <f t="shared" si="37"/>
        <v/>
      </c>
    </row>
    <row r="176" spans="3:19">
      <c r="C176" s="188" t="str">
        <f>IF(B176="","",IF(LEN(B176)&gt;9,SUMIFS(Options!$H$3:$H$28,Options!$B$3:$B$28,Check!B176),SUMIFS('Master P&amp;L'!$H$11:$H$88,'Master P&amp;L'!$B$11:$B$88,Check!B176)))</f>
        <v/>
      </c>
      <c r="D176" s="188" t="str">
        <f>IF(B176="","",SUMIFS(Input_APM!N:N,Input_APM!L:L,Check!B176,Input_APM!M:M,Check!$F$1))</f>
        <v/>
      </c>
      <c r="E176" s="174" t="str">
        <f t="shared" ref="E176:E183" si="58">IF(B176="","",C176-M176)</f>
        <v/>
      </c>
      <c r="F176" s="188" t="str">
        <f>IF(B176="","",SUMIFS(Input_APM!N:N,Input_APM!M:M,Check!$F$1,Input_APM!L:L,Check!B176))</f>
        <v/>
      </c>
      <c r="G176" s="188" t="str">
        <f>IF(B176="","",SUMIFS(Input_APM!N:N,Input_APM!M:M,Check!$G$1,Input_APM!L:L,Check!B176))</f>
        <v/>
      </c>
      <c r="H176" s="174" t="str">
        <f t="shared" ref="H176:H183" si="59">IF(B176="","",F176-G176)</f>
        <v/>
      </c>
      <c r="I176" s="174">
        <f>SUMIFS(Input_APM!N:N,Input_APM!L:L,Check!B176)</f>
        <v>0</v>
      </c>
      <c r="J176" s="176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4" t="str">
        <f t="shared" ref="M176:M183" si="61">IF(B176="","",F176+G176+K176+L176)</f>
        <v/>
      </c>
      <c r="O176"/>
      <c r="P176" s="174" t="str">
        <f>IF(O176="","",IF(OR(LEFT(O176,4)="Cash",LEFT(O176,4)="Prov"),0,SUMIFS(Input_APM!N:N,Input_APM!L:L,Check!O176)))</f>
        <v/>
      </c>
      <c r="Q176" s="21" t="str">
        <f>IF(O176="","",IF(LEN(O176)&gt;9,SUMIFS(Options!$H$3:$H$28,Options!$B$3:$B$28,Check!O176),SUMIFS('Master P&amp;L'!$H$11:$H$88,'Master P&amp;L'!$B$11:$B$88,Check!O176)))</f>
        <v/>
      </c>
      <c r="R176" s="174" t="str">
        <f t="shared" si="53"/>
        <v/>
      </c>
      <c r="S176" s="289" t="str">
        <f t="shared" si="37"/>
        <v/>
      </c>
    </row>
    <row r="177" spans="3:19">
      <c r="C177" s="188" t="str">
        <f>IF(B177="","",IF(LEN(B177)&gt;9,SUMIFS(Options!$H$3:$H$28,Options!$B$3:$B$28,Check!B177),SUMIFS('Master P&amp;L'!$H$11:$H$88,'Master P&amp;L'!$B$11:$B$88,Check!B177)))</f>
        <v/>
      </c>
      <c r="D177" s="188" t="str">
        <f>IF(B177="","",SUMIFS(Input_APM!N:N,Input_APM!L:L,Check!B177,Input_APM!M:M,Check!$F$1))</f>
        <v/>
      </c>
      <c r="E177" s="174" t="str">
        <f t="shared" si="58"/>
        <v/>
      </c>
      <c r="F177" s="188" t="str">
        <f>IF(B177="","",SUMIFS(Input_APM!N:N,Input_APM!M:M,Check!$F$1,Input_APM!L:L,Check!B177))</f>
        <v/>
      </c>
      <c r="G177" s="188" t="str">
        <f>IF(B177="","",SUMIFS(Input_APM!N:N,Input_APM!M:M,Check!$G$1,Input_APM!L:L,Check!B177))</f>
        <v/>
      </c>
      <c r="H177" s="174" t="str">
        <f t="shared" si="59"/>
        <v/>
      </c>
      <c r="I177" s="174">
        <f>SUMIFS(Input_APM!N:N,Input_APM!L:L,Check!B177)</f>
        <v>0</v>
      </c>
      <c r="J177" s="176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4" t="str">
        <f t="shared" si="61"/>
        <v/>
      </c>
      <c r="O177"/>
      <c r="P177" s="174" t="str">
        <f>IF(O177="","",IF(OR(LEFT(O177,4)="Cash",LEFT(O177,4)="Prov"),0,SUMIFS(Input_APM!N:N,Input_APM!L:L,Check!O177)))</f>
        <v/>
      </c>
      <c r="Q177" s="21" t="str">
        <f>IF(O177="","",IF(LEN(O177)&gt;9,SUMIFS(Options!$H$3:$H$28,Options!$B$3:$B$28,Check!O177),SUMIFS('Master P&amp;L'!$H$11:$H$88,'Master P&amp;L'!$B$11:$B$88,Check!O177)))</f>
        <v/>
      </c>
      <c r="R177" s="174" t="str">
        <f t="shared" si="53"/>
        <v/>
      </c>
      <c r="S177" s="289" t="str">
        <f t="shared" si="37"/>
        <v/>
      </c>
    </row>
    <row r="178" spans="3:19">
      <c r="C178" s="188" t="str">
        <f>IF(B178="","",IF(LEN(B178)&gt;9,SUMIFS(Options!$H$3:$H$28,Options!$B$3:$B$28,Check!B178),SUMIFS('Master P&amp;L'!$H$11:$H$88,'Master P&amp;L'!$B$11:$B$88,Check!B178)))</f>
        <v/>
      </c>
      <c r="D178" s="188" t="str">
        <f>IF(B178="","",SUMIFS(Input_APM!N:N,Input_APM!L:L,Check!B178,Input_APM!M:M,Check!$F$1))</f>
        <v/>
      </c>
      <c r="E178" s="174" t="str">
        <f t="shared" si="58"/>
        <v/>
      </c>
      <c r="F178" s="188" t="str">
        <f>IF(B178="","",SUMIFS(Input_APM!N:N,Input_APM!M:M,Check!$F$1,Input_APM!L:L,Check!B178))</f>
        <v/>
      </c>
      <c r="G178" s="188" t="str">
        <f>IF(B178="","",SUMIFS(Input_APM!N:N,Input_APM!M:M,Check!$G$1,Input_APM!L:L,Check!B178))</f>
        <v/>
      </c>
      <c r="H178" s="174" t="str">
        <f t="shared" si="59"/>
        <v/>
      </c>
      <c r="I178" s="174">
        <f>SUMIFS(Input_APM!N:N,Input_APM!L:L,Check!B178)</f>
        <v>0</v>
      </c>
      <c r="J178" s="176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4" t="str">
        <f t="shared" si="61"/>
        <v/>
      </c>
      <c r="O178"/>
      <c r="P178" s="174" t="str">
        <f>IF(O178="","",IF(OR(LEFT(O178,4)="Cash",LEFT(O178,4)="Prov"),0,SUMIFS(Input_APM!N:N,Input_APM!L:L,Check!O178)))</f>
        <v/>
      </c>
      <c r="Q178" s="21" t="str">
        <f>IF(O178="","",IF(LEN(O178)&gt;9,SUMIFS(Options!$H$3:$H$28,Options!$B$3:$B$28,Check!O178),SUMIFS('Master P&amp;L'!$H$11:$H$88,'Master P&amp;L'!$B$11:$B$88,Check!O178)))</f>
        <v/>
      </c>
      <c r="R178" s="174" t="str">
        <f t="shared" ref="R178:R183" si="62">IF(O178="","",P178-Q178)</f>
        <v/>
      </c>
      <c r="S178" s="289" t="str">
        <f t="shared" si="37"/>
        <v/>
      </c>
    </row>
    <row r="179" spans="3:19">
      <c r="C179" s="188" t="str">
        <f>IF(B179="","",IF(LEN(B179)&gt;9,SUMIFS(Options!$H$3:$H$28,Options!$B$3:$B$28,Check!B179),SUMIFS('Master P&amp;L'!$H$11:$H$88,'Master P&amp;L'!$B$11:$B$88,Check!B179)))</f>
        <v/>
      </c>
      <c r="D179" s="188" t="str">
        <f>IF(B179="","",SUMIFS(Input_APM!N:N,Input_APM!L:L,Check!B179,Input_APM!M:M,Check!$F$1))</f>
        <v/>
      </c>
      <c r="E179" s="174" t="str">
        <f t="shared" si="58"/>
        <v/>
      </c>
      <c r="F179" s="188" t="str">
        <f>IF(B179="","",SUMIFS(Input_APM!N:N,Input_APM!M:M,Check!$F$1,Input_APM!L:L,Check!B179))</f>
        <v/>
      </c>
      <c r="G179" s="188" t="str">
        <f>IF(B179="","",SUMIFS(Input_APM!N:N,Input_APM!M:M,Check!$G$1,Input_APM!L:L,Check!B179))</f>
        <v/>
      </c>
      <c r="H179" s="174" t="str">
        <f t="shared" si="59"/>
        <v/>
      </c>
      <c r="I179" s="174">
        <f>SUMIFS(Input_APM!N:N,Input_APM!L:L,Check!B179)</f>
        <v>0</v>
      </c>
      <c r="J179" s="176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4" t="str">
        <f t="shared" si="61"/>
        <v/>
      </c>
      <c r="O179"/>
      <c r="P179" s="174" t="str">
        <f>IF(O179="","",IF(OR(LEFT(O179,4)="Cash",LEFT(O179,4)="Prov"),0,SUMIFS(Input_APM!N:N,Input_APM!L:L,Check!O179)))</f>
        <v/>
      </c>
      <c r="Q179" s="21" t="str">
        <f>IF(O179="","",IF(LEN(O179)&gt;9,SUMIFS(Options!$H$3:$H$28,Options!$B$3:$B$28,Check!O179),SUMIFS('Master P&amp;L'!$H$11:$H$88,'Master P&amp;L'!$B$11:$B$88,Check!O179)))</f>
        <v/>
      </c>
      <c r="R179" s="174" t="str">
        <f t="shared" si="62"/>
        <v/>
      </c>
      <c r="S179" s="289" t="str">
        <f t="shared" si="37"/>
        <v/>
      </c>
    </row>
    <row r="180" spans="3:19">
      <c r="C180" s="188" t="str">
        <f>IF(B180="","",IF(LEN(B180)&gt;9,SUMIFS(Options!$H$3:$H$28,Options!$B$3:$B$28,Check!B180),SUMIFS('Master P&amp;L'!$H$11:$H$88,'Master P&amp;L'!$B$11:$B$88,Check!B180)))</f>
        <v/>
      </c>
      <c r="D180" s="188" t="str">
        <f>IF(B180="","",SUMIFS(Input_APM!N:N,Input_APM!L:L,Check!B180,Input_APM!M:M,Check!$F$1))</f>
        <v/>
      </c>
      <c r="E180" s="174" t="str">
        <f t="shared" si="58"/>
        <v/>
      </c>
      <c r="F180" s="188" t="str">
        <f>IF(B180="","",SUMIFS(Input_APM!N:N,Input_APM!M:M,Check!$F$1,Input_APM!L:L,Check!B180))</f>
        <v/>
      </c>
      <c r="G180" s="188" t="str">
        <f>IF(B180="","",SUMIFS(Input_APM!N:N,Input_APM!M:M,Check!$G$1,Input_APM!L:L,Check!B180))</f>
        <v/>
      </c>
      <c r="H180" s="174" t="str">
        <f t="shared" si="59"/>
        <v/>
      </c>
      <c r="I180" s="174">
        <f>SUMIFS(Input_APM!N:N,Input_APM!L:L,Check!B180)</f>
        <v>0</v>
      </c>
      <c r="J180" s="176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4" t="str">
        <f t="shared" si="61"/>
        <v/>
      </c>
      <c r="O180"/>
      <c r="P180" s="174" t="str">
        <f>IF(O180="","",IF(OR(LEFT(O180,4)="Cash",LEFT(O180,4)="Prov"),0,SUMIFS(Input_APM!N:N,Input_APM!L:L,Check!O180)))</f>
        <v/>
      </c>
      <c r="Q180" s="21" t="str">
        <f>IF(O180="","",IF(LEN(O180)&gt;9,SUMIFS(Options!$H$3:$H$28,Options!$B$3:$B$28,Check!O180),SUMIFS('Master P&amp;L'!$H$11:$H$88,'Master P&amp;L'!$B$11:$B$88,Check!O180)))</f>
        <v/>
      </c>
      <c r="R180" s="174" t="str">
        <f t="shared" si="62"/>
        <v/>
      </c>
      <c r="S180" s="289" t="str">
        <f t="shared" si="37"/>
        <v/>
      </c>
    </row>
    <row r="181" spans="3:19">
      <c r="C181" s="188" t="str">
        <f>IF(B181="","",IF(LEN(B181)&gt;9,SUMIFS(Options!$H$3:$H$28,Options!$B$3:$B$28,Check!B181),SUMIFS('Master P&amp;L'!$H$11:$H$88,'Master P&amp;L'!$B$11:$B$88,Check!B181)))</f>
        <v/>
      </c>
      <c r="D181" s="188" t="str">
        <f>IF(B181="","",SUMIFS(Input_APM!N:N,Input_APM!L:L,Check!B181,Input_APM!M:M,Check!$F$1))</f>
        <v/>
      </c>
      <c r="E181" s="174" t="str">
        <f t="shared" si="58"/>
        <v/>
      </c>
      <c r="F181" s="188" t="str">
        <f>IF(B181="","",SUMIFS(Input_APM!N:N,Input_APM!M:M,Check!$F$1,Input_APM!L:L,Check!B181))</f>
        <v/>
      </c>
      <c r="G181" s="188" t="str">
        <f>IF(B181="","",SUMIFS(Input_APM!N:N,Input_APM!M:M,Check!$G$1,Input_APM!L:L,Check!B181))</f>
        <v/>
      </c>
      <c r="H181" s="174" t="str">
        <f t="shared" si="59"/>
        <v/>
      </c>
      <c r="I181" s="174">
        <f>SUMIFS(Input_APM!N:N,Input_APM!L:L,Check!B181)</f>
        <v>0</v>
      </c>
      <c r="J181" s="176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4" t="str">
        <f t="shared" si="61"/>
        <v/>
      </c>
      <c r="O181"/>
      <c r="P181" s="174" t="str">
        <f>IF(O181="","",IF(OR(LEFT(O181,4)="Cash",LEFT(O181,4)="Prov"),0,SUMIFS(Input_APM!N:N,Input_APM!L:L,Check!O181)))</f>
        <v/>
      </c>
      <c r="Q181" s="21" t="str">
        <f>IF(O181="","",IF(LEN(O181)&gt;9,SUMIFS(Options!$H$3:$H$28,Options!$B$3:$B$28,Check!O181),SUMIFS('Master P&amp;L'!$H$11:$H$88,'Master P&amp;L'!$B$11:$B$88,Check!O181)))</f>
        <v/>
      </c>
      <c r="R181" s="174" t="str">
        <f t="shared" si="62"/>
        <v/>
      </c>
      <c r="S181" s="289" t="str">
        <f t="shared" si="37"/>
        <v/>
      </c>
    </row>
    <row r="182" spans="3:19">
      <c r="C182" s="188" t="str">
        <f>IF(B182="","",IF(LEN(B182)&gt;9,SUMIFS(Options!$H$3:$H$28,Options!$B$3:$B$28,Check!B182),SUMIFS('Master P&amp;L'!$H$11:$H$88,'Master P&amp;L'!$B$11:$B$88,Check!B182)))</f>
        <v/>
      </c>
      <c r="D182" s="188" t="str">
        <f>IF(B182="","",SUMIFS(Input_APM!N:N,Input_APM!L:L,Check!B182,Input_APM!M:M,Check!$F$1))</f>
        <v/>
      </c>
      <c r="E182" s="174" t="str">
        <f t="shared" si="58"/>
        <v/>
      </c>
      <c r="F182" s="188" t="str">
        <f>IF(B182="","",SUMIFS(Input_APM!N:N,Input_APM!M:M,Check!$F$1,Input_APM!L:L,Check!B182))</f>
        <v/>
      </c>
      <c r="G182" s="188" t="str">
        <f>IF(B182="","",SUMIFS(Input_APM!N:N,Input_APM!M:M,Check!$G$1,Input_APM!L:L,Check!B182))</f>
        <v/>
      </c>
      <c r="H182" s="174" t="str">
        <f t="shared" si="59"/>
        <v/>
      </c>
      <c r="I182" s="174">
        <f>SUMIFS(Input_APM!N:N,Input_APM!L:L,Check!B182)</f>
        <v>0</v>
      </c>
      <c r="J182" s="176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4" t="str">
        <f t="shared" si="61"/>
        <v/>
      </c>
      <c r="O182"/>
      <c r="P182" s="174" t="str">
        <f>IF(O182="","",IF(OR(LEFT(O182,4)="Cash",LEFT(O182,4)="Prov"),0,SUMIFS(Input_APM!N:N,Input_APM!L:L,Check!O182)))</f>
        <v/>
      </c>
      <c r="Q182" s="21" t="str">
        <f>IF(O182="","",IF(LEN(O182)&gt;9,SUMIFS(Options!$H$3:$H$28,Options!$B$3:$B$28,Check!O182),SUMIFS('Master P&amp;L'!$H$11:$H$88,'Master P&amp;L'!$B$11:$B$88,Check!O182)))</f>
        <v/>
      </c>
      <c r="R182" s="174" t="str">
        <f t="shared" si="62"/>
        <v/>
      </c>
      <c r="S182" s="289" t="str">
        <f t="shared" si="37"/>
        <v/>
      </c>
    </row>
    <row r="183" spans="3:19">
      <c r="C183" s="188" t="str">
        <f>IF(B183="","",IF(LEN(B183)&gt;9,SUMIFS(Options!$H$3:$H$28,Options!$B$3:$B$28,Check!B183),SUMIFS('Master P&amp;L'!$H$11:$H$88,'Master P&amp;L'!$B$11:$B$88,Check!B183)))</f>
        <v/>
      </c>
      <c r="D183" s="188" t="str">
        <f>IF(B183="","",SUMIFS(Input_APM!N:N,Input_APM!L:L,Check!B183,Input_APM!M:M,Check!$F$1))</f>
        <v/>
      </c>
      <c r="E183" s="174" t="str">
        <f t="shared" si="58"/>
        <v/>
      </c>
      <c r="F183" s="188" t="str">
        <f>IF(B183="","",SUMIFS(Input_APM!N:N,Input_APM!M:M,Check!$F$1,Input_APM!L:L,Check!B183))</f>
        <v/>
      </c>
      <c r="G183" s="188" t="str">
        <f>IF(B183="","",SUMIFS(Input_APM!N:N,Input_APM!M:M,Check!$G$1,Input_APM!L:L,Check!B183))</f>
        <v/>
      </c>
      <c r="H183" s="174" t="str">
        <f t="shared" si="59"/>
        <v/>
      </c>
      <c r="I183" s="174">
        <f>SUMIFS(Input_APM!N:N,Input_APM!L:L,Check!B183)</f>
        <v>0</v>
      </c>
      <c r="J183" s="176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4" t="str">
        <f t="shared" si="61"/>
        <v/>
      </c>
      <c r="O183"/>
      <c r="P183" s="174" t="str">
        <f>IF(O183="","",IF(OR(LEFT(O183,4)="Cash",LEFT(O183,4)="Prov"),0,SUMIFS(Input_APM!N:N,Input_APM!L:L,Check!O183)))</f>
        <v/>
      </c>
      <c r="Q183" s="21" t="str">
        <f>IF(O183="","",IF(LEN(O183)&gt;9,SUMIFS(Options!$H$3:$H$28,Options!$B$3:$B$28,Check!O183),SUMIFS('Master P&amp;L'!$H$11:$H$88,'Master P&amp;L'!$B$11:$B$88,Check!O183)))</f>
        <v/>
      </c>
      <c r="R183" s="174" t="str">
        <f t="shared" si="62"/>
        <v/>
      </c>
      <c r="S183" s="289" t="str">
        <f t="shared" si="37"/>
        <v/>
      </c>
    </row>
    <row r="184" spans="3:19">
      <c r="C184" s="188" t="str">
        <f>IF(B184="","",IF(LEN(B184)&gt;9,SUMIFS(Options!$H$3:$H$28,Options!$B$3:$B$28,Check!B184),SUMIFS('Master P&amp;L'!$H$11:$H$88,'Master P&amp;L'!$B$11:$B$88,Check!B184)))</f>
        <v/>
      </c>
      <c r="D184" s="188" t="str">
        <f>IF(B184="","",SUMIFS(Input_APM!N:N,Input_APM!L:L,Check!B184,Input_APM!M:M,Check!$F$1))</f>
        <v/>
      </c>
      <c r="E184" s="174" t="str">
        <f t="shared" ref="E184:E191" si="63">IF(B184="","",C184-M184)</f>
        <v/>
      </c>
      <c r="F184" s="188" t="str">
        <f>IF(B184="","",SUMIFS(Input_APM!N:N,Input_APM!M:M,Check!$F$1,Input_APM!L:L,Check!B184))</f>
        <v/>
      </c>
      <c r="G184" s="188" t="str">
        <f>IF(B184="","",SUMIFS(Input_APM!N:N,Input_APM!M:M,Check!$G$1,Input_APM!L:L,Check!B184))</f>
        <v/>
      </c>
      <c r="H184" s="174" t="str">
        <f t="shared" ref="H184:H191" si="64">IF(B184="","",F184-G184)</f>
        <v/>
      </c>
      <c r="I184" s="174">
        <f>SUMIFS(Input_APM!N:N,Input_APM!L:L,Check!B184)</f>
        <v>0</v>
      </c>
      <c r="J184" s="176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4" t="str">
        <f t="shared" ref="M184:M191" si="66">IF(B184="","",F184+G184+K184+L184)</f>
        <v/>
      </c>
      <c r="O184"/>
      <c r="P184" s="174" t="str">
        <f>IF(O184="","",IF(OR(LEFT(O184,4)="Cash",LEFT(O184,4)="Prov"),0,SUMIFS(Input_APM!N:N,Input_APM!L:L,Check!O184)))</f>
        <v/>
      </c>
      <c r="Q184" s="21" t="str">
        <f>IF(O184="","",IF(LEN(O184)&gt;9,SUMIFS(Options!$H$3:$H$28,Options!$B$3:$B$28,Check!O184),SUMIFS('Master P&amp;L'!$H$11:$H$88,'Master P&amp;L'!$B$11:$B$88,Check!O184)))</f>
        <v/>
      </c>
      <c r="R184" s="174" t="str">
        <f>IF(O184="","",P184-Q184)</f>
        <v/>
      </c>
      <c r="S184" s="289" t="str">
        <f t="shared" si="37"/>
        <v/>
      </c>
    </row>
    <row r="185" spans="3:19">
      <c r="C185" s="188" t="str">
        <f>IF(B185="","",IF(LEN(B185)&gt;9,SUMIFS(Options!$H$3:$H$28,Options!$B$3:$B$28,Check!B185),SUMIFS('Master P&amp;L'!$H$11:$H$88,'Master P&amp;L'!$B$11:$B$88,Check!B185)))</f>
        <v/>
      </c>
      <c r="D185" s="188" t="str">
        <f>IF(B185="","",SUMIFS(Input_APM!N:N,Input_APM!L:L,Check!B185,Input_APM!M:M,Check!$F$1))</f>
        <v/>
      </c>
      <c r="E185" s="174" t="str">
        <f t="shared" si="63"/>
        <v/>
      </c>
      <c r="F185" s="188" t="str">
        <f>IF(B185="","",SUMIFS(Input_APM!N:N,Input_APM!M:M,Check!$F$1,Input_APM!L:L,Check!B185))</f>
        <v/>
      </c>
      <c r="G185" s="188" t="str">
        <f>IF(B185="","",SUMIFS(Input_APM!N:N,Input_APM!M:M,Check!$G$1,Input_APM!L:L,Check!B185))</f>
        <v/>
      </c>
      <c r="H185" s="174" t="str">
        <f t="shared" si="64"/>
        <v/>
      </c>
      <c r="I185" s="174">
        <f>SUMIFS(Input_APM!N:N,Input_APM!L:L,Check!B185)</f>
        <v>0</v>
      </c>
      <c r="J185" s="176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4" t="str">
        <f t="shared" si="66"/>
        <v/>
      </c>
      <c r="O185"/>
      <c r="P185" s="174" t="str">
        <f>IF(O185="","",IF(OR(LEFT(O185,4)="Cash",LEFT(O185,4)="Prov"),0,SUMIFS(Input_APM!N:N,Input_APM!L:L,Check!O185)))</f>
        <v/>
      </c>
      <c r="Q185" s="21" t="str">
        <f>IF(O185="","",IF(LEN(O185)&gt;9,SUMIFS(Options!$H$3:$H$28,Options!$B$3:$B$28,Check!O185),SUMIFS('Master P&amp;L'!$H$11:$H$88,'Master P&amp;L'!$B$11:$B$88,Check!O185)))</f>
        <v/>
      </c>
      <c r="R185" s="174" t="str">
        <f>IF(O185="","",P185-Q185)</f>
        <v/>
      </c>
      <c r="S185" s="289" t="str">
        <f t="shared" si="37"/>
        <v/>
      </c>
    </row>
    <row r="186" spans="3:19">
      <c r="C186" s="188" t="str">
        <f>IF(B186="","",IF(LEN(B186)&gt;9,SUMIFS(Options!$H$3:$H$28,Options!$B$3:$B$28,Check!B186),SUMIFS('Master P&amp;L'!$H$11:$H$88,'Master P&amp;L'!$B$11:$B$88,Check!B186)))</f>
        <v/>
      </c>
      <c r="D186" s="188" t="str">
        <f>IF(B186="","",SUMIFS(Input_APM!N:N,Input_APM!L:L,Check!B186,Input_APM!M:M,Check!$F$1))</f>
        <v/>
      </c>
      <c r="E186" s="174" t="str">
        <f t="shared" si="63"/>
        <v/>
      </c>
      <c r="F186" s="188" t="str">
        <f>IF(B186="","",SUMIFS(Input_APM!N:N,Input_APM!M:M,Check!$F$1,Input_APM!L:L,Check!B186))</f>
        <v/>
      </c>
      <c r="G186" s="188" t="str">
        <f>IF(B186="","",SUMIFS(Input_APM!N:N,Input_APM!M:M,Check!$G$1,Input_APM!L:L,Check!B186))</f>
        <v/>
      </c>
      <c r="H186" s="174" t="str">
        <f t="shared" si="64"/>
        <v/>
      </c>
      <c r="I186" s="174">
        <f>SUMIFS(Input_APM!N:N,Input_APM!L:L,Check!B186)</f>
        <v>0</v>
      </c>
      <c r="J186" s="176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4" t="str">
        <f t="shared" si="66"/>
        <v/>
      </c>
      <c r="O186"/>
      <c r="P186" s="174" t="str">
        <f>IF(O186="","",IF(OR(LEFT(O186,4)="Cash",LEFT(O186,4)="Prov"),0,SUMIFS(Input_APM!N:N,Input_APM!L:L,Check!O186)))</f>
        <v/>
      </c>
      <c r="Q186" s="21" t="str">
        <f>IF(O186="","",IF(LEN(O186)&gt;9,SUMIFS(Options!$H$3:$H$28,Options!$B$3:$B$28,Check!O186),SUMIFS('Master P&amp;L'!$H$11:$H$88,'Master P&amp;L'!$B$11:$B$88,Check!O186)))</f>
        <v/>
      </c>
      <c r="R186" s="174" t="str">
        <f>IF(O186="","",P186-Q186)</f>
        <v/>
      </c>
      <c r="S186" s="289" t="str">
        <f t="shared" si="37"/>
        <v/>
      </c>
    </row>
    <row r="187" spans="3:19">
      <c r="C187" s="188" t="str">
        <f>IF(B187="","",IF(LEN(B187)&gt;9,SUMIFS(Options!$H$3:$H$28,Options!$B$3:$B$28,Check!B187),SUMIFS('Master P&amp;L'!$H$11:$H$88,'Master P&amp;L'!$B$11:$B$88,Check!B187)))</f>
        <v/>
      </c>
      <c r="D187" s="188" t="str">
        <f>IF(B187="","",SUMIFS(Input_APM!N:N,Input_APM!L:L,Check!B187,Input_APM!M:M,Check!$F$1))</f>
        <v/>
      </c>
      <c r="E187" s="174" t="str">
        <f t="shared" si="63"/>
        <v/>
      </c>
      <c r="F187" s="188" t="str">
        <f>IF(B187="","",SUMIFS(Input_APM!N:N,Input_APM!M:M,Check!$F$1,Input_APM!L:L,Check!B187))</f>
        <v/>
      </c>
      <c r="G187" s="188" t="str">
        <f>IF(B187="","",SUMIFS(Input_APM!N:N,Input_APM!M:M,Check!$G$1,Input_APM!L:L,Check!B187))</f>
        <v/>
      </c>
      <c r="H187" s="174" t="str">
        <f t="shared" si="64"/>
        <v/>
      </c>
      <c r="I187" s="174">
        <f>SUMIFS(Input_APM!N:N,Input_APM!L:L,Check!B187)</f>
        <v>0</v>
      </c>
      <c r="J187" s="176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4" t="str">
        <f t="shared" si="66"/>
        <v/>
      </c>
      <c r="O187"/>
      <c r="P187" s="174" t="str">
        <f>IF(O187="","",IF(OR(LEFT(O187,4)="Cash",LEFT(O187,4)="Prov"),0,SUMIFS(Input_APM!N:N,Input_APM!L:L,Check!O187)))</f>
        <v/>
      </c>
      <c r="Q187" s="21" t="str">
        <f>IF(O187="","",IF(LEN(O187)&gt;9,SUMIFS(Options!$H$3:$H$28,Options!$B$3:$B$28,Check!O187),SUMIFS('Master P&amp;L'!$H$11:$H$88,'Master P&amp;L'!$B$11:$B$88,Check!O187)))</f>
        <v/>
      </c>
      <c r="R187" s="174" t="str">
        <f>IF(O187="","",P187-Q187)</f>
        <v/>
      </c>
      <c r="S187" s="289" t="str">
        <f t="shared" si="37"/>
        <v/>
      </c>
    </row>
    <row r="188" spans="3:19">
      <c r="C188" s="188" t="str">
        <f>IF(B188="","",IF(LEN(B188)&gt;9,SUMIFS(Options!$H$3:$H$28,Options!$B$3:$B$28,Check!B188),SUMIFS('Master P&amp;L'!$H$11:$H$88,'Master P&amp;L'!$B$11:$B$88,Check!B188)))</f>
        <v/>
      </c>
      <c r="D188" s="188" t="str">
        <f>IF(B188="","",SUMIFS(Input_APM!N:N,Input_APM!L:L,Check!B188,Input_APM!M:M,Check!$F$1))</f>
        <v/>
      </c>
      <c r="E188" s="174" t="str">
        <f t="shared" si="63"/>
        <v/>
      </c>
      <c r="F188" s="188" t="str">
        <f>IF(B188="","",SUMIFS(Input_APM!N:N,Input_APM!M:M,Check!$F$1,Input_APM!L:L,Check!B188))</f>
        <v/>
      </c>
      <c r="G188" s="188" t="str">
        <f>IF(B188="","",SUMIFS(Input_APM!N:N,Input_APM!M:M,Check!$G$1,Input_APM!L:L,Check!B188))</f>
        <v/>
      </c>
      <c r="H188" s="174" t="str">
        <f t="shared" si="64"/>
        <v/>
      </c>
      <c r="I188" s="174">
        <f>SUMIFS(Input_APM!N:N,Input_APM!L:L,Check!B188)</f>
        <v>0</v>
      </c>
      <c r="J188" s="176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4" t="str">
        <f t="shared" si="66"/>
        <v/>
      </c>
      <c r="O188"/>
      <c r="P188" s="174" t="str">
        <f>IF(O188="","",IF(OR(LEFT(O188,4)="Cash",LEFT(O188,4)="Prov"),0,SUMIFS(Input_APM!N:N,Input_APM!L:L,Check!O188)))</f>
        <v/>
      </c>
      <c r="Q188" s="21" t="str">
        <f>IF(O188="","",IF(LEN(O188)&gt;9,SUMIFS(Options!$H$3:$H$28,Options!$B$3:$B$28,Check!O188),SUMIFS('Master P&amp;L'!$H$11:$H$88,'Master P&amp;L'!$B$11:$B$88,Check!O188)))</f>
        <v/>
      </c>
      <c r="R188" s="174" t="str">
        <f t="shared" ref="R188:R205" si="67">IF(O188="","",P188-Q188)</f>
        <v/>
      </c>
      <c r="S188" s="289" t="str">
        <f t="shared" si="37"/>
        <v/>
      </c>
    </row>
    <row r="189" spans="3:19">
      <c r="C189" s="188" t="str">
        <f>IF(B189="","",IF(LEN(B189)&gt;9,SUMIFS(Options!$H$3:$H$28,Options!$B$3:$B$28,Check!B189),SUMIFS('Master P&amp;L'!$H$11:$H$88,'Master P&amp;L'!$B$11:$B$88,Check!B189)))</f>
        <v/>
      </c>
      <c r="D189" s="188" t="str">
        <f>IF(B189="","",SUMIFS(Input_APM!N:N,Input_APM!L:L,Check!B189,Input_APM!M:M,Check!$F$1))</f>
        <v/>
      </c>
      <c r="E189" s="174" t="str">
        <f t="shared" si="63"/>
        <v/>
      </c>
      <c r="F189" s="188" t="str">
        <f>IF(B189="","",SUMIFS(Input_APM!N:N,Input_APM!M:M,Check!$F$1,Input_APM!L:L,Check!B189))</f>
        <v/>
      </c>
      <c r="G189" s="188" t="str">
        <f>IF(B189="","",SUMIFS(Input_APM!N:N,Input_APM!M:M,Check!$G$1,Input_APM!L:L,Check!B189))</f>
        <v/>
      </c>
      <c r="H189" s="174" t="str">
        <f t="shared" si="64"/>
        <v/>
      </c>
      <c r="I189" s="174">
        <f>SUMIFS(Input_APM!N:N,Input_APM!L:L,Check!B189)</f>
        <v>0</v>
      </c>
      <c r="J189" s="176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4" t="str">
        <f t="shared" si="66"/>
        <v/>
      </c>
      <c r="O189"/>
      <c r="P189" s="174" t="str">
        <f>IF(O189="","",IF(OR(LEFT(O189,4)="Cash",LEFT(O189,4)="Prov"),0,SUMIFS(Input_APM!N:N,Input_APM!L:L,Check!O189)))</f>
        <v/>
      </c>
      <c r="Q189" s="21" t="str">
        <f>IF(O189="","",IF(LEN(O189)&gt;9,SUMIFS(Options!$H$3:$H$28,Options!$B$3:$B$28,Check!O189),SUMIFS('Master P&amp;L'!$H$11:$H$88,'Master P&amp;L'!$B$11:$B$88,Check!O189)))</f>
        <v/>
      </c>
      <c r="R189" s="174" t="str">
        <f t="shared" si="67"/>
        <v/>
      </c>
      <c r="S189" s="289" t="str">
        <f t="shared" si="37"/>
        <v/>
      </c>
    </row>
    <row r="190" spans="3:19">
      <c r="C190" s="188" t="str">
        <f>IF(B190="","",IF(LEN(B190)&gt;9,SUMIFS(Options!$H$3:$H$28,Options!$B$3:$B$28,Check!B190),SUMIFS('Master P&amp;L'!$H$11:$H$88,'Master P&amp;L'!$B$11:$B$88,Check!B190)))</f>
        <v/>
      </c>
      <c r="D190" s="188" t="str">
        <f>IF(B190="","",SUMIFS(Input_APM!N:N,Input_APM!L:L,Check!B190,Input_APM!M:M,Check!$F$1))</f>
        <v/>
      </c>
      <c r="E190" s="174" t="str">
        <f t="shared" si="63"/>
        <v/>
      </c>
      <c r="F190" s="188" t="str">
        <f>IF(B190="","",SUMIFS(Input_APM!N:N,Input_APM!M:M,Check!$F$1,Input_APM!L:L,Check!B190))</f>
        <v/>
      </c>
      <c r="G190" s="188" t="str">
        <f>IF(B190="","",SUMIFS(Input_APM!N:N,Input_APM!M:M,Check!$G$1,Input_APM!L:L,Check!B190))</f>
        <v/>
      </c>
      <c r="H190" s="174" t="str">
        <f t="shared" si="64"/>
        <v/>
      </c>
      <c r="I190" s="174">
        <f>SUMIFS(Input_APM!N:N,Input_APM!L:L,Check!B190)</f>
        <v>0</v>
      </c>
      <c r="J190" s="176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4" t="str">
        <f t="shared" si="66"/>
        <v/>
      </c>
      <c r="O190"/>
      <c r="P190" s="174" t="str">
        <f>IF(O190="","",IF(OR(LEFT(O190,4)="Cash",LEFT(O190,4)="Prov"),0,SUMIFS(Input_APM!N:N,Input_APM!L:L,Check!O190)))</f>
        <v/>
      </c>
      <c r="Q190" s="21" t="str">
        <f>IF(O190="","",IF(LEN(O190)&gt;9,SUMIFS(Options!$H$3:$H$28,Options!$B$3:$B$28,Check!O190),SUMIFS('Master P&amp;L'!$H$11:$H$88,'Master P&amp;L'!$B$11:$B$88,Check!O190)))</f>
        <v/>
      </c>
      <c r="R190" s="174" t="str">
        <f t="shared" si="67"/>
        <v/>
      </c>
      <c r="S190" s="289" t="str">
        <f t="shared" si="37"/>
        <v/>
      </c>
    </row>
    <row r="191" spans="3:19">
      <c r="C191" s="188" t="str">
        <f>IF(B191="","",IF(LEN(B191)&gt;9,SUMIFS(Options!$H$3:$H$28,Options!$B$3:$B$28,Check!B191),SUMIFS('Master P&amp;L'!$H$11:$H$88,'Master P&amp;L'!$B$11:$B$88,Check!B191)))</f>
        <v/>
      </c>
      <c r="D191" s="188" t="str">
        <f>IF(B191="","",SUMIFS(Input_APM!N:N,Input_APM!L:L,Check!B191,Input_APM!M:M,Check!$F$1))</f>
        <v/>
      </c>
      <c r="E191" s="174" t="str">
        <f t="shared" si="63"/>
        <v/>
      </c>
      <c r="F191" s="188" t="str">
        <f>IF(B191="","",SUMIFS(Input_APM!N:N,Input_APM!M:M,Check!$F$1,Input_APM!L:L,Check!B191))</f>
        <v/>
      </c>
      <c r="G191" s="188" t="str">
        <f>IF(B191="","",SUMIFS(Input_APM!N:N,Input_APM!M:M,Check!$G$1,Input_APM!L:L,Check!B191))</f>
        <v/>
      </c>
      <c r="H191" s="174" t="str">
        <f t="shared" si="64"/>
        <v/>
      </c>
      <c r="I191" s="174">
        <f>SUMIFS(Input_APM!N:N,Input_APM!L:L,Check!B191)</f>
        <v>0</v>
      </c>
      <c r="J191" s="176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4" t="str">
        <f t="shared" si="66"/>
        <v/>
      </c>
      <c r="O191"/>
      <c r="P191" s="174" t="str">
        <f>IF(O191="","",IF(OR(LEFT(O191,4)="Cash",LEFT(O191,4)="Prov"),0,SUMIFS(Input_APM!N:N,Input_APM!L:L,Check!O191)))</f>
        <v/>
      </c>
      <c r="Q191" s="21" t="str">
        <f>IF(O191="","",IF(LEN(O191)&gt;9,SUMIFS(Options!$H$3:$H$28,Options!$B$3:$B$28,Check!O191),SUMIFS('Master P&amp;L'!$H$11:$H$88,'Master P&amp;L'!$B$11:$B$88,Check!O191)))</f>
        <v/>
      </c>
      <c r="R191" s="174" t="str">
        <f t="shared" si="67"/>
        <v/>
      </c>
      <c r="S191" s="289" t="str">
        <f t="shared" si="37"/>
        <v/>
      </c>
    </row>
    <row r="192" spans="3:19">
      <c r="O192"/>
      <c r="P192" s="174" t="str">
        <f>IF(O192="","",IF(OR(LEFT(O192,4)="Cash",LEFT(O192,4)="Prov"),0,SUMIFS(Input_APM!N:N,Input_APM!L:L,Check!O192)))</f>
        <v/>
      </c>
      <c r="Q192" s="21" t="str">
        <f>IF(O192="","",IF(LEN(O192)&gt;9,SUMIFS(Options!$H$3:$H$28,Options!$B$3:$B$28,Check!O192),SUMIFS('Master P&amp;L'!$H$11:$H$88,'Master P&amp;L'!$B$11:$B$88,Check!O192)))</f>
        <v/>
      </c>
      <c r="R192" s="174" t="str">
        <f t="shared" si="67"/>
        <v/>
      </c>
      <c r="S192" s="289" t="str">
        <f t="shared" si="37"/>
        <v/>
      </c>
    </row>
    <row r="193" spans="15:19">
      <c r="O193"/>
      <c r="P193" s="174" t="str">
        <f>IF(O193="","",IF(OR(LEFT(O193,4)="Cash",LEFT(O193,4)="Prov"),0,SUMIFS(Input_APM!N:N,Input_APM!L:L,Check!O193)))</f>
        <v/>
      </c>
      <c r="Q193" s="21" t="str">
        <f>IF(O193="","",IF(LEN(O193)&gt;9,SUMIFS(Options!$H$3:$H$28,Options!$B$3:$B$28,Check!O193),SUMIFS('Master P&amp;L'!$H$11:$H$88,'Master P&amp;L'!$B$11:$B$88,Check!O193)))</f>
        <v/>
      </c>
      <c r="R193" s="174" t="str">
        <f t="shared" si="67"/>
        <v/>
      </c>
      <c r="S193" s="289" t="str">
        <f t="shared" si="37"/>
        <v/>
      </c>
    </row>
    <row r="194" spans="15:19">
      <c r="O194"/>
      <c r="P194" s="174" t="str">
        <f>IF(O194="","",IF(OR(LEFT(O194,4)="Cash",LEFT(O194,4)="Prov"),0,SUMIFS(Input_APM!N:N,Input_APM!L:L,Check!O194)))</f>
        <v/>
      </c>
      <c r="Q194" s="21" t="str">
        <f>IF(O194="","",IF(LEN(O194)&gt;9,SUMIFS(Options!$H$3:$H$28,Options!$B$3:$B$28,Check!O194),SUMIFS('Master P&amp;L'!$H$11:$H$88,'Master P&amp;L'!$B$11:$B$88,Check!O194)))</f>
        <v/>
      </c>
      <c r="R194" s="174" t="str">
        <f t="shared" si="67"/>
        <v/>
      </c>
      <c r="S194" s="289" t="str">
        <f t="shared" si="37"/>
        <v/>
      </c>
    </row>
    <row r="195" spans="15:19">
      <c r="O195"/>
      <c r="P195" s="174" t="str">
        <f>IF(O195="","",IF(OR(LEFT(O195,4)="Cash",LEFT(O195,4)="Prov"),0,SUMIFS(Input_APM!N:N,Input_APM!L:L,Check!O195)))</f>
        <v/>
      </c>
      <c r="Q195" s="21" t="str">
        <f>IF(O195="","",IF(LEN(O195)&gt;9,SUMIFS(Options!$H$3:$H$28,Options!$B$3:$B$28,Check!O195),SUMIFS('Master P&amp;L'!$H$11:$H$88,'Master P&amp;L'!$B$11:$B$88,Check!O195)))</f>
        <v/>
      </c>
      <c r="R195" s="174" t="str">
        <f t="shared" si="67"/>
        <v/>
      </c>
      <c r="S195" s="289" t="str">
        <f t="shared" si="37"/>
        <v/>
      </c>
    </row>
    <row r="196" spans="15:19">
      <c r="O196"/>
      <c r="P196" s="174" t="str">
        <f>IF(O196="","",IF(OR(LEFT(O196,4)="Cash",LEFT(O196,4)="Prov"),0,SUMIFS(Input_APM!N:N,Input_APM!L:L,Check!O196)))</f>
        <v/>
      </c>
      <c r="Q196" s="21" t="str">
        <f>IF(O196="","",IF(LEN(O196)&gt;9,SUMIFS(Options!$H$3:$H$28,Options!$B$3:$B$28,Check!O196),SUMIFS('Master P&amp;L'!$H$11:$H$88,'Master P&amp;L'!$B$11:$B$88,Check!O196)))</f>
        <v/>
      </c>
      <c r="R196" s="174" t="str">
        <f t="shared" si="67"/>
        <v/>
      </c>
      <c r="S196" s="289" t="str">
        <f t="shared" si="37"/>
        <v/>
      </c>
    </row>
    <row r="197" spans="15:19">
      <c r="O197"/>
      <c r="P197" s="174" t="str">
        <f>IF(O197="","",IF(OR(LEFT(O197,4)="Cash",LEFT(O197,4)="Prov"),0,SUMIFS(Input_APM!N:N,Input_APM!L:L,Check!O197)))</f>
        <v/>
      </c>
      <c r="Q197" s="21" t="str">
        <f>IF(O197="","",IF(LEN(O197)&gt;9,SUMIFS(Options!$H$3:$H$28,Options!$B$3:$B$28,Check!O197),SUMIFS('Master P&amp;L'!$H$11:$H$88,'Master P&amp;L'!$B$11:$B$88,Check!O197)))</f>
        <v/>
      </c>
      <c r="R197" s="174" t="str">
        <f t="shared" si="67"/>
        <v/>
      </c>
      <c r="S197" s="289" t="str">
        <f t="shared" si="37"/>
        <v/>
      </c>
    </row>
    <row r="198" spans="15:19">
      <c r="O198"/>
      <c r="P198" s="174" t="str">
        <f>IF(O198="","",IF(OR(LEFT(O198,4)="Cash",LEFT(O198,4)="Prov"),0,SUMIFS(Input_APM!N:N,Input_APM!L:L,Check!O198)))</f>
        <v/>
      </c>
      <c r="Q198" s="21" t="str">
        <f>IF(O198="","",IF(LEN(O198)&gt;9,SUMIFS(Options!$H$3:$H$28,Options!$B$3:$B$28,Check!O198),SUMIFS('Master P&amp;L'!$H$11:$H$88,'Master P&amp;L'!$B$11:$B$88,Check!O198)))</f>
        <v/>
      </c>
      <c r="R198" s="174" t="str">
        <f t="shared" si="67"/>
        <v/>
      </c>
      <c r="S198" s="289" t="str">
        <f t="shared" ref="S198:S206" si="68">IF(O198="","",IF((P198+Q198)=0,"Ok",IF(OR(P198=0,Q198=0),"Erro",P198/Q198)))</f>
        <v/>
      </c>
    </row>
    <row r="199" spans="15:19">
      <c r="O199"/>
      <c r="P199" s="174" t="str">
        <f>IF(O199="","",IF(OR(LEFT(O199,4)="Cash",LEFT(O199,4)="Prov"),0,SUMIFS(Input_APM!N:N,Input_APM!L:L,Check!O199)))</f>
        <v/>
      </c>
      <c r="Q199" s="21" t="str">
        <f>IF(O199="","",IF(LEN(O199)&gt;9,SUMIFS(Options!$H$3:$H$28,Options!$B$3:$B$28,Check!O199),SUMIFS('Master P&amp;L'!$H$11:$H$88,'Master P&amp;L'!$B$11:$B$88,Check!O199)))</f>
        <v/>
      </c>
      <c r="R199" s="174" t="str">
        <f t="shared" si="67"/>
        <v/>
      </c>
      <c r="S199" s="289" t="str">
        <f t="shared" si="68"/>
        <v/>
      </c>
    </row>
    <row r="200" spans="15:19">
      <c r="O200"/>
      <c r="P200" s="174" t="str">
        <f>IF(O200="","",IF(OR(LEFT(O200,4)="Cash",LEFT(O200,4)="Prov"),0,SUMIFS(Input_APM!N:N,Input_APM!L:L,Check!O200)))</f>
        <v/>
      </c>
      <c r="Q200" s="21" t="str">
        <f>IF(O200="","",IF(LEN(O200)&gt;9,SUMIFS(Options!$H$3:$H$28,Options!$B$3:$B$28,Check!O200),SUMIFS('Master P&amp;L'!$H$11:$H$88,'Master P&amp;L'!$B$11:$B$88,Check!O200)))</f>
        <v/>
      </c>
      <c r="R200" s="174" t="str">
        <f t="shared" si="67"/>
        <v/>
      </c>
      <c r="S200" s="289" t="str">
        <f t="shared" si="68"/>
        <v/>
      </c>
    </row>
    <row r="201" spans="15:19">
      <c r="O201"/>
      <c r="P201" s="174" t="str">
        <f>IF(O201="","",IF(OR(LEFT(O201,4)="Cash",LEFT(O201,4)="Prov"),0,SUMIFS(Input_APM!N:N,Input_APM!L:L,Check!O201)))</f>
        <v/>
      </c>
      <c r="Q201" s="21" t="str">
        <f>IF(O201="","",IF(LEN(O201)&gt;9,SUMIFS(Options!$H$3:$H$28,Options!$B$3:$B$28,Check!O201),SUMIFS('Master P&amp;L'!$H$11:$H$88,'Master P&amp;L'!$B$11:$B$88,Check!O201)))</f>
        <v/>
      </c>
      <c r="R201" s="174" t="str">
        <f t="shared" si="67"/>
        <v/>
      </c>
      <c r="S201" s="289" t="str">
        <f t="shared" si="68"/>
        <v/>
      </c>
    </row>
    <row r="202" spans="15:19">
      <c r="O202"/>
      <c r="P202" s="174" t="str">
        <f>IF(O202="","",IF(OR(LEFT(O202,4)="Cash",LEFT(O202,4)="Prov"),0,SUMIFS(Input_APM!N:N,Input_APM!L:L,Check!O202)))</f>
        <v/>
      </c>
      <c r="Q202" s="21" t="str">
        <f>IF(O202="","",IF(LEN(O202)&gt;9,SUMIFS(Options!$H$3:$H$28,Options!$B$3:$B$28,Check!O202),SUMIFS('Master P&amp;L'!$H$11:$H$88,'Master P&amp;L'!$B$11:$B$88,Check!O202)))</f>
        <v/>
      </c>
      <c r="R202" s="174" t="str">
        <f t="shared" si="67"/>
        <v/>
      </c>
      <c r="S202" s="289" t="str">
        <f t="shared" si="68"/>
        <v/>
      </c>
    </row>
    <row r="203" spans="15:19">
      <c r="O203"/>
      <c r="P203" s="174" t="str">
        <f>IF(O203="","",IF(OR(LEFT(O203,4)="Cash",LEFT(O203,4)="Prov"),0,SUMIFS(Input_APM!N:N,Input_APM!L:L,Check!O203)))</f>
        <v/>
      </c>
      <c r="Q203" s="21" t="str">
        <f>IF(O203="","",IF(LEN(O203)&gt;9,SUMIFS(Options!$H$3:$H$28,Options!$B$3:$B$28,Check!O203),SUMIFS('Master P&amp;L'!$H$11:$H$88,'Master P&amp;L'!$B$11:$B$88,Check!O203)))</f>
        <v/>
      </c>
      <c r="R203" s="174" t="str">
        <f t="shared" si="67"/>
        <v/>
      </c>
      <c r="S203" s="289" t="str">
        <f t="shared" si="68"/>
        <v/>
      </c>
    </row>
    <row r="204" spans="15:19">
      <c r="O204"/>
      <c r="P204" s="174" t="str">
        <f>IF(O204="","",IF(OR(LEFT(O204,4)="Cash",LEFT(O204,4)="Prov"),0,SUMIFS(Input_APM!N:N,Input_APM!L:L,Check!O204)))</f>
        <v/>
      </c>
      <c r="Q204" s="21" t="str">
        <f>IF(O204="","",IF(LEN(O204)&gt;9,SUMIFS(Options!$H$3:$H$28,Options!$B$3:$B$28,Check!O204),SUMIFS('Master P&amp;L'!$H$11:$H$88,'Master P&amp;L'!$B$11:$B$88,Check!O204)))</f>
        <v/>
      </c>
      <c r="R204" s="174" t="str">
        <f t="shared" si="67"/>
        <v/>
      </c>
      <c r="S204" s="289" t="str">
        <f t="shared" si="68"/>
        <v/>
      </c>
    </row>
    <row r="205" spans="15:19">
      <c r="O205"/>
      <c r="P205" s="174" t="str">
        <f>IF(O205="","",IF(OR(LEFT(O205,4)="Cash",LEFT(O205,4)="Prov"),0,SUMIFS(Input_APM!N:N,Input_APM!L:L,Check!O205)))</f>
        <v/>
      </c>
      <c r="Q205" s="21" t="str">
        <f>IF(O205="","",IF(LEN(O205)&gt;9,SUMIFS(Options!$H$3:$H$28,Options!$B$3:$B$28,Check!O205),SUMIFS('Master P&amp;L'!$H$11:$H$88,'Master P&amp;L'!$B$11:$B$88,Check!O205)))</f>
        <v/>
      </c>
      <c r="R205" s="174" t="str">
        <f t="shared" si="67"/>
        <v/>
      </c>
      <c r="S205" s="289" t="str">
        <f t="shared" si="68"/>
        <v/>
      </c>
    </row>
    <row r="206" spans="15:19">
      <c r="O206"/>
      <c r="P206" s="174" t="str">
        <f>IF(O206="","",IF(OR(LEFT(O206,4)="Cash",LEFT(O206,4)="Prov"),0,SUMIFS(Input_APM!N:N,Input_APM!L:L,Check!O206)))</f>
        <v/>
      </c>
      <c r="Q206" s="21" t="str">
        <f>IF(O206="","",IF(LEN(O206)&gt;9,SUMIFS(Options!$H$3:$H$28,Options!$B$3:$B$28,Check!O206),SUMIFS('Master P&amp;L'!$H$11:$H$88,'Master P&amp;L'!$B$11:$B$88,Check!O206)))</f>
        <v/>
      </c>
      <c r="R206" s="174" t="str">
        <f>IF(O206="","",P206-Q206)</f>
        <v/>
      </c>
      <c r="S206" s="289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50" priority="4">
      <formula>J5&lt;&gt;0</formula>
    </cfRule>
  </conditionalFormatting>
  <conditionalFormatting sqref="E5:E191">
    <cfRule type="expression" dxfId="49" priority="3">
      <formula>E5&lt;&gt;0</formula>
    </cfRule>
  </conditionalFormatting>
  <conditionalFormatting sqref="S5:S206">
    <cfRule type="cellIs" dxfId="48" priority="2" operator="lessThan">
      <formula>0.9</formula>
    </cfRule>
  </conditionalFormatting>
  <conditionalFormatting sqref="S5:S198">
    <cfRule type="expression" dxfId="47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2"/>
    </sheetView>
  </sheetViews>
  <sheetFormatPr defaultColWidth="9.140625" defaultRowHeight="12.75" outlineLevelCol="1"/>
  <cols>
    <col min="1" max="4" width="9.140625" style="170"/>
    <col min="5" max="5" width="31.7109375" style="170" bestFit="1" customWidth="1" outlineLevel="1"/>
    <col min="6" max="6" width="43.5703125" style="170" bestFit="1" customWidth="1" outlineLevel="1"/>
    <col min="7" max="7" width="24.42578125" style="170" bestFit="1" customWidth="1" outlineLevel="1"/>
    <col min="8" max="8" width="12.85546875" style="170" bestFit="1" customWidth="1" outlineLevel="1"/>
    <col min="9" max="9" width="12.28515625" style="170" bestFit="1" customWidth="1" outlineLevel="1"/>
    <col min="10" max="10" width="9.140625" style="170"/>
    <col min="11" max="11" width="28.5703125" style="170" bestFit="1" customWidth="1"/>
    <col min="12" max="12" width="41.85546875" style="170" bestFit="1" customWidth="1"/>
    <col min="13" max="13" width="22.140625" style="170" bestFit="1" customWidth="1"/>
    <col min="14" max="14" width="12.85546875" style="170" bestFit="1" customWidth="1"/>
    <col min="15" max="15" width="16.28515625" style="170" bestFit="1" customWidth="1"/>
    <col min="16" max="16384" width="9.140625" style="170"/>
  </cols>
  <sheetData>
    <row r="1" spans="5:15">
      <c r="E1" s="170" t="s">
        <v>240</v>
      </c>
      <c r="F1" s="170" t="s">
        <v>118</v>
      </c>
      <c r="G1" s="170" t="s">
        <v>241</v>
      </c>
      <c r="H1" s="170" t="s">
        <v>221</v>
      </c>
      <c r="I1" s="170" t="s">
        <v>242</v>
      </c>
      <c r="K1" s="184" t="s">
        <v>240</v>
      </c>
      <c r="L1" s="184" t="s">
        <v>118</v>
      </c>
      <c r="M1" s="184" t="s">
        <v>241</v>
      </c>
      <c r="N1" s="184" t="s">
        <v>221</v>
      </c>
      <c r="O1" s="184" t="s">
        <v>242</v>
      </c>
    </row>
    <row r="2" spans="5:15">
      <c r="E2" s="170" t="s">
        <v>1120</v>
      </c>
      <c r="F2" s="170" t="s">
        <v>1163</v>
      </c>
      <c r="G2" s="170" t="s">
        <v>210</v>
      </c>
      <c r="H2" s="170">
        <v>66</v>
      </c>
      <c r="I2" s="170">
        <v>0</v>
      </c>
      <c r="K2" s="171" t="str">
        <f>IF(E2="","",E2)</f>
        <v>NASDAQ-100 E-mini Options - CME</v>
      </c>
      <c r="L2" s="171" t="str">
        <f>IF(E2="","",IF(COUNTIFS(Table2[[#All],[De (Lote)]],Input_APM!F2)&gt;0,INDEX(Table2[[#All],[Para (Ticker Daniel)]],MATCH(Input_APM!F2,Table2[[#All],[De (Lote)]],0)),Input_APM!F2))</f>
        <v>1OG6C 26000</v>
      </c>
      <c r="M2" s="171" t="str">
        <f>IF(E2="","",G2)</f>
        <v>EQTY.IntlUS.off</v>
      </c>
      <c r="N2" s="172">
        <f>IF(E2="","",H2)</f>
        <v>66</v>
      </c>
      <c r="O2" s="172">
        <f>IF(E2="","",I2)</f>
        <v>0</v>
      </c>
    </row>
    <row r="3" spans="5:15">
      <c r="E3" s="170" t="s">
        <v>1120</v>
      </c>
      <c r="F3" s="170" t="s">
        <v>1129</v>
      </c>
      <c r="G3" s="170" t="s">
        <v>210</v>
      </c>
      <c r="H3" s="170">
        <v>0</v>
      </c>
      <c r="I3" s="170">
        <v>14</v>
      </c>
      <c r="K3" s="171" t="str">
        <f t="shared" ref="K3:K66" si="0">IF(E3="","",E3)</f>
        <v>NASDAQ-100 E-mini Options - CME</v>
      </c>
      <c r="L3" s="171" t="str">
        <f>IF(E3="","",IF(COUNTIFS(Table2[[#All],[De (Lote)]],Input_APM!F3)&gt;0,INDEX(Table2[[#All],[Para (Ticker Daniel)]],MATCH(Input_APM!F3,Table2[[#All],[De (Lote)]],0)),Input_APM!F3))</f>
        <v>2OG6P 25000</v>
      </c>
      <c r="M3" s="171" t="str">
        <f t="shared" ref="M3:M66" si="1">IF(E3="","",G3)</f>
        <v>EQTY.IntlUS.off</v>
      </c>
      <c r="N3" s="172">
        <f t="shared" ref="N3:N66" si="2">IF(E3="","",H3)</f>
        <v>0</v>
      </c>
      <c r="O3" s="172">
        <f t="shared" ref="O3:O66" si="3">IF(E3="","",I3)</f>
        <v>14</v>
      </c>
    </row>
    <row r="4" spans="5:15">
      <c r="E4" s="170" t="s">
        <v>244</v>
      </c>
      <c r="F4" s="170" t="s">
        <v>27</v>
      </c>
      <c r="G4" s="170" t="s">
        <v>210</v>
      </c>
      <c r="H4" s="170">
        <v>3853</v>
      </c>
      <c r="I4" s="170">
        <v>7980</v>
      </c>
      <c r="K4" s="171" t="str">
        <f t="shared" si="0"/>
        <v>US Equity</v>
      </c>
      <c r="L4" s="171" t="str">
        <f>IF(E4="","",IF(COUNTIFS(Table2[[#All],[De (Lote)]],Input_APM!F4)&gt;0,INDEX(Table2[[#All],[Para (Ticker Daniel)]],MATCH(Input_APM!F4,Table2[[#All],[De (Lote)]],0)),Input_APM!F4))</f>
        <v>AAPL</v>
      </c>
      <c r="M4" s="171" t="str">
        <f t="shared" si="1"/>
        <v>EQTY.IntlUS.off</v>
      </c>
      <c r="N4" s="172">
        <f t="shared" si="2"/>
        <v>3853</v>
      </c>
      <c r="O4" s="172">
        <f t="shared" si="3"/>
        <v>7980</v>
      </c>
    </row>
    <row r="5" spans="5:15">
      <c r="E5" s="170" t="s">
        <v>246</v>
      </c>
      <c r="F5" s="170" t="s">
        <v>1095</v>
      </c>
      <c r="G5" s="170" t="s">
        <v>210</v>
      </c>
      <c r="H5" s="170">
        <v>329</v>
      </c>
      <c r="I5" s="170">
        <v>329</v>
      </c>
      <c r="K5" s="171" t="str">
        <f t="shared" si="0"/>
        <v>US Equity Options</v>
      </c>
      <c r="L5" s="171" t="str">
        <f>IF(E5="","",IF(COUNTIFS(Table2[[#All],[De (Lote)]],Input_APM!F5)&gt;0,INDEX(Table2[[#All],[Para (Ticker Daniel)]],MATCH(Input_APM!F5,Table2[[#All],[De (Lote)]],0)),Input_APM!F5))</f>
        <v>AAPL US 04/17/26 C260</v>
      </c>
      <c r="M5" s="171" t="str">
        <f t="shared" si="1"/>
        <v>EQTY.IntlUS.off</v>
      </c>
      <c r="N5" s="172">
        <f t="shared" si="2"/>
        <v>329</v>
      </c>
      <c r="O5" s="172">
        <f t="shared" si="3"/>
        <v>329</v>
      </c>
    </row>
    <row r="6" spans="5:15">
      <c r="E6" s="170" t="s">
        <v>246</v>
      </c>
      <c r="F6" s="170" t="s">
        <v>1096</v>
      </c>
      <c r="G6" s="170" t="s">
        <v>210</v>
      </c>
      <c r="H6" s="170">
        <v>-329</v>
      </c>
      <c r="I6" s="170">
        <v>-329</v>
      </c>
      <c r="K6" s="171" t="str">
        <f t="shared" si="0"/>
        <v>US Equity Options</v>
      </c>
      <c r="L6" s="171" t="str">
        <f>IF(E6="","",IF(COUNTIFS(Table2[[#All],[De (Lote)]],Input_APM!F6)&gt;0,INDEX(Table2[[#All],[Para (Ticker Daniel)]],MATCH(Input_APM!F6,Table2[[#All],[De (Lote)]],0)),Input_APM!F6))</f>
        <v>AAPL US 04/17/26 C280</v>
      </c>
      <c r="M6" s="171" t="str">
        <f t="shared" si="1"/>
        <v>EQTY.IntlUS.off</v>
      </c>
      <c r="N6" s="172">
        <f t="shared" si="2"/>
        <v>-329</v>
      </c>
      <c r="O6" s="172">
        <f t="shared" si="3"/>
        <v>-329</v>
      </c>
    </row>
    <row r="7" spans="5:15">
      <c r="E7" s="170" t="s">
        <v>244</v>
      </c>
      <c r="F7" s="170" t="s">
        <v>1013</v>
      </c>
      <c r="G7" s="170" t="s">
        <v>210</v>
      </c>
      <c r="H7" s="170">
        <v>0</v>
      </c>
      <c r="I7" s="170">
        <v>9585</v>
      </c>
      <c r="K7" s="171" t="str">
        <f t="shared" si="0"/>
        <v>US Equity</v>
      </c>
      <c r="L7" s="171" t="str">
        <f>IF(E7="","",IF(COUNTIFS(Table2[[#All],[De (Lote)]],Input_APM!F7)&gt;0,INDEX(Table2[[#All],[Para (Ticker Daniel)]],MATCH(Input_APM!F7,Table2[[#All],[De (Lote)]],0)),Input_APM!F7))</f>
        <v>AKAM</v>
      </c>
      <c r="M7" s="171" t="str">
        <f t="shared" si="1"/>
        <v>EQTY.IntlUS.off</v>
      </c>
      <c r="N7" s="172">
        <f t="shared" si="2"/>
        <v>0</v>
      </c>
      <c r="O7" s="172">
        <f t="shared" si="3"/>
        <v>9585</v>
      </c>
    </row>
    <row r="8" spans="5:15">
      <c r="E8" s="170" t="s">
        <v>244</v>
      </c>
      <c r="F8" s="170" t="s">
        <v>334</v>
      </c>
      <c r="G8" s="170" t="s">
        <v>210</v>
      </c>
      <c r="H8" s="170">
        <v>0</v>
      </c>
      <c r="I8" s="170">
        <v>-1878</v>
      </c>
      <c r="K8" s="171" t="str">
        <f t="shared" si="0"/>
        <v>US Equity</v>
      </c>
      <c r="L8" s="171" t="str">
        <f>IF(E8="","",IF(COUNTIFS(Table2[[#All],[De (Lote)]],Input_APM!F8)&gt;0,INDEX(Table2[[#All],[Para (Ticker Daniel)]],MATCH(Input_APM!F8,Table2[[#All],[De (Lote)]],0)),Input_APM!F8))</f>
        <v>AMD</v>
      </c>
      <c r="M8" s="171" t="str">
        <f t="shared" si="1"/>
        <v>EQTY.IntlUS.off</v>
      </c>
      <c r="N8" s="172">
        <f t="shared" si="2"/>
        <v>0</v>
      </c>
      <c r="O8" s="172">
        <f t="shared" si="3"/>
        <v>-1878</v>
      </c>
    </row>
    <row r="9" spans="5:15">
      <c r="E9" s="170" t="s">
        <v>244</v>
      </c>
      <c r="F9" s="170" t="s">
        <v>318</v>
      </c>
      <c r="G9" s="170" t="s">
        <v>210</v>
      </c>
      <c r="H9" s="170">
        <v>11424</v>
      </c>
      <c r="I9" s="170">
        <v>13772</v>
      </c>
      <c r="K9" s="171" t="str">
        <f t="shared" si="0"/>
        <v>US Equity</v>
      </c>
      <c r="L9" s="171" t="str">
        <f>IF(E9="","",IF(COUNTIFS(Table2[[#All],[De (Lote)]],Input_APM!F9)&gt;0,INDEX(Table2[[#All],[Para (Ticker Daniel)]],MATCH(Input_APM!F9,Table2[[#All],[De (Lote)]],0)),Input_APM!F9))</f>
        <v>AMZN</v>
      </c>
      <c r="M9" s="171" t="str">
        <f t="shared" si="1"/>
        <v>EQTY.IntlUS.off</v>
      </c>
      <c r="N9" s="172">
        <f t="shared" si="2"/>
        <v>11424</v>
      </c>
      <c r="O9" s="172">
        <f t="shared" si="3"/>
        <v>13772</v>
      </c>
    </row>
    <row r="10" spans="5:15">
      <c r="E10" s="170" t="s">
        <v>247</v>
      </c>
      <c r="F10" s="170" t="s">
        <v>7</v>
      </c>
      <c r="G10" s="170" t="s">
        <v>210</v>
      </c>
      <c r="H10" s="170">
        <v>0</v>
      </c>
      <c r="I10" s="170">
        <v>19706</v>
      </c>
      <c r="K10" s="171" t="str">
        <f t="shared" si="0"/>
        <v>ETF</v>
      </c>
      <c r="L10" s="171" t="str">
        <f>IF(E10="","",IF(COUNTIFS(Table2[[#All],[De (Lote)]],Input_APM!F10)&gt;0,INDEX(Table2[[#All],[Para (Ticker Daniel)]],MATCH(Input_APM!F10,Table2[[#All],[De (Lote)]],0)),Input_APM!F10))</f>
        <v>ASHR</v>
      </c>
      <c r="M10" s="171" t="str">
        <f t="shared" si="1"/>
        <v>EQTY.IntlUS.off</v>
      </c>
      <c r="N10" s="172">
        <f t="shared" si="2"/>
        <v>0</v>
      </c>
      <c r="O10" s="172">
        <f t="shared" si="3"/>
        <v>19706</v>
      </c>
    </row>
    <row r="11" spans="5:15">
      <c r="E11" s="170" t="s">
        <v>250</v>
      </c>
      <c r="F11" s="170" t="s">
        <v>895</v>
      </c>
      <c r="G11" s="170" t="s">
        <v>210</v>
      </c>
      <c r="H11" s="170">
        <v>935</v>
      </c>
      <c r="I11" s="170">
        <v>935</v>
      </c>
      <c r="K11" s="171" t="str">
        <f t="shared" si="0"/>
        <v>ETF Options</v>
      </c>
      <c r="L11" s="171" t="str">
        <f>IF(E11="","",IF(COUNTIFS(Table2[[#All],[De (Lote)]],Input_APM!F11)&gt;0,INDEX(Table2[[#All],[Para (Ticker Daniel)]],MATCH(Input_APM!F11,Table2[[#All],[De (Lote)]],0)),Input_APM!F11))</f>
        <v>ASHR US 02/20/26 C35</v>
      </c>
      <c r="M11" s="171" t="str">
        <f t="shared" si="1"/>
        <v>EQTY.IntlUS.off</v>
      </c>
      <c r="N11" s="172">
        <f t="shared" si="2"/>
        <v>935</v>
      </c>
      <c r="O11" s="172">
        <f t="shared" si="3"/>
        <v>935</v>
      </c>
    </row>
    <row r="12" spans="5:15">
      <c r="E12" s="170" t="s">
        <v>244</v>
      </c>
      <c r="F12" s="170" t="s">
        <v>84</v>
      </c>
      <c r="G12" s="170" t="s">
        <v>210</v>
      </c>
      <c r="H12" s="170">
        <v>0</v>
      </c>
      <c r="I12" s="170">
        <v>0</v>
      </c>
      <c r="K12" s="171" t="str">
        <f t="shared" si="0"/>
        <v>US Equity</v>
      </c>
      <c r="L12" s="171" t="str">
        <f>IF(E12="","",IF(COUNTIFS(Table2[[#All],[De (Lote)]],Input_APM!F12)&gt;0,INDEX(Table2[[#All],[Para (Ticker Daniel)]],MATCH(Input_APM!F12,Table2[[#All],[De (Lote)]],0)),Input_APM!F12))</f>
        <v>AVGO</v>
      </c>
      <c r="M12" s="171" t="str">
        <f t="shared" si="1"/>
        <v>EQTY.IntlUS.off</v>
      </c>
      <c r="N12" s="172">
        <f t="shared" si="2"/>
        <v>0</v>
      </c>
      <c r="O12" s="172">
        <f t="shared" si="3"/>
        <v>0</v>
      </c>
    </row>
    <row r="13" spans="5:15">
      <c r="E13" s="170" t="s">
        <v>246</v>
      </c>
      <c r="F13" s="170" t="s">
        <v>1165</v>
      </c>
      <c r="G13" s="170" t="s">
        <v>210</v>
      </c>
      <c r="H13" s="170">
        <v>563</v>
      </c>
      <c r="I13" s="170">
        <v>0</v>
      </c>
      <c r="K13" s="171" t="str">
        <f t="shared" si="0"/>
        <v>US Equity Options</v>
      </c>
      <c r="L13" s="171" t="str">
        <f>IF(E13="","",IF(COUNTIFS(Table2[[#All],[De (Lote)]],Input_APM!F13)&gt;0,INDEX(Table2[[#All],[Para (Ticker Daniel)]],MATCH(Input_APM!F13,Table2[[#All],[De (Lote)]],0)),Input_APM!F13))</f>
        <v>AVGO US 02/06/26 C315</v>
      </c>
      <c r="M13" s="171" t="str">
        <f t="shared" si="1"/>
        <v>EQTY.IntlUS.off</v>
      </c>
      <c r="N13" s="172">
        <f t="shared" si="2"/>
        <v>563</v>
      </c>
      <c r="O13" s="172">
        <f t="shared" si="3"/>
        <v>0</v>
      </c>
    </row>
    <row r="14" spans="5:15">
      <c r="E14" s="170" t="s">
        <v>246</v>
      </c>
      <c r="F14" s="170" t="s">
        <v>1166</v>
      </c>
      <c r="G14" s="170" t="s">
        <v>210</v>
      </c>
      <c r="H14" s="170">
        <v>-563</v>
      </c>
      <c r="I14" s="170">
        <v>0</v>
      </c>
      <c r="K14" s="171" t="str">
        <f t="shared" si="0"/>
        <v>US Equity Options</v>
      </c>
      <c r="L14" s="171" t="str">
        <f>IF(E14="","",IF(COUNTIFS(Table2[[#All],[De (Lote)]],Input_APM!F14)&gt;0,INDEX(Table2[[#All],[Para (Ticker Daniel)]],MATCH(Input_APM!F14,Table2[[#All],[De (Lote)]],0)),Input_APM!F14))</f>
        <v>AVGO US 02/13/26 C330</v>
      </c>
      <c r="M14" s="171" t="str">
        <f t="shared" si="1"/>
        <v>EQTY.IntlUS.off</v>
      </c>
      <c r="N14" s="172">
        <f t="shared" si="2"/>
        <v>-563</v>
      </c>
      <c r="O14" s="172">
        <f t="shared" si="3"/>
        <v>0</v>
      </c>
    </row>
    <row r="15" spans="5:15">
      <c r="E15" s="170" t="s">
        <v>246</v>
      </c>
      <c r="F15" s="170" t="s">
        <v>774</v>
      </c>
      <c r="G15" s="170" t="s">
        <v>210</v>
      </c>
      <c r="H15" s="170">
        <v>114</v>
      </c>
      <c r="I15" s="170">
        <v>114</v>
      </c>
      <c r="K15" s="171" t="str">
        <f t="shared" si="0"/>
        <v>US Equity Options</v>
      </c>
      <c r="L15" s="171" t="str">
        <f>IF(E15="","",IF(COUNTIFS(Table2[[#All],[De (Lote)]],Input_APM!F15)&gt;0,INDEX(Table2[[#All],[Para (Ticker Daniel)]],MATCH(Input_APM!F15,Table2[[#All],[De (Lote)]],0)),Input_APM!F15))</f>
        <v>AVGO US 06/18/26 C350</v>
      </c>
      <c r="M15" s="171" t="str">
        <f t="shared" si="1"/>
        <v>EQTY.IntlUS.off</v>
      </c>
      <c r="N15" s="172">
        <f t="shared" si="2"/>
        <v>114</v>
      </c>
      <c r="O15" s="172">
        <f t="shared" si="3"/>
        <v>114</v>
      </c>
    </row>
    <row r="16" spans="5:15">
      <c r="E16" s="170" t="s">
        <v>8</v>
      </c>
      <c r="F16" s="170" t="s">
        <v>336</v>
      </c>
      <c r="G16" s="170" t="s">
        <v>210</v>
      </c>
      <c r="H16" s="170">
        <v>3163</v>
      </c>
      <c r="I16" s="170">
        <v>3163</v>
      </c>
      <c r="K16" s="171" t="str">
        <f t="shared" si="0"/>
        <v>ADR</v>
      </c>
      <c r="L16" s="171" t="str">
        <f>IF(E16="","",IF(COUNTIFS(Table2[[#All],[De (Lote)]],Input_APM!F16)&gt;0,INDEX(Table2[[#All],[Para (Ticker Daniel)]],MATCH(Input_APM!F16,Table2[[#All],[De (Lote)]],0)),Input_APM!F16))</f>
        <v>BABA</v>
      </c>
      <c r="M16" s="171" t="str">
        <f t="shared" si="1"/>
        <v>EQTY.IntlUS.off</v>
      </c>
      <c r="N16" s="172">
        <f t="shared" si="2"/>
        <v>3163</v>
      </c>
      <c r="O16" s="172">
        <f t="shared" si="3"/>
        <v>3163</v>
      </c>
    </row>
    <row r="17" spans="5:15">
      <c r="E17" s="170" t="s">
        <v>8</v>
      </c>
      <c r="F17" s="170" t="s">
        <v>809</v>
      </c>
      <c r="G17" s="170" t="s">
        <v>210</v>
      </c>
      <c r="H17" s="170">
        <v>3661</v>
      </c>
      <c r="I17" s="170">
        <v>3285</v>
      </c>
      <c r="K17" s="171" t="str">
        <f t="shared" si="0"/>
        <v>ADR</v>
      </c>
      <c r="L17" s="171" t="str">
        <f>IF(E17="","",IF(COUNTIFS(Table2[[#All],[De (Lote)]],Input_APM!F17)&gt;0,INDEX(Table2[[#All],[Para (Ticker Daniel)]],MATCH(Input_APM!F17,Table2[[#All],[De (Lote)]],0)),Input_APM!F17))</f>
        <v>BIDU</v>
      </c>
      <c r="M17" s="171" t="str">
        <f t="shared" si="1"/>
        <v>EQTY.IntlUS.off</v>
      </c>
      <c r="N17" s="172">
        <f t="shared" si="2"/>
        <v>3661</v>
      </c>
      <c r="O17" s="172">
        <f t="shared" si="3"/>
        <v>3285</v>
      </c>
    </row>
    <row r="18" spans="5:15">
      <c r="E18" s="170" t="s">
        <v>248</v>
      </c>
      <c r="F18" s="170" t="s">
        <v>223</v>
      </c>
      <c r="G18" s="170" t="s">
        <v>210</v>
      </c>
      <c r="H18" s="170">
        <v>-0.28999999999999998</v>
      </c>
      <c r="I18" s="170">
        <v>-0.28999999999999998</v>
      </c>
      <c r="K18" s="171" t="str">
        <f t="shared" si="0"/>
        <v>Cash</v>
      </c>
      <c r="L18" s="171" t="str">
        <f>IF(E18="","",IF(COUNTIFS(Table2[[#All],[De (Lote)]],Input_APM!F18)&gt;0,INDEX(Table2[[#All],[Para (Ticker Daniel)]],MATCH(Input_APM!F18,Table2[[#All],[De (Lote)]],0)),Input_APM!F18))</f>
        <v>Cash CAD</v>
      </c>
      <c r="M18" s="171" t="str">
        <f t="shared" si="1"/>
        <v>EQTY.IntlUS.off</v>
      </c>
      <c r="N18" s="172">
        <f t="shared" si="2"/>
        <v>-0.28999999999999998</v>
      </c>
      <c r="O18" s="172">
        <f t="shared" si="3"/>
        <v>-0.28999999999999998</v>
      </c>
    </row>
    <row r="19" spans="5:15">
      <c r="E19" s="170" t="s">
        <v>248</v>
      </c>
      <c r="F19" s="170" t="s">
        <v>224</v>
      </c>
      <c r="G19" s="170" t="s">
        <v>211</v>
      </c>
      <c r="H19" s="170">
        <v>0.39</v>
      </c>
      <c r="I19" s="170">
        <v>0.39</v>
      </c>
      <c r="K19" s="171" t="str">
        <f t="shared" si="0"/>
        <v>Cash</v>
      </c>
      <c r="L19" s="171" t="str">
        <f>IF(E19="","",IF(COUNTIFS(Table2[[#All],[De (Lote)]],Input_APM!F19)&gt;0,INDEX(Table2[[#All],[Para (Ticker Daniel)]],MATCH(Input_APM!F19,Table2[[#All],[De (Lote)]],0)),Input_APM!F19))</f>
        <v>Cash CHF</v>
      </c>
      <c r="M19" s="171" t="str">
        <f t="shared" si="1"/>
        <v>EQTY.InternacionalUS2.off</v>
      </c>
      <c r="N19" s="172">
        <f t="shared" si="2"/>
        <v>0.39</v>
      </c>
      <c r="O19" s="172">
        <f t="shared" si="3"/>
        <v>0.39</v>
      </c>
    </row>
    <row r="20" spans="5:15">
      <c r="E20" s="170" t="s">
        <v>248</v>
      </c>
      <c r="F20" s="170" t="s">
        <v>224</v>
      </c>
      <c r="G20" s="170" t="s">
        <v>210</v>
      </c>
      <c r="H20" s="170">
        <v>-34454.449999999997</v>
      </c>
      <c r="I20" s="170">
        <v>-34454.449999999997</v>
      </c>
      <c r="K20" s="171" t="str">
        <f t="shared" si="0"/>
        <v>Cash</v>
      </c>
      <c r="L20" s="171" t="str">
        <f>IF(E20="","",IF(COUNTIFS(Table2[[#All],[De (Lote)]],Input_APM!F20)&gt;0,INDEX(Table2[[#All],[Para (Ticker Daniel)]],MATCH(Input_APM!F20,Table2[[#All],[De (Lote)]],0)),Input_APM!F20))</f>
        <v>Cash CHF</v>
      </c>
      <c r="M20" s="171" t="str">
        <f t="shared" si="1"/>
        <v>EQTY.IntlUS.off</v>
      </c>
      <c r="N20" s="172">
        <f t="shared" si="2"/>
        <v>-34454.449999999997</v>
      </c>
      <c r="O20" s="172">
        <f t="shared" si="3"/>
        <v>-34454.449999999997</v>
      </c>
    </row>
    <row r="21" spans="5:15">
      <c r="E21" s="170" t="s">
        <v>248</v>
      </c>
      <c r="F21" s="170" t="s">
        <v>225</v>
      </c>
      <c r="G21" s="170" t="s">
        <v>210</v>
      </c>
      <c r="H21" s="170">
        <v>-0.36</v>
      </c>
      <c r="I21" s="170">
        <v>-0.36</v>
      </c>
      <c r="K21" s="171" t="str">
        <f t="shared" si="0"/>
        <v>Cash</v>
      </c>
      <c r="L21" s="171" t="str">
        <f>IF(E21="","",IF(COUNTIFS(Table2[[#All],[De (Lote)]],Input_APM!F21)&gt;0,INDEX(Table2[[#All],[Para (Ticker Daniel)]],MATCH(Input_APM!F21,Table2[[#All],[De (Lote)]],0)),Input_APM!F21))</f>
        <v>Cash CNH</v>
      </c>
      <c r="M21" s="171" t="str">
        <f t="shared" si="1"/>
        <v>EQTY.IntlUS.off</v>
      </c>
      <c r="N21" s="172">
        <f t="shared" si="2"/>
        <v>-0.36</v>
      </c>
      <c r="O21" s="172">
        <f t="shared" si="3"/>
        <v>-0.36</v>
      </c>
    </row>
    <row r="22" spans="5:15">
      <c r="E22" s="170" t="s">
        <v>248</v>
      </c>
      <c r="F22" s="170" t="s">
        <v>795</v>
      </c>
      <c r="G22" s="170" t="s">
        <v>211</v>
      </c>
      <c r="H22" s="170">
        <v>-0.19</v>
      </c>
      <c r="I22" s="170">
        <v>-0.19</v>
      </c>
      <c r="K22" s="171" t="str">
        <f t="shared" si="0"/>
        <v>Cash</v>
      </c>
      <c r="L22" s="171" t="str">
        <f>IF(E22="","",IF(COUNTIFS(Table2[[#All],[De (Lote)]],Input_APM!F22)&gt;0,INDEX(Table2[[#All],[Para (Ticker Daniel)]],MATCH(Input_APM!F22,Table2[[#All],[De (Lote)]],0)),Input_APM!F22))</f>
        <v>Cash CNY</v>
      </c>
      <c r="M22" s="171" t="str">
        <f t="shared" si="1"/>
        <v>EQTY.InternacionalUS2.off</v>
      </c>
      <c r="N22" s="172">
        <f t="shared" si="2"/>
        <v>-0.19</v>
      </c>
      <c r="O22" s="172">
        <f t="shared" si="3"/>
        <v>-0.19</v>
      </c>
    </row>
    <row r="23" spans="5:15">
      <c r="E23" s="170" t="s">
        <v>248</v>
      </c>
      <c r="F23" s="170" t="s">
        <v>795</v>
      </c>
      <c r="G23" s="170" t="s">
        <v>210</v>
      </c>
      <c r="H23" s="170">
        <v>-143145.81</v>
      </c>
      <c r="I23" s="170">
        <v>-143145.81</v>
      </c>
      <c r="K23" s="171" t="str">
        <f t="shared" si="0"/>
        <v>Cash</v>
      </c>
      <c r="L23" s="171" t="str">
        <f>IF(E23="","",IF(COUNTIFS(Table2[[#All],[De (Lote)]],Input_APM!F23)&gt;0,INDEX(Table2[[#All],[Para (Ticker Daniel)]],MATCH(Input_APM!F23,Table2[[#All],[De (Lote)]],0)),Input_APM!F23))</f>
        <v>Cash CNY</v>
      </c>
      <c r="M23" s="171" t="str">
        <f t="shared" si="1"/>
        <v>EQTY.IntlUS.off</v>
      </c>
      <c r="N23" s="172">
        <f t="shared" si="2"/>
        <v>-143145.81</v>
      </c>
      <c r="O23" s="172">
        <f t="shared" si="3"/>
        <v>-143145.81</v>
      </c>
    </row>
    <row r="24" spans="5:15">
      <c r="E24" s="170" t="s">
        <v>248</v>
      </c>
      <c r="F24" s="170" t="s">
        <v>226</v>
      </c>
      <c r="G24" s="170" t="s">
        <v>211</v>
      </c>
      <c r="H24" s="170">
        <v>-0.15</v>
      </c>
      <c r="I24" s="170">
        <v>-0.15</v>
      </c>
      <c r="K24" s="171" t="str">
        <f t="shared" si="0"/>
        <v>Cash</v>
      </c>
      <c r="L24" s="171" t="str">
        <f>IF(E24="","",IF(COUNTIFS(Table2[[#All],[De (Lote)]],Input_APM!F24)&gt;0,INDEX(Table2[[#All],[Para (Ticker Daniel)]],MATCH(Input_APM!F24,Table2[[#All],[De (Lote)]],0)),Input_APM!F24))</f>
        <v>Cash EUR</v>
      </c>
      <c r="M24" s="171" t="str">
        <f t="shared" si="1"/>
        <v>EQTY.InternacionalUS2.off</v>
      </c>
      <c r="N24" s="172">
        <f t="shared" si="2"/>
        <v>-0.15</v>
      </c>
      <c r="O24" s="172">
        <f t="shared" si="3"/>
        <v>-0.15</v>
      </c>
    </row>
    <row r="25" spans="5:15">
      <c r="E25" s="170" t="s">
        <v>248</v>
      </c>
      <c r="F25" s="170" t="s">
        <v>226</v>
      </c>
      <c r="G25" s="170" t="s">
        <v>210</v>
      </c>
      <c r="H25" s="170">
        <v>40729.67</v>
      </c>
      <c r="I25" s="170">
        <v>40729.67</v>
      </c>
      <c r="K25" s="171" t="str">
        <f t="shared" si="0"/>
        <v>Cash</v>
      </c>
      <c r="L25" s="171" t="str">
        <f>IF(E25="","",IF(COUNTIFS(Table2[[#All],[De (Lote)]],Input_APM!F25)&gt;0,INDEX(Table2[[#All],[Para (Ticker Daniel)]],MATCH(Input_APM!F25,Table2[[#All],[De (Lote)]],0)),Input_APM!F25))</f>
        <v>Cash EUR</v>
      </c>
      <c r="M25" s="171" t="str">
        <f t="shared" si="1"/>
        <v>EQTY.IntlUS.off</v>
      </c>
      <c r="N25" s="172">
        <f t="shared" si="2"/>
        <v>40729.67</v>
      </c>
      <c r="O25" s="172">
        <f t="shared" si="3"/>
        <v>40729.67</v>
      </c>
    </row>
    <row r="26" spans="5:15">
      <c r="E26" s="170" t="s">
        <v>248</v>
      </c>
      <c r="F26" s="170" t="s">
        <v>227</v>
      </c>
      <c r="G26" s="170" t="s">
        <v>210</v>
      </c>
      <c r="H26" s="170">
        <v>-0.47</v>
      </c>
      <c r="I26" s="170">
        <v>-0.47</v>
      </c>
      <c r="K26" s="171" t="str">
        <f t="shared" si="0"/>
        <v>Cash</v>
      </c>
      <c r="L26" s="171" t="str">
        <f>IF(E26="","",IF(COUNTIFS(Table2[[#All],[De (Lote)]],Input_APM!F26)&gt;0,INDEX(Table2[[#All],[Para (Ticker Daniel)]],MATCH(Input_APM!F26,Table2[[#All],[De (Lote)]],0)),Input_APM!F26))</f>
        <v>Cash GBP</v>
      </c>
      <c r="M26" s="171" t="str">
        <f t="shared" si="1"/>
        <v>EQTY.IntlUS.off</v>
      </c>
      <c r="N26" s="172">
        <f t="shared" si="2"/>
        <v>-0.47</v>
      </c>
      <c r="O26" s="172">
        <f t="shared" si="3"/>
        <v>-0.47</v>
      </c>
    </row>
    <row r="27" spans="5:15">
      <c r="E27" s="170" t="s">
        <v>248</v>
      </c>
      <c r="F27" s="170" t="s">
        <v>228</v>
      </c>
      <c r="G27" s="170" t="s">
        <v>211</v>
      </c>
      <c r="H27" s="170">
        <v>0.2</v>
      </c>
      <c r="I27" s="170">
        <v>0.2</v>
      </c>
      <c r="K27" s="171" t="str">
        <f t="shared" si="0"/>
        <v>Cash</v>
      </c>
      <c r="L27" s="171" t="str">
        <f>IF(E27="","",IF(COUNTIFS(Table2[[#All],[De (Lote)]],Input_APM!F27)&gt;0,INDEX(Table2[[#All],[Para (Ticker Daniel)]],MATCH(Input_APM!F27,Table2[[#All],[De (Lote)]],0)),Input_APM!F27))</f>
        <v>Cash HKD</v>
      </c>
      <c r="M27" s="171" t="str">
        <f t="shared" si="1"/>
        <v>EQTY.InternacionalUS2.off</v>
      </c>
      <c r="N27" s="172">
        <f t="shared" si="2"/>
        <v>0.2</v>
      </c>
      <c r="O27" s="172">
        <f t="shared" si="3"/>
        <v>0.2</v>
      </c>
    </row>
    <row r="28" spans="5:15">
      <c r="E28" s="170" t="s">
        <v>248</v>
      </c>
      <c r="F28" s="170" t="s">
        <v>228</v>
      </c>
      <c r="G28" s="170" t="s">
        <v>210</v>
      </c>
      <c r="H28" s="170">
        <v>-341409.97</v>
      </c>
      <c r="I28" s="170">
        <v>-341409.97</v>
      </c>
      <c r="K28" s="171" t="str">
        <f t="shared" si="0"/>
        <v>Cash</v>
      </c>
      <c r="L28" s="171" t="str">
        <f>IF(E28="","",IF(COUNTIFS(Table2[[#All],[De (Lote)]],Input_APM!F28)&gt;0,INDEX(Table2[[#All],[Para (Ticker Daniel)]],MATCH(Input_APM!F28,Table2[[#All],[De (Lote)]],0)),Input_APM!F28))</f>
        <v>Cash HKD</v>
      </c>
      <c r="M28" s="171" t="str">
        <f t="shared" si="1"/>
        <v>EQTY.IntlUS.off</v>
      </c>
      <c r="N28" s="172">
        <f t="shared" si="2"/>
        <v>-341409.97</v>
      </c>
      <c r="O28" s="172">
        <f t="shared" si="3"/>
        <v>-341409.97</v>
      </c>
    </row>
    <row r="29" spans="5:15">
      <c r="E29" s="170" t="s">
        <v>248</v>
      </c>
      <c r="F29" s="170" t="s">
        <v>229</v>
      </c>
      <c r="G29" s="170" t="s">
        <v>210</v>
      </c>
      <c r="H29" s="170">
        <v>1.000005E-2</v>
      </c>
      <c r="I29" s="170">
        <v>1.000005E-2</v>
      </c>
      <c r="K29" s="171" t="str">
        <f t="shared" si="0"/>
        <v>Cash</v>
      </c>
      <c r="L29" s="171" t="str">
        <f>IF(E29="","",IF(COUNTIFS(Table2[[#All],[De (Lote)]],Input_APM!F29)&gt;0,INDEX(Table2[[#All],[Para (Ticker Daniel)]],MATCH(Input_APM!F29,Table2[[#All],[De (Lote)]],0)),Input_APM!F29))</f>
        <v>Cash KRW</v>
      </c>
      <c r="M29" s="171" t="str">
        <f t="shared" si="1"/>
        <v>EQTY.IntlUS.off</v>
      </c>
      <c r="N29" s="172">
        <f t="shared" si="2"/>
        <v>1.000005E-2</v>
      </c>
      <c r="O29" s="172">
        <f t="shared" si="3"/>
        <v>1.000005E-2</v>
      </c>
    </row>
    <row r="30" spans="5:15">
      <c r="E30" s="170" t="s">
        <v>248</v>
      </c>
      <c r="F30" s="170" t="s">
        <v>230</v>
      </c>
      <c r="G30" s="170" t="s">
        <v>210</v>
      </c>
      <c r="H30" s="170">
        <v>-954351.49564684997</v>
      </c>
      <c r="I30" s="170">
        <v>35875.004353149998</v>
      </c>
      <c r="K30" s="171" t="str">
        <f t="shared" si="0"/>
        <v>Cash</v>
      </c>
      <c r="L30" s="171" t="str">
        <f>IF(E30="","",IF(COUNTIFS(Table2[[#All],[De (Lote)]],Input_APM!F30)&gt;0,INDEX(Table2[[#All],[Para (Ticker Daniel)]],MATCH(Input_APM!F30,Table2[[#All],[De (Lote)]],0)),Input_APM!F30))</f>
        <v>Cash USD</v>
      </c>
      <c r="M30" s="171" t="str">
        <f t="shared" si="1"/>
        <v>EQTY.IntlUS.off</v>
      </c>
      <c r="N30" s="172">
        <f t="shared" si="2"/>
        <v>-954351.49564684997</v>
      </c>
      <c r="O30" s="172">
        <f t="shared" si="3"/>
        <v>35875.004353149998</v>
      </c>
    </row>
    <row r="31" spans="5:15">
      <c r="E31" s="170" t="s">
        <v>338</v>
      </c>
      <c r="F31" s="170" t="s">
        <v>578</v>
      </c>
      <c r="G31" s="170" t="s">
        <v>210</v>
      </c>
      <c r="H31" s="170">
        <v>4625000</v>
      </c>
      <c r="I31" s="170">
        <v>4625000</v>
      </c>
      <c r="K31" s="171" t="str">
        <f t="shared" si="0"/>
        <v>CDS</v>
      </c>
      <c r="L31" s="171" t="str">
        <f>IF(E31="","",IF(COUNTIFS(Table2[[#All],[De (Lote)]],Input_APM!F31)&gt;0,INDEX(Table2[[#All],[Para (Ticker Daniel)]],MATCH(Input_APM!F31,Table2[[#All],[De (Lote)]],0)),Input_APM!F31))</f>
        <v>CHINAGOV 12/20/30</v>
      </c>
      <c r="M31" s="171" t="str">
        <f t="shared" si="1"/>
        <v>EQTY.IntlUS.off</v>
      </c>
      <c r="N31" s="172">
        <f t="shared" si="2"/>
        <v>4625000</v>
      </c>
      <c r="O31" s="172">
        <f t="shared" si="3"/>
        <v>4625000</v>
      </c>
    </row>
    <row r="32" spans="5:15">
      <c r="E32" s="170" t="s">
        <v>244</v>
      </c>
      <c r="F32" s="170" t="s">
        <v>1004</v>
      </c>
      <c r="G32" s="170" t="s">
        <v>210</v>
      </c>
      <c r="H32" s="170">
        <v>41972</v>
      </c>
      <c r="I32" s="170">
        <v>41972</v>
      </c>
      <c r="K32" s="171" t="str">
        <f t="shared" si="0"/>
        <v>US Equity</v>
      </c>
      <c r="L32" s="171" t="str">
        <f>IF(E32="","",IF(COUNTIFS(Table2[[#All],[De (Lote)]],Input_APM!F32)&gt;0,INDEX(Table2[[#All],[Para (Ticker Daniel)]],MATCH(Input_APM!F32,Table2[[#All],[De (Lote)]],0)),Input_APM!F32))</f>
        <v>CSCO</v>
      </c>
      <c r="M32" s="171" t="str">
        <f t="shared" si="1"/>
        <v>EQTY.IntlUS.off</v>
      </c>
      <c r="N32" s="172">
        <f t="shared" si="2"/>
        <v>41972</v>
      </c>
      <c r="O32" s="172">
        <f t="shared" si="3"/>
        <v>41972</v>
      </c>
    </row>
    <row r="33" spans="5:15">
      <c r="E33" s="170" t="s">
        <v>245</v>
      </c>
      <c r="F33" s="170" t="s">
        <v>1149</v>
      </c>
      <c r="G33" s="170" t="s">
        <v>210</v>
      </c>
      <c r="H33" s="170">
        <v>0</v>
      </c>
      <c r="I33" s="170">
        <v>66455.17</v>
      </c>
      <c r="K33" s="171" t="str">
        <f t="shared" si="0"/>
        <v>Provisions and Costs</v>
      </c>
      <c r="L33" s="171" t="str">
        <f>IF(E33="","",IF(COUNTIFS(Table2[[#All],[De (Lote)]],Input_APM!F33)&gt;0,INDEX(Table2[[#All],[Para (Ticker Daniel)]],MATCH(Input_APM!F33,Table2[[#All],[De (Lote)]],0)),Input_APM!F33))</f>
        <v>Equity Total Return Swap Payment USD_</v>
      </c>
      <c r="M33" s="171" t="str">
        <f t="shared" si="1"/>
        <v>EQTY.IntlUS.off</v>
      </c>
      <c r="N33" s="172">
        <f t="shared" si="2"/>
        <v>0</v>
      </c>
      <c r="O33" s="172">
        <f t="shared" si="3"/>
        <v>66455.17</v>
      </c>
    </row>
    <row r="34" spans="5:15">
      <c r="E34" s="170" t="s">
        <v>247</v>
      </c>
      <c r="F34" s="170" t="s">
        <v>432</v>
      </c>
      <c r="G34" s="170" t="s">
        <v>210</v>
      </c>
      <c r="H34" s="170">
        <v>32457</v>
      </c>
      <c r="I34" s="170">
        <v>43349</v>
      </c>
      <c r="K34" s="171" t="str">
        <f t="shared" si="0"/>
        <v>ETF</v>
      </c>
      <c r="L34" s="171" t="str">
        <f>IF(E34="","",IF(COUNTIFS(Table2[[#All],[De (Lote)]],Input_APM!F34)&gt;0,INDEX(Table2[[#All],[Para (Ticker Daniel)]],MATCH(Input_APM!F34,Table2[[#All],[De (Lote)]],0)),Input_APM!F34))</f>
        <v>EWY</v>
      </c>
      <c r="M34" s="171" t="str">
        <f t="shared" si="1"/>
        <v>EQTY.IntlUS.off</v>
      </c>
      <c r="N34" s="172">
        <f t="shared" si="2"/>
        <v>32457</v>
      </c>
      <c r="O34" s="172">
        <f t="shared" si="3"/>
        <v>43349</v>
      </c>
    </row>
    <row r="35" spans="5:15">
      <c r="E35" s="170" t="s">
        <v>250</v>
      </c>
      <c r="F35" s="170" t="s">
        <v>924</v>
      </c>
      <c r="G35" s="170" t="s">
        <v>210</v>
      </c>
      <c r="H35" s="170">
        <v>797</v>
      </c>
      <c r="I35" s="170">
        <v>797</v>
      </c>
      <c r="K35" s="171" t="str">
        <f t="shared" si="0"/>
        <v>ETF Options</v>
      </c>
      <c r="L35" s="171" t="str">
        <f>IF(E35="","",IF(COUNTIFS(Table2[[#All],[De (Lote)]],Input_APM!F35)&gt;0,INDEX(Table2[[#All],[Para (Ticker Daniel)]],MATCH(Input_APM!F35,Table2[[#All],[De (Lote)]],0)),Input_APM!F35))</f>
        <v>GDX US 09/18/26 C105</v>
      </c>
      <c r="M35" s="171" t="str">
        <f t="shared" si="1"/>
        <v>EQTY.IntlUS.off</v>
      </c>
      <c r="N35" s="172">
        <f t="shared" si="2"/>
        <v>797</v>
      </c>
      <c r="O35" s="172">
        <f t="shared" si="3"/>
        <v>797</v>
      </c>
    </row>
    <row r="36" spans="5:15">
      <c r="E36" s="170" t="s">
        <v>250</v>
      </c>
      <c r="F36" s="170" t="s">
        <v>925</v>
      </c>
      <c r="G36" s="170" t="s">
        <v>210</v>
      </c>
      <c r="H36" s="170">
        <v>-797</v>
      </c>
      <c r="I36" s="170">
        <v>-797</v>
      </c>
      <c r="K36" s="171" t="str">
        <f t="shared" si="0"/>
        <v>ETF Options</v>
      </c>
      <c r="L36" s="171" t="str">
        <f>IF(E36="","",IF(COUNTIFS(Table2[[#All],[De (Lote)]],Input_APM!F36)&gt;0,INDEX(Table2[[#All],[Para (Ticker Daniel)]],MATCH(Input_APM!F36,Table2[[#All],[De (Lote)]],0)),Input_APM!F36))</f>
        <v>GDX US 09/18/26 C115</v>
      </c>
      <c r="M36" s="171" t="str">
        <f t="shared" si="1"/>
        <v>EQTY.IntlUS.off</v>
      </c>
      <c r="N36" s="172">
        <f t="shared" si="2"/>
        <v>-797</v>
      </c>
      <c r="O36" s="172">
        <f t="shared" si="3"/>
        <v>-797</v>
      </c>
    </row>
    <row r="37" spans="5:15">
      <c r="E37" s="170" t="s">
        <v>244</v>
      </c>
      <c r="F37" s="170" t="s">
        <v>816</v>
      </c>
      <c r="G37" s="170" t="s">
        <v>210</v>
      </c>
      <c r="H37" s="170">
        <v>13594</v>
      </c>
      <c r="I37" s="170">
        <v>13594</v>
      </c>
      <c r="K37" s="171" t="str">
        <f t="shared" si="0"/>
        <v>US Equity</v>
      </c>
      <c r="L37" s="171" t="str">
        <f>IF(E37="","",IF(COUNTIFS(Table2[[#All],[De (Lote)]],Input_APM!F37)&gt;0,INDEX(Table2[[#All],[Para (Ticker Daniel)]],MATCH(Input_APM!F37,Table2[[#All],[De (Lote)]],0)),Input_APM!F37))</f>
        <v>GOOG</v>
      </c>
      <c r="M37" s="171" t="str">
        <f t="shared" si="1"/>
        <v>EQTY.IntlUS.off</v>
      </c>
      <c r="N37" s="172">
        <f t="shared" si="2"/>
        <v>13594</v>
      </c>
      <c r="O37" s="172">
        <f t="shared" si="3"/>
        <v>13594</v>
      </c>
    </row>
    <row r="38" spans="5:15">
      <c r="E38" s="170" t="s">
        <v>246</v>
      </c>
      <c r="F38" s="170" t="s">
        <v>1169</v>
      </c>
      <c r="G38" s="170" t="s">
        <v>210</v>
      </c>
      <c r="H38" s="170">
        <v>94</v>
      </c>
      <c r="I38" s="170">
        <v>0</v>
      </c>
      <c r="K38" s="171" t="str">
        <f t="shared" si="0"/>
        <v>US Equity Options</v>
      </c>
      <c r="L38" s="171" t="str">
        <f>IF(E38="","",IF(COUNTIFS(Table2[[#All],[De (Lote)]],Input_APM!F38)&gt;0,INDEX(Table2[[#All],[Para (Ticker Daniel)]],MATCH(Input_APM!F38,Table2[[#All],[De (Lote)]],0)),Input_APM!F38))</f>
        <v>GOOG US 02/06/26 P300</v>
      </c>
      <c r="M38" s="171" t="str">
        <f t="shared" si="1"/>
        <v>EQTY.IntlUS.off</v>
      </c>
      <c r="N38" s="172">
        <f t="shared" si="2"/>
        <v>94</v>
      </c>
      <c r="O38" s="172">
        <f t="shared" si="3"/>
        <v>0</v>
      </c>
    </row>
    <row r="39" spans="5:15">
      <c r="E39" s="170" t="s">
        <v>251</v>
      </c>
      <c r="F39" s="170" t="s">
        <v>568</v>
      </c>
      <c r="G39" s="170" t="s">
        <v>210</v>
      </c>
      <c r="H39" s="170">
        <v>276451</v>
      </c>
      <c r="I39" s="170">
        <v>276451</v>
      </c>
      <c r="K39" s="171" t="str">
        <f t="shared" si="0"/>
        <v>Basket Index Options</v>
      </c>
      <c r="L39" s="171" t="str">
        <f>IF(E39="","",IF(COUNTIFS(Table2[[#All],[De (Lote)]],Input_APM!F39)&gt;0,INDEX(Table2[[#All],[Para (Ticker Daniel)]],MATCH(Input_APM!F39,Table2[[#All],[De (Lote)]],0)),Input_APM!F39))</f>
        <v>GSC1000P 03/20/26 C104</v>
      </c>
      <c r="M39" s="171" t="str">
        <f t="shared" si="1"/>
        <v>EQTY.IntlUS.off</v>
      </c>
      <c r="N39" s="172">
        <f t="shared" si="2"/>
        <v>276451</v>
      </c>
      <c r="O39" s="172">
        <f t="shared" si="3"/>
        <v>276451</v>
      </c>
    </row>
    <row r="40" spans="5:15">
      <c r="E40" s="170" t="s">
        <v>251</v>
      </c>
      <c r="F40" s="170" t="s">
        <v>569</v>
      </c>
      <c r="G40" s="170" t="s">
        <v>210</v>
      </c>
      <c r="H40" s="170">
        <v>-276451</v>
      </c>
      <c r="I40" s="170">
        <v>-276451</v>
      </c>
      <c r="K40" s="171" t="str">
        <f t="shared" si="0"/>
        <v>Basket Index Options</v>
      </c>
      <c r="L40" s="171" t="str">
        <f>IF(E40="","",IF(COUNTIFS(Table2[[#All],[De (Lote)]],Input_APM!F40)&gt;0,INDEX(Table2[[#All],[Para (Ticker Daniel)]],MATCH(Input_APM!F40,Table2[[#All],[De (Lote)]],0)),Input_APM!F40))</f>
        <v>GSC1000P 03/20/26 C119</v>
      </c>
      <c r="M40" s="171" t="str">
        <f t="shared" si="1"/>
        <v>EQTY.IntlUS.off</v>
      </c>
      <c r="N40" s="172">
        <f t="shared" si="2"/>
        <v>-276451</v>
      </c>
      <c r="O40" s="172">
        <f t="shared" si="3"/>
        <v>-276451</v>
      </c>
    </row>
    <row r="41" spans="5:15">
      <c r="E41" s="170" t="s">
        <v>247</v>
      </c>
      <c r="F41" s="170" t="s">
        <v>37</v>
      </c>
      <c r="G41" s="170" t="s">
        <v>210</v>
      </c>
      <c r="H41" s="170">
        <v>-10807</v>
      </c>
      <c r="I41" s="170">
        <v>-18789</v>
      </c>
      <c r="K41" s="171" t="str">
        <f t="shared" si="0"/>
        <v>ETF</v>
      </c>
      <c r="L41" s="171" t="str">
        <f>IF(E41="","",IF(COUNTIFS(Table2[[#All],[De (Lote)]],Input_APM!F41)&gt;0,INDEX(Table2[[#All],[Para (Ticker Daniel)]],MATCH(Input_APM!F41,Table2[[#All],[De (Lote)]],0)),Input_APM!F41))</f>
        <v>IGV</v>
      </c>
      <c r="M41" s="171" t="str">
        <f t="shared" si="1"/>
        <v>EQTY.IntlUS.off</v>
      </c>
      <c r="N41" s="172">
        <f t="shared" si="2"/>
        <v>-10807</v>
      </c>
      <c r="O41" s="172">
        <f t="shared" si="3"/>
        <v>-18789</v>
      </c>
    </row>
    <row r="42" spans="5:15">
      <c r="E42" s="170" t="s">
        <v>244</v>
      </c>
      <c r="F42" s="170" t="s">
        <v>345</v>
      </c>
      <c r="G42" s="170" t="s">
        <v>210</v>
      </c>
      <c r="H42" s="170">
        <v>1409</v>
      </c>
      <c r="I42" s="170">
        <v>0</v>
      </c>
      <c r="K42" s="171" t="str">
        <f t="shared" si="0"/>
        <v>US Equity</v>
      </c>
      <c r="L42" s="171" t="str">
        <f>IF(E42="","",IF(COUNTIFS(Table2[[#All],[De (Lote)]],Input_APM!F42)&gt;0,INDEX(Table2[[#All],[Para (Ticker Daniel)]],MATCH(Input_APM!F42,Table2[[#All],[De (Lote)]],0)),Input_APM!F42))</f>
        <v>INTC</v>
      </c>
      <c r="M42" s="171" t="str">
        <f t="shared" si="1"/>
        <v>EQTY.IntlUS.off</v>
      </c>
      <c r="N42" s="172">
        <f t="shared" si="2"/>
        <v>1409</v>
      </c>
      <c r="O42" s="172">
        <f t="shared" si="3"/>
        <v>0</v>
      </c>
    </row>
    <row r="43" spans="5:15">
      <c r="E43" s="170" t="s">
        <v>246</v>
      </c>
      <c r="F43" s="170" t="s">
        <v>984</v>
      </c>
      <c r="G43" s="170" t="s">
        <v>210</v>
      </c>
      <c r="H43" s="170">
        <v>260</v>
      </c>
      <c r="I43" s="170">
        <v>260</v>
      </c>
      <c r="K43" s="171" t="str">
        <f t="shared" si="0"/>
        <v>US Equity Options</v>
      </c>
      <c r="L43" s="171" t="str">
        <f>IF(E43="","",IF(COUNTIFS(Table2[[#All],[De (Lote)]],Input_APM!F43)&gt;0,INDEX(Table2[[#All],[Para (Ticker Daniel)]],MATCH(Input_APM!F43,Table2[[#All],[De (Lote)]],0)),Input_APM!F43))</f>
        <v>INTC US 07/17/26 C50</v>
      </c>
      <c r="M43" s="171" t="str">
        <f t="shared" si="1"/>
        <v>EQTY.IntlUS.off</v>
      </c>
      <c r="N43" s="172">
        <f t="shared" si="2"/>
        <v>260</v>
      </c>
      <c r="O43" s="172">
        <f t="shared" si="3"/>
        <v>260</v>
      </c>
    </row>
    <row r="44" spans="5:15">
      <c r="E44" s="170" t="s">
        <v>246</v>
      </c>
      <c r="F44" s="170" t="s">
        <v>985</v>
      </c>
      <c r="G44" s="170" t="s">
        <v>210</v>
      </c>
      <c r="H44" s="170">
        <v>-141</v>
      </c>
      <c r="I44" s="170">
        <v>-141</v>
      </c>
      <c r="K44" s="171" t="str">
        <f t="shared" si="0"/>
        <v>US Equity Options</v>
      </c>
      <c r="L44" s="171" t="str">
        <f>IF(E44="","",IF(COUNTIFS(Table2[[#All],[De (Lote)]],Input_APM!F44)&gt;0,INDEX(Table2[[#All],[Para (Ticker Daniel)]],MATCH(Input_APM!F44,Table2[[#All],[De (Lote)]],0)),Input_APM!F44))</f>
        <v>INTC US 07/17/26 C60</v>
      </c>
      <c r="M44" s="171" t="str">
        <f t="shared" si="1"/>
        <v>EQTY.IntlUS.off</v>
      </c>
      <c r="N44" s="172">
        <f t="shared" si="2"/>
        <v>-141</v>
      </c>
      <c r="O44" s="172">
        <f t="shared" si="3"/>
        <v>-141</v>
      </c>
    </row>
    <row r="45" spans="5:15">
      <c r="E45" s="170" t="s">
        <v>246</v>
      </c>
      <c r="F45" s="170" t="s">
        <v>983</v>
      </c>
      <c r="G45" s="170" t="s">
        <v>210</v>
      </c>
      <c r="H45" s="170">
        <v>-47</v>
      </c>
      <c r="I45" s="170">
        <v>-47</v>
      </c>
      <c r="K45" s="171" t="str">
        <f t="shared" si="0"/>
        <v>US Equity Options</v>
      </c>
      <c r="L45" s="171" t="str">
        <f>IF(E45="","",IF(COUNTIFS(Table2[[#All],[De (Lote)]],Input_APM!F45)&gt;0,INDEX(Table2[[#All],[Para (Ticker Daniel)]],MATCH(Input_APM!F45,Table2[[#All],[De (Lote)]],0)),Input_APM!F45))</f>
        <v>INTC US 07/17/26 P40</v>
      </c>
      <c r="M45" s="171" t="str">
        <f t="shared" si="1"/>
        <v>EQTY.IntlUS.off</v>
      </c>
      <c r="N45" s="172">
        <f t="shared" si="2"/>
        <v>-47</v>
      </c>
      <c r="O45" s="172">
        <f t="shared" si="3"/>
        <v>-47</v>
      </c>
    </row>
    <row r="46" spans="5:15">
      <c r="E46" s="170" t="s">
        <v>247</v>
      </c>
      <c r="F46" s="170" t="s">
        <v>6</v>
      </c>
      <c r="G46" s="170" t="s">
        <v>210</v>
      </c>
      <c r="H46" s="170">
        <v>14082</v>
      </c>
      <c r="I46" s="170">
        <v>14082</v>
      </c>
      <c r="K46" s="171" t="str">
        <f t="shared" si="0"/>
        <v>ETF</v>
      </c>
      <c r="L46" s="171" t="str">
        <f>IF(E46="","",IF(COUNTIFS(Table2[[#All],[De (Lote)]],Input_APM!F46)&gt;0,INDEX(Table2[[#All],[Para (Ticker Daniel)]],MATCH(Input_APM!F46,Table2[[#All],[De (Lote)]],0)),Input_APM!F46))</f>
        <v>KBWB</v>
      </c>
      <c r="M46" s="171" t="str">
        <f t="shared" si="1"/>
        <v>EQTY.IntlUS.off</v>
      </c>
      <c r="N46" s="172">
        <f t="shared" si="2"/>
        <v>14082</v>
      </c>
      <c r="O46" s="172">
        <f t="shared" si="3"/>
        <v>14082</v>
      </c>
    </row>
    <row r="47" spans="5:15">
      <c r="E47" s="170" t="s">
        <v>244</v>
      </c>
      <c r="F47" s="170" t="s">
        <v>926</v>
      </c>
      <c r="G47" s="170" t="s">
        <v>210</v>
      </c>
      <c r="H47" s="170">
        <v>-12632</v>
      </c>
      <c r="I47" s="170">
        <v>-10782</v>
      </c>
      <c r="K47" s="171" t="str">
        <f t="shared" si="0"/>
        <v>US Equity</v>
      </c>
      <c r="L47" s="171" t="str">
        <f>IF(E47="","",IF(COUNTIFS(Table2[[#All],[De (Lote)]],Input_APM!F47)&gt;0,INDEX(Table2[[#All],[Para (Ticker Daniel)]],MATCH(Input_APM!F47,Table2[[#All],[De (Lote)]],0)),Input_APM!F47))</f>
        <v>KHC</v>
      </c>
      <c r="M47" s="171" t="str">
        <f t="shared" si="1"/>
        <v>EQTY.IntlUS.off</v>
      </c>
      <c r="N47" s="172">
        <f t="shared" si="2"/>
        <v>-12632</v>
      </c>
      <c r="O47" s="172">
        <f t="shared" si="3"/>
        <v>-10782</v>
      </c>
    </row>
    <row r="48" spans="5:15">
      <c r="E48" s="170" t="s">
        <v>981</v>
      </c>
      <c r="F48" s="170" t="s">
        <v>958</v>
      </c>
      <c r="G48" s="170" t="s">
        <v>210</v>
      </c>
      <c r="H48" s="170">
        <v>10349446</v>
      </c>
      <c r="I48" s="170">
        <v>10349446</v>
      </c>
      <c r="K48" s="171" t="str">
        <f t="shared" si="0"/>
        <v>KOSPI 200 Index Options - KRX</v>
      </c>
      <c r="L48" s="171" t="str">
        <f>IF(E48="","",IF(COUNTIFS(Table2[[#All],[De (Lote)]],Input_APM!F48)&gt;0,INDEX(Table2[[#All],[Para (Ticker Daniel)]],MATCH(Input_APM!F48,Table2[[#All],[De (Lote)]],0)),Input_APM!F48))</f>
        <v>KOSPI2 12/10/26 C1000</v>
      </c>
      <c r="M48" s="171" t="str">
        <f t="shared" si="1"/>
        <v>EQTY.IntlUS.off</v>
      </c>
      <c r="N48" s="172">
        <f t="shared" si="2"/>
        <v>10349446</v>
      </c>
      <c r="O48" s="172">
        <f t="shared" si="3"/>
        <v>10349446</v>
      </c>
    </row>
    <row r="49" spans="5:15">
      <c r="E49" s="170" t="s">
        <v>244</v>
      </c>
      <c r="F49" s="170" t="s">
        <v>735</v>
      </c>
      <c r="G49" s="170" t="s">
        <v>210</v>
      </c>
      <c r="H49" s="170">
        <v>4178</v>
      </c>
      <c r="I49" s="170">
        <v>3380</v>
      </c>
      <c r="K49" s="171" t="str">
        <f t="shared" si="0"/>
        <v>US Equity</v>
      </c>
      <c r="L49" s="171" t="str">
        <f>IF(E49="","",IF(COUNTIFS(Table2[[#All],[De (Lote)]],Input_APM!F49)&gt;0,INDEX(Table2[[#All],[Para (Ticker Daniel)]],MATCH(Input_APM!F49,Table2[[#All],[De (Lote)]],0)),Input_APM!F49))</f>
        <v>LITE</v>
      </c>
      <c r="M49" s="171" t="str">
        <f t="shared" si="1"/>
        <v>EQTY.IntlUS.off</v>
      </c>
      <c r="N49" s="172">
        <f t="shared" si="2"/>
        <v>4178</v>
      </c>
      <c r="O49" s="172">
        <f t="shared" si="3"/>
        <v>3380</v>
      </c>
    </row>
    <row r="50" spans="5:15">
      <c r="E50" s="170" t="s">
        <v>244</v>
      </c>
      <c r="F50" s="170" t="s">
        <v>342</v>
      </c>
      <c r="G50" s="170" t="s">
        <v>210</v>
      </c>
      <c r="H50" s="170">
        <v>549</v>
      </c>
      <c r="I50" s="170">
        <v>0</v>
      </c>
      <c r="K50" s="171" t="str">
        <f t="shared" si="0"/>
        <v>US Equity</v>
      </c>
      <c r="L50" s="171" t="str">
        <f>IF(E50="","",IF(COUNTIFS(Table2[[#All],[De (Lote)]],Input_APM!F50)&gt;0,INDEX(Table2[[#All],[Para (Ticker Daniel)]],MATCH(Input_APM!F50,Table2[[#All],[De (Lote)]],0)),Input_APM!F50))</f>
        <v>MELI</v>
      </c>
      <c r="M50" s="171" t="str">
        <f t="shared" si="1"/>
        <v>EQTY.IntlUS.off</v>
      </c>
      <c r="N50" s="172">
        <f t="shared" si="2"/>
        <v>549</v>
      </c>
      <c r="O50" s="172">
        <f t="shared" si="3"/>
        <v>0</v>
      </c>
    </row>
    <row r="51" spans="5:15">
      <c r="E51" s="170" t="s">
        <v>246</v>
      </c>
      <c r="F51" s="170" t="s">
        <v>1164</v>
      </c>
      <c r="G51" s="170" t="s">
        <v>210</v>
      </c>
      <c r="H51" s="170">
        <v>29</v>
      </c>
      <c r="I51" s="170">
        <v>0</v>
      </c>
      <c r="K51" s="171" t="str">
        <f t="shared" si="0"/>
        <v>US Equity Options</v>
      </c>
      <c r="L51" s="171" t="str">
        <f>IF(E51="","",IF(COUNTIFS(Table2[[#All],[De (Lote)]],Input_APM!F51)&gt;0,INDEX(Table2[[#All],[Para (Ticker Daniel)]],MATCH(Input_APM!F51,Table2[[#All],[De (Lote)]],0)),Input_APM!F51))</f>
        <v>MELI US 02/20/26 C2150</v>
      </c>
      <c r="M51" s="171" t="str">
        <f t="shared" si="1"/>
        <v>EQTY.IntlUS.off</v>
      </c>
      <c r="N51" s="172">
        <f t="shared" si="2"/>
        <v>29</v>
      </c>
      <c r="O51" s="172">
        <f t="shared" si="3"/>
        <v>0</v>
      </c>
    </row>
    <row r="52" spans="5:15">
      <c r="E52" s="170" t="s">
        <v>337</v>
      </c>
      <c r="F52" s="170" t="s">
        <v>1058</v>
      </c>
      <c r="G52" s="170" t="s">
        <v>210</v>
      </c>
      <c r="H52" s="170">
        <v>-9372000</v>
      </c>
      <c r="I52" s="170">
        <v>-9372000</v>
      </c>
      <c r="K52" s="171" t="str">
        <f t="shared" si="0"/>
        <v>Global Bonds</v>
      </c>
      <c r="L52" s="171" t="str">
        <f>IF(E52="","",IF(COUNTIFS(Table2[[#All],[De (Lote)]],Input_APM!F52)&gt;0,INDEX(Table2[[#All],[Para (Ticker Daniel)]],MATCH(Input_APM!F52,Table2[[#All],[De (Lote)]],0)),Input_APM!F52))</f>
        <v>META 4.875% 11/15/35</v>
      </c>
      <c r="M52" s="171" t="str">
        <f t="shared" si="1"/>
        <v>EQTY.IntlUS.off</v>
      </c>
      <c r="N52" s="172">
        <f t="shared" si="2"/>
        <v>-9372000</v>
      </c>
      <c r="O52" s="172">
        <f t="shared" si="3"/>
        <v>-9372000</v>
      </c>
    </row>
    <row r="53" spans="5:15">
      <c r="E53" s="170" t="s">
        <v>244</v>
      </c>
      <c r="F53" s="170" t="s">
        <v>252</v>
      </c>
      <c r="G53" s="170" t="s">
        <v>210</v>
      </c>
      <c r="H53" s="170">
        <v>4183</v>
      </c>
      <c r="I53" s="170">
        <v>4183</v>
      </c>
      <c r="K53" s="171" t="str">
        <f t="shared" si="0"/>
        <v>US Equity</v>
      </c>
      <c r="L53" s="171" t="str">
        <f>IF(E53="","",IF(COUNTIFS(Table2[[#All],[De (Lote)]],Input_APM!F53)&gt;0,INDEX(Table2[[#All],[Para (Ticker Daniel)]],MATCH(Input_APM!F53,Table2[[#All],[De (Lote)]],0)),Input_APM!F53))</f>
        <v>META</v>
      </c>
      <c r="M53" s="171" t="str">
        <f t="shared" si="1"/>
        <v>EQTY.IntlUS.off</v>
      </c>
      <c r="N53" s="172">
        <f t="shared" si="2"/>
        <v>4183</v>
      </c>
      <c r="O53" s="172">
        <f t="shared" si="3"/>
        <v>4183</v>
      </c>
    </row>
    <row r="54" spans="5:15">
      <c r="E54" s="170" t="s">
        <v>246</v>
      </c>
      <c r="F54" s="170" t="s">
        <v>1094</v>
      </c>
      <c r="G54" s="170" t="s">
        <v>210</v>
      </c>
      <c r="H54" s="170">
        <v>128</v>
      </c>
      <c r="I54" s="170">
        <v>128</v>
      </c>
      <c r="K54" s="171" t="str">
        <f t="shared" si="0"/>
        <v>US Equity Options</v>
      </c>
      <c r="L54" s="171" t="str">
        <f>IF(E54="","",IF(COUNTIFS(Table2[[#All],[De (Lote)]],Input_APM!F54)&gt;0,INDEX(Table2[[#All],[Para (Ticker Daniel)]],MATCH(Input_APM!F54,Table2[[#All],[De (Lote)]],0)),Input_APM!F54))</f>
        <v>META US 07/17/26 C750</v>
      </c>
      <c r="M54" s="171" t="str">
        <f t="shared" si="1"/>
        <v>EQTY.IntlUS.off</v>
      </c>
      <c r="N54" s="172">
        <f t="shared" si="2"/>
        <v>128</v>
      </c>
      <c r="O54" s="172">
        <f t="shared" si="3"/>
        <v>128</v>
      </c>
    </row>
    <row r="55" spans="5:15">
      <c r="E55" s="170" t="s">
        <v>246</v>
      </c>
      <c r="F55" s="170" t="s">
        <v>1138</v>
      </c>
      <c r="G55" s="170" t="s">
        <v>210</v>
      </c>
      <c r="H55" s="170">
        <v>-422</v>
      </c>
      <c r="I55" s="170">
        <v>-422</v>
      </c>
      <c r="K55" s="171" t="str">
        <f t="shared" si="0"/>
        <v>US Equity Options</v>
      </c>
      <c r="L55" s="171" t="str">
        <f>IF(E55="","",IF(COUNTIFS(Table2[[#All],[De (Lote)]],Input_APM!F55)&gt;0,INDEX(Table2[[#All],[Para (Ticker Daniel)]],MATCH(Input_APM!F55,Table2[[#All],[De (Lote)]],0)),Input_APM!F55))</f>
        <v>MRVL US 03/20/26 P60</v>
      </c>
      <c r="M55" s="171" t="str">
        <f t="shared" si="1"/>
        <v>EQTY.IntlUS.off</v>
      </c>
      <c r="N55" s="172">
        <f t="shared" si="2"/>
        <v>-422</v>
      </c>
      <c r="O55" s="172">
        <f t="shared" si="3"/>
        <v>-422</v>
      </c>
    </row>
    <row r="56" spans="5:15">
      <c r="E56" s="170" t="s">
        <v>246</v>
      </c>
      <c r="F56" s="170" t="s">
        <v>935</v>
      </c>
      <c r="G56" s="170" t="s">
        <v>210</v>
      </c>
      <c r="H56" s="170">
        <v>422</v>
      </c>
      <c r="I56" s="170">
        <v>422</v>
      </c>
      <c r="K56" s="171" t="str">
        <f t="shared" si="0"/>
        <v>US Equity Options</v>
      </c>
      <c r="L56" s="171" t="str">
        <f>IF(E56="","",IF(COUNTIFS(Table2[[#All],[De (Lote)]],Input_APM!F56)&gt;0,INDEX(Table2[[#All],[Para (Ticker Daniel)]],MATCH(Input_APM!F56,Table2[[#All],[De (Lote)]],0)),Input_APM!F56))</f>
        <v>MRVL US 03/20/26 P70</v>
      </c>
      <c r="M56" s="171" t="str">
        <f t="shared" si="1"/>
        <v>EQTY.IntlUS.off</v>
      </c>
      <c r="N56" s="172">
        <f t="shared" si="2"/>
        <v>422</v>
      </c>
      <c r="O56" s="172">
        <f t="shared" si="3"/>
        <v>422</v>
      </c>
    </row>
    <row r="57" spans="5:15">
      <c r="E57" s="170" t="s">
        <v>244</v>
      </c>
      <c r="F57" s="170" t="s">
        <v>38</v>
      </c>
      <c r="G57" s="170" t="s">
        <v>210</v>
      </c>
      <c r="H57" s="170">
        <v>1751</v>
      </c>
      <c r="I57" s="170">
        <v>1751</v>
      </c>
      <c r="K57" s="171" t="str">
        <f t="shared" si="0"/>
        <v>US Equity</v>
      </c>
      <c r="L57" s="171" t="str">
        <f>IF(E57="","",IF(COUNTIFS(Table2[[#All],[De (Lote)]],Input_APM!F57)&gt;0,INDEX(Table2[[#All],[Para (Ticker Daniel)]],MATCH(Input_APM!F57,Table2[[#All],[De (Lote)]],0)),Input_APM!F57))</f>
        <v>MSFT</v>
      </c>
      <c r="M57" s="171" t="str">
        <f t="shared" si="1"/>
        <v>EQTY.IntlUS.off</v>
      </c>
      <c r="N57" s="172">
        <f t="shared" si="2"/>
        <v>1751</v>
      </c>
      <c r="O57" s="172">
        <f t="shared" si="3"/>
        <v>1751</v>
      </c>
    </row>
    <row r="58" spans="5:15">
      <c r="E58" s="170" t="s">
        <v>246</v>
      </c>
      <c r="F58" s="170" t="s">
        <v>1139</v>
      </c>
      <c r="G58" s="170" t="s">
        <v>210</v>
      </c>
      <c r="H58" s="170">
        <v>-188</v>
      </c>
      <c r="I58" s="170">
        <v>-188</v>
      </c>
      <c r="K58" s="171" t="str">
        <f t="shared" si="0"/>
        <v>US Equity Options</v>
      </c>
      <c r="L58" s="171" t="str">
        <f>IF(E58="","",IF(COUNTIFS(Table2[[#All],[De (Lote)]],Input_APM!F58)&gt;0,INDEX(Table2[[#All],[Para (Ticker Daniel)]],MATCH(Input_APM!F58,Table2[[#All],[De (Lote)]],0)),Input_APM!F58))</f>
        <v>NFLX US 05/15/26 C90</v>
      </c>
      <c r="M58" s="171" t="str">
        <f t="shared" si="1"/>
        <v>EQTY.IntlUS.off</v>
      </c>
      <c r="N58" s="172">
        <f t="shared" si="2"/>
        <v>-188</v>
      </c>
      <c r="O58" s="172">
        <f t="shared" si="3"/>
        <v>-188</v>
      </c>
    </row>
    <row r="59" spans="5:15">
      <c r="E59" s="170" t="s">
        <v>246</v>
      </c>
      <c r="F59" s="170" t="s">
        <v>1140</v>
      </c>
      <c r="G59" s="170" t="s">
        <v>210</v>
      </c>
      <c r="H59" s="170">
        <v>-188</v>
      </c>
      <c r="I59" s="170">
        <v>-188</v>
      </c>
      <c r="K59" s="171" t="str">
        <f t="shared" si="0"/>
        <v>US Equity Options</v>
      </c>
      <c r="L59" s="171" t="str">
        <f>IF(E59="","",IF(COUNTIFS(Table2[[#All],[De (Lote)]],Input_APM!F59)&gt;0,INDEX(Table2[[#All],[Para (Ticker Daniel)]],MATCH(Input_APM!F59,Table2[[#All],[De (Lote)]],0)),Input_APM!F59))</f>
        <v>NFLX US 05/15/26 P70</v>
      </c>
      <c r="M59" s="171" t="str">
        <f t="shared" si="1"/>
        <v>EQTY.IntlUS.off</v>
      </c>
      <c r="N59" s="172">
        <f t="shared" si="2"/>
        <v>-188</v>
      </c>
      <c r="O59" s="172">
        <f t="shared" si="3"/>
        <v>-188</v>
      </c>
    </row>
    <row r="60" spans="5:15">
      <c r="E60" s="170" t="s">
        <v>1101</v>
      </c>
      <c r="F60" s="170" t="s">
        <v>1102</v>
      </c>
      <c r="G60" s="170" t="s">
        <v>210</v>
      </c>
      <c r="H60" s="170">
        <v>-5</v>
      </c>
      <c r="I60" s="170">
        <v>-20</v>
      </c>
      <c r="K60" s="171" t="str">
        <f t="shared" si="0"/>
        <v>NASDAQ-100 E-mini Futures - CME</v>
      </c>
      <c r="L60" s="171" t="str">
        <f>IF(E60="","",IF(COUNTIFS(Table2[[#All],[De (Lote)]],Input_APM!F60)&gt;0,INDEX(Table2[[#All],[Para (Ticker Daniel)]],MATCH(Input_APM!F60,Table2[[#All],[De (Lote)]],0)),Input_APM!F60))</f>
        <v>NQH6</v>
      </c>
      <c r="M60" s="171" t="str">
        <f t="shared" si="1"/>
        <v>EQTY.IntlUS.off</v>
      </c>
      <c r="N60" s="172">
        <f t="shared" si="2"/>
        <v>-5</v>
      </c>
      <c r="O60" s="172">
        <f t="shared" si="3"/>
        <v>-20</v>
      </c>
    </row>
    <row r="61" spans="5:15">
      <c r="E61" s="170" t="s">
        <v>244</v>
      </c>
      <c r="F61" s="170" t="s">
        <v>42</v>
      </c>
      <c r="G61" s="170" t="s">
        <v>210</v>
      </c>
      <c r="H61" s="170">
        <v>23415</v>
      </c>
      <c r="I61" s="170">
        <v>21537</v>
      </c>
      <c r="K61" s="171" t="str">
        <f t="shared" si="0"/>
        <v>US Equity</v>
      </c>
      <c r="L61" s="171" t="str">
        <f>IF(E61="","",IF(COUNTIFS(Table2[[#All],[De (Lote)]],Input_APM!F61)&gt;0,INDEX(Table2[[#All],[Para (Ticker Daniel)]],MATCH(Input_APM!F61,Table2[[#All],[De (Lote)]],0)),Input_APM!F61))</f>
        <v>NVDA</v>
      </c>
      <c r="M61" s="171" t="str">
        <f t="shared" si="1"/>
        <v>EQTY.IntlUS.off</v>
      </c>
      <c r="N61" s="172">
        <f t="shared" si="2"/>
        <v>23415</v>
      </c>
      <c r="O61" s="172">
        <f t="shared" si="3"/>
        <v>21537</v>
      </c>
    </row>
    <row r="62" spans="5:15">
      <c r="E62" s="170" t="s">
        <v>246</v>
      </c>
      <c r="F62" s="170" t="s">
        <v>1043</v>
      </c>
      <c r="G62" s="170" t="s">
        <v>210</v>
      </c>
      <c r="H62" s="170">
        <v>142</v>
      </c>
      <c r="I62" s="170">
        <v>142</v>
      </c>
      <c r="K62" s="171" t="str">
        <f t="shared" si="0"/>
        <v>US Equity Options</v>
      </c>
      <c r="L62" s="171" t="str">
        <f>IF(E62="","",IF(COUNTIFS(Table2[[#All],[De (Lote)]],Input_APM!F62)&gt;0,INDEX(Table2[[#All],[Para (Ticker Daniel)]],MATCH(Input_APM!F62,Table2[[#All],[De (Lote)]],0)),Input_APM!F62))</f>
        <v>NVDA US 05/15/26 C200</v>
      </c>
      <c r="M62" s="171" t="str">
        <f t="shared" si="1"/>
        <v>EQTY.IntlUS.off</v>
      </c>
      <c r="N62" s="172">
        <f t="shared" si="2"/>
        <v>142</v>
      </c>
      <c r="O62" s="172">
        <f t="shared" si="3"/>
        <v>142</v>
      </c>
    </row>
    <row r="63" spans="5:15">
      <c r="E63" s="170" t="s">
        <v>245</v>
      </c>
      <c r="F63" s="170" t="s">
        <v>1121</v>
      </c>
      <c r="G63" s="170" t="s">
        <v>210</v>
      </c>
      <c r="H63" s="170">
        <v>38355</v>
      </c>
      <c r="I63" s="170">
        <v>67600</v>
      </c>
      <c r="K63" s="171" t="str">
        <f t="shared" si="0"/>
        <v>Provisions and Costs</v>
      </c>
      <c r="L63" s="171" t="str">
        <f>IF(E63="","",IF(COUNTIFS(Table2[[#All],[De (Lote)]],Input_APM!F63)&gt;0,INDEX(Table2[[#All],[Para (Ticker Daniel)]],MATCH(Input_APM!F63,Table2[[#All],[De (Lote)]],0)),Input_APM!F63))</f>
        <v>Provision CME USD_</v>
      </c>
      <c r="M63" s="171" t="str">
        <f t="shared" si="1"/>
        <v>EQTY.IntlUS.off</v>
      </c>
      <c r="N63" s="172">
        <f t="shared" si="2"/>
        <v>38355</v>
      </c>
      <c r="O63" s="172">
        <f t="shared" si="3"/>
        <v>67600</v>
      </c>
    </row>
    <row r="64" spans="5:15">
      <c r="E64" s="170" t="s">
        <v>245</v>
      </c>
      <c r="F64" s="170" t="s">
        <v>262</v>
      </c>
      <c r="G64" s="170" t="s">
        <v>210</v>
      </c>
      <c r="H64" s="170">
        <v>-124550</v>
      </c>
      <c r="I64" s="170">
        <v>44328</v>
      </c>
      <c r="K64" s="171" t="str">
        <f t="shared" si="0"/>
        <v>Provisions and Costs</v>
      </c>
      <c r="L64" s="171" t="str">
        <f>IF(E64="","",IF(COUNTIFS(Table2[[#All],[De (Lote)]],Input_APM!F64)&gt;0,INDEX(Table2[[#All],[Para (Ticker Daniel)]],MATCH(Input_APM!F64,Table2[[#All],[De (Lote)]],0)),Input_APM!F64))</f>
        <v>Provision ETF Options USD_</v>
      </c>
      <c r="M64" s="171" t="str">
        <f t="shared" si="1"/>
        <v>EQTY.IntlUS.off</v>
      </c>
      <c r="N64" s="172">
        <f t="shared" si="2"/>
        <v>-124550</v>
      </c>
      <c r="O64" s="172">
        <f t="shared" si="3"/>
        <v>44328</v>
      </c>
    </row>
    <row r="65" spans="5:15">
      <c r="E65" s="170" t="s">
        <v>245</v>
      </c>
      <c r="F65" s="170" t="s">
        <v>234</v>
      </c>
      <c r="G65" s="170" t="s">
        <v>210</v>
      </c>
      <c r="H65" s="170">
        <v>1293570.23</v>
      </c>
      <c r="I65" s="170">
        <v>3099127.37</v>
      </c>
      <c r="K65" s="171" t="str">
        <f t="shared" si="0"/>
        <v>Provisions and Costs</v>
      </c>
      <c r="L65" s="171" t="str">
        <f>IF(E65="","",IF(COUNTIFS(Table2[[#All],[De (Lote)]],Input_APM!F65)&gt;0,INDEX(Table2[[#All],[Para (Ticker Daniel)]],MATCH(Input_APM!F65,Table2[[#All],[De (Lote)]],0)),Input_APM!F65))</f>
        <v>Provision ETF USD_</v>
      </c>
      <c r="M65" s="171" t="str">
        <f t="shared" si="1"/>
        <v>EQTY.IntlUS.off</v>
      </c>
      <c r="N65" s="172">
        <f t="shared" si="2"/>
        <v>1293570.23</v>
      </c>
      <c r="O65" s="172">
        <f t="shared" si="3"/>
        <v>3099127.37</v>
      </c>
    </row>
    <row r="66" spans="5:15">
      <c r="E66" s="170" t="s">
        <v>245</v>
      </c>
      <c r="F66" s="170" t="s">
        <v>348</v>
      </c>
      <c r="G66" s="170" t="s">
        <v>210</v>
      </c>
      <c r="H66" s="170">
        <v>36471.730000000003</v>
      </c>
      <c r="I66" s="170">
        <v>-922720.77</v>
      </c>
      <c r="K66" s="171" t="str">
        <f t="shared" si="0"/>
        <v>Provisions and Costs</v>
      </c>
      <c r="L66" s="171" t="str">
        <f>IF(E66="","",IF(COUNTIFS(Table2[[#All],[De (Lote)]],Input_APM!F66)&gt;0,INDEX(Table2[[#All],[Para (Ticker Daniel)]],MATCH(Input_APM!F66,Table2[[#All],[De (Lote)]],0)),Input_APM!F66))</f>
        <v>Provision NYSE USD_</v>
      </c>
      <c r="M66" s="171" t="str">
        <f t="shared" si="1"/>
        <v>EQTY.IntlUS.off</v>
      </c>
      <c r="N66" s="172">
        <f t="shared" si="2"/>
        <v>36471.730000000003</v>
      </c>
      <c r="O66" s="172">
        <f t="shared" si="3"/>
        <v>-922720.77</v>
      </c>
    </row>
    <row r="67" spans="5:15">
      <c r="E67" s="170" t="s">
        <v>245</v>
      </c>
      <c r="F67" s="170" t="s">
        <v>263</v>
      </c>
      <c r="G67" s="170" t="s">
        <v>210</v>
      </c>
      <c r="H67" s="170">
        <v>-162415</v>
      </c>
      <c r="I67" s="170">
        <v>563756</v>
      </c>
      <c r="K67" s="171" t="str">
        <f t="shared" ref="K67:K130" si="4">IF(E67="","",E67)</f>
        <v>Provisions and Costs</v>
      </c>
      <c r="L67" s="171" t="str">
        <f>IF(E67="","",IF(COUNTIFS(Table2[[#All],[De (Lote)]],Input_APM!F67)&gt;0,INDEX(Table2[[#All],[Para (Ticker Daniel)]],MATCH(Input_APM!F67,Table2[[#All],[De (Lote)]],0)),Input_APM!F67))</f>
        <v>Provision US Equity Options USD_</v>
      </c>
      <c r="M67" s="171" t="str">
        <f t="shared" ref="M67:M130" si="5">IF(E67="","",G67)</f>
        <v>EQTY.IntlUS.off</v>
      </c>
      <c r="N67" s="172">
        <f t="shared" ref="N67:N130" si="6">IF(E67="","",H67)</f>
        <v>-162415</v>
      </c>
      <c r="O67" s="172">
        <f t="shared" ref="O67:O130" si="7">IF(E67="","",I67)</f>
        <v>563756</v>
      </c>
    </row>
    <row r="68" spans="5:15">
      <c r="E68" s="170" t="s">
        <v>245</v>
      </c>
      <c r="F68" s="170" t="s">
        <v>235</v>
      </c>
      <c r="G68" s="170" t="s">
        <v>210</v>
      </c>
      <c r="H68" s="170">
        <v>137605.47999999899</v>
      </c>
      <c r="I68" s="170">
        <v>-3908772.27</v>
      </c>
      <c r="K68" s="171" t="str">
        <f t="shared" si="4"/>
        <v>Provisions and Costs</v>
      </c>
      <c r="L68" s="171" t="str">
        <f>IF(E68="","",IF(COUNTIFS(Table2[[#All],[De (Lote)]],Input_APM!F68)&gt;0,INDEX(Table2[[#All],[Para (Ticker Daniel)]],MATCH(Input_APM!F68,Table2[[#All],[De (Lote)]],0)),Input_APM!F68))</f>
        <v>Provision US Equity USD_</v>
      </c>
      <c r="M68" s="171" t="str">
        <f t="shared" si="5"/>
        <v>EQTY.IntlUS.off</v>
      </c>
      <c r="N68" s="172">
        <f t="shared" si="6"/>
        <v>137605.47999999899</v>
      </c>
      <c r="O68" s="172">
        <f t="shared" si="7"/>
        <v>-3908772.27</v>
      </c>
    </row>
    <row r="69" spans="5:15">
      <c r="E69" s="170" t="s">
        <v>250</v>
      </c>
      <c r="F69" s="170" t="s">
        <v>1168</v>
      </c>
      <c r="G69" s="170" t="s">
        <v>210</v>
      </c>
      <c r="H69" s="170">
        <v>-470</v>
      </c>
      <c r="I69" s="170">
        <v>0</v>
      </c>
      <c r="K69" s="171" t="str">
        <f t="shared" si="4"/>
        <v>ETF Options</v>
      </c>
      <c r="L69" s="171" t="str">
        <f>IF(E69="","",IF(COUNTIFS(Table2[[#All],[De (Lote)]],Input_APM!F69)&gt;0,INDEX(Table2[[#All],[Para (Ticker Daniel)]],MATCH(Input_APM!F69,Table2[[#All],[De (Lote)]],0)),Input_APM!F69))</f>
        <v>QQQ US 02/06/26 P585</v>
      </c>
      <c r="M69" s="171" t="str">
        <f t="shared" si="5"/>
        <v>EQTY.IntlUS.off</v>
      </c>
      <c r="N69" s="172">
        <f t="shared" si="6"/>
        <v>-470</v>
      </c>
      <c r="O69" s="172">
        <f t="shared" si="7"/>
        <v>0</v>
      </c>
    </row>
    <row r="70" spans="5:15">
      <c r="E70" s="170" t="s">
        <v>250</v>
      </c>
      <c r="F70" s="170" t="s">
        <v>1167</v>
      </c>
      <c r="G70" s="170" t="s">
        <v>210</v>
      </c>
      <c r="H70" s="170">
        <v>470</v>
      </c>
      <c r="I70" s="170">
        <v>0</v>
      </c>
      <c r="K70" s="171" t="str">
        <f t="shared" si="4"/>
        <v>ETF Options</v>
      </c>
      <c r="L70" s="171" t="str">
        <f>IF(E70="","",IF(COUNTIFS(Table2[[#All],[De (Lote)]],Input_APM!F70)&gt;0,INDEX(Table2[[#All],[Para (Ticker Daniel)]],MATCH(Input_APM!F70,Table2[[#All],[De (Lote)]],0)),Input_APM!F70))</f>
        <v>QQQ US 02/06/26 P600</v>
      </c>
      <c r="M70" s="171" t="str">
        <f t="shared" si="5"/>
        <v>EQTY.IntlUS.off</v>
      </c>
      <c r="N70" s="172">
        <f t="shared" si="6"/>
        <v>470</v>
      </c>
      <c r="O70" s="172">
        <f t="shared" si="7"/>
        <v>0</v>
      </c>
    </row>
    <row r="71" spans="5:15">
      <c r="E71" s="170" t="s">
        <v>244</v>
      </c>
      <c r="F71" s="170" t="s">
        <v>799</v>
      </c>
      <c r="G71" s="170" t="s">
        <v>210</v>
      </c>
      <c r="H71" s="170">
        <v>36522</v>
      </c>
      <c r="I71" s="170">
        <v>33235</v>
      </c>
      <c r="K71" s="171" t="str">
        <f t="shared" si="4"/>
        <v>US Equity</v>
      </c>
      <c r="L71" s="171" t="str">
        <f>IF(E71="","",IF(COUNTIFS(Table2[[#All],[De (Lote)]],Input_APM!F71)&gt;0,INDEX(Table2[[#All],[Para (Ticker Daniel)]],MATCH(Input_APM!F71,Table2[[#All],[De (Lote)]],0)),Input_APM!F71))</f>
        <v>RIOT</v>
      </c>
      <c r="M71" s="171" t="str">
        <f t="shared" si="5"/>
        <v>EQTY.IntlUS.off</v>
      </c>
      <c r="N71" s="172">
        <f t="shared" si="6"/>
        <v>36522</v>
      </c>
      <c r="O71" s="172">
        <f t="shared" si="7"/>
        <v>33235</v>
      </c>
    </row>
    <row r="72" spans="5:15">
      <c r="E72" s="170" t="s">
        <v>247</v>
      </c>
      <c r="F72" s="170" t="s">
        <v>3</v>
      </c>
      <c r="G72" s="170" t="s">
        <v>210</v>
      </c>
      <c r="H72" s="170">
        <v>0</v>
      </c>
      <c r="I72" s="170">
        <v>0</v>
      </c>
      <c r="K72" s="171" t="str">
        <f t="shared" si="4"/>
        <v>ETF</v>
      </c>
      <c r="L72" s="171" t="str">
        <f>IF(E72="","",IF(COUNTIFS(Table2[[#All],[De (Lote)]],Input_APM!F72)&gt;0,INDEX(Table2[[#All],[Para (Ticker Daniel)]],MATCH(Input_APM!F72,Table2[[#All],[De (Lote)]],0)),Input_APM!F72))</f>
        <v>RSP</v>
      </c>
      <c r="M72" s="171" t="str">
        <f t="shared" si="5"/>
        <v>EQTY.IntlUS.off</v>
      </c>
      <c r="N72" s="172">
        <f t="shared" si="6"/>
        <v>0</v>
      </c>
      <c r="O72" s="172">
        <f t="shared" si="7"/>
        <v>0</v>
      </c>
    </row>
    <row r="73" spans="5:15">
      <c r="E73" s="170" t="s">
        <v>801</v>
      </c>
      <c r="F73" s="170" t="s">
        <v>802</v>
      </c>
      <c r="G73" s="170" t="s">
        <v>210</v>
      </c>
      <c r="H73" s="170">
        <v>655</v>
      </c>
      <c r="I73" s="170">
        <v>655</v>
      </c>
      <c r="K73" s="171" t="str">
        <f t="shared" si="4"/>
        <v>Equity Total Return Swap</v>
      </c>
      <c r="L73" s="171" t="str">
        <f>IF(E73="","",IF(COUNTIFS(Table2[[#All],[De (Lote)]],Input_APM!F73)&gt;0,INDEX(Table2[[#All],[Para (Ticker Daniel)]],MATCH(Input_APM!F73,Table2[[#All],[De (Lote)]],0)),Input_APM!F73))</f>
        <v>000660 KS</v>
      </c>
      <c r="M73" s="171" t="str">
        <f t="shared" si="5"/>
        <v>EQTY.IntlUS.off</v>
      </c>
      <c r="N73" s="172">
        <f t="shared" si="6"/>
        <v>655</v>
      </c>
      <c r="O73" s="172">
        <f t="shared" si="7"/>
        <v>655</v>
      </c>
    </row>
    <row r="74" spans="5:15">
      <c r="E74" s="170" t="s">
        <v>801</v>
      </c>
      <c r="F74" s="170" t="s">
        <v>982</v>
      </c>
      <c r="G74" s="170" t="s">
        <v>210</v>
      </c>
      <c r="H74" s="170">
        <v>643</v>
      </c>
      <c r="I74" s="170">
        <v>643</v>
      </c>
      <c r="K74" s="171" t="str">
        <f t="shared" si="4"/>
        <v>Equity Total Return Swap</v>
      </c>
      <c r="L74" s="171" t="str">
        <f>IF(E74="","",IF(COUNTIFS(Table2[[#All],[De (Lote)]],Input_APM!F74)&gt;0,INDEX(Table2[[#All],[Para (Ticker Daniel)]],MATCH(Input_APM!F74,Table2[[#All],[De (Lote)]],0)),Input_APM!F74))</f>
        <v>SWAP 000660 KS 26JAN2026 26JAN2027 509.6192</v>
      </c>
      <c r="M74" s="171" t="str">
        <f t="shared" si="5"/>
        <v>EQTY.IntlUS.off</v>
      </c>
      <c r="N74" s="172">
        <f t="shared" si="6"/>
        <v>643</v>
      </c>
      <c r="O74" s="172">
        <f t="shared" si="7"/>
        <v>643</v>
      </c>
    </row>
    <row r="75" spans="5:15">
      <c r="E75" s="170" t="s">
        <v>801</v>
      </c>
      <c r="F75" s="170" t="s">
        <v>1060</v>
      </c>
      <c r="G75" s="170" t="s">
        <v>210</v>
      </c>
      <c r="H75" s="170">
        <v>2470</v>
      </c>
      <c r="I75" s="170">
        <v>2470</v>
      </c>
      <c r="K75" s="171" t="str">
        <f t="shared" si="4"/>
        <v>Equity Total Return Swap</v>
      </c>
      <c r="L75" s="171" t="str">
        <f>IF(E75="","",IF(COUNTIFS(Table2[[#All],[De (Lote)]],Input_APM!F75)&gt;0,INDEX(Table2[[#All],[Para (Ticker Daniel)]],MATCH(Input_APM!F75,Table2[[#All],[De (Lote)]],0)),Input_APM!F75))</f>
        <v>SWAP 300502 CH 30JAN2026 01FEB2027 57.9966</v>
      </c>
      <c r="M75" s="171" t="str">
        <f t="shared" si="5"/>
        <v>EQTY.IntlUS.off</v>
      </c>
      <c r="N75" s="172">
        <f t="shared" si="6"/>
        <v>2470</v>
      </c>
      <c r="O75" s="172">
        <f t="shared" si="7"/>
        <v>2470</v>
      </c>
    </row>
    <row r="76" spans="5:15">
      <c r="E76" s="170" t="s">
        <v>1061</v>
      </c>
      <c r="F76" s="170" t="s">
        <v>1062</v>
      </c>
      <c r="G76" s="170" t="s">
        <v>210</v>
      </c>
      <c r="H76" s="170">
        <v>9090840</v>
      </c>
      <c r="I76" s="170">
        <v>9090840</v>
      </c>
      <c r="K76" s="171" t="str">
        <f t="shared" si="4"/>
        <v>TBOND</v>
      </c>
      <c r="L76" s="171" t="str">
        <f>IF(E76="","",IF(COUNTIFS(Table2[[#All],[De (Lote)]],Input_APM!F76)&gt;0,INDEX(Table2[[#All],[Para (Ticker Daniel)]],MATCH(Input_APM!F76,Table2[[#All],[De (Lote)]],0)),Input_APM!F76))</f>
        <v>T 4.000% 11/15/35</v>
      </c>
      <c r="M76" s="171" t="str">
        <f t="shared" si="5"/>
        <v>EQTY.IntlUS.off</v>
      </c>
      <c r="N76" s="172">
        <f t="shared" si="6"/>
        <v>9090840</v>
      </c>
      <c r="O76" s="172">
        <f t="shared" si="7"/>
        <v>9090840</v>
      </c>
    </row>
    <row r="77" spans="5:15">
      <c r="E77" s="170" t="s">
        <v>8</v>
      </c>
      <c r="F77" s="170" t="s">
        <v>44</v>
      </c>
      <c r="G77" s="170" t="s">
        <v>210</v>
      </c>
      <c r="H77" s="170">
        <v>3374</v>
      </c>
      <c r="I77" s="170">
        <v>3468</v>
      </c>
      <c r="K77" s="171" t="str">
        <f t="shared" si="4"/>
        <v>ADR</v>
      </c>
      <c r="L77" s="171" t="str">
        <f>IF(E77="","",IF(COUNTIFS(Table2[[#All],[De (Lote)]],Input_APM!F77)&gt;0,INDEX(Table2[[#All],[Para (Ticker Daniel)]],MATCH(Input_APM!F77,Table2[[#All],[De (Lote)]],0)),Input_APM!F77))</f>
        <v>TSM</v>
      </c>
      <c r="M77" s="171" t="str">
        <f t="shared" si="5"/>
        <v>EQTY.IntlUS.off</v>
      </c>
      <c r="N77" s="172">
        <f t="shared" si="6"/>
        <v>3374</v>
      </c>
      <c r="O77" s="172">
        <f t="shared" si="7"/>
        <v>3468</v>
      </c>
    </row>
    <row r="78" spans="5:15">
      <c r="E78" s="170" t="s">
        <v>253</v>
      </c>
      <c r="F78" s="170" t="s">
        <v>896</v>
      </c>
      <c r="G78" s="170" t="s">
        <v>210</v>
      </c>
      <c r="H78" s="170">
        <v>1453</v>
      </c>
      <c r="I78" s="170">
        <v>1453</v>
      </c>
      <c r="K78" s="171" t="str">
        <f t="shared" si="4"/>
        <v>ADR Options</v>
      </c>
      <c r="L78" s="171" t="str">
        <f>IF(E78="","",IF(COUNTIFS(Table2[[#All],[De (Lote)]],Input_APM!F78)&gt;0,INDEX(Table2[[#All],[Para (Ticker Daniel)]],MATCH(Input_APM!F78,Table2[[#All],[De (Lote)]],0)),Input_APM!F78))</f>
        <v>TSM US 06/18/26 C340</v>
      </c>
      <c r="M78" s="171" t="str">
        <f t="shared" si="5"/>
        <v>EQTY.IntlUS.off</v>
      </c>
      <c r="N78" s="172">
        <f t="shared" si="6"/>
        <v>1453</v>
      </c>
      <c r="O78" s="172">
        <f t="shared" si="7"/>
        <v>1453</v>
      </c>
    </row>
    <row r="79" spans="5:15">
      <c r="E79" s="170" t="s">
        <v>253</v>
      </c>
      <c r="F79" s="170" t="s">
        <v>897</v>
      </c>
      <c r="G79" s="170" t="s">
        <v>210</v>
      </c>
      <c r="H79" s="170">
        <v>-1195</v>
      </c>
      <c r="I79" s="170">
        <v>-1195</v>
      </c>
      <c r="K79" s="171" t="str">
        <f t="shared" si="4"/>
        <v>ADR Options</v>
      </c>
      <c r="L79" s="171" t="str">
        <f>IF(E79="","",IF(COUNTIFS(Table2[[#All],[De (Lote)]],Input_APM!F79)&gt;0,INDEX(Table2[[#All],[Para (Ticker Daniel)]],MATCH(Input_APM!F79,Table2[[#All],[De (Lote)]],0)),Input_APM!F79))</f>
        <v>TSM US 06/18/26 C380</v>
      </c>
      <c r="M79" s="171" t="str">
        <f t="shared" si="5"/>
        <v>EQTY.IntlUS.off</v>
      </c>
      <c r="N79" s="172">
        <f t="shared" si="6"/>
        <v>-1195</v>
      </c>
      <c r="O79" s="172">
        <f t="shared" si="7"/>
        <v>-1195</v>
      </c>
    </row>
    <row r="80" spans="5:15">
      <c r="E80" s="170" t="s">
        <v>244</v>
      </c>
      <c r="F80" s="170" t="s">
        <v>1131</v>
      </c>
      <c r="G80" s="170" t="s">
        <v>210</v>
      </c>
      <c r="H80" s="170">
        <v>24409</v>
      </c>
      <c r="I80" s="170">
        <v>24409</v>
      </c>
      <c r="K80" s="171" t="str">
        <f t="shared" si="4"/>
        <v>US Equity</v>
      </c>
      <c r="L80" s="171" t="str">
        <f>IF(E80="","",IF(COUNTIFS(Table2[[#All],[De (Lote)]],Input_APM!F80)&gt;0,INDEX(Table2[[#All],[Para (Ticker Daniel)]],MATCH(Input_APM!F80,Table2[[#All],[De (Lote)]],0)),Input_APM!F80))</f>
        <v>WMB</v>
      </c>
      <c r="M80" s="171" t="str">
        <f t="shared" si="5"/>
        <v>EQTY.IntlUS.off</v>
      </c>
      <c r="N80" s="172">
        <f t="shared" si="6"/>
        <v>24409</v>
      </c>
      <c r="O80" s="172">
        <f t="shared" si="7"/>
        <v>24409</v>
      </c>
    </row>
    <row r="81" spans="5:15">
      <c r="E81" s="170" t="s">
        <v>247</v>
      </c>
      <c r="F81" s="170" t="s">
        <v>36</v>
      </c>
      <c r="G81" s="170" t="s">
        <v>210</v>
      </c>
      <c r="H81" s="170">
        <v>21977</v>
      </c>
      <c r="I81" s="170">
        <v>21977</v>
      </c>
      <c r="K81" s="171" t="str">
        <f t="shared" si="4"/>
        <v>ETF</v>
      </c>
      <c r="L81" s="171" t="str">
        <f>IF(E81="","",IF(COUNTIFS(Table2[[#All],[De (Lote)]],Input_APM!F81)&gt;0,INDEX(Table2[[#All],[Para (Ticker Daniel)]],MATCH(Input_APM!F81,Table2[[#All],[De (Lote)]],0)),Input_APM!F81))</f>
        <v>XLF</v>
      </c>
      <c r="M81" s="171" t="str">
        <f t="shared" si="5"/>
        <v>EQTY.IntlUS.off</v>
      </c>
      <c r="N81" s="172">
        <f t="shared" si="6"/>
        <v>21977</v>
      </c>
      <c r="O81" s="172">
        <f t="shared" si="7"/>
        <v>21977</v>
      </c>
    </row>
    <row r="82" spans="5:15">
      <c r="E82" s="170" t="s">
        <v>247</v>
      </c>
      <c r="F82" s="170" t="s">
        <v>4</v>
      </c>
      <c r="G82" s="170" t="s">
        <v>210</v>
      </c>
      <c r="H82" s="170">
        <v>-25765</v>
      </c>
      <c r="I82" s="170">
        <v>-25765</v>
      </c>
      <c r="K82" s="171" t="str">
        <f t="shared" si="4"/>
        <v>ETF</v>
      </c>
      <c r="L82" s="171" t="str">
        <f>IF(E82="","",IF(COUNTIFS(Table2[[#All],[De (Lote)]],Input_APM!F82)&gt;0,INDEX(Table2[[#All],[Para (Ticker Daniel)]],MATCH(Input_APM!F82,Table2[[#All],[De (Lote)]],0)),Input_APM!F82))</f>
        <v>XLP</v>
      </c>
      <c r="M82" s="171" t="str">
        <f t="shared" si="5"/>
        <v>EQTY.IntlUS.off</v>
      </c>
      <c r="N82" s="172">
        <f t="shared" si="6"/>
        <v>-25765</v>
      </c>
      <c r="O82" s="172">
        <f t="shared" si="7"/>
        <v>-25765</v>
      </c>
    </row>
    <row r="83" spans="5:15">
      <c r="K83" s="171" t="str">
        <f t="shared" si="4"/>
        <v/>
      </c>
      <c r="L83" s="171" t="str">
        <f>IF(E83="","",IF(COUNTIFS(Table2[[#All],[De (Lote)]],Input_APM!F83)&gt;0,INDEX(Table2[[#All],[Para (Ticker Daniel)]],MATCH(Input_APM!F83,Table2[[#All],[De (Lote)]],0)),Input_APM!F83))</f>
        <v/>
      </c>
      <c r="M83" s="171" t="str">
        <f t="shared" si="5"/>
        <v/>
      </c>
      <c r="N83" s="172" t="str">
        <f t="shared" si="6"/>
        <v/>
      </c>
      <c r="O83" s="172" t="str">
        <f t="shared" si="7"/>
        <v/>
      </c>
    </row>
    <row r="84" spans="5:15">
      <c r="K84" s="171" t="str">
        <f t="shared" si="4"/>
        <v/>
      </c>
      <c r="L84" s="171" t="str">
        <f>IF(E84="","",IF(COUNTIFS(Table2[[#All],[De (Lote)]],Input_APM!F84)&gt;0,INDEX(Table2[[#All],[Para (Ticker Daniel)]],MATCH(Input_APM!F84,Table2[[#All],[De (Lote)]],0)),Input_APM!F84))</f>
        <v/>
      </c>
      <c r="M84" s="171" t="str">
        <f t="shared" si="5"/>
        <v/>
      </c>
      <c r="N84" s="172" t="str">
        <f t="shared" si="6"/>
        <v/>
      </c>
      <c r="O84" s="172" t="str">
        <f t="shared" si="7"/>
        <v/>
      </c>
    </row>
    <row r="85" spans="5:15">
      <c r="K85" s="171" t="str">
        <f t="shared" si="4"/>
        <v/>
      </c>
      <c r="L85" s="171" t="str">
        <f>IF(E85="","",IF(COUNTIFS(Table2[[#All],[De (Lote)]],Input_APM!F85)&gt;0,INDEX(Table2[[#All],[Para (Ticker Daniel)]],MATCH(Input_APM!F85,Table2[[#All],[De (Lote)]],0)),Input_APM!F85))</f>
        <v/>
      </c>
      <c r="M85" s="171" t="str">
        <f t="shared" si="5"/>
        <v/>
      </c>
      <c r="N85" s="172" t="str">
        <f t="shared" si="6"/>
        <v/>
      </c>
      <c r="O85" s="172" t="str">
        <f t="shared" si="7"/>
        <v/>
      </c>
    </row>
    <row r="86" spans="5:15">
      <c r="H86" s="180"/>
      <c r="K86" s="171" t="str">
        <f t="shared" si="4"/>
        <v/>
      </c>
      <c r="L86" s="171" t="str">
        <f>IF(E86="","",IF(COUNTIFS(Table2[[#All],[De (Lote)]],Input_APM!F86)&gt;0,INDEX(Table2[[#All],[Para (Ticker Daniel)]],MATCH(Input_APM!F86,Table2[[#All],[De (Lote)]],0)),Input_APM!F86))</f>
        <v/>
      </c>
      <c r="M86" s="171" t="str">
        <f t="shared" si="5"/>
        <v/>
      </c>
      <c r="N86" s="172" t="str">
        <f t="shared" si="6"/>
        <v/>
      </c>
      <c r="O86" s="172" t="str">
        <f t="shared" si="7"/>
        <v/>
      </c>
    </row>
    <row r="87" spans="5:15">
      <c r="H87" s="180"/>
      <c r="K87" s="171" t="str">
        <f t="shared" si="4"/>
        <v/>
      </c>
      <c r="L87" s="171" t="str">
        <f>IF(E87="","",IF(COUNTIFS(Table2[[#All],[De (Lote)]],Input_APM!F87)&gt;0,INDEX(Table2[[#All],[Para (Ticker Daniel)]],MATCH(Input_APM!F87,Table2[[#All],[De (Lote)]],0)),Input_APM!F87))</f>
        <v/>
      </c>
      <c r="M87" s="171" t="str">
        <f t="shared" si="5"/>
        <v/>
      </c>
      <c r="N87" s="172" t="str">
        <f t="shared" si="6"/>
        <v/>
      </c>
      <c r="O87" s="172" t="str">
        <f t="shared" si="7"/>
        <v/>
      </c>
    </row>
    <row r="88" spans="5:15">
      <c r="K88" s="171" t="str">
        <f t="shared" si="4"/>
        <v/>
      </c>
      <c r="L88" s="171" t="str">
        <f>IF(E88="","",IF(COUNTIFS(Table2[[#All],[De (Lote)]],Input_APM!F88)&gt;0,INDEX(Table2[[#All],[Para (Ticker Daniel)]],MATCH(Input_APM!F88,Table2[[#All],[De (Lote)]],0)),Input_APM!F88))</f>
        <v/>
      </c>
      <c r="M88" s="171" t="str">
        <f t="shared" si="5"/>
        <v/>
      </c>
      <c r="N88" s="172" t="str">
        <f t="shared" si="6"/>
        <v/>
      </c>
      <c r="O88" s="172" t="str">
        <f t="shared" si="7"/>
        <v/>
      </c>
    </row>
    <row r="89" spans="5:15">
      <c r="K89" s="171" t="str">
        <f t="shared" si="4"/>
        <v/>
      </c>
      <c r="L89" s="171" t="str">
        <f>IF(E89="","",IF(COUNTIFS(Table2[[#All],[De (Lote)]],Input_APM!F89)&gt;0,INDEX(Table2[[#All],[Para (Ticker Daniel)]],MATCH(Input_APM!F89,Table2[[#All],[De (Lote)]],0)),Input_APM!F89))</f>
        <v/>
      </c>
      <c r="M89" s="171" t="str">
        <f t="shared" si="5"/>
        <v/>
      </c>
      <c r="N89" s="172" t="str">
        <f t="shared" si="6"/>
        <v/>
      </c>
      <c r="O89" s="172" t="str">
        <f t="shared" si="7"/>
        <v/>
      </c>
    </row>
    <row r="90" spans="5:15">
      <c r="K90" s="171" t="str">
        <f t="shared" si="4"/>
        <v/>
      </c>
      <c r="L90" s="171" t="str">
        <f>IF(E90="","",IF(COUNTIFS(Table2[[#All],[De (Lote)]],Input_APM!F90)&gt;0,INDEX(Table2[[#All],[Para (Ticker Daniel)]],MATCH(Input_APM!F90,Table2[[#All],[De (Lote)]],0)),Input_APM!F90))</f>
        <v/>
      </c>
      <c r="M90" s="171" t="str">
        <f t="shared" si="5"/>
        <v/>
      </c>
      <c r="N90" s="172" t="str">
        <f t="shared" si="6"/>
        <v/>
      </c>
      <c r="O90" s="172" t="str">
        <f t="shared" si="7"/>
        <v/>
      </c>
    </row>
    <row r="91" spans="5:15">
      <c r="K91" s="171" t="str">
        <f t="shared" si="4"/>
        <v/>
      </c>
      <c r="L91" s="171" t="str">
        <f>IF(E91="","",IF(COUNTIFS(Table2[[#All],[De (Lote)]],Input_APM!F91)&gt;0,INDEX(Table2[[#All],[Para (Ticker Daniel)]],MATCH(Input_APM!F91,Table2[[#All],[De (Lote)]],0)),Input_APM!F91))</f>
        <v/>
      </c>
      <c r="M91" s="171" t="str">
        <f t="shared" si="5"/>
        <v/>
      </c>
      <c r="N91" s="172" t="str">
        <f t="shared" si="6"/>
        <v/>
      </c>
      <c r="O91" s="172" t="str">
        <f t="shared" si="7"/>
        <v/>
      </c>
    </row>
    <row r="92" spans="5:15">
      <c r="H92" s="180"/>
      <c r="K92" s="171" t="str">
        <f t="shared" si="4"/>
        <v/>
      </c>
      <c r="L92" s="171" t="str">
        <f>IF(E92="","",IF(COUNTIFS(Table2[[#All],[De (Lote)]],Input_APM!F92)&gt;0,INDEX(Table2[[#All],[Para (Ticker Daniel)]],MATCH(Input_APM!F92,Table2[[#All],[De (Lote)]],0)),Input_APM!F92))</f>
        <v/>
      </c>
      <c r="M92" s="171" t="str">
        <f t="shared" si="5"/>
        <v/>
      </c>
      <c r="N92" s="172" t="str">
        <f t="shared" si="6"/>
        <v/>
      </c>
      <c r="O92" s="172" t="str">
        <f t="shared" si="7"/>
        <v/>
      </c>
    </row>
    <row r="93" spans="5:15">
      <c r="K93" s="171" t="str">
        <f t="shared" si="4"/>
        <v/>
      </c>
      <c r="L93" s="171" t="str">
        <f>IF(E93="","",IF(COUNTIFS(Table2[[#All],[De (Lote)]],Input_APM!F93)&gt;0,INDEX(Table2[[#All],[Para (Ticker Daniel)]],MATCH(Input_APM!F93,Table2[[#All],[De (Lote)]],0)),Input_APM!F93))</f>
        <v/>
      </c>
      <c r="M93" s="171" t="str">
        <f t="shared" si="5"/>
        <v/>
      </c>
      <c r="N93" s="172" t="str">
        <f t="shared" si="6"/>
        <v/>
      </c>
      <c r="O93" s="172" t="str">
        <f t="shared" si="7"/>
        <v/>
      </c>
    </row>
    <row r="94" spans="5:15">
      <c r="K94" s="171" t="str">
        <f t="shared" si="4"/>
        <v/>
      </c>
      <c r="L94" s="171" t="str">
        <f>IF(E94="","",IF(COUNTIFS(Table2[[#All],[De (Lote)]],Input_APM!F94)&gt;0,INDEX(Table2[[#All],[Para (Ticker Daniel)]],MATCH(Input_APM!F94,Table2[[#All],[De (Lote)]],0)),Input_APM!F94))</f>
        <v/>
      </c>
      <c r="M94" s="171" t="str">
        <f t="shared" si="5"/>
        <v/>
      </c>
      <c r="N94" s="172" t="str">
        <f t="shared" si="6"/>
        <v/>
      </c>
      <c r="O94" s="172" t="str">
        <f t="shared" si="7"/>
        <v/>
      </c>
    </row>
    <row r="95" spans="5:15">
      <c r="H95" s="180"/>
      <c r="K95" s="171" t="str">
        <f t="shared" si="4"/>
        <v/>
      </c>
      <c r="L95" s="171" t="str">
        <f>IF(E95="","",IF(COUNTIFS(Table2[[#All],[De (Lote)]],Input_APM!F95)&gt;0,INDEX(Table2[[#All],[Para (Ticker Daniel)]],MATCH(Input_APM!F95,Table2[[#All],[De (Lote)]],0)),Input_APM!F95))</f>
        <v/>
      </c>
      <c r="M95" s="171" t="str">
        <f t="shared" si="5"/>
        <v/>
      </c>
      <c r="N95" s="172" t="str">
        <f t="shared" si="6"/>
        <v/>
      </c>
      <c r="O95" s="172" t="str">
        <f t="shared" si="7"/>
        <v/>
      </c>
    </row>
    <row r="96" spans="5:15">
      <c r="K96" s="171" t="str">
        <f t="shared" si="4"/>
        <v/>
      </c>
      <c r="L96" s="171" t="str">
        <f>IF(E96="","",IF(COUNTIFS(Table2[[#All],[De (Lote)]],Input_APM!F96)&gt;0,INDEX(Table2[[#All],[Para (Ticker Daniel)]],MATCH(Input_APM!F96,Table2[[#All],[De (Lote)]],0)),Input_APM!F96))</f>
        <v/>
      </c>
      <c r="M96" s="171" t="str">
        <f t="shared" si="5"/>
        <v/>
      </c>
      <c r="N96" s="172" t="str">
        <f t="shared" si="6"/>
        <v/>
      </c>
      <c r="O96" s="172" t="str">
        <f t="shared" si="7"/>
        <v/>
      </c>
    </row>
    <row r="97" spans="11:15">
      <c r="K97" s="171" t="str">
        <f t="shared" si="4"/>
        <v/>
      </c>
      <c r="L97" s="171" t="str">
        <f>IF(E97="","",IF(COUNTIFS(Table2[[#All],[De (Lote)]],Input_APM!F97)&gt;0,INDEX(Table2[[#All],[Para (Ticker Daniel)]],MATCH(Input_APM!F97,Table2[[#All],[De (Lote)]],0)),Input_APM!F97))</f>
        <v/>
      </c>
      <c r="M97" s="171" t="str">
        <f t="shared" si="5"/>
        <v/>
      </c>
      <c r="N97" s="172" t="str">
        <f t="shared" si="6"/>
        <v/>
      </c>
      <c r="O97" s="172" t="str">
        <f t="shared" si="7"/>
        <v/>
      </c>
    </row>
    <row r="98" spans="11:15">
      <c r="K98" s="171" t="str">
        <f t="shared" si="4"/>
        <v/>
      </c>
      <c r="L98" s="171" t="str">
        <f>IF(E98="","",IF(COUNTIFS(Table2[[#All],[De (Lote)]],Input_APM!F98)&gt;0,INDEX(Table2[[#All],[Para (Ticker Daniel)]],MATCH(Input_APM!F98,Table2[[#All],[De (Lote)]],0)),Input_APM!F98))</f>
        <v/>
      </c>
      <c r="M98" s="171" t="str">
        <f t="shared" si="5"/>
        <v/>
      </c>
      <c r="N98" s="172" t="str">
        <f t="shared" si="6"/>
        <v/>
      </c>
      <c r="O98" s="172" t="str">
        <f t="shared" si="7"/>
        <v/>
      </c>
    </row>
    <row r="99" spans="11:15">
      <c r="K99" s="171" t="str">
        <f t="shared" si="4"/>
        <v/>
      </c>
      <c r="L99" s="171" t="str">
        <f>IF(E99="","",IF(COUNTIFS(Table2[[#All],[De (Lote)]],Input_APM!F99)&gt;0,INDEX(Table2[[#All],[Para (Ticker Daniel)]],MATCH(Input_APM!F99,Table2[[#All],[De (Lote)]],0)),Input_APM!F99))</f>
        <v/>
      </c>
      <c r="M99" s="171" t="str">
        <f t="shared" si="5"/>
        <v/>
      </c>
      <c r="N99" s="172" t="str">
        <f t="shared" si="6"/>
        <v/>
      </c>
      <c r="O99" s="172" t="str">
        <f t="shared" si="7"/>
        <v/>
      </c>
    </row>
    <row r="100" spans="11:15">
      <c r="K100" s="171" t="str">
        <f t="shared" si="4"/>
        <v/>
      </c>
      <c r="L100" s="171" t="str">
        <f>IF(E100="","",IF(COUNTIFS(Table2[[#All],[De (Lote)]],Input_APM!F100)&gt;0,INDEX(Table2[[#All],[Para (Ticker Daniel)]],MATCH(Input_APM!F100,Table2[[#All],[De (Lote)]],0)),Input_APM!F100))</f>
        <v/>
      </c>
      <c r="M100" s="171" t="str">
        <f t="shared" si="5"/>
        <v/>
      </c>
      <c r="N100" s="172" t="str">
        <f t="shared" si="6"/>
        <v/>
      </c>
      <c r="O100" s="172" t="str">
        <f t="shared" si="7"/>
        <v/>
      </c>
    </row>
    <row r="101" spans="11:15">
      <c r="K101" s="171" t="str">
        <f t="shared" si="4"/>
        <v/>
      </c>
      <c r="L101" s="171" t="str">
        <f>IF(E101="","",IF(COUNTIFS(Table2[[#All],[De (Lote)]],Input_APM!F101)&gt;0,INDEX(Table2[[#All],[Para (Ticker Daniel)]],MATCH(Input_APM!F101,Table2[[#All],[De (Lote)]],0)),Input_APM!F101))</f>
        <v/>
      </c>
      <c r="M101" s="171" t="str">
        <f t="shared" si="5"/>
        <v/>
      </c>
      <c r="N101" s="172" t="str">
        <f t="shared" si="6"/>
        <v/>
      </c>
      <c r="O101" s="172" t="str">
        <f t="shared" si="7"/>
        <v/>
      </c>
    </row>
    <row r="102" spans="11:15">
      <c r="K102" s="171" t="str">
        <f t="shared" si="4"/>
        <v/>
      </c>
      <c r="L102" s="171" t="str">
        <f>IF(E102="","",IF(COUNTIFS(Table2[[#All],[De (Lote)]],Input_APM!F102)&gt;0,INDEX(Table2[[#All],[Para (Ticker Daniel)]],MATCH(Input_APM!F102,Table2[[#All],[De (Lote)]],0)),Input_APM!F102))</f>
        <v/>
      </c>
      <c r="M102" s="171" t="str">
        <f t="shared" si="5"/>
        <v/>
      </c>
      <c r="N102" s="172" t="str">
        <f t="shared" si="6"/>
        <v/>
      </c>
      <c r="O102" s="172" t="str">
        <f t="shared" si="7"/>
        <v/>
      </c>
    </row>
    <row r="103" spans="11:15">
      <c r="K103" s="171" t="str">
        <f t="shared" si="4"/>
        <v/>
      </c>
      <c r="L103" s="171" t="str">
        <f>IF(E103="","",IF(COUNTIFS(Table2[[#All],[De (Lote)]],Input_APM!F103)&gt;0,INDEX(Table2[[#All],[Para (Ticker Daniel)]],MATCH(Input_APM!F103,Table2[[#All],[De (Lote)]],0)),Input_APM!F103))</f>
        <v/>
      </c>
      <c r="M103" s="171" t="str">
        <f t="shared" si="5"/>
        <v/>
      </c>
      <c r="N103" s="172" t="str">
        <f t="shared" si="6"/>
        <v/>
      </c>
      <c r="O103" s="172" t="str">
        <f t="shared" si="7"/>
        <v/>
      </c>
    </row>
    <row r="104" spans="11:15">
      <c r="K104" s="171" t="str">
        <f t="shared" si="4"/>
        <v/>
      </c>
      <c r="L104" s="171" t="str">
        <f>IF(E104="","",IF(COUNTIFS(Table2[[#All],[De (Lote)]],Input_APM!F104)&gt;0,INDEX(Table2[[#All],[Para (Ticker Daniel)]],MATCH(Input_APM!F104,Table2[[#All],[De (Lote)]],0)),Input_APM!F104))</f>
        <v/>
      </c>
      <c r="M104" s="171" t="str">
        <f t="shared" si="5"/>
        <v/>
      </c>
      <c r="N104" s="172" t="str">
        <f t="shared" si="6"/>
        <v/>
      </c>
      <c r="O104" s="172" t="str">
        <f t="shared" si="7"/>
        <v/>
      </c>
    </row>
    <row r="105" spans="11:15">
      <c r="K105" s="171" t="str">
        <f t="shared" si="4"/>
        <v/>
      </c>
      <c r="L105" s="171" t="str">
        <f>IF(E105="","",IF(COUNTIFS(Table2[[#All],[De (Lote)]],Input_APM!F105)&gt;0,INDEX(Table2[[#All],[Para (Ticker Daniel)]],MATCH(Input_APM!F105,Table2[[#All],[De (Lote)]],0)),Input_APM!F105))</f>
        <v/>
      </c>
      <c r="M105" s="171" t="str">
        <f t="shared" si="5"/>
        <v/>
      </c>
      <c r="N105" s="172" t="str">
        <f t="shared" si="6"/>
        <v/>
      </c>
      <c r="O105" s="172" t="str">
        <f t="shared" si="7"/>
        <v/>
      </c>
    </row>
    <row r="106" spans="11:15">
      <c r="K106" s="171" t="str">
        <f t="shared" si="4"/>
        <v/>
      </c>
      <c r="L106" s="171" t="str">
        <f>IF(E106="","",IF(COUNTIFS(Table2[[#All],[De (Lote)]],Input_APM!F106)&gt;0,INDEX(Table2[[#All],[Para (Ticker Daniel)]],MATCH(Input_APM!F106,Table2[[#All],[De (Lote)]],0)),Input_APM!F106))</f>
        <v/>
      </c>
      <c r="M106" s="171" t="str">
        <f t="shared" si="5"/>
        <v/>
      </c>
      <c r="N106" s="172" t="str">
        <f t="shared" si="6"/>
        <v/>
      </c>
      <c r="O106" s="172" t="str">
        <f t="shared" si="7"/>
        <v/>
      </c>
    </row>
    <row r="107" spans="11:15">
      <c r="K107" s="171" t="str">
        <f t="shared" si="4"/>
        <v/>
      </c>
      <c r="L107" s="171" t="str">
        <f>IF(E107="","",IF(COUNTIFS(Table2[[#All],[De (Lote)]],Input_APM!F107)&gt;0,INDEX(Table2[[#All],[Para (Ticker Daniel)]],MATCH(Input_APM!F107,Table2[[#All],[De (Lote)]],0)),Input_APM!F107))</f>
        <v/>
      </c>
      <c r="M107" s="171" t="str">
        <f t="shared" si="5"/>
        <v/>
      </c>
      <c r="N107" s="172" t="str">
        <f t="shared" si="6"/>
        <v/>
      </c>
      <c r="O107" s="172" t="str">
        <f t="shared" si="7"/>
        <v/>
      </c>
    </row>
    <row r="108" spans="11:15">
      <c r="K108" s="171" t="str">
        <f t="shared" si="4"/>
        <v/>
      </c>
      <c r="L108" s="171" t="str">
        <f>IF(E108="","",IF(COUNTIFS(Table2[[#All],[De (Lote)]],Input_APM!F108)&gt;0,INDEX(Table2[[#All],[Para (Ticker Daniel)]],MATCH(Input_APM!F108,Table2[[#All],[De (Lote)]],0)),Input_APM!F108))</f>
        <v/>
      </c>
      <c r="M108" s="171" t="str">
        <f t="shared" si="5"/>
        <v/>
      </c>
      <c r="N108" s="172" t="str">
        <f t="shared" si="6"/>
        <v/>
      </c>
      <c r="O108" s="172" t="str">
        <f t="shared" si="7"/>
        <v/>
      </c>
    </row>
    <row r="109" spans="11:15">
      <c r="K109" s="171" t="str">
        <f t="shared" si="4"/>
        <v/>
      </c>
      <c r="L109" s="171" t="str">
        <f>IF(E109="","",IF(COUNTIFS(Table2[[#All],[De (Lote)]],Input_APM!F109)&gt;0,INDEX(Table2[[#All],[Para (Ticker Daniel)]],MATCH(Input_APM!F109,Table2[[#All],[De (Lote)]],0)),Input_APM!F109))</f>
        <v/>
      </c>
      <c r="M109" s="171" t="str">
        <f t="shared" si="5"/>
        <v/>
      </c>
      <c r="N109" s="172" t="str">
        <f t="shared" si="6"/>
        <v/>
      </c>
      <c r="O109" s="172" t="str">
        <f t="shared" si="7"/>
        <v/>
      </c>
    </row>
    <row r="110" spans="11:15">
      <c r="K110" s="171" t="str">
        <f t="shared" si="4"/>
        <v/>
      </c>
      <c r="L110" s="171" t="str">
        <f>IF(E110="","",IF(COUNTIFS(Table2[[#All],[De (Lote)]],Input_APM!F110)&gt;0,INDEX(Table2[[#All],[Para (Ticker Daniel)]],MATCH(Input_APM!F110,Table2[[#All],[De (Lote)]],0)),Input_APM!F110))</f>
        <v/>
      </c>
      <c r="M110" s="171" t="str">
        <f t="shared" si="5"/>
        <v/>
      </c>
      <c r="N110" s="172" t="str">
        <f t="shared" si="6"/>
        <v/>
      </c>
      <c r="O110" s="172" t="str">
        <f t="shared" si="7"/>
        <v/>
      </c>
    </row>
    <row r="111" spans="11:15">
      <c r="K111" s="171" t="str">
        <f t="shared" si="4"/>
        <v/>
      </c>
      <c r="L111" s="171" t="str">
        <f>IF(E111="","",IF(COUNTIFS(Table2[[#All],[De (Lote)]],Input_APM!F111)&gt;0,INDEX(Table2[[#All],[Para (Ticker Daniel)]],MATCH(Input_APM!F111,Table2[[#All],[De (Lote)]],0)),Input_APM!F111))</f>
        <v/>
      </c>
      <c r="M111" s="171" t="str">
        <f t="shared" si="5"/>
        <v/>
      </c>
      <c r="N111" s="172" t="str">
        <f t="shared" si="6"/>
        <v/>
      </c>
      <c r="O111" s="172" t="str">
        <f t="shared" si="7"/>
        <v/>
      </c>
    </row>
    <row r="112" spans="11:15">
      <c r="K112" s="171" t="str">
        <f t="shared" si="4"/>
        <v/>
      </c>
      <c r="L112" s="171" t="str">
        <f>IF(E112="","",IF(COUNTIFS(Table2[[#All],[De (Lote)]],Input_APM!F112)&gt;0,INDEX(Table2[[#All],[Para (Ticker Daniel)]],MATCH(Input_APM!F112,Table2[[#All],[De (Lote)]],0)),Input_APM!F112))</f>
        <v/>
      </c>
      <c r="M112" s="171" t="str">
        <f t="shared" si="5"/>
        <v/>
      </c>
      <c r="N112" s="172" t="str">
        <f t="shared" si="6"/>
        <v/>
      </c>
      <c r="O112" s="172" t="str">
        <f t="shared" si="7"/>
        <v/>
      </c>
    </row>
    <row r="113" spans="11:15">
      <c r="K113" s="171" t="str">
        <f t="shared" si="4"/>
        <v/>
      </c>
      <c r="L113" s="171" t="str">
        <f>IF(E113="","",IF(COUNTIFS(Table2[[#All],[De (Lote)]],Input_APM!F113)&gt;0,INDEX(Table2[[#All],[Para (Ticker Daniel)]],MATCH(Input_APM!F113,Table2[[#All],[De (Lote)]],0)),Input_APM!F113))</f>
        <v/>
      </c>
      <c r="M113" s="171" t="str">
        <f t="shared" si="5"/>
        <v/>
      </c>
      <c r="N113" s="172" t="str">
        <f t="shared" si="6"/>
        <v/>
      </c>
      <c r="O113" s="172" t="str">
        <f t="shared" si="7"/>
        <v/>
      </c>
    </row>
    <row r="114" spans="11:15">
      <c r="K114" s="171" t="str">
        <f t="shared" si="4"/>
        <v/>
      </c>
      <c r="L114" s="171" t="str">
        <f>IF(E114="","",IF(COUNTIFS(Table2[[#All],[De (Lote)]],Input_APM!F114)&gt;0,INDEX(Table2[[#All],[Para (Ticker Daniel)]],MATCH(Input_APM!F114,Table2[[#All],[De (Lote)]],0)),Input_APM!F114))</f>
        <v/>
      </c>
      <c r="M114" s="171" t="str">
        <f t="shared" si="5"/>
        <v/>
      </c>
      <c r="N114" s="172" t="str">
        <f t="shared" si="6"/>
        <v/>
      </c>
      <c r="O114" s="172" t="str">
        <f t="shared" si="7"/>
        <v/>
      </c>
    </row>
    <row r="115" spans="11:15">
      <c r="K115" s="171" t="str">
        <f t="shared" si="4"/>
        <v/>
      </c>
      <c r="L115" s="171" t="str">
        <f>IF(E115="","",IF(COUNTIFS(Table2[[#All],[De (Lote)]],Input_APM!F115)&gt;0,INDEX(Table2[[#All],[Para (Ticker Daniel)]],MATCH(Input_APM!F115,Table2[[#All],[De (Lote)]],0)),Input_APM!F115))</f>
        <v/>
      </c>
      <c r="M115" s="171" t="str">
        <f t="shared" si="5"/>
        <v/>
      </c>
      <c r="N115" s="172" t="str">
        <f t="shared" si="6"/>
        <v/>
      </c>
      <c r="O115" s="172" t="str">
        <f t="shared" si="7"/>
        <v/>
      </c>
    </row>
    <row r="116" spans="11:15">
      <c r="K116" s="171" t="str">
        <f t="shared" si="4"/>
        <v/>
      </c>
      <c r="L116" s="171" t="str">
        <f>IF(E116="","",IF(COUNTIFS(Table2[[#All],[De (Lote)]],Input_APM!F116)&gt;0,INDEX(Table2[[#All],[Para (Ticker Daniel)]],MATCH(Input_APM!F116,Table2[[#All],[De (Lote)]],0)),Input_APM!F116))</f>
        <v/>
      </c>
      <c r="M116" s="171" t="str">
        <f t="shared" si="5"/>
        <v/>
      </c>
      <c r="N116" s="172" t="str">
        <f t="shared" si="6"/>
        <v/>
      </c>
      <c r="O116" s="172" t="str">
        <f t="shared" si="7"/>
        <v/>
      </c>
    </row>
    <row r="117" spans="11:15">
      <c r="K117" s="171" t="str">
        <f t="shared" si="4"/>
        <v/>
      </c>
      <c r="L117" s="171" t="str">
        <f>IF(E117="","",IF(COUNTIFS(Table2[[#All],[De (Lote)]],Input_APM!F117)&gt;0,INDEX(Table2[[#All],[Para (Ticker Daniel)]],MATCH(Input_APM!F117,Table2[[#All],[De (Lote)]],0)),Input_APM!F117))</f>
        <v/>
      </c>
      <c r="M117" s="171" t="str">
        <f t="shared" si="5"/>
        <v/>
      </c>
      <c r="N117" s="172" t="str">
        <f t="shared" si="6"/>
        <v/>
      </c>
      <c r="O117" s="172" t="str">
        <f t="shared" si="7"/>
        <v/>
      </c>
    </row>
    <row r="118" spans="11:15">
      <c r="K118" s="171" t="str">
        <f t="shared" si="4"/>
        <v/>
      </c>
      <c r="L118" s="171" t="str">
        <f>IF(E118="","",IF(COUNTIFS(Table2[[#All],[De (Lote)]],Input_APM!F118)&gt;0,INDEX(Table2[[#All],[Para (Ticker Daniel)]],MATCH(Input_APM!F118,Table2[[#All],[De (Lote)]],0)),Input_APM!F118))</f>
        <v/>
      </c>
      <c r="M118" s="171" t="str">
        <f t="shared" si="5"/>
        <v/>
      </c>
      <c r="N118" s="172" t="str">
        <f t="shared" si="6"/>
        <v/>
      </c>
      <c r="O118" s="172" t="str">
        <f t="shared" si="7"/>
        <v/>
      </c>
    </row>
    <row r="119" spans="11:15">
      <c r="K119" s="171" t="str">
        <f t="shared" si="4"/>
        <v/>
      </c>
      <c r="L119" s="171" t="str">
        <f>IF(E119="","",IF(COUNTIFS(Table2[[#All],[De (Lote)]],Input_APM!F119)&gt;0,INDEX(Table2[[#All],[Para (Ticker Daniel)]],MATCH(Input_APM!F119,Table2[[#All],[De (Lote)]],0)),Input_APM!F119))</f>
        <v/>
      </c>
      <c r="M119" s="171" t="str">
        <f t="shared" si="5"/>
        <v/>
      </c>
      <c r="N119" s="172" t="str">
        <f t="shared" si="6"/>
        <v/>
      </c>
      <c r="O119" s="172" t="str">
        <f t="shared" si="7"/>
        <v/>
      </c>
    </row>
    <row r="120" spans="11:15">
      <c r="K120" s="171" t="str">
        <f t="shared" si="4"/>
        <v/>
      </c>
      <c r="L120" s="171" t="str">
        <f>IF(E120="","",IF(COUNTIFS(Table2[[#All],[De (Lote)]],Input_APM!F120)&gt;0,INDEX(Table2[[#All],[Para (Ticker Daniel)]],MATCH(Input_APM!F120,Table2[[#All],[De (Lote)]],0)),Input_APM!F120))</f>
        <v/>
      </c>
      <c r="M120" s="171" t="str">
        <f t="shared" si="5"/>
        <v/>
      </c>
      <c r="N120" s="172" t="str">
        <f t="shared" si="6"/>
        <v/>
      </c>
      <c r="O120" s="172" t="str">
        <f t="shared" si="7"/>
        <v/>
      </c>
    </row>
    <row r="121" spans="11:15">
      <c r="K121" s="171" t="str">
        <f t="shared" si="4"/>
        <v/>
      </c>
      <c r="L121" s="171" t="str">
        <f>IF(E121="","",IF(COUNTIFS(Table2[[#All],[De (Lote)]],Input_APM!F121)&gt;0,INDEX(Table2[[#All],[Para (Ticker Daniel)]],MATCH(Input_APM!F121,Table2[[#All],[De (Lote)]],0)),Input_APM!F121))</f>
        <v/>
      </c>
      <c r="M121" s="171" t="str">
        <f t="shared" si="5"/>
        <v/>
      </c>
      <c r="N121" s="172" t="str">
        <f t="shared" si="6"/>
        <v/>
      </c>
      <c r="O121" s="172" t="str">
        <f t="shared" si="7"/>
        <v/>
      </c>
    </row>
    <row r="122" spans="11:15">
      <c r="K122" s="171" t="str">
        <f t="shared" si="4"/>
        <v/>
      </c>
      <c r="L122" s="171" t="str">
        <f>IF(E122="","",IF(COUNTIFS(Table2[[#All],[De (Lote)]],Input_APM!F122)&gt;0,INDEX(Table2[[#All],[Para (Ticker Daniel)]],MATCH(Input_APM!F122,Table2[[#All],[De (Lote)]],0)),Input_APM!F122))</f>
        <v/>
      </c>
      <c r="M122" s="171" t="str">
        <f t="shared" si="5"/>
        <v/>
      </c>
      <c r="N122" s="172" t="str">
        <f t="shared" si="6"/>
        <v/>
      </c>
      <c r="O122" s="172" t="str">
        <f t="shared" si="7"/>
        <v/>
      </c>
    </row>
    <row r="123" spans="11:15">
      <c r="K123" s="171" t="str">
        <f t="shared" si="4"/>
        <v/>
      </c>
      <c r="L123" s="171" t="str">
        <f>IF(E123="","",IF(COUNTIFS(Table2[[#All],[De (Lote)]],Input_APM!F123)&gt;0,INDEX(Table2[[#All],[Para (Ticker Daniel)]],MATCH(Input_APM!F123,Table2[[#All],[De (Lote)]],0)),Input_APM!F123))</f>
        <v/>
      </c>
      <c r="M123" s="171" t="str">
        <f t="shared" si="5"/>
        <v/>
      </c>
      <c r="N123" s="172" t="str">
        <f t="shared" si="6"/>
        <v/>
      </c>
      <c r="O123" s="172" t="str">
        <f t="shared" si="7"/>
        <v/>
      </c>
    </row>
    <row r="124" spans="11:15">
      <c r="K124" s="171" t="str">
        <f t="shared" si="4"/>
        <v/>
      </c>
      <c r="L124" s="171" t="str">
        <f>IF(E124="","",IF(COUNTIFS(Table2[[#All],[De (Lote)]],Input_APM!F124)&gt;0,INDEX(Table2[[#All],[Para (Ticker Daniel)]],MATCH(Input_APM!F124,Table2[[#All],[De (Lote)]],0)),Input_APM!F124))</f>
        <v/>
      </c>
      <c r="M124" s="171" t="str">
        <f t="shared" si="5"/>
        <v/>
      </c>
      <c r="N124" s="172" t="str">
        <f t="shared" si="6"/>
        <v/>
      </c>
      <c r="O124" s="172" t="str">
        <f t="shared" si="7"/>
        <v/>
      </c>
    </row>
    <row r="125" spans="11:15">
      <c r="K125" s="171" t="str">
        <f t="shared" si="4"/>
        <v/>
      </c>
      <c r="L125" s="171" t="str">
        <f>IF(E125="","",IF(COUNTIFS(Table2[[#All],[De (Lote)]],Input_APM!F125)&gt;0,INDEX(Table2[[#All],[Para (Ticker Daniel)]],MATCH(Input_APM!F125,Table2[[#All],[De (Lote)]],0)),Input_APM!F125))</f>
        <v/>
      </c>
      <c r="M125" s="171" t="str">
        <f t="shared" si="5"/>
        <v/>
      </c>
      <c r="N125" s="172" t="str">
        <f t="shared" si="6"/>
        <v/>
      </c>
      <c r="O125" s="172" t="str">
        <f t="shared" si="7"/>
        <v/>
      </c>
    </row>
    <row r="126" spans="11:15">
      <c r="K126" s="171" t="str">
        <f t="shared" si="4"/>
        <v/>
      </c>
      <c r="L126" s="171" t="str">
        <f>IF(E126="","",IF(COUNTIFS(Table2[[#All],[De (Lote)]],Input_APM!F126)&gt;0,INDEX(Table2[[#All],[Para (Ticker Daniel)]],MATCH(Input_APM!F126,Table2[[#All],[De (Lote)]],0)),Input_APM!F126))</f>
        <v/>
      </c>
      <c r="M126" s="171" t="str">
        <f t="shared" si="5"/>
        <v/>
      </c>
      <c r="N126" s="172" t="str">
        <f t="shared" si="6"/>
        <v/>
      </c>
      <c r="O126" s="172" t="str">
        <f t="shared" si="7"/>
        <v/>
      </c>
    </row>
    <row r="127" spans="11:15">
      <c r="K127" s="171" t="str">
        <f t="shared" si="4"/>
        <v/>
      </c>
      <c r="L127" s="171" t="str">
        <f>IF(E127="","",IF(COUNTIFS(Table2[[#All],[De (Lote)]],Input_APM!F127)&gt;0,INDEX(Table2[[#All],[Para (Ticker Daniel)]],MATCH(Input_APM!F127,Table2[[#All],[De (Lote)]],0)),Input_APM!F127))</f>
        <v/>
      </c>
      <c r="M127" s="171" t="str">
        <f t="shared" si="5"/>
        <v/>
      </c>
      <c r="N127" s="172" t="str">
        <f t="shared" si="6"/>
        <v/>
      </c>
      <c r="O127" s="172" t="str">
        <f t="shared" si="7"/>
        <v/>
      </c>
    </row>
    <row r="128" spans="11:15">
      <c r="K128" s="171" t="str">
        <f t="shared" si="4"/>
        <v/>
      </c>
      <c r="L128" s="171" t="str">
        <f>IF(E128="","",IF(COUNTIFS(Table2[[#All],[De (Lote)]],Input_APM!F128)&gt;0,INDEX(Table2[[#All],[Para (Ticker Daniel)]],MATCH(Input_APM!F128,Table2[[#All],[De (Lote)]],0)),Input_APM!F128))</f>
        <v/>
      </c>
      <c r="M128" s="171" t="str">
        <f t="shared" si="5"/>
        <v/>
      </c>
      <c r="N128" s="172" t="str">
        <f t="shared" si="6"/>
        <v/>
      </c>
      <c r="O128" s="172" t="str">
        <f t="shared" si="7"/>
        <v/>
      </c>
    </row>
    <row r="129" spans="11:15">
      <c r="K129" s="171" t="str">
        <f t="shared" si="4"/>
        <v/>
      </c>
      <c r="L129" s="171" t="str">
        <f>IF(E129="","",IF(COUNTIFS(Table2[[#All],[De (Lote)]],Input_APM!F129)&gt;0,INDEX(Table2[[#All],[Para (Ticker Daniel)]],MATCH(Input_APM!F129,Table2[[#All],[De (Lote)]],0)),Input_APM!F129))</f>
        <v/>
      </c>
      <c r="M129" s="171" t="str">
        <f t="shared" si="5"/>
        <v/>
      </c>
      <c r="N129" s="172" t="str">
        <f t="shared" si="6"/>
        <v/>
      </c>
      <c r="O129" s="172" t="str">
        <f t="shared" si="7"/>
        <v/>
      </c>
    </row>
    <row r="130" spans="11:15">
      <c r="K130" s="171" t="str">
        <f t="shared" si="4"/>
        <v/>
      </c>
      <c r="L130" s="171" t="str">
        <f>IF(E130="","",IF(COUNTIFS(Table2[[#All],[De (Lote)]],Input_APM!F130)&gt;0,INDEX(Table2[[#All],[Para (Ticker Daniel)]],MATCH(Input_APM!F130,Table2[[#All],[De (Lote)]],0)),Input_APM!F130))</f>
        <v/>
      </c>
      <c r="M130" s="171" t="str">
        <f t="shared" si="5"/>
        <v/>
      </c>
      <c r="N130" s="172" t="str">
        <f t="shared" si="6"/>
        <v/>
      </c>
      <c r="O130" s="172" t="str">
        <f t="shared" si="7"/>
        <v/>
      </c>
    </row>
    <row r="131" spans="11:15">
      <c r="K131" s="171" t="str">
        <f t="shared" ref="K131:K148" si="8">IF(E131="","",E131)</f>
        <v/>
      </c>
      <c r="L131" s="171" t="str">
        <f>IF(E131="","",IF(COUNTIFS(Table2[[#All],[De (Lote)]],Input_APM!F131)&gt;0,INDEX(Table2[[#All],[Para (Ticker Daniel)]],MATCH(Input_APM!F131,Table2[[#All],[De (Lote)]],0)),Input_APM!F131))</f>
        <v/>
      </c>
      <c r="M131" s="171" t="str">
        <f t="shared" ref="M131:M148" si="9">IF(E131="","",G131)</f>
        <v/>
      </c>
      <c r="N131" s="172" t="str">
        <f t="shared" ref="N131:N148" si="10">IF(E131="","",H131)</f>
        <v/>
      </c>
      <c r="O131" s="172" t="str">
        <f t="shared" ref="O131:O148" si="11">IF(E131="","",I131)</f>
        <v/>
      </c>
    </row>
    <row r="132" spans="11:15">
      <c r="K132" s="171" t="str">
        <f t="shared" si="8"/>
        <v/>
      </c>
      <c r="L132" s="171" t="str">
        <f>IF(E132="","",IF(COUNTIFS(Table2[[#All],[De (Lote)]],Input_APM!F132)&gt;0,INDEX(Table2[[#All],[Para (Ticker Daniel)]],MATCH(Input_APM!F132,Table2[[#All],[De (Lote)]],0)),Input_APM!F132))</f>
        <v/>
      </c>
      <c r="M132" s="171" t="str">
        <f t="shared" si="9"/>
        <v/>
      </c>
      <c r="N132" s="172" t="str">
        <f t="shared" si="10"/>
        <v/>
      </c>
      <c r="O132" s="172" t="str">
        <f t="shared" si="11"/>
        <v/>
      </c>
    </row>
    <row r="133" spans="11:15">
      <c r="K133" s="171" t="str">
        <f t="shared" si="8"/>
        <v/>
      </c>
      <c r="L133" s="171" t="str">
        <f>IF(E133="","",IF(COUNTIFS(Table2[[#All],[De (Lote)]],Input_APM!F133)&gt;0,INDEX(Table2[[#All],[Para (Ticker Daniel)]],MATCH(Input_APM!F133,Table2[[#All],[De (Lote)]],0)),Input_APM!F133))</f>
        <v/>
      </c>
      <c r="M133" s="171" t="str">
        <f t="shared" si="9"/>
        <v/>
      </c>
      <c r="N133" s="172" t="str">
        <f t="shared" si="10"/>
        <v/>
      </c>
      <c r="O133" s="172" t="str">
        <f t="shared" si="11"/>
        <v/>
      </c>
    </row>
    <row r="134" spans="11:15">
      <c r="K134" s="171" t="str">
        <f t="shared" si="8"/>
        <v/>
      </c>
      <c r="L134" s="171" t="str">
        <f>IF(E134="","",IF(COUNTIFS(Table2[[#All],[De (Lote)]],Input_APM!F134)&gt;0,INDEX(Table2[[#All],[Para (Ticker Daniel)]],MATCH(Input_APM!F134,Table2[[#All],[De (Lote)]],0)),Input_APM!F134))</f>
        <v/>
      </c>
      <c r="M134" s="171" t="str">
        <f t="shared" si="9"/>
        <v/>
      </c>
      <c r="N134" s="172" t="str">
        <f t="shared" si="10"/>
        <v/>
      </c>
      <c r="O134" s="172" t="str">
        <f t="shared" si="11"/>
        <v/>
      </c>
    </row>
    <row r="135" spans="11:15">
      <c r="K135" s="171" t="str">
        <f t="shared" si="8"/>
        <v/>
      </c>
      <c r="L135" s="171" t="str">
        <f>IF(E135="","",IF(COUNTIFS(Table2[[#All],[De (Lote)]],Input_APM!F135)&gt;0,INDEX(Table2[[#All],[Para (Ticker Daniel)]],MATCH(Input_APM!F135,Table2[[#All],[De (Lote)]],0)),Input_APM!F135))</f>
        <v/>
      </c>
      <c r="M135" s="171" t="str">
        <f t="shared" si="9"/>
        <v/>
      </c>
      <c r="N135" s="172" t="str">
        <f t="shared" si="10"/>
        <v/>
      </c>
      <c r="O135" s="172" t="str">
        <f t="shared" si="11"/>
        <v/>
      </c>
    </row>
    <row r="136" spans="11:15">
      <c r="K136" s="171" t="str">
        <f t="shared" si="8"/>
        <v/>
      </c>
      <c r="L136" s="171" t="str">
        <f>IF(E136="","",IF(COUNTIFS(Table2[[#All],[De (Lote)]],Input_APM!F136)&gt;0,INDEX(Table2[[#All],[Para (Ticker Daniel)]],MATCH(Input_APM!F136,Table2[[#All],[De (Lote)]],0)),Input_APM!F136))</f>
        <v/>
      </c>
      <c r="M136" s="171" t="str">
        <f t="shared" si="9"/>
        <v/>
      </c>
      <c r="N136" s="172" t="str">
        <f t="shared" si="10"/>
        <v/>
      </c>
      <c r="O136" s="172" t="str">
        <f t="shared" si="11"/>
        <v/>
      </c>
    </row>
    <row r="137" spans="11:15">
      <c r="K137" s="171" t="str">
        <f t="shared" si="8"/>
        <v/>
      </c>
      <c r="L137" s="171" t="str">
        <f>IF(E137="","",IF(COUNTIFS(Table2[[#All],[De (Lote)]],Input_APM!F137)&gt;0,INDEX(Table2[[#All],[Para (Ticker Daniel)]],MATCH(Input_APM!F137,Table2[[#All],[De (Lote)]],0)),Input_APM!F137))</f>
        <v/>
      </c>
      <c r="M137" s="171" t="str">
        <f t="shared" si="9"/>
        <v/>
      </c>
      <c r="N137" s="172" t="str">
        <f t="shared" si="10"/>
        <v/>
      </c>
      <c r="O137" s="172" t="str">
        <f t="shared" si="11"/>
        <v/>
      </c>
    </row>
    <row r="138" spans="11:15">
      <c r="K138" s="171" t="str">
        <f t="shared" si="8"/>
        <v/>
      </c>
      <c r="L138" s="171" t="str">
        <f>IF(E138="","",IF(COUNTIFS(Table2[[#All],[De (Lote)]],Input_APM!F138)&gt;0,INDEX(Table2[[#All],[Para (Ticker Daniel)]],MATCH(Input_APM!F138,Table2[[#All],[De (Lote)]],0)),Input_APM!F138))</f>
        <v/>
      </c>
      <c r="M138" s="171" t="str">
        <f t="shared" si="9"/>
        <v/>
      </c>
      <c r="N138" s="172" t="str">
        <f t="shared" si="10"/>
        <v/>
      </c>
      <c r="O138" s="172" t="str">
        <f t="shared" si="11"/>
        <v/>
      </c>
    </row>
    <row r="139" spans="11:15">
      <c r="K139" s="171" t="str">
        <f t="shared" si="8"/>
        <v/>
      </c>
      <c r="L139" s="171" t="str">
        <f>IF(E139="","",IF(COUNTIFS(Table2[[#All],[De (Lote)]],Input_APM!F139)&gt;0,INDEX(Table2[[#All],[Para (Ticker Daniel)]],MATCH(Input_APM!F139,Table2[[#All],[De (Lote)]],0)),Input_APM!F139))</f>
        <v/>
      </c>
      <c r="M139" s="171" t="str">
        <f t="shared" si="9"/>
        <v/>
      </c>
      <c r="N139" s="172" t="str">
        <f t="shared" si="10"/>
        <v/>
      </c>
      <c r="O139" s="172" t="str">
        <f t="shared" si="11"/>
        <v/>
      </c>
    </row>
    <row r="140" spans="11:15">
      <c r="K140" s="171" t="str">
        <f t="shared" si="8"/>
        <v/>
      </c>
      <c r="L140" s="171" t="str">
        <f>IF(E140="","",IF(COUNTIFS(Table2[[#All],[De (Lote)]],Input_APM!F140)&gt;0,INDEX(Table2[[#All],[Para (Ticker Daniel)]],MATCH(Input_APM!F140,Table2[[#All],[De (Lote)]],0)),Input_APM!F140))</f>
        <v/>
      </c>
      <c r="M140" s="171" t="str">
        <f t="shared" si="9"/>
        <v/>
      </c>
      <c r="N140" s="172" t="str">
        <f t="shared" si="10"/>
        <v/>
      </c>
      <c r="O140" s="172" t="str">
        <f t="shared" si="11"/>
        <v/>
      </c>
    </row>
    <row r="141" spans="11:15">
      <c r="K141" s="171" t="str">
        <f t="shared" si="8"/>
        <v/>
      </c>
      <c r="L141" s="171" t="str">
        <f>IF(E141="","",IF(COUNTIFS(Table2[[#All],[De (Lote)]],Input_APM!F141)&gt;0,INDEX(Table2[[#All],[Para (Ticker Daniel)]],MATCH(Input_APM!F141,Table2[[#All],[De (Lote)]],0)),Input_APM!F141))</f>
        <v/>
      </c>
      <c r="M141" s="171" t="str">
        <f t="shared" si="9"/>
        <v/>
      </c>
      <c r="N141" s="172" t="str">
        <f t="shared" si="10"/>
        <v/>
      </c>
      <c r="O141" s="172" t="str">
        <f t="shared" si="11"/>
        <v/>
      </c>
    </row>
    <row r="142" spans="11:15">
      <c r="K142" s="171" t="str">
        <f t="shared" si="8"/>
        <v/>
      </c>
      <c r="L142" s="171" t="str">
        <f>IF(E142="","",IF(COUNTIFS(Table2[[#All],[De (Lote)]],Input_APM!F142)&gt;0,INDEX(Table2[[#All],[Para (Ticker Daniel)]],MATCH(Input_APM!F142,Table2[[#All],[De (Lote)]],0)),Input_APM!F142))</f>
        <v/>
      </c>
      <c r="M142" s="171" t="str">
        <f t="shared" si="9"/>
        <v/>
      </c>
      <c r="N142" s="172" t="str">
        <f t="shared" si="10"/>
        <v/>
      </c>
      <c r="O142" s="172" t="str">
        <f t="shared" si="11"/>
        <v/>
      </c>
    </row>
    <row r="143" spans="11:15">
      <c r="K143" s="171" t="str">
        <f t="shared" si="8"/>
        <v/>
      </c>
      <c r="L143" s="171" t="str">
        <f>IF(E143="","",IF(COUNTIFS(Table2[[#All],[De (Lote)]],Input_APM!F143)&gt;0,INDEX(Table2[[#All],[Para (Ticker Daniel)]],MATCH(Input_APM!F143,Table2[[#All],[De (Lote)]],0)),Input_APM!F143))</f>
        <v/>
      </c>
      <c r="M143" s="171" t="str">
        <f t="shared" si="9"/>
        <v/>
      </c>
      <c r="N143" s="172" t="str">
        <f t="shared" si="10"/>
        <v/>
      </c>
      <c r="O143" s="172" t="str">
        <f t="shared" si="11"/>
        <v/>
      </c>
    </row>
    <row r="144" spans="11:15">
      <c r="K144" s="171" t="str">
        <f t="shared" si="8"/>
        <v/>
      </c>
      <c r="L144" s="171" t="str">
        <f>IF(E144="","",IF(COUNTIFS(Table2[[#All],[De (Lote)]],Input_APM!F144)&gt;0,INDEX(Table2[[#All],[Para (Ticker Daniel)]],MATCH(Input_APM!F144,Table2[[#All],[De (Lote)]],0)),Input_APM!F144))</f>
        <v/>
      </c>
      <c r="M144" s="171" t="str">
        <f t="shared" si="9"/>
        <v/>
      </c>
      <c r="N144" s="172" t="str">
        <f t="shared" si="10"/>
        <v/>
      </c>
      <c r="O144" s="172" t="str">
        <f t="shared" si="11"/>
        <v/>
      </c>
    </row>
    <row r="145" spans="11:15">
      <c r="K145" s="171" t="str">
        <f t="shared" si="8"/>
        <v/>
      </c>
      <c r="L145" s="171" t="str">
        <f>IF(E145="","",IF(COUNTIFS(Table2[[#All],[De (Lote)]],Input_APM!F145)&gt;0,INDEX(Table2[[#All],[Para (Ticker Daniel)]],MATCH(Input_APM!F145,Table2[[#All],[De (Lote)]],0)),Input_APM!F145))</f>
        <v/>
      </c>
      <c r="M145" s="171" t="str">
        <f t="shared" si="9"/>
        <v/>
      </c>
      <c r="N145" s="172" t="str">
        <f t="shared" si="10"/>
        <v/>
      </c>
      <c r="O145" s="172" t="str">
        <f t="shared" si="11"/>
        <v/>
      </c>
    </row>
    <row r="146" spans="11:15">
      <c r="K146" s="171" t="str">
        <f t="shared" si="8"/>
        <v/>
      </c>
      <c r="L146" s="171" t="str">
        <f>IF(E146="","",IF(COUNTIFS(Table2[[#All],[De (Lote)]],Input_APM!F146)&gt;0,INDEX(Table2[[#All],[Para (Ticker Daniel)]],MATCH(Input_APM!F146,Table2[[#All],[De (Lote)]],0)),Input_APM!F146))</f>
        <v/>
      </c>
      <c r="M146" s="171" t="str">
        <f t="shared" si="9"/>
        <v/>
      </c>
      <c r="N146" s="172" t="str">
        <f t="shared" si="10"/>
        <v/>
      </c>
      <c r="O146" s="172" t="str">
        <f t="shared" si="11"/>
        <v/>
      </c>
    </row>
    <row r="147" spans="11:15">
      <c r="K147" s="171" t="str">
        <f t="shared" si="8"/>
        <v/>
      </c>
      <c r="L147" s="171" t="str">
        <f>IF(E147="","",IF(COUNTIFS(Table2[[#All],[De (Lote)]],Input_APM!F147)&gt;0,INDEX(Table2[[#All],[Para (Ticker Daniel)]],MATCH(Input_APM!F147,Table2[[#All],[De (Lote)]],0)),Input_APM!F147))</f>
        <v/>
      </c>
      <c r="M147" s="171" t="str">
        <f t="shared" si="9"/>
        <v/>
      </c>
      <c r="N147" s="172" t="str">
        <f t="shared" si="10"/>
        <v/>
      </c>
      <c r="O147" s="172" t="str">
        <f t="shared" si="11"/>
        <v/>
      </c>
    </row>
    <row r="148" spans="11:15">
      <c r="K148" s="171" t="str">
        <f t="shared" si="8"/>
        <v/>
      </c>
      <c r="L148" s="171" t="str">
        <f>IF(E148="","",IF(COUNTIFS(Table2[[#All],[De (Lote)]],Input_APM!F148)&gt;0,INDEX(Table2[[#All],[Para (Ticker Daniel)]],MATCH(Input_APM!F148,Table2[[#All],[De (Lote)]],0)),Input_APM!F148))</f>
        <v/>
      </c>
      <c r="M148" s="171" t="str">
        <f t="shared" si="9"/>
        <v/>
      </c>
      <c r="N148" s="172" t="str">
        <f t="shared" si="10"/>
        <v/>
      </c>
      <c r="O148" s="172" t="str">
        <f t="shared" si="11"/>
        <v/>
      </c>
    </row>
    <row r="149" spans="11:15">
      <c r="K149" s="171" t="str">
        <f t="shared" ref="K149:K207" si="12">IF(E149="","",E149)</f>
        <v/>
      </c>
      <c r="L149" s="171" t="str">
        <f>IF(E149="","",IF(COUNTIFS(Table2[[#All],[De (Lote)]],Input_APM!F149)&gt;0,INDEX(Table2[[#All],[Para (Ticker Daniel)]],MATCH(Input_APM!F149,Table2[[#All],[De (Lote)]],0)),Input_APM!F149))</f>
        <v/>
      </c>
      <c r="M149" s="171" t="str">
        <f t="shared" ref="M149:M207" si="13">IF(E149="","",G149)</f>
        <v/>
      </c>
      <c r="N149" s="172" t="str">
        <f t="shared" ref="N149:N207" si="14">IF(E149="","",H149)</f>
        <v/>
      </c>
      <c r="O149" s="172" t="str">
        <f t="shared" ref="O149:O207" si="15">IF(E149="","",I149)</f>
        <v/>
      </c>
    </row>
    <row r="150" spans="11:15">
      <c r="K150" s="171" t="str">
        <f t="shared" si="12"/>
        <v/>
      </c>
      <c r="L150" s="171" t="str">
        <f>IF(E150="","",IF(COUNTIFS(Table2[[#All],[De (Lote)]],Input_APM!F150)&gt;0,INDEX(Table2[[#All],[Para (Ticker Daniel)]],MATCH(Input_APM!F150,Table2[[#All],[De (Lote)]],0)),Input_APM!F150))</f>
        <v/>
      </c>
      <c r="M150" s="171" t="str">
        <f t="shared" si="13"/>
        <v/>
      </c>
      <c r="N150" s="172" t="str">
        <f t="shared" si="14"/>
        <v/>
      </c>
      <c r="O150" s="172" t="str">
        <f t="shared" si="15"/>
        <v/>
      </c>
    </row>
    <row r="151" spans="11:15">
      <c r="K151" s="171" t="str">
        <f t="shared" si="12"/>
        <v/>
      </c>
      <c r="L151" s="171" t="str">
        <f>IF(E151="","",IF(COUNTIFS(Table2[[#All],[De (Lote)]],Input_APM!F151)&gt;0,INDEX(Table2[[#All],[Para (Ticker Daniel)]],MATCH(Input_APM!F151,Table2[[#All],[De (Lote)]],0)),Input_APM!F151))</f>
        <v/>
      </c>
      <c r="M151" s="171" t="str">
        <f t="shared" si="13"/>
        <v/>
      </c>
      <c r="N151" s="172" t="str">
        <f t="shared" si="14"/>
        <v/>
      </c>
      <c r="O151" s="172" t="str">
        <f t="shared" si="15"/>
        <v/>
      </c>
    </row>
    <row r="152" spans="11:15">
      <c r="K152" s="171" t="str">
        <f t="shared" si="12"/>
        <v/>
      </c>
      <c r="L152" s="171" t="str">
        <f>IF(E152="","",IF(COUNTIFS(Table2[[#All],[De (Lote)]],Input_APM!F152)&gt;0,INDEX(Table2[[#All],[Para (Ticker Daniel)]],MATCH(Input_APM!F152,Table2[[#All],[De (Lote)]],0)),Input_APM!F152))</f>
        <v/>
      </c>
      <c r="M152" s="171" t="str">
        <f t="shared" si="13"/>
        <v/>
      </c>
      <c r="N152" s="172" t="str">
        <f t="shared" si="14"/>
        <v/>
      </c>
      <c r="O152" s="172" t="str">
        <f t="shared" si="15"/>
        <v/>
      </c>
    </row>
    <row r="153" spans="11:15">
      <c r="K153" s="171" t="str">
        <f t="shared" si="12"/>
        <v/>
      </c>
      <c r="L153" s="171" t="str">
        <f>IF(E153="","",IF(COUNTIFS(Table2[[#All],[De (Lote)]],Input_APM!F153)&gt;0,INDEX(Table2[[#All],[Para (Ticker Daniel)]],MATCH(Input_APM!F153,Table2[[#All],[De (Lote)]],0)),Input_APM!F153))</f>
        <v/>
      </c>
      <c r="M153" s="171" t="str">
        <f t="shared" si="13"/>
        <v/>
      </c>
      <c r="N153" s="172" t="str">
        <f t="shared" si="14"/>
        <v/>
      </c>
      <c r="O153" s="172" t="str">
        <f t="shared" si="15"/>
        <v/>
      </c>
    </row>
    <row r="154" spans="11:15">
      <c r="K154" s="171" t="str">
        <f t="shared" si="12"/>
        <v/>
      </c>
      <c r="L154" s="171" t="str">
        <f>IF(E154="","",IF(COUNTIFS(Table2[[#All],[De (Lote)]],Input_APM!F154)&gt;0,INDEX(Table2[[#All],[Para (Ticker Daniel)]],MATCH(Input_APM!F154,Table2[[#All],[De (Lote)]],0)),Input_APM!F154))</f>
        <v/>
      </c>
      <c r="M154" s="171" t="str">
        <f t="shared" si="13"/>
        <v/>
      </c>
      <c r="N154" s="172" t="str">
        <f t="shared" si="14"/>
        <v/>
      </c>
      <c r="O154" s="172" t="str">
        <f t="shared" si="15"/>
        <v/>
      </c>
    </row>
    <row r="155" spans="11:15">
      <c r="K155" s="171" t="str">
        <f t="shared" si="12"/>
        <v/>
      </c>
      <c r="L155" s="171" t="str">
        <f>IF(E155="","",IF(COUNTIFS(Table2[[#All],[De (Lote)]],Input_APM!F155)&gt;0,INDEX(Table2[[#All],[Para (Ticker Daniel)]],MATCH(Input_APM!F155,Table2[[#All],[De (Lote)]],0)),Input_APM!F155))</f>
        <v/>
      </c>
      <c r="M155" s="171" t="str">
        <f t="shared" si="13"/>
        <v/>
      </c>
      <c r="N155" s="172" t="str">
        <f t="shared" si="14"/>
        <v/>
      </c>
      <c r="O155" s="172" t="str">
        <f t="shared" si="15"/>
        <v/>
      </c>
    </row>
    <row r="156" spans="11:15">
      <c r="K156" s="171" t="str">
        <f t="shared" si="12"/>
        <v/>
      </c>
      <c r="L156" s="171" t="str">
        <f>IF(E156="","",IF(COUNTIFS(Table2[[#All],[De (Lote)]],Input_APM!F156)&gt;0,INDEX(Table2[[#All],[Para (Ticker Daniel)]],MATCH(Input_APM!F156,Table2[[#All],[De (Lote)]],0)),Input_APM!F156))</f>
        <v/>
      </c>
      <c r="M156" s="171" t="str">
        <f t="shared" si="13"/>
        <v/>
      </c>
      <c r="N156" s="172" t="str">
        <f t="shared" si="14"/>
        <v/>
      </c>
      <c r="O156" s="172" t="str">
        <f t="shared" si="15"/>
        <v/>
      </c>
    </row>
    <row r="157" spans="11:15">
      <c r="K157" s="171" t="str">
        <f t="shared" si="12"/>
        <v/>
      </c>
      <c r="L157" s="171" t="str">
        <f>IF(E157="","",IF(COUNTIFS(Table2[[#All],[De (Lote)]],Input_APM!F157)&gt;0,INDEX(Table2[[#All],[Para (Ticker Daniel)]],MATCH(Input_APM!F157,Table2[[#All],[De (Lote)]],0)),Input_APM!F157))</f>
        <v/>
      </c>
      <c r="M157" s="171" t="str">
        <f t="shared" si="13"/>
        <v/>
      </c>
      <c r="N157" s="172" t="str">
        <f t="shared" si="14"/>
        <v/>
      </c>
      <c r="O157" s="172" t="str">
        <f t="shared" si="15"/>
        <v/>
      </c>
    </row>
    <row r="158" spans="11:15">
      <c r="K158" s="171" t="str">
        <f t="shared" si="12"/>
        <v/>
      </c>
      <c r="L158" s="171" t="str">
        <f>IF(E158="","",IF(COUNTIFS(Table2[[#All],[De (Lote)]],Input_APM!F158)&gt;0,INDEX(Table2[[#All],[Para (Ticker Daniel)]],MATCH(Input_APM!F158,Table2[[#All],[De (Lote)]],0)),Input_APM!F158))</f>
        <v/>
      </c>
      <c r="M158" s="171" t="str">
        <f t="shared" si="13"/>
        <v/>
      </c>
      <c r="N158" s="172" t="str">
        <f t="shared" si="14"/>
        <v/>
      </c>
      <c r="O158" s="172" t="str">
        <f t="shared" si="15"/>
        <v/>
      </c>
    </row>
    <row r="159" spans="11:15">
      <c r="K159" s="171" t="str">
        <f t="shared" si="12"/>
        <v/>
      </c>
      <c r="L159" s="171" t="str">
        <f>IF(E159="","",IF(COUNTIFS(Table2[[#All],[De (Lote)]],Input_APM!F159)&gt;0,INDEX(Table2[[#All],[Para (Ticker Daniel)]],MATCH(Input_APM!F159,Table2[[#All],[De (Lote)]],0)),Input_APM!F159))</f>
        <v/>
      </c>
      <c r="M159" s="171" t="str">
        <f t="shared" si="13"/>
        <v/>
      </c>
      <c r="N159" s="172" t="str">
        <f t="shared" si="14"/>
        <v/>
      </c>
      <c r="O159" s="172" t="str">
        <f t="shared" si="15"/>
        <v/>
      </c>
    </row>
    <row r="160" spans="11:15">
      <c r="K160" s="171" t="str">
        <f t="shared" si="12"/>
        <v/>
      </c>
      <c r="L160" s="171" t="str">
        <f>IF(E160="","",IF(COUNTIFS(Table2[[#All],[De (Lote)]],Input_APM!F160)&gt;0,INDEX(Table2[[#All],[Para (Ticker Daniel)]],MATCH(Input_APM!F160,Table2[[#All],[De (Lote)]],0)),Input_APM!F160))</f>
        <v/>
      </c>
      <c r="M160" s="171" t="str">
        <f t="shared" si="13"/>
        <v/>
      </c>
      <c r="N160" s="172" t="str">
        <f t="shared" si="14"/>
        <v/>
      </c>
      <c r="O160" s="172" t="str">
        <f t="shared" si="15"/>
        <v/>
      </c>
    </row>
    <row r="161" spans="11:15">
      <c r="K161" s="171" t="str">
        <f t="shared" si="12"/>
        <v/>
      </c>
      <c r="L161" s="171" t="str">
        <f>IF(E161="","",IF(COUNTIFS(Table2[[#All],[De (Lote)]],Input_APM!F161)&gt;0,INDEX(Table2[[#All],[Para (Ticker Daniel)]],MATCH(Input_APM!F161,Table2[[#All],[De (Lote)]],0)),Input_APM!F161))</f>
        <v/>
      </c>
      <c r="M161" s="171" t="str">
        <f t="shared" si="13"/>
        <v/>
      </c>
      <c r="N161" s="172" t="str">
        <f t="shared" si="14"/>
        <v/>
      </c>
      <c r="O161" s="172" t="str">
        <f t="shared" si="15"/>
        <v/>
      </c>
    </row>
    <row r="162" spans="11:15">
      <c r="K162" s="171" t="str">
        <f t="shared" si="12"/>
        <v/>
      </c>
      <c r="L162" s="171" t="str">
        <f>IF(E162="","",IF(COUNTIFS(Table2[[#All],[De (Lote)]],Input_APM!F162)&gt;0,INDEX(Table2[[#All],[Para (Ticker Daniel)]],MATCH(Input_APM!F162,Table2[[#All],[De (Lote)]],0)),Input_APM!F162))</f>
        <v/>
      </c>
      <c r="M162" s="171" t="str">
        <f t="shared" si="13"/>
        <v/>
      </c>
      <c r="N162" s="172" t="str">
        <f t="shared" si="14"/>
        <v/>
      </c>
      <c r="O162" s="172" t="str">
        <f t="shared" si="15"/>
        <v/>
      </c>
    </row>
    <row r="163" spans="11:15">
      <c r="K163" s="171" t="str">
        <f t="shared" si="12"/>
        <v/>
      </c>
      <c r="L163" s="171" t="str">
        <f>IF(E163="","",IF(COUNTIFS(Table2[[#All],[De (Lote)]],Input_APM!F163)&gt;0,INDEX(Table2[[#All],[Para (Ticker Daniel)]],MATCH(Input_APM!F163,Table2[[#All],[De (Lote)]],0)),Input_APM!F163))</f>
        <v/>
      </c>
      <c r="M163" s="171" t="str">
        <f t="shared" si="13"/>
        <v/>
      </c>
      <c r="N163" s="172" t="str">
        <f t="shared" si="14"/>
        <v/>
      </c>
      <c r="O163" s="172" t="str">
        <f t="shared" si="15"/>
        <v/>
      </c>
    </row>
    <row r="164" spans="11:15">
      <c r="K164" s="171" t="str">
        <f t="shared" si="12"/>
        <v/>
      </c>
      <c r="L164" s="171" t="str">
        <f>IF(E164="","",IF(COUNTIFS(Table2[[#All],[De (Lote)]],Input_APM!F164)&gt;0,INDEX(Table2[[#All],[Para (Ticker Daniel)]],MATCH(Input_APM!F164,Table2[[#All],[De (Lote)]],0)),Input_APM!F164))</f>
        <v/>
      </c>
      <c r="M164" s="171" t="str">
        <f t="shared" si="13"/>
        <v/>
      </c>
      <c r="N164" s="172" t="str">
        <f t="shared" si="14"/>
        <v/>
      </c>
      <c r="O164" s="172" t="str">
        <f t="shared" si="15"/>
        <v/>
      </c>
    </row>
    <row r="165" spans="11:15">
      <c r="K165" s="171" t="str">
        <f t="shared" si="12"/>
        <v/>
      </c>
      <c r="L165" s="171" t="str">
        <f>IF(E165="","",IF(COUNTIFS(Table2[[#All],[De (Lote)]],Input_APM!F165)&gt;0,INDEX(Table2[[#All],[Para (Ticker Daniel)]],MATCH(Input_APM!F165,Table2[[#All],[De (Lote)]],0)),Input_APM!F165))</f>
        <v/>
      </c>
      <c r="M165" s="171" t="str">
        <f t="shared" si="13"/>
        <v/>
      </c>
      <c r="N165" s="172" t="str">
        <f t="shared" si="14"/>
        <v/>
      </c>
      <c r="O165" s="172" t="str">
        <f t="shared" si="15"/>
        <v/>
      </c>
    </row>
    <row r="166" spans="11:15">
      <c r="K166" s="171" t="str">
        <f t="shared" si="12"/>
        <v/>
      </c>
      <c r="L166" s="171" t="str">
        <f>IF(E166="","",IF(COUNTIFS(Table2[[#All],[De (Lote)]],Input_APM!F166)&gt;0,INDEX(Table2[[#All],[Para (Ticker Daniel)]],MATCH(Input_APM!F166,Table2[[#All],[De (Lote)]],0)),Input_APM!F166))</f>
        <v/>
      </c>
      <c r="M166" s="171" t="str">
        <f t="shared" si="13"/>
        <v/>
      </c>
      <c r="N166" s="172" t="str">
        <f t="shared" si="14"/>
        <v/>
      </c>
      <c r="O166" s="172" t="str">
        <f t="shared" si="15"/>
        <v/>
      </c>
    </row>
    <row r="167" spans="11:15">
      <c r="K167" s="171" t="str">
        <f t="shared" si="12"/>
        <v/>
      </c>
      <c r="L167" s="171" t="str">
        <f>IF(E167="","",IF(COUNTIFS(Table2[[#All],[De (Lote)]],Input_APM!F167)&gt;0,INDEX(Table2[[#All],[Para (Ticker Daniel)]],MATCH(Input_APM!F167,Table2[[#All],[De (Lote)]],0)),Input_APM!F167))</f>
        <v/>
      </c>
      <c r="M167" s="171" t="str">
        <f t="shared" si="13"/>
        <v/>
      </c>
      <c r="N167" s="172" t="str">
        <f t="shared" si="14"/>
        <v/>
      </c>
      <c r="O167" s="172" t="str">
        <f t="shared" si="15"/>
        <v/>
      </c>
    </row>
    <row r="168" spans="11:15">
      <c r="K168" s="171" t="str">
        <f t="shared" si="12"/>
        <v/>
      </c>
      <c r="L168" s="171" t="str">
        <f>IF(E168="","",IF(COUNTIFS(Table2[[#All],[De (Lote)]],Input_APM!F168)&gt;0,INDEX(Table2[[#All],[Para (Ticker Daniel)]],MATCH(Input_APM!F168,Table2[[#All],[De (Lote)]],0)),Input_APM!F168))</f>
        <v/>
      </c>
      <c r="M168" s="171" t="str">
        <f t="shared" si="13"/>
        <v/>
      </c>
      <c r="N168" s="172" t="str">
        <f t="shared" si="14"/>
        <v/>
      </c>
      <c r="O168" s="172" t="str">
        <f t="shared" si="15"/>
        <v/>
      </c>
    </row>
    <row r="169" spans="11:15">
      <c r="K169" s="171" t="str">
        <f t="shared" si="12"/>
        <v/>
      </c>
      <c r="L169" s="171" t="str">
        <f>IF(E169="","",IF(COUNTIFS(Table2[[#All],[De (Lote)]],Input_APM!F169)&gt;0,INDEX(Table2[[#All],[Para (Ticker Daniel)]],MATCH(Input_APM!F169,Table2[[#All],[De (Lote)]],0)),Input_APM!F169))</f>
        <v/>
      </c>
      <c r="M169" s="171" t="str">
        <f t="shared" si="13"/>
        <v/>
      </c>
      <c r="N169" s="172" t="str">
        <f t="shared" si="14"/>
        <v/>
      </c>
      <c r="O169" s="172" t="str">
        <f t="shared" si="15"/>
        <v/>
      </c>
    </row>
    <row r="170" spans="11:15">
      <c r="K170" s="171" t="str">
        <f t="shared" si="12"/>
        <v/>
      </c>
      <c r="L170" s="171" t="str">
        <f>IF(E170="","",IF(COUNTIFS(Table2[[#All],[De (Lote)]],Input_APM!F170)&gt;0,INDEX(Table2[[#All],[Para (Ticker Daniel)]],MATCH(Input_APM!F170,Table2[[#All],[De (Lote)]],0)),Input_APM!F170))</f>
        <v/>
      </c>
      <c r="M170" s="171" t="str">
        <f t="shared" si="13"/>
        <v/>
      </c>
      <c r="N170" s="172" t="str">
        <f t="shared" si="14"/>
        <v/>
      </c>
      <c r="O170" s="172" t="str">
        <f t="shared" si="15"/>
        <v/>
      </c>
    </row>
    <row r="171" spans="11:15">
      <c r="K171" s="171" t="str">
        <f t="shared" si="12"/>
        <v/>
      </c>
      <c r="L171" s="171" t="str">
        <f>IF(E171="","",IF(COUNTIFS(Table2[[#All],[De (Lote)]],Input_APM!F171)&gt;0,INDEX(Table2[[#All],[Para (Ticker Daniel)]],MATCH(Input_APM!F171,Table2[[#All],[De (Lote)]],0)),Input_APM!F171))</f>
        <v/>
      </c>
      <c r="M171" s="171" t="str">
        <f t="shared" si="13"/>
        <v/>
      </c>
      <c r="N171" s="172" t="str">
        <f t="shared" si="14"/>
        <v/>
      </c>
      <c r="O171" s="172" t="str">
        <f t="shared" si="15"/>
        <v/>
      </c>
    </row>
    <row r="172" spans="11:15">
      <c r="K172" s="171" t="str">
        <f t="shared" si="12"/>
        <v/>
      </c>
      <c r="L172" s="171" t="str">
        <f>IF(E172="","",IF(COUNTIFS(Table2[[#All],[De (Lote)]],Input_APM!F172)&gt;0,INDEX(Table2[[#All],[Para (Ticker Daniel)]],MATCH(Input_APM!F172,Table2[[#All],[De (Lote)]],0)),Input_APM!F172))</f>
        <v/>
      </c>
      <c r="M172" s="171" t="str">
        <f t="shared" si="13"/>
        <v/>
      </c>
      <c r="N172" s="172" t="str">
        <f t="shared" si="14"/>
        <v/>
      </c>
      <c r="O172" s="172" t="str">
        <f t="shared" si="15"/>
        <v/>
      </c>
    </row>
    <row r="173" spans="11:15">
      <c r="K173" s="171" t="str">
        <f t="shared" si="12"/>
        <v/>
      </c>
      <c r="L173" s="171" t="str">
        <f>IF(E173="","",IF(COUNTIFS(Table2[[#All],[De (Lote)]],Input_APM!F173)&gt;0,INDEX(Table2[[#All],[Para (Ticker Daniel)]],MATCH(Input_APM!F173,Table2[[#All],[De (Lote)]],0)),Input_APM!F173))</f>
        <v/>
      </c>
      <c r="M173" s="171" t="str">
        <f t="shared" si="13"/>
        <v/>
      </c>
      <c r="N173" s="172" t="str">
        <f t="shared" si="14"/>
        <v/>
      </c>
      <c r="O173" s="172" t="str">
        <f t="shared" si="15"/>
        <v/>
      </c>
    </row>
    <row r="174" spans="11:15">
      <c r="K174" s="171" t="str">
        <f t="shared" si="12"/>
        <v/>
      </c>
      <c r="L174" s="171" t="str">
        <f>IF(E174="","",IF(COUNTIFS(Table2[[#All],[De (Lote)]],Input_APM!F174)&gt;0,INDEX(Table2[[#All],[Para (Ticker Daniel)]],MATCH(Input_APM!F174,Table2[[#All],[De (Lote)]],0)),Input_APM!F174))</f>
        <v/>
      </c>
      <c r="M174" s="171" t="str">
        <f t="shared" si="13"/>
        <v/>
      </c>
      <c r="N174" s="172" t="str">
        <f t="shared" si="14"/>
        <v/>
      </c>
      <c r="O174" s="172" t="str">
        <f t="shared" si="15"/>
        <v/>
      </c>
    </row>
    <row r="175" spans="11:15">
      <c r="K175" s="171" t="str">
        <f t="shared" si="12"/>
        <v/>
      </c>
      <c r="L175" s="171" t="str">
        <f>IF(E175="","",IF(COUNTIFS(Table2[[#All],[De (Lote)]],Input_APM!F175)&gt;0,INDEX(Table2[[#All],[Para (Ticker Daniel)]],MATCH(Input_APM!F175,Table2[[#All],[De (Lote)]],0)),Input_APM!F175))</f>
        <v/>
      </c>
      <c r="M175" s="171" t="str">
        <f t="shared" si="13"/>
        <v/>
      </c>
      <c r="N175" s="172" t="str">
        <f t="shared" si="14"/>
        <v/>
      </c>
      <c r="O175" s="172" t="str">
        <f t="shared" si="15"/>
        <v/>
      </c>
    </row>
    <row r="176" spans="11:15">
      <c r="K176" s="171" t="str">
        <f t="shared" si="12"/>
        <v/>
      </c>
      <c r="L176" s="171" t="str">
        <f>IF(E176="","",IF(COUNTIFS(Table2[[#All],[De (Lote)]],Input_APM!F176)&gt;0,INDEX(Table2[[#All],[Para (Ticker Daniel)]],MATCH(Input_APM!F176,Table2[[#All],[De (Lote)]],0)),Input_APM!F176))</f>
        <v/>
      </c>
      <c r="M176" s="171" t="str">
        <f t="shared" si="13"/>
        <v/>
      </c>
      <c r="N176" s="172" t="str">
        <f t="shared" si="14"/>
        <v/>
      </c>
      <c r="O176" s="172" t="str">
        <f t="shared" si="15"/>
        <v/>
      </c>
    </row>
    <row r="177" spans="11:15">
      <c r="K177" s="171" t="str">
        <f t="shared" si="12"/>
        <v/>
      </c>
      <c r="L177" s="171" t="str">
        <f>IF(E177="","",IF(COUNTIFS(Table2[[#All],[De (Lote)]],Input_APM!F177)&gt;0,INDEX(Table2[[#All],[Para (Ticker Daniel)]],MATCH(Input_APM!F177,Table2[[#All],[De (Lote)]],0)),Input_APM!F177))</f>
        <v/>
      </c>
      <c r="M177" s="171" t="str">
        <f t="shared" si="13"/>
        <v/>
      </c>
      <c r="N177" s="172" t="str">
        <f t="shared" si="14"/>
        <v/>
      </c>
      <c r="O177" s="172" t="str">
        <f t="shared" si="15"/>
        <v/>
      </c>
    </row>
    <row r="178" spans="11:15">
      <c r="K178" s="171" t="str">
        <f t="shared" si="12"/>
        <v/>
      </c>
      <c r="L178" s="171" t="str">
        <f>IF(E178="","",IF(COUNTIFS(Table2[[#All],[De (Lote)]],Input_APM!F178)&gt;0,INDEX(Table2[[#All],[Para (Ticker Daniel)]],MATCH(Input_APM!F178,Table2[[#All],[De (Lote)]],0)),Input_APM!F178))</f>
        <v/>
      </c>
      <c r="M178" s="171" t="str">
        <f t="shared" si="13"/>
        <v/>
      </c>
      <c r="N178" s="172" t="str">
        <f t="shared" si="14"/>
        <v/>
      </c>
      <c r="O178" s="172" t="str">
        <f t="shared" si="15"/>
        <v/>
      </c>
    </row>
    <row r="179" spans="11:15">
      <c r="K179" s="171" t="str">
        <f t="shared" si="12"/>
        <v/>
      </c>
      <c r="L179" s="171" t="str">
        <f>IF(E179="","",IF(COUNTIFS(Table2[[#All],[De (Lote)]],Input_APM!F179)&gt;0,INDEX(Table2[[#All],[Para (Ticker Daniel)]],MATCH(Input_APM!F179,Table2[[#All],[De (Lote)]],0)),Input_APM!F179))</f>
        <v/>
      </c>
      <c r="M179" s="171" t="str">
        <f t="shared" si="13"/>
        <v/>
      </c>
      <c r="N179" s="172" t="str">
        <f t="shared" si="14"/>
        <v/>
      </c>
      <c r="O179" s="172" t="str">
        <f t="shared" si="15"/>
        <v/>
      </c>
    </row>
    <row r="180" spans="11:15">
      <c r="K180" s="171" t="str">
        <f t="shared" si="12"/>
        <v/>
      </c>
      <c r="L180" s="171" t="str">
        <f>IF(E180="","",IF(COUNTIFS(Table2[[#All],[De (Lote)]],Input_APM!F180)&gt;0,INDEX(Table2[[#All],[Para (Ticker Daniel)]],MATCH(Input_APM!F180,Table2[[#All],[De (Lote)]],0)),Input_APM!F180))</f>
        <v/>
      </c>
      <c r="M180" s="171" t="str">
        <f t="shared" si="13"/>
        <v/>
      </c>
      <c r="N180" s="172" t="str">
        <f t="shared" si="14"/>
        <v/>
      </c>
      <c r="O180" s="172" t="str">
        <f t="shared" si="15"/>
        <v/>
      </c>
    </row>
    <row r="181" spans="11:15">
      <c r="K181" s="171" t="str">
        <f t="shared" si="12"/>
        <v/>
      </c>
      <c r="L181" s="171" t="str">
        <f>IF(E181="","",IF(COUNTIFS(Table2[[#All],[De (Lote)]],Input_APM!F181)&gt;0,INDEX(Table2[[#All],[Para (Ticker Daniel)]],MATCH(Input_APM!F181,Table2[[#All],[De (Lote)]],0)),Input_APM!F181))</f>
        <v/>
      </c>
      <c r="M181" s="171" t="str">
        <f t="shared" si="13"/>
        <v/>
      </c>
      <c r="N181" s="172" t="str">
        <f t="shared" si="14"/>
        <v/>
      </c>
      <c r="O181" s="172" t="str">
        <f t="shared" si="15"/>
        <v/>
      </c>
    </row>
    <row r="182" spans="11:15">
      <c r="K182" s="171" t="str">
        <f t="shared" si="12"/>
        <v/>
      </c>
      <c r="L182" s="171" t="str">
        <f>IF(E182="","",IF(COUNTIFS(Table2[[#All],[De (Lote)]],Input_APM!F182)&gt;0,INDEX(Table2[[#All],[Para (Ticker Daniel)]],MATCH(Input_APM!F182,Table2[[#All],[De (Lote)]],0)),Input_APM!F182))</f>
        <v/>
      </c>
      <c r="M182" s="171" t="str">
        <f t="shared" si="13"/>
        <v/>
      </c>
      <c r="N182" s="172" t="str">
        <f t="shared" si="14"/>
        <v/>
      </c>
      <c r="O182" s="172" t="str">
        <f t="shared" si="15"/>
        <v/>
      </c>
    </row>
    <row r="183" spans="11:15">
      <c r="K183" s="171" t="str">
        <f t="shared" si="12"/>
        <v/>
      </c>
      <c r="L183" s="171" t="str">
        <f>IF(E183="","",IF(COUNTIFS(Table2[[#All],[De (Lote)]],Input_APM!F183)&gt;0,INDEX(Table2[[#All],[Para (Ticker Daniel)]],MATCH(Input_APM!F183,Table2[[#All],[De (Lote)]],0)),Input_APM!F183))</f>
        <v/>
      </c>
      <c r="M183" s="171" t="str">
        <f t="shared" si="13"/>
        <v/>
      </c>
      <c r="N183" s="172" t="str">
        <f t="shared" si="14"/>
        <v/>
      </c>
      <c r="O183" s="172" t="str">
        <f t="shared" si="15"/>
        <v/>
      </c>
    </row>
    <row r="184" spans="11:15">
      <c r="K184" s="171" t="str">
        <f t="shared" si="12"/>
        <v/>
      </c>
      <c r="L184" s="171" t="str">
        <f>IF(E184="","",IF(COUNTIFS(Table2[[#All],[De (Lote)]],Input_APM!F184)&gt;0,INDEX(Table2[[#All],[Para (Ticker Daniel)]],MATCH(Input_APM!F184,Table2[[#All],[De (Lote)]],0)),Input_APM!F184))</f>
        <v/>
      </c>
      <c r="M184" s="171" t="str">
        <f t="shared" si="13"/>
        <v/>
      </c>
      <c r="N184" s="172" t="str">
        <f t="shared" si="14"/>
        <v/>
      </c>
      <c r="O184" s="172" t="str">
        <f t="shared" si="15"/>
        <v/>
      </c>
    </row>
    <row r="185" spans="11:15">
      <c r="K185" s="171" t="str">
        <f t="shared" si="12"/>
        <v/>
      </c>
      <c r="L185" s="171" t="str">
        <f>IF(E185="","",IF(COUNTIFS(Table2[[#All],[De (Lote)]],Input_APM!F185)&gt;0,INDEX(Table2[[#All],[Para (Ticker Daniel)]],MATCH(Input_APM!F185,Table2[[#All],[De (Lote)]],0)),Input_APM!F185))</f>
        <v/>
      </c>
      <c r="M185" s="171" t="str">
        <f t="shared" si="13"/>
        <v/>
      </c>
      <c r="N185" s="172" t="str">
        <f t="shared" si="14"/>
        <v/>
      </c>
      <c r="O185" s="172" t="str">
        <f t="shared" si="15"/>
        <v/>
      </c>
    </row>
    <row r="186" spans="11:15">
      <c r="K186" s="171" t="str">
        <f t="shared" si="12"/>
        <v/>
      </c>
      <c r="L186" s="171" t="str">
        <f>IF(E186="","",IF(COUNTIFS(Table2[[#All],[De (Lote)]],Input_APM!F186)&gt;0,INDEX(Table2[[#All],[Para (Ticker Daniel)]],MATCH(Input_APM!F186,Table2[[#All],[De (Lote)]],0)),Input_APM!F186))</f>
        <v/>
      </c>
      <c r="M186" s="171" t="str">
        <f t="shared" si="13"/>
        <v/>
      </c>
      <c r="N186" s="172" t="str">
        <f t="shared" si="14"/>
        <v/>
      </c>
      <c r="O186" s="172" t="str">
        <f t="shared" si="15"/>
        <v/>
      </c>
    </row>
    <row r="187" spans="11:15">
      <c r="K187" s="171" t="str">
        <f t="shared" si="12"/>
        <v/>
      </c>
      <c r="L187" s="171" t="str">
        <f>IF(E187="","",IF(COUNTIFS(Table2[[#All],[De (Lote)]],Input_APM!F187)&gt;0,INDEX(Table2[[#All],[Para (Ticker Daniel)]],MATCH(Input_APM!F187,Table2[[#All],[De (Lote)]],0)),Input_APM!F187))</f>
        <v/>
      </c>
      <c r="M187" s="171" t="str">
        <f t="shared" si="13"/>
        <v/>
      </c>
      <c r="N187" s="172" t="str">
        <f t="shared" si="14"/>
        <v/>
      </c>
      <c r="O187" s="172" t="str">
        <f t="shared" si="15"/>
        <v/>
      </c>
    </row>
    <row r="188" spans="11:15">
      <c r="K188" s="171" t="str">
        <f t="shared" si="12"/>
        <v/>
      </c>
      <c r="L188" s="171" t="str">
        <f>IF(E188="","",IF(COUNTIFS(Table2[[#All],[De (Lote)]],Input_APM!F188)&gt;0,INDEX(Table2[[#All],[Para (Ticker Daniel)]],MATCH(Input_APM!F188,Table2[[#All],[De (Lote)]],0)),Input_APM!F188))</f>
        <v/>
      </c>
      <c r="M188" s="171" t="str">
        <f t="shared" si="13"/>
        <v/>
      </c>
      <c r="N188" s="172" t="str">
        <f t="shared" si="14"/>
        <v/>
      </c>
      <c r="O188" s="172" t="str">
        <f t="shared" si="15"/>
        <v/>
      </c>
    </row>
    <row r="189" spans="11:15">
      <c r="K189" s="171" t="str">
        <f t="shared" si="12"/>
        <v/>
      </c>
      <c r="L189" s="171" t="str">
        <f>IF(E189="","",IF(COUNTIFS(Table2[[#All],[De (Lote)]],Input_APM!F189)&gt;0,INDEX(Table2[[#All],[Para (Ticker Daniel)]],MATCH(Input_APM!F189,Table2[[#All],[De (Lote)]],0)),Input_APM!F189))</f>
        <v/>
      </c>
      <c r="M189" s="171" t="str">
        <f t="shared" si="13"/>
        <v/>
      </c>
      <c r="N189" s="172" t="str">
        <f t="shared" si="14"/>
        <v/>
      </c>
      <c r="O189" s="172" t="str">
        <f t="shared" si="15"/>
        <v/>
      </c>
    </row>
    <row r="190" spans="11:15">
      <c r="K190" s="171" t="str">
        <f t="shared" si="12"/>
        <v/>
      </c>
      <c r="L190" s="171" t="str">
        <f>IF(E190="","",IF(COUNTIFS(Table2[[#All],[De (Lote)]],Input_APM!F190)&gt;0,INDEX(Table2[[#All],[Para (Ticker Daniel)]],MATCH(Input_APM!F190,Table2[[#All],[De (Lote)]],0)),Input_APM!F190))</f>
        <v/>
      </c>
      <c r="M190" s="171" t="str">
        <f t="shared" si="13"/>
        <v/>
      </c>
      <c r="N190" s="172" t="str">
        <f t="shared" si="14"/>
        <v/>
      </c>
      <c r="O190" s="172" t="str">
        <f t="shared" si="15"/>
        <v/>
      </c>
    </row>
    <row r="191" spans="11:15">
      <c r="K191" s="171" t="str">
        <f t="shared" si="12"/>
        <v/>
      </c>
      <c r="L191" s="171" t="str">
        <f>IF(E191="","",IF(COUNTIFS(Table2[[#All],[De (Lote)]],Input_APM!F191)&gt;0,INDEX(Table2[[#All],[Para (Ticker Daniel)]],MATCH(Input_APM!F191,Table2[[#All],[De (Lote)]],0)),Input_APM!F191))</f>
        <v/>
      </c>
      <c r="M191" s="171" t="str">
        <f t="shared" si="13"/>
        <v/>
      </c>
      <c r="N191" s="172" t="str">
        <f t="shared" si="14"/>
        <v/>
      </c>
      <c r="O191" s="172" t="str">
        <f t="shared" si="15"/>
        <v/>
      </c>
    </row>
    <row r="192" spans="11:15">
      <c r="K192" s="171" t="str">
        <f t="shared" si="12"/>
        <v/>
      </c>
      <c r="L192" s="171" t="str">
        <f>IF(E192="","",IF(COUNTIFS(Table2[[#All],[De (Lote)]],Input_APM!F192)&gt;0,INDEX(Table2[[#All],[Para (Ticker Daniel)]],MATCH(Input_APM!F192,Table2[[#All],[De (Lote)]],0)),Input_APM!F192))</f>
        <v/>
      </c>
      <c r="M192" s="171" t="str">
        <f t="shared" si="13"/>
        <v/>
      </c>
      <c r="N192" s="172" t="str">
        <f t="shared" si="14"/>
        <v/>
      </c>
      <c r="O192" s="172" t="str">
        <f t="shared" si="15"/>
        <v/>
      </c>
    </row>
    <row r="193" spans="5:15">
      <c r="K193" s="171" t="str">
        <f t="shared" si="12"/>
        <v/>
      </c>
      <c r="L193" s="171" t="str">
        <f>IF(E193="","",IF(COUNTIFS(Table2[[#All],[De (Lote)]],Input_APM!F193)&gt;0,INDEX(Table2[[#All],[Para (Ticker Daniel)]],MATCH(Input_APM!F193,Table2[[#All],[De (Lote)]],0)),Input_APM!F193))</f>
        <v/>
      </c>
      <c r="M193" s="171" t="str">
        <f t="shared" si="13"/>
        <v/>
      </c>
      <c r="N193" s="172" t="str">
        <f t="shared" si="14"/>
        <v/>
      </c>
      <c r="O193" s="172" t="str">
        <f t="shared" si="15"/>
        <v/>
      </c>
    </row>
    <row r="194" spans="5:15">
      <c r="K194" s="171" t="str">
        <f t="shared" si="12"/>
        <v/>
      </c>
      <c r="L194" s="171" t="str">
        <f>IF(E194="","",IF(COUNTIFS(Table2[[#All],[De (Lote)]],Input_APM!F194)&gt;0,INDEX(Table2[[#All],[Para (Ticker Daniel)]],MATCH(Input_APM!F194,Table2[[#All],[De (Lote)]],0)),Input_APM!F194))</f>
        <v/>
      </c>
      <c r="M194" s="171" t="str">
        <f t="shared" si="13"/>
        <v/>
      </c>
      <c r="N194" s="172" t="str">
        <f t="shared" si="14"/>
        <v/>
      </c>
      <c r="O194" s="172" t="str">
        <f t="shared" si="15"/>
        <v/>
      </c>
    </row>
    <row r="195" spans="5:15">
      <c r="E195" s="298"/>
      <c r="K195" s="171" t="str">
        <f t="shared" si="12"/>
        <v/>
      </c>
      <c r="L195" s="171" t="str">
        <f>IF(E195="","",IF(COUNTIFS(Table2[[#All],[De (Lote)]],Input_APM!F195)&gt;0,INDEX(Table2[[#All],[Para (Ticker Daniel)]],MATCH(Input_APM!F195,Table2[[#All],[De (Lote)]],0)),Input_APM!F195))</f>
        <v/>
      </c>
      <c r="M195" s="171" t="str">
        <f t="shared" si="13"/>
        <v/>
      </c>
      <c r="N195" s="172" t="str">
        <f t="shared" si="14"/>
        <v/>
      </c>
      <c r="O195" s="172" t="str">
        <f t="shared" si="15"/>
        <v/>
      </c>
    </row>
    <row r="196" spans="5:15">
      <c r="E196" s="298"/>
      <c r="K196" s="171" t="str">
        <f t="shared" si="12"/>
        <v/>
      </c>
      <c r="L196" s="171" t="str">
        <f>IF(E196="","",IF(COUNTIFS(Table2[[#All],[De (Lote)]],Input_APM!F196)&gt;0,INDEX(Table2[[#All],[Para (Ticker Daniel)]],MATCH(Input_APM!F196,Table2[[#All],[De (Lote)]],0)),Input_APM!F196))</f>
        <v/>
      </c>
      <c r="M196" s="171" t="str">
        <f t="shared" si="13"/>
        <v/>
      </c>
      <c r="N196" s="172" t="str">
        <f t="shared" si="14"/>
        <v/>
      </c>
      <c r="O196" s="172" t="str">
        <f t="shared" si="15"/>
        <v/>
      </c>
    </row>
    <row r="197" spans="5:15">
      <c r="E197" s="298"/>
      <c r="K197" s="171" t="str">
        <f t="shared" si="12"/>
        <v/>
      </c>
      <c r="L197" s="171" t="str">
        <f>IF(E197="","",IF(COUNTIFS(Table2[[#All],[De (Lote)]],Input_APM!F197)&gt;0,INDEX(Table2[[#All],[Para (Ticker Daniel)]],MATCH(Input_APM!F197,Table2[[#All],[De (Lote)]],0)),Input_APM!F197))</f>
        <v/>
      </c>
      <c r="M197" s="171" t="str">
        <f t="shared" si="13"/>
        <v/>
      </c>
      <c r="N197" s="172" t="str">
        <f t="shared" si="14"/>
        <v/>
      </c>
      <c r="O197" s="172" t="str">
        <f t="shared" si="15"/>
        <v/>
      </c>
    </row>
    <row r="198" spans="5:15">
      <c r="E198" s="298"/>
      <c r="K198" s="171" t="str">
        <f t="shared" si="12"/>
        <v/>
      </c>
      <c r="L198" s="171" t="str">
        <f>IF(E198="","",IF(COUNTIFS(Table2[[#All],[De (Lote)]],Input_APM!F198)&gt;0,INDEX(Table2[[#All],[Para (Ticker Daniel)]],MATCH(Input_APM!F198,Table2[[#All],[De (Lote)]],0)),Input_APM!F198))</f>
        <v/>
      </c>
      <c r="M198" s="171" t="str">
        <f t="shared" si="13"/>
        <v/>
      </c>
      <c r="N198" s="172" t="str">
        <f t="shared" si="14"/>
        <v/>
      </c>
      <c r="O198" s="172" t="str">
        <f t="shared" si="15"/>
        <v/>
      </c>
    </row>
    <row r="199" spans="5:15">
      <c r="E199" s="298"/>
      <c r="K199" s="171" t="str">
        <f t="shared" si="12"/>
        <v/>
      </c>
      <c r="L199" s="171" t="str">
        <f>IF(E199="","",IF(COUNTIFS(Table2[[#All],[De (Lote)]],Input_APM!F199)&gt;0,INDEX(Table2[[#All],[Para (Ticker Daniel)]],MATCH(Input_APM!F199,Table2[[#All],[De (Lote)]],0)),Input_APM!F199))</f>
        <v/>
      </c>
      <c r="M199" s="171" t="str">
        <f t="shared" si="13"/>
        <v/>
      </c>
      <c r="N199" s="172" t="str">
        <f t="shared" si="14"/>
        <v/>
      </c>
      <c r="O199" s="172" t="str">
        <f t="shared" si="15"/>
        <v/>
      </c>
    </row>
    <row r="200" spans="5:15">
      <c r="E200" s="298"/>
      <c r="K200" s="171" t="str">
        <f t="shared" si="12"/>
        <v/>
      </c>
      <c r="L200" s="171" t="str">
        <f>IF(E200="","",IF(COUNTIFS(Table2[[#All],[De (Lote)]],Input_APM!F200)&gt;0,INDEX(Table2[[#All],[Para (Ticker Daniel)]],MATCH(Input_APM!F200,Table2[[#All],[De (Lote)]],0)),Input_APM!F200))</f>
        <v/>
      </c>
      <c r="M200" s="171" t="str">
        <f t="shared" si="13"/>
        <v/>
      </c>
      <c r="N200" s="172" t="str">
        <f t="shared" si="14"/>
        <v/>
      </c>
      <c r="O200" s="172" t="str">
        <f t="shared" si="15"/>
        <v/>
      </c>
    </row>
    <row r="201" spans="5:15">
      <c r="E201" s="298"/>
      <c r="K201" s="171" t="str">
        <f t="shared" si="12"/>
        <v/>
      </c>
      <c r="L201" s="171" t="str">
        <f>IF(E201="","",IF(COUNTIFS(Table2[[#All],[De (Lote)]],Input_APM!F201)&gt;0,INDEX(Table2[[#All],[Para (Ticker Daniel)]],MATCH(Input_APM!F201,Table2[[#All],[De (Lote)]],0)),Input_APM!F201))</f>
        <v/>
      </c>
      <c r="M201" s="171" t="str">
        <f t="shared" si="13"/>
        <v/>
      </c>
      <c r="N201" s="172" t="str">
        <f t="shared" si="14"/>
        <v/>
      </c>
      <c r="O201" s="172" t="str">
        <f t="shared" si="15"/>
        <v/>
      </c>
    </row>
    <row r="202" spans="5:15">
      <c r="E202" s="298"/>
      <c r="K202" s="171" t="str">
        <f t="shared" si="12"/>
        <v/>
      </c>
      <c r="L202" s="171" t="str">
        <f>IF(E202="","",IF(COUNTIFS(Table2[[#All],[De (Lote)]],Input_APM!F202)&gt;0,INDEX(Table2[[#All],[Para (Ticker Daniel)]],MATCH(Input_APM!F202,Table2[[#All],[De (Lote)]],0)),Input_APM!F202))</f>
        <v/>
      </c>
      <c r="M202" s="171" t="str">
        <f t="shared" si="13"/>
        <v/>
      </c>
      <c r="N202" s="172" t="str">
        <f t="shared" si="14"/>
        <v/>
      </c>
      <c r="O202" s="172" t="str">
        <f t="shared" si="15"/>
        <v/>
      </c>
    </row>
    <row r="203" spans="5:15">
      <c r="E203" s="298"/>
      <c r="K203" s="171" t="str">
        <f t="shared" si="12"/>
        <v/>
      </c>
      <c r="L203" s="171" t="str">
        <f>IF(E203="","",IF(COUNTIFS(Table2[[#All],[De (Lote)]],Input_APM!F203)&gt;0,INDEX(Table2[[#All],[Para (Ticker Daniel)]],MATCH(Input_APM!F203,Table2[[#All],[De (Lote)]],0)),Input_APM!F203))</f>
        <v/>
      </c>
      <c r="M203" s="171" t="str">
        <f t="shared" si="13"/>
        <v/>
      </c>
      <c r="N203" s="172" t="str">
        <f t="shared" si="14"/>
        <v/>
      </c>
      <c r="O203" s="172" t="str">
        <f t="shared" si="15"/>
        <v/>
      </c>
    </row>
    <row r="204" spans="5:15">
      <c r="E204" s="298"/>
      <c r="K204" s="171" t="str">
        <f t="shared" si="12"/>
        <v/>
      </c>
      <c r="L204" s="171" t="str">
        <f>IF(E204="","",IF(COUNTIFS(Table2[[#All],[De (Lote)]],Input_APM!F204)&gt;0,INDEX(Table2[[#All],[Para (Ticker Daniel)]],MATCH(Input_APM!F204,Table2[[#All],[De (Lote)]],0)),Input_APM!F204))</f>
        <v/>
      </c>
      <c r="M204" s="171" t="str">
        <f t="shared" si="13"/>
        <v/>
      </c>
      <c r="N204" s="172" t="str">
        <f t="shared" si="14"/>
        <v/>
      </c>
      <c r="O204" s="172" t="str">
        <f t="shared" si="15"/>
        <v/>
      </c>
    </row>
    <row r="205" spans="5:15">
      <c r="E205" s="298"/>
      <c r="K205" s="171" t="str">
        <f t="shared" si="12"/>
        <v/>
      </c>
      <c r="L205" s="171" t="str">
        <f>IF(E205="","",IF(COUNTIFS(Table2[[#All],[De (Lote)]],Input_APM!F205)&gt;0,INDEX(Table2[[#All],[Para (Ticker Daniel)]],MATCH(Input_APM!F205,Table2[[#All],[De (Lote)]],0)),Input_APM!F205))</f>
        <v/>
      </c>
      <c r="M205" s="171" t="str">
        <f t="shared" si="13"/>
        <v/>
      </c>
      <c r="N205" s="172" t="str">
        <f t="shared" si="14"/>
        <v/>
      </c>
      <c r="O205" s="172" t="str">
        <f t="shared" si="15"/>
        <v/>
      </c>
    </row>
    <row r="206" spans="5:15">
      <c r="E206" s="298"/>
      <c r="K206" s="171" t="str">
        <f t="shared" si="12"/>
        <v/>
      </c>
      <c r="L206" s="171" t="str">
        <f>IF(E206="","",IF(COUNTIFS(Table2[[#All],[De (Lote)]],Input_APM!F206)&gt;0,INDEX(Table2[[#All],[Para (Ticker Daniel)]],MATCH(Input_APM!F206,Table2[[#All],[De (Lote)]],0)),Input_APM!F206))</f>
        <v/>
      </c>
      <c r="M206" s="171" t="str">
        <f t="shared" si="13"/>
        <v/>
      </c>
      <c r="N206" s="172" t="str">
        <f t="shared" si="14"/>
        <v/>
      </c>
      <c r="O206" s="172" t="str">
        <f t="shared" si="15"/>
        <v/>
      </c>
    </row>
    <row r="207" spans="5:15">
      <c r="E207" s="298"/>
      <c r="K207" s="171" t="str">
        <f t="shared" si="12"/>
        <v/>
      </c>
      <c r="L207" s="171" t="str">
        <f>IF(E207="","",IF(COUNTIFS(Table2[[#All],[De (Lote)]],Input_APM!F207)&gt;0,INDEX(Table2[[#All],[Para (Ticker Daniel)]],MATCH(Input_APM!F207,Table2[[#All],[De (Lote)]],0)),Input_APM!F207))</f>
        <v/>
      </c>
      <c r="M207" s="171" t="str">
        <f t="shared" si="13"/>
        <v/>
      </c>
      <c r="N207" s="172" t="str">
        <f t="shared" si="14"/>
        <v/>
      </c>
      <c r="O207" s="172" t="str">
        <f t="shared" si="15"/>
        <v/>
      </c>
    </row>
    <row r="208" spans="5:15">
      <c r="E208" s="298"/>
      <c r="K208" s="171" t="str">
        <f t="shared" ref="K208:K234" si="16">IF(E208="","",E208)</f>
        <v/>
      </c>
      <c r="L208" s="171" t="str">
        <f>IF(E208="","",IF(COUNTIFS(Table2[[#All],[De (Lote)]],Input_APM!F208)&gt;0,INDEX(Table2[[#All],[Para (Ticker Daniel)]],MATCH(Input_APM!F208,Table2[[#All],[De (Lote)]],0)),Input_APM!F208))</f>
        <v/>
      </c>
      <c r="M208" s="171" t="str">
        <f t="shared" ref="M208:M234" si="17">IF(E208="","",G208)</f>
        <v/>
      </c>
      <c r="N208" s="172" t="str">
        <f t="shared" ref="N208:N234" si="18">IF(E208="","",H208)</f>
        <v/>
      </c>
      <c r="O208" s="172" t="str">
        <f t="shared" ref="O208:O234" si="19">IF(E208="","",I208)</f>
        <v/>
      </c>
    </row>
    <row r="209" spans="5:15">
      <c r="E209" s="298"/>
      <c r="K209" s="171" t="str">
        <f t="shared" si="16"/>
        <v/>
      </c>
      <c r="L209" s="171" t="str">
        <f>IF(E209="","",IF(COUNTIFS(Table2[[#All],[De (Lote)]],Input_APM!F209)&gt;0,INDEX(Table2[[#All],[Para (Ticker Daniel)]],MATCH(Input_APM!F209,Table2[[#All],[De (Lote)]],0)),Input_APM!F209))</f>
        <v/>
      </c>
      <c r="M209" s="171" t="str">
        <f t="shared" si="17"/>
        <v/>
      </c>
      <c r="N209" s="172" t="str">
        <f t="shared" si="18"/>
        <v/>
      </c>
      <c r="O209" s="172" t="str">
        <f t="shared" si="19"/>
        <v/>
      </c>
    </row>
    <row r="210" spans="5:15">
      <c r="E210" s="298"/>
      <c r="K210" s="171" t="str">
        <f t="shared" si="16"/>
        <v/>
      </c>
      <c r="L210" s="171" t="str">
        <f>IF(E210="","",IF(COUNTIFS(Table2[[#All],[De (Lote)]],Input_APM!F210)&gt;0,INDEX(Table2[[#All],[Para (Ticker Daniel)]],MATCH(Input_APM!F210,Table2[[#All],[De (Lote)]],0)),Input_APM!F210))</f>
        <v/>
      </c>
      <c r="M210" s="171" t="str">
        <f t="shared" si="17"/>
        <v/>
      </c>
      <c r="N210" s="172" t="str">
        <f t="shared" si="18"/>
        <v/>
      </c>
      <c r="O210" s="172" t="str">
        <f t="shared" si="19"/>
        <v/>
      </c>
    </row>
    <row r="211" spans="5:15">
      <c r="E211" s="298"/>
      <c r="K211" s="171" t="str">
        <f t="shared" si="16"/>
        <v/>
      </c>
      <c r="L211" s="171" t="str">
        <f>IF(E211="","",IF(COUNTIFS(Table2[[#All],[De (Lote)]],Input_APM!F211)&gt;0,INDEX(Table2[[#All],[Para (Ticker Daniel)]],MATCH(Input_APM!F211,Table2[[#All],[De (Lote)]],0)),Input_APM!F211))</f>
        <v/>
      </c>
      <c r="M211" s="171" t="str">
        <f t="shared" si="17"/>
        <v/>
      </c>
      <c r="N211" s="172" t="str">
        <f t="shared" si="18"/>
        <v/>
      </c>
      <c r="O211" s="172" t="str">
        <f t="shared" si="19"/>
        <v/>
      </c>
    </row>
    <row r="212" spans="5:15">
      <c r="E212" s="298"/>
      <c r="K212" s="171" t="str">
        <f t="shared" si="16"/>
        <v/>
      </c>
      <c r="L212" s="171" t="str">
        <f>IF(E212="","",IF(COUNTIFS(Table2[[#All],[De (Lote)]],Input_APM!F212)&gt;0,INDEX(Table2[[#All],[Para (Ticker Daniel)]],MATCH(Input_APM!F212,Table2[[#All],[De (Lote)]],0)),Input_APM!F212))</f>
        <v/>
      </c>
      <c r="M212" s="171" t="str">
        <f t="shared" si="17"/>
        <v/>
      </c>
      <c r="N212" s="172" t="str">
        <f t="shared" si="18"/>
        <v/>
      </c>
      <c r="O212" s="172" t="str">
        <f t="shared" si="19"/>
        <v/>
      </c>
    </row>
    <row r="213" spans="5:15">
      <c r="E213" s="298"/>
      <c r="K213" s="171" t="str">
        <f t="shared" si="16"/>
        <v/>
      </c>
      <c r="L213" s="171" t="str">
        <f>IF(E213="","",IF(COUNTIFS(Table2[[#All],[De (Lote)]],Input_APM!F213)&gt;0,INDEX(Table2[[#All],[Para (Ticker Daniel)]],MATCH(Input_APM!F213,Table2[[#All],[De (Lote)]],0)),Input_APM!F213))</f>
        <v/>
      </c>
      <c r="M213" s="171" t="str">
        <f t="shared" si="17"/>
        <v/>
      </c>
      <c r="N213" s="172" t="str">
        <f t="shared" si="18"/>
        <v/>
      </c>
      <c r="O213" s="172" t="str">
        <f t="shared" si="19"/>
        <v/>
      </c>
    </row>
    <row r="214" spans="5:15">
      <c r="E214" s="298"/>
      <c r="K214" s="171" t="str">
        <f t="shared" si="16"/>
        <v/>
      </c>
      <c r="L214" s="171" t="str">
        <f>IF(E214="","",IF(COUNTIFS(Table2[[#All],[De (Lote)]],Input_APM!F214)&gt;0,INDEX(Table2[[#All],[Para (Ticker Daniel)]],MATCH(Input_APM!F214,Table2[[#All],[De (Lote)]],0)),Input_APM!F214))</f>
        <v/>
      </c>
      <c r="M214" s="171" t="str">
        <f t="shared" si="17"/>
        <v/>
      </c>
      <c r="N214" s="172" t="str">
        <f t="shared" si="18"/>
        <v/>
      </c>
      <c r="O214" s="172" t="str">
        <f t="shared" si="19"/>
        <v/>
      </c>
    </row>
    <row r="215" spans="5:15">
      <c r="E215" s="298"/>
      <c r="K215" s="171" t="str">
        <f t="shared" si="16"/>
        <v/>
      </c>
      <c r="L215" s="171" t="str">
        <f>IF(E215="","",IF(COUNTIFS(Table2[[#All],[De (Lote)]],Input_APM!F215)&gt;0,INDEX(Table2[[#All],[Para (Ticker Daniel)]],MATCH(Input_APM!F215,Table2[[#All],[De (Lote)]],0)),Input_APM!F215))</f>
        <v/>
      </c>
      <c r="M215" s="171" t="str">
        <f t="shared" si="17"/>
        <v/>
      </c>
      <c r="N215" s="172" t="str">
        <f t="shared" si="18"/>
        <v/>
      </c>
      <c r="O215" s="172" t="str">
        <f t="shared" si="19"/>
        <v/>
      </c>
    </row>
    <row r="216" spans="5:15">
      <c r="E216" s="298"/>
      <c r="K216" s="171" t="str">
        <f t="shared" si="16"/>
        <v/>
      </c>
      <c r="L216" s="171" t="str">
        <f>IF(E216="","",IF(COUNTIFS(Table2[[#All],[De (Lote)]],Input_APM!F216)&gt;0,INDEX(Table2[[#All],[Para (Ticker Daniel)]],MATCH(Input_APM!F216,Table2[[#All],[De (Lote)]],0)),Input_APM!F216))</f>
        <v/>
      </c>
      <c r="M216" s="171" t="str">
        <f t="shared" si="17"/>
        <v/>
      </c>
      <c r="N216" s="172" t="str">
        <f t="shared" si="18"/>
        <v/>
      </c>
      <c r="O216" s="172" t="str">
        <f t="shared" si="19"/>
        <v/>
      </c>
    </row>
    <row r="217" spans="5:15">
      <c r="E217" s="298"/>
      <c r="K217" s="171" t="str">
        <f t="shared" si="16"/>
        <v/>
      </c>
      <c r="L217" s="171" t="str">
        <f>IF(E217="","",IF(COUNTIFS(Table2[[#All],[De (Lote)]],Input_APM!F217)&gt;0,INDEX(Table2[[#All],[Para (Ticker Daniel)]],MATCH(Input_APM!F217,Table2[[#All],[De (Lote)]],0)),Input_APM!F217))</f>
        <v/>
      </c>
      <c r="M217" s="171" t="str">
        <f t="shared" si="17"/>
        <v/>
      </c>
      <c r="N217" s="172" t="str">
        <f t="shared" si="18"/>
        <v/>
      </c>
      <c r="O217" s="172" t="str">
        <f t="shared" si="19"/>
        <v/>
      </c>
    </row>
    <row r="218" spans="5:15">
      <c r="E218" s="298"/>
      <c r="K218" s="171" t="str">
        <f t="shared" si="16"/>
        <v/>
      </c>
      <c r="L218" s="171" t="str">
        <f>IF(E218="","",IF(COUNTIFS(Table2[[#All],[De (Lote)]],Input_APM!F218)&gt;0,INDEX(Table2[[#All],[Para (Ticker Daniel)]],MATCH(Input_APM!F218,Table2[[#All],[De (Lote)]],0)),Input_APM!F218))</f>
        <v/>
      </c>
      <c r="M218" s="171" t="str">
        <f t="shared" si="17"/>
        <v/>
      </c>
      <c r="N218" s="172" t="str">
        <f t="shared" si="18"/>
        <v/>
      </c>
      <c r="O218" s="172" t="str">
        <f t="shared" si="19"/>
        <v/>
      </c>
    </row>
    <row r="219" spans="5:15">
      <c r="E219" s="298"/>
      <c r="K219" s="171" t="str">
        <f t="shared" si="16"/>
        <v/>
      </c>
      <c r="L219" s="171" t="str">
        <f>IF(E219="","",IF(COUNTIFS(Table2[[#All],[De (Lote)]],Input_APM!F219)&gt;0,INDEX(Table2[[#All],[Para (Ticker Daniel)]],MATCH(Input_APM!F219,Table2[[#All],[De (Lote)]],0)),Input_APM!F219))</f>
        <v/>
      </c>
      <c r="M219" s="171" t="str">
        <f t="shared" si="17"/>
        <v/>
      </c>
      <c r="N219" s="172" t="str">
        <f t="shared" si="18"/>
        <v/>
      </c>
      <c r="O219" s="172" t="str">
        <f t="shared" si="19"/>
        <v/>
      </c>
    </row>
    <row r="220" spans="5:15">
      <c r="E220" s="298"/>
      <c r="K220" s="171" t="str">
        <f t="shared" si="16"/>
        <v/>
      </c>
      <c r="L220" s="171" t="str">
        <f>IF(E220="","",IF(COUNTIFS(Table2[[#All],[De (Lote)]],Input_APM!F220)&gt;0,INDEX(Table2[[#All],[Para (Ticker Daniel)]],MATCH(Input_APM!F220,Table2[[#All],[De (Lote)]],0)),Input_APM!F220))</f>
        <v/>
      </c>
      <c r="M220" s="171" t="str">
        <f t="shared" si="17"/>
        <v/>
      </c>
      <c r="N220" s="172" t="str">
        <f t="shared" si="18"/>
        <v/>
      </c>
      <c r="O220" s="172" t="str">
        <f t="shared" si="19"/>
        <v/>
      </c>
    </row>
    <row r="221" spans="5:15">
      <c r="E221" s="298"/>
      <c r="K221" s="171" t="str">
        <f t="shared" si="16"/>
        <v/>
      </c>
      <c r="L221" s="171" t="str">
        <f>IF(E221="","",IF(COUNTIFS(Table2[[#All],[De (Lote)]],Input_APM!F221)&gt;0,INDEX(Table2[[#All],[Para (Ticker Daniel)]],MATCH(Input_APM!F221,Table2[[#All],[De (Lote)]],0)),Input_APM!F221))</f>
        <v/>
      </c>
      <c r="M221" s="171" t="str">
        <f t="shared" si="17"/>
        <v/>
      </c>
      <c r="N221" s="172" t="str">
        <f t="shared" si="18"/>
        <v/>
      </c>
      <c r="O221" s="172" t="str">
        <f t="shared" si="19"/>
        <v/>
      </c>
    </row>
    <row r="222" spans="5:15">
      <c r="E222" s="298"/>
      <c r="K222" s="171" t="str">
        <f t="shared" si="16"/>
        <v/>
      </c>
      <c r="L222" s="171" t="str">
        <f>IF(E222="","",IF(COUNTIFS(Table2[[#All],[De (Lote)]],Input_APM!F222)&gt;0,INDEX(Table2[[#All],[Para (Ticker Daniel)]],MATCH(Input_APM!F222,Table2[[#All],[De (Lote)]],0)),Input_APM!F222))</f>
        <v/>
      </c>
      <c r="M222" s="171" t="str">
        <f t="shared" si="17"/>
        <v/>
      </c>
      <c r="N222" s="172" t="str">
        <f t="shared" si="18"/>
        <v/>
      </c>
      <c r="O222" s="172" t="str">
        <f t="shared" si="19"/>
        <v/>
      </c>
    </row>
    <row r="223" spans="5:15">
      <c r="E223" s="298"/>
      <c r="K223" s="171" t="str">
        <f t="shared" si="16"/>
        <v/>
      </c>
      <c r="L223" s="171" t="str">
        <f>IF(E223="","",IF(COUNTIFS(Table2[[#All],[De (Lote)]],Input_APM!F223)&gt;0,INDEX(Table2[[#All],[Para (Ticker Daniel)]],MATCH(Input_APM!F223,Table2[[#All],[De (Lote)]],0)),Input_APM!F223))</f>
        <v/>
      </c>
      <c r="M223" s="171" t="str">
        <f t="shared" si="17"/>
        <v/>
      </c>
      <c r="N223" s="172" t="str">
        <f t="shared" si="18"/>
        <v/>
      </c>
      <c r="O223" s="172" t="str">
        <f t="shared" si="19"/>
        <v/>
      </c>
    </row>
    <row r="224" spans="5:15">
      <c r="E224" s="298"/>
      <c r="K224" s="171" t="str">
        <f t="shared" si="16"/>
        <v/>
      </c>
      <c r="L224" s="171" t="str">
        <f>IF(E224="","",IF(COUNTIFS(Table2[[#All],[De (Lote)]],Input_APM!F224)&gt;0,INDEX(Table2[[#All],[Para (Ticker Daniel)]],MATCH(Input_APM!F224,Table2[[#All],[De (Lote)]],0)),Input_APM!F224))</f>
        <v/>
      </c>
      <c r="M224" s="171" t="str">
        <f t="shared" si="17"/>
        <v/>
      </c>
      <c r="N224" s="172" t="str">
        <f t="shared" si="18"/>
        <v/>
      </c>
      <c r="O224" s="172" t="str">
        <f t="shared" si="19"/>
        <v/>
      </c>
    </row>
    <row r="225" spans="5:15">
      <c r="E225" s="298"/>
      <c r="K225" s="171" t="str">
        <f t="shared" si="16"/>
        <v/>
      </c>
      <c r="L225" s="171" t="str">
        <f>IF(E225="","",IF(COUNTIFS(Table2[[#All],[De (Lote)]],Input_APM!F225)&gt;0,INDEX(Table2[[#All],[Para (Ticker Daniel)]],MATCH(Input_APM!F225,Table2[[#All],[De (Lote)]],0)),Input_APM!F225))</f>
        <v/>
      </c>
      <c r="M225" s="171" t="str">
        <f t="shared" si="17"/>
        <v/>
      </c>
      <c r="N225" s="172" t="str">
        <f t="shared" si="18"/>
        <v/>
      </c>
      <c r="O225" s="172" t="str">
        <f t="shared" si="19"/>
        <v/>
      </c>
    </row>
    <row r="226" spans="5:15">
      <c r="E226" s="298"/>
      <c r="K226" s="171" t="str">
        <f t="shared" si="16"/>
        <v/>
      </c>
      <c r="L226" s="171" t="str">
        <f>IF(E226="","",IF(COUNTIFS(Table2[[#All],[De (Lote)]],Input_APM!F226)&gt;0,INDEX(Table2[[#All],[Para (Ticker Daniel)]],MATCH(Input_APM!F226,Table2[[#All],[De (Lote)]],0)),Input_APM!F226))</f>
        <v/>
      </c>
      <c r="M226" s="171" t="str">
        <f t="shared" si="17"/>
        <v/>
      </c>
      <c r="N226" s="172" t="str">
        <f t="shared" si="18"/>
        <v/>
      </c>
      <c r="O226" s="172" t="str">
        <f t="shared" si="19"/>
        <v/>
      </c>
    </row>
    <row r="227" spans="5:15">
      <c r="E227" s="298"/>
      <c r="K227" s="171" t="str">
        <f t="shared" si="16"/>
        <v/>
      </c>
      <c r="L227" s="171" t="str">
        <f>IF(E227="","",IF(COUNTIFS(Table2[[#All],[De (Lote)]],Input_APM!F227)&gt;0,INDEX(Table2[[#All],[Para (Ticker Daniel)]],MATCH(Input_APM!F227,Table2[[#All],[De (Lote)]],0)),Input_APM!F227))</f>
        <v/>
      </c>
      <c r="M227" s="171" t="str">
        <f t="shared" si="17"/>
        <v/>
      </c>
      <c r="N227" s="172" t="str">
        <f t="shared" si="18"/>
        <v/>
      </c>
      <c r="O227" s="172" t="str">
        <f t="shared" si="19"/>
        <v/>
      </c>
    </row>
    <row r="228" spans="5:15">
      <c r="E228" s="298"/>
      <c r="K228" s="171" t="str">
        <f t="shared" si="16"/>
        <v/>
      </c>
      <c r="L228" s="171" t="str">
        <f>IF(E228="","",IF(COUNTIFS(Table2[[#All],[De (Lote)]],Input_APM!F228)&gt;0,INDEX(Table2[[#All],[Para (Ticker Daniel)]],MATCH(Input_APM!F228,Table2[[#All],[De (Lote)]],0)),Input_APM!F228))</f>
        <v/>
      </c>
      <c r="M228" s="171" t="str">
        <f t="shared" si="17"/>
        <v/>
      </c>
      <c r="N228" s="172" t="str">
        <f t="shared" si="18"/>
        <v/>
      </c>
      <c r="O228" s="172" t="str">
        <f t="shared" si="19"/>
        <v/>
      </c>
    </row>
    <row r="229" spans="5:15">
      <c r="E229" s="298"/>
      <c r="K229" s="171" t="str">
        <f t="shared" si="16"/>
        <v/>
      </c>
      <c r="L229" s="171" t="str">
        <f>IF(E229="","",IF(COUNTIFS(Table2[[#All],[De (Lote)]],Input_APM!F229)&gt;0,INDEX(Table2[[#All],[Para (Ticker Daniel)]],MATCH(Input_APM!F229,Table2[[#All],[De (Lote)]],0)),Input_APM!F229))</f>
        <v/>
      </c>
      <c r="M229" s="171" t="str">
        <f t="shared" si="17"/>
        <v/>
      </c>
      <c r="N229" s="172" t="str">
        <f t="shared" si="18"/>
        <v/>
      </c>
      <c r="O229" s="172" t="str">
        <f t="shared" si="19"/>
        <v/>
      </c>
    </row>
    <row r="230" spans="5:15">
      <c r="E230" s="298"/>
      <c r="K230" s="171" t="str">
        <f t="shared" si="16"/>
        <v/>
      </c>
      <c r="L230" s="171" t="str">
        <f>IF(E230="","",IF(COUNTIFS(Table2[[#All],[De (Lote)]],Input_APM!F230)&gt;0,INDEX(Table2[[#All],[Para (Ticker Daniel)]],MATCH(Input_APM!F230,Table2[[#All],[De (Lote)]],0)),Input_APM!F230))</f>
        <v/>
      </c>
      <c r="M230" s="171" t="str">
        <f t="shared" si="17"/>
        <v/>
      </c>
      <c r="N230" s="172" t="str">
        <f t="shared" si="18"/>
        <v/>
      </c>
      <c r="O230" s="172" t="str">
        <f t="shared" si="19"/>
        <v/>
      </c>
    </row>
    <row r="231" spans="5:15">
      <c r="E231" s="298"/>
      <c r="K231" s="171" t="str">
        <f t="shared" si="16"/>
        <v/>
      </c>
      <c r="L231" s="171" t="str">
        <f>IF(E231="","",IF(COUNTIFS(Table2[[#All],[De (Lote)]],Input_APM!F231)&gt;0,INDEX(Table2[[#All],[Para (Ticker Daniel)]],MATCH(Input_APM!F231,Table2[[#All],[De (Lote)]],0)),Input_APM!F231))</f>
        <v/>
      </c>
      <c r="M231" s="171" t="str">
        <f t="shared" si="17"/>
        <v/>
      </c>
      <c r="N231" s="172" t="str">
        <f t="shared" si="18"/>
        <v/>
      </c>
      <c r="O231" s="172" t="str">
        <f t="shared" si="19"/>
        <v/>
      </c>
    </row>
    <row r="232" spans="5:15">
      <c r="E232" s="298"/>
      <c r="K232" s="171" t="str">
        <f t="shared" si="16"/>
        <v/>
      </c>
      <c r="L232" s="171" t="str">
        <f>IF(E232="","",IF(COUNTIFS(Table2[[#All],[De (Lote)]],Input_APM!F232)&gt;0,INDEX(Table2[[#All],[Para (Ticker Daniel)]],MATCH(Input_APM!F232,Table2[[#All],[De (Lote)]],0)),Input_APM!F232))</f>
        <v/>
      </c>
      <c r="M232" s="171" t="str">
        <f t="shared" si="17"/>
        <v/>
      </c>
      <c r="N232" s="172" t="str">
        <f t="shared" si="18"/>
        <v/>
      </c>
      <c r="O232" s="172" t="str">
        <f t="shared" si="19"/>
        <v/>
      </c>
    </row>
    <row r="233" spans="5:15">
      <c r="E233" s="298"/>
      <c r="K233" s="171" t="str">
        <f t="shared" si="16"/>
        <v/>
      </c>
      <c r="L233" s="171" t="str">
        <f>IF(E233="","",IF(COUNTIFS(Table2[[#All],[De (Lote)]],Input_APM!F233)&gt;0,INDEX(Table2[[#All],[Para (Ticker Daniel)]],MATCH(Input_APM!F233,Table2[[#All],[De (Lote)]],0)),Input_APM!F233))</f>
        <v/>
      </c>
      <c r="M233" s="171" t="str">
        <f t="shared" si="17"/>
        <v/>
      </c>
      <c r="N233" s="172" t="str">
        <f t="shared" si="18"/>
        <v/>
      </c>
      <c r="O233" s="172" t="str">
        <f t="shared" si="19"/>
        <v/>
      </c>
    </row>
    <row r="234" spans="5:15">
      <c r="E234" s="298"/>
      <c r="K234" s="171" t="str">
        <f t="shared" si="16"/>
        <v/>
      </c>
      <c r="L234" s="171" t="str">
        <f>IF(E234="","",IF(COUNTIFS(Table2[[#All],[De (Lote)]],Input_APM!F234)&gt;0,INDEX(Table2[[#All],[Para (Ticker Daniel)]],MATCH(Input_APM!F234,Table2[[#All],[De (Lote)]],0)),Input_APM!F234))</f>
        <v/>
      </c>
      <c r="M234" s="171" t="str">
        <f t="shared" si="17"/>
        <v/>
      </c>
      <c r="N234" s="172" t="str">
        <f t="shared" si="18"/>
        <v/>
      </c>
      <c r="O234" s="172" t="str">
        <f t="shared" si="19"/>
        <v/>
      </c>
    </row>
    <row r="235" spans="5:15">
      <c r="E235" s="298"/>
      <c r="K235" s="171" t="str">
        <f>IF(E235="","",E235)</f>
        <v/>
      </c>
      <c r="L235" s="171" t="str">
        <f>IF(E235="","",IF(COUNTIFS(Table2[[#All],[De (Lote)]],Input_APM!F235)&gt;0,INDEX(Table2[[#All],[Para (Ticker Daniel)]],MATCH(Input_APM!F235,Table2[[#All],[De (Lote)]],0)),Input_APM!F235))</f>
        <v/>
      </c>
      <c r="M235" s="171" t="str">
        <f>IF(E235="","",G235)</f>
        <v/>
      </c>
      <c r="N235" s="172" t="str">
        <f>IF(E235="","",H235)</f>
        <v/>
      </c>
      <c r="O235" s="172" t="str">
        <f>IF(E235="","",I235)</f>
        <v/>
      </c>
    </row>
    <row r="236" spans="5:15">
      <c r="E236" s="298"/>
      <c r="K236" s="171" t="str">
        <f>IF(E236="","",E236)</f>
        <v/>
      </c>
      <c r="L236" s="171" t="str">
        <f>IF(E236="","",IF(COUNTIFS(Table2[[#All],[De (Lote)]],Input_APM!F236)&gt;0,INDEX(Table2[[#All],[Para (Ticker Daniel)]],MATCH(Input_APM!F236,Table2[[#All],[De (Lote)]],0)),Input_APM!F236))</f>
        <v/>
      </c>
      <c r="M236" s="171" t="str">
        <f>IF(E236="","",G236)</f>
        <v/>
      </c>
      <c r="N236" s="172" t="str">
        <f>IF(E236="","",H236)</f>
        <v/>
      </c>
      <c r="O236" s="172" t="str">
        <f>IF(E236="","",I236)</f>
        <v/>
      </c>
    </row>
    <row r="237" spans="5:15">
      <c r="E237" s="298"/>
      <c r="K237" s="171" t="str">
        <f>IF(E237="","",E237)</f>
        <v/>
      </c>
      <c r="L237" s="171" t="str">
        <f>IF(E237="","",IF(COUNTIFS(Table2[[#All],[De (Lote)]],Input_APM!F237)&gt;0,INDEX(Table2[[#All],[Para (Ticker Daniel)]],MATCH(Input_APM!F237,Table2[[#All],[De (Lote)]],0)),Input_APM!F237))</f>
        <v/>
      </c>
      <c r="M237" s="171" t="str">
        <f>IF(E237="","",G237)</f>
        <v/>
      </c>
      <c r="N237" s="172" t="str">
        <f>IF(E237="","",H237)</f>
        <v/>
      </c>
      <c r="O237" s="172" t="str">
        <f>IF(E237="","",I237)</f>
        <v/>
      </c>
    </row>
    <row r="238" spans="5:15">
      <c r="E238" s="298"/>
      <c r="K238" s="171" t="str">
        <f>IF(E238="","",E238)</f>
        <v/>
      </c>
      <c r="L238" s="171" t="str">
        <f>IF(E238="","",IF(COUNTIFS(Table2[[#All],[De (Lote)]],Input_APM!F238)&gt;0,INDEX(Table2[[#All],[Para (Ticker Daniel)]],MATCH(Input_APM!F238,Table2[[#All],[De (Lote)]],0)),Input_APM!F238))</f>
        <v/>
      </c>
      <c r="M238" s="171" t="str">
        <f>IF(E238="","",G238)</f>
        <v/>
      </c>
      <c r="N238" s="172" t="str">
        <f>IF(E238="","",H238)</f>
        <v/>
      </c>
      <c r="O238" s="172" t="str">
        <f>IF(E238="","",I238)</f>
        <v/>
      </c>
    </row>
    <row r="239" spans="5:15">
      <c r="E239" s="298"/>
      <c r="K239" s="171" t="str">
        <f>IF(E239="","",E239)</f>
        <v/>
      </c>
      <c r="L239" s="171" t="str">
        <f>IF(E239="","",IF(COUNTIFS(Table2[[#All],[De (Lote)]],Input_APM!F239)&gt;0,INDEX(Table2[[#All],[Para (Ticker Daniel)]],MATCH(Input_APM!F239,Table2[[#All],[De (Lote)]],0)),Input_APM!F239))</f>
        <v/>
      </c>
      <c r="M239" s="171" t="str">
        <f>IF(E239="","",G239)</f>
        <v/>
      </c>
      <c r="N239" s="172" t="str">
        <f>IF(E239="","",H239)</f>
        <v/>
      </c>
      <c r="O239" s="172" t="str">
        <f>IF(E239="","",I239)</f>
        <v/>
      </c>
    </row>
    <row r="240" spans="5:15">
      <c r="E240" s="298"/>
      <c r="K240" s="171" t="str">
        <f t="shared" ref="K240:K303" si="20">IF(E240="","",E240)</f>
        <v/>
      </c>
      <c r="L240" s="171" t="str">
        <f>IF(E240="","",IF(COUNTIFS(Table2[[#All],[De (Lote)]],Input_APM!F240)&gt;0,INDEX(Table2[[#All],[Para (Ticker Daniel)]],MATCH(Input_APM!F240,Table2[[#All],[De (Lote)]],0)),Input_APM!F240))</f>
        <v/>
      </c>
      <c r="M240" s="171" t="str">
        <f t="shared" ref="M240:M303" si="21">IF(E240="","",G240)</f>
        <v/>
      </c>
      <c r="N240" s="172" t="str">
        <f t="shared" ref="N240:N303" si="22">IF(E240="","",H240)</f>
        <v/>
      </c>
      <c r="O240" s="172" t="str">
        <f t="shared" ref="O240:O303" si="23">IF(E240="","",I240)</f>
        <v/>
      </c>
    </row>
    <row r="241" spans="5:15">
      <c r="E241" s="298"/>
      <c r="K241" s="171" t="str">
        <f t="shared" si="20"/>
        <v/>
      </c>
      <c r="L241" s="171" t="str">
        <f>IF(E241="","",IF(COUNTIFS(Table2[[#All],[De (Lote)]],Input_APM!F241)&gt;0,INDEX(Table2[[#All],[Para (Ticker Daniel)]],MATCH(Input_APM!F241,Table2[[#All],[De (Lote)]],0)),Input_APM!F241))</f>
        <v/>
      </c>
      <c r="M241" s="171" t="str">
        <f t="shared" si="21"/>
        <v/>
      </c>
      <c r="N241" s="172" t="str">
        <f t="shared" si="22"/>
        <v/>
      </c>
      <c r="O241" s="172" t="str">
        <f t="shared" si="23"/>
        <v/>
      </c>
    </row>
    <row r="242" spans="5:15">
      <c r="E242" s="298"/>
      <c r="K242" s="171" t="str">
        <f t="shared" si="20"/>
        <v/>
      </c>
      <c r="L242" s="171" t="str">
        <f>IF(E242="","",IF(COUNTIFS(Table2[[#All],[De (Lote)]],Input_APM!F242)&gt;0,INDEX(Table2[[#All],[Para (Ticker Daniel)]],MATCH(Input_APM!F242,Table2[[#All],[De (Lote)]],0)),Input_APM!F242))</f>
        <v/>
      </c>
      <c r="M242" s="171" t="str">
        <f t="shared" si="21"/>
        <v/>
      </c>
      <c r="N242" s="172" t="str">
        <f t="shared" si="22"/>
        <v/>
      </c>
      <c r="O242" s="172" t="str">
        <f t="shared" si="23"/>
        <v/>
      </c>
    </row>
    <row r="243" spans="5:15">
      <c r="E243" s="298"/>
      <c r="K243" s="171" t="str">
        <f t="shared" si="20"/>
        <v/>
      </c>
      <c r="L243" s="171" t="str">
        <f>IF(E243="","",IF(COUNTIFS(Table2[[#All],[De (Lote)]],Input_APM!F243)&gt;0,INDEX(Table2[[#All],[Para (Ticker Daniel)]],MATCH(Input_APM!F243,Table2[[#All],[De (Lote)]],0)),Input_APM!F243))</f>
        <v/>
      </c>
      <c r="M243" s="171" t="str">
        <f t="shared" si="21"/>
        <v/>
      </c>
      <c r="N243" s="172" t="str">
        <f t="shared" si="22"/>
        <v/>
      </c>
      <c r="O243" s="172" t="str">
        <f t="shared" si="23"/>
        <v/>
      </c>
    </row>
    <row r="244" spans="5:15">
      <c r="E244" s="298"/>
      <c r="K244" s="171" t="str">
        <f t="shared" si="20"/>
        <v/>
      </c>
      <c r="L244" s="171" t="str">
        <f>IF(E244="","",IF(COUNTIFS(Table2[[#All],[De (Lote)]],Input_APM!F244)&gt;0,INDEX(Table2[[#All],[Para (Ticker Daniel)]],MATCH(Input_APM!F244,Table2[[#All],[De (Lote)]],0)),Input_APM!F244))</f>
        <v/>
      </c>
      <c r="M244" s="171" t="str">
        <f t="shared" si="21"/>
        <v/>
      </c>
      <c r="N244" s="172" t="str">
        <f t="shared" si="22"/>
        <v/>
      </c>
      <c r="O244" s="172" t="str">
        <f t="shared" si="23"/>
        <v/>
      </c>
    </row>
    <row r="245" spans="5:15">
      <c r="E245" s="298"/>
      <c r="K245" s="171" t="str">
        <f t="shared" si="20"/>
        <v/>
      </c>
      <c r="L245" s="171" t="str">
        <f>IF(E245="","",IF(COUNTIFS(Table2[[#All],[De (Lote)]],Input_APM!F245)&gt;0,INDEX(Table2[[#All],[Para (Ticker Daniel)]],MATCH(Input_APM!F245,Table2[[#All],[De (Lote)]],0)),Input_APM!F245))</f>
        <v/>
      </c>
      <c r="M245" s="171" t="str">
        <f t="shared" si="21"/>
        <v/>
      </c>
      <c r="N245" s="172" t="str">
        <f t="shared" si="22"/>
        <v/>
      </c>
      <c r="O245" s="172" t="str">
        <f t="shared" si="23"/>
        <v/>
      </c>
    </row>
    <row r="246" spans="5:15">
      <c r="E246" s="298"/>
      <c r="K246" s="171" t="str">
        <f t="shared" si="20"/>
        <v/>
      </c>
      <c r="L246" s="171" t="str">
        <f>IF(E246="","",IF(COUNTIFS(Table2[[#All],[De (Lote)]],Input_APM!F246)&gt;0,INDEX(Table2[[#All],[Para (Ticker Daniel)]],MATCH(Input_APM!F246,Table2[[#All],[De (Lote)]],0)),Input_APM!F246))</f>
        <v/>
      </c>
      <c r="M246" s="171" t="str">
        <f t="shared" si="21"/>
        <v/>
      </c>
      <c r="N246" s="172" t="str">
        <f t="shared" si="22"/>
        <v/>
      </c>
      <c r="O246" s="172" t="str">
        <f t="shared" si="23"/>
        <v/>
      </c>
    </row>
    <row r="247" spans="5:15">
      <c r="E247" s="298"/>
      <c r="K247" s="171" t="str">
        <f t="shared" si="20"/>
        <v/>
      </c>
      <c r="L247" s="171" t="str">
        <f>IF(E247="","",IF(COUNTIFS(Table2[[#All],[De (Lote)]],Input_APM!F247)&gt;0,INDEX(Table2[[#All],[Para (Ticker Daniel)]],MATCH(Input_APM!F247,Table2[[#All],[De (Lote)]],0)),Input_APM!F247))</f>
        <v/>
      </c>
      <c r="M247" s="171" t="str">
        <f t="shared" si="21"/>
        <v/>
      </c>
      <c r="N247" s="172" t="str">
        <f t="shared" si="22"/>
        <v/>
      </c>
      <c r="O247" s="172" t="str">
        <f t="shared" si="23"/>
        <v/>
      </c>
    </row>
    <row r="248" spans="5:15">
      <c r="E248" s="298"/>
      <c r="K248" s="171" t="str">
        <f t="shared" si="20"/>
        <v/>
      </c>
      <c r="L248" s="171" t="str">
        <f>IF(E248="","",IF(COUNTIFS(Table2[[#All],[De (Lote)]],Input_APM!F248)&gt;0,INDEX(Table2[[#All],[Para (Ticker Daniel)]],MATCH(Input_APM!F248,Table2[[#All],[De (Lote)]],0)),Input_APM!F248))</f>
        <v/>
      </c>
      <c r="M248" s="171" t="str">
        <f t="shared" si="21"/>
        <v/>
      </c>
      <c r="N248" s="172" t="str">
        <f t="shared" si="22"/>
        <v/>
      </c>
      <c r="O248" s="172" t="str">
        <f t="shared" si="23"/>
        <v/>
      </c>
    </row>
    <row r="249" spans="5:15">
      <c r="E249" s="298"/>
      <c r="K249" s="171" t="str">
        <f t="shared" si="20"/>
        <v/>
      </c>
      <c r="L249" s="171" t="str">
        <f>IF(E249="","",IF(COUNTIFS(Table2[[#All],[De (Lote)]],Input_APM!F249)&gt;0,INDEX(Table2[[#All],[Para (Ticker Daniel)]],MATCH(Input_APM!F249,Table2[[#All],[De (Lote)]],0)),Input_APM!F249))</f>
        <v/>
      </c>
      <c r="M249" s="171" t="str">
        <f t="shared" si="21"/>
        <v/>
      </c>
      <c r="N249" s="172" t="str">
        <f t="shared" si="22"/>
        <v/>
      </c>
      <c r="O249" s="172" t="str">
        <f t="shared" si="23"/>
        <v/>
      </c>
    </row>
    <row r="250" spans="5:15">
      <c r="E250" s="298"/>
      <c r="K250" s="171" t="str">
        <f t="shared" si="20"/>
        <v/>
      </c>
      <c r="L250" s="171" t="str">
        <f>IF(E250="","",IF(COUNTIFS(Table2[[#All],[De (Lote)]],Input_APM!F250)&gt;0,INDEX(Table2[[#All],[Para (Ticker Daniel)]],MATCH(Input_APM!F250,Table2[[#All],[De (Lote)]],0)),Input_APM!F250))</f>
        <v/>
      </c>
      <c r="M250" s="171" t="str">
        <f t="shared" si="21"/>
        <v/>
      </c>
      <c r="N250" s="172" t="str">
        <f t="shared" si="22"/>
        <v/>
      </c>
      <c r="O250" s="172" t="str">
        <f t="shared" si="23"/>
        <v/>
      </c>
    </row>
    <row r="251" spans="5:15">
      <c r="E251" s="298"/>
      <c r="K251" s="171" t="str">
        <f t="shared" si="20"/>
        <v/>
      </c>
      <c r="L251" s="171" t="str">
        <f>IF(E251="","",IF(COUNTIFS(Table2[[#All],[De (Lote)]],Input_APM!F251)&gt;0,INDEX(Table2[[#All],[Para (Ticker Daniel)]],MATCH(Input_APM!F251,Table2[[#All],[De (Lote)]],0)),Input_APM!F251))</f>
        <v/>
      </c>
      <c r="M251" s="171" t="str">
        <f t="shared" si="21"/>
        <v/>
      </c>
      <c r="N251" s="172" t="str">
        <f t="shared" si="22"/>
        <v/>
      </c>
      <c r="O251" s="172" t="str">
        <f t="shared" si="23"/>
        <v/>
      </c>
    </row>
    <row r="252" spans="5:15">
      <c r="E252" s="298"/>
      <c r="K252" s="171" t="str">
        <f t="shared" si="20"/>
        <v/>
      </c>
      <c r="L252" s="171" t="str">
        <f>IF(E252="","",IF(COUNTIFS(Table2[[#All],[De (Lote)]],Input_APM!F252)&gt;0,INDEX(Table2[[#All],[Para (Ticker Daniel)]],MATCH(Input_APM!F252,Table2[[#All],[De (Lote)]],0)),Input_APM!F252))</f>
        <v/>
      </c>
      <c r="M252" s="171" t="str">
        <f t="shared" si="21"/>
        <v/>
      </c>
      <c r="N252" s="172" t="str">
        <f t="shared" si="22"/>
        <v/>
      </c>
      <c r="O252" s="172" t="str">
        <f t="shared" si="23"/>
        <v/>
      </c>
    </row>
    <row r="253" spans="5:15">
      <c r="E253" s="298"/>
      <c r="K253" s="171" t="str">
        <f t="shared" si="20"/>
        <v/>
      </c>
      <c r="L253" s="171" t="str">
        <f>IF(E253="","",IF(COUNTIFS(Table2[[#All],[De (Lote)]],Input_APM!F253)&gt;0,INDEX(Table2[[#All],[Para (Ticker Daniel)]],MATCH(Input_APM!F253,Table2[[#All],[De (Lote)]],0)),Input_APM!F253))</f>
        <v/>
      </c>
      <c r="M253" s="171" t="str">
        <f t="shared" si="21"/>
        <v/>
      </c>
      <c r="N253" s="172" t="str">
        <f t="shared" si="22"/>
        <v/>
      </c>
      <c r="O253" s="172" t="str">
        <f t="shared" si="23"/>
        <v/>
      </c>
    </row>
    <row r="254" spans="5:15">
      <c r="E254" s="298"/>
      <c r="K254" s="171" t="str">
        <f t="shared" si="20"/>
        <v/>
      </c>
      <c r="L254" s="171" t="str">
        <f>IF(E254="","",IF(COUNTIFS(Table2[[#All],[De (Lote)]],Input_APM!F254)&gt;0,INDEX(Table2[[#All],[Para (Ticker Daniel)]],MATCH(Input_APM!F254,Table2[[#All],[De (Lote)]],0)),Input_APM!F254))</f>
        <v/>
      </c>
      <c r="M254" s="171" t="str">
        <f t="shared" si="21"/>
        <v/>
      </c>
      <c r="N254" s="172" t="str">
        <f t="shared" si="22"/>
        <v/>
      </c>
      <c r="O254" s="172" t="str">
        <f t="shared" si="23"/>
        <v/>
      </c>
    </row>
    <row r="255" spans="5:15">
      <c r="E255" s="298"/>
      <c r="K255" s="171" t="str">
        <f t="shared" si="20"/>
        <v/>
      </c>
      <c r="L255" s="171" t="str">
        <f>IF(E255="","",IF(COUNTIFS(Table2[[#All],[De (Lote)]],Input_APM!F255)&gt;0,INDEX(Table2[[#All],[Para (Ticker Daniel)]],MATCH(Input_APM!F255,Table2[[#All],[De (Lote)]],0)),Input_APM!F255))</f>
        <v/>
      </c>
      <c r="M255" s="171" t="str">
        <f t="shared" si="21"/>
        <v/>
      </c>
      <c r="N255" s="172" t="str">
        <f t="shared" si="22"/>
        <v/>
      </c>
      <c r="O255" s="172" t="str">
        <f t="shared" si="23"/>
        <v/>
      </c>
    </row>
    <row r="256" spans="5:15">
      <c r="E256" s="298"/>
      <c r="K256" s="171" t="str">
        <f t="shared" si="20"/>
        <v/>
      </c>
      <c r="L256" s="171" t="str">
        <f>IF(E256="","",IF(COUNTIFS(Table2[[#All],[De (Lote)]],Input_APM!F256)&gt;0,INDEX(Table2[[#All],[Para (Ticker Daniel)]],MATCH(Input_APM!F256,Table2[[#All],[De (Lote)]],0)),Input_APM!F256))</f>
        <v/>
      </c>
      <c r="M256" s="171" t="str">
        <f t="shared" si="21"/>
        <v/>
      </c>
      <c r="N256" s="172" t="str">
        <f t="shared" si="22"/>
        <v/>
      </c>
      <c r="O256" s="172" t="str">
        <f t="shared" si="23"/>
        <v/>
      </c>
    </row>
    <row r="257" spans="5:15">
      <c r="E257" s="298"/>
      <c r="K257" s="171" t="str">
        <f t="shared" si="20"/>
        <v/>
      </c>
      <c r="L257" s="171" t="str">
        <f>IF(E257="","",IF(COUNTIFS(Table2[[#All],[De (Lote)]],Input_APM!F257)&gt;0,INDEX(Table2[[#All],[Para (Ticker Daniel)]],MATCH(Input_APM!F257,Table2[[#All],[De (Lote)]],0)),Input_APM!F257))</f>
        <v/>
      </c>
      <c r="M257" s="171" t="str">
        <f t="shared" si="21"/>
        <v/>
      </c>
      <c r="N257" s="172" t="str">
        <f t="shared" si="22"/>
        <v/>
      </c>
      <c r="O257" s="172" t="str">
        <f t="shared" si="23"/>
        <v/>
      </c>
    </row>
    <row r="258" spans="5:15">
      <c r="E258" s="298"/>
      <c r="K258" s="171" t="str">
        <f t="shared" si="20"/>
        <v/>
      </c>
      <c r="L258" s="171" t="str">
        <f>IF(E258="","",IF(COUNTIFS(Table2[[#All],[De (Lote)]],Input_APM!F258)&gt;0,INDEX(Table2[[#All],[Para (Ticker Daniel)]],MATCH(Input_APM!F258,Table2[[#All],[De (Lote)]],0)),Input_APM!F258))</f>
        <v/>
      </c>
      <c r="M258" s="171" t="str">
        <f t="shared" si="21"/>
        <v/>
      </c>
      <c r="N258" s="172" t="str">
        <f t="shared" si="22"/>
        <v/>
      </c>
      <c r="O258" s="172" t="str">
        <f t="shared" si="23"/>
        <v/>
      </c>
    </row>
    <row r="259" spans="5:15">
      <c r="E259" s="298"/>
      <c r="K259" s="171" t="str">
        <f t="shared" si="20"/>
        <v/>
      </c>
      <c r="L259" s="171" t="str">
        <f>IF(E259="","",IF(COUNTIFS(Table2[[#All],[De (Lote)]],Input_APM!F259)&gt;0,INDEX(Table2[[#All],[Para (Ticker Daniel)]],MATCH(Input_APM!F259,Table2[[#All],[De (Lote)]],0)),Input_APM!F259))</f>
        <v/>
      </c>
      <c r="M259" s="171" t="str">
        <f t="shared" si="21"/>
        <v/>
      </c>
      <c r="N259" s="172" t="str">
        <f t="shared" si="22"/>
        <v/>
      </c>
      <c r="O259" s="172" t="str">
        <f t="shared" si="23"/>
        <v/>
      </c>
    </row>
    <row r="260" spans="5:15">
      <c r="E260" s="298"/>
      <c r="K260" s="171" t="str">
        <f t="shared" si="20"/>
        <v/>
      </c>
      <c r="L260" s="171" t="str">
        <f>IF(E260="","",IF(COUNTIFS(Table2[[#All],[De (Lote)]],Input_APM!F260)&gt;0,INDEX(Table2[[#All],[Para (Ticker Daniel)]],MATCH(Input_APM!F260,Table2[[#All],[De (Lote)]],0)),Input_APM!F260))</f>
        <v/>
      </c>
      <c r="M260" s="171" t="str">
        <f t="shared" si="21"/>
        <v/>
      </c>
      <c r="N260" s="172" t="str">
        <f t="shared" si="22"/>
        <v/>
      </c>
      <c r="O260" s="172" t="str">
        <f t="shared" si="23"/>
        <v/>
      </c>
    </row>
    <row r="261" spans="5:15">
      <c r="E261" s="298"/>
      <c r="K261" s="171" t="str">
        <f t="shared" si="20"/>
        <v/>
      </c>
      <c r="L261" s="171" t="str">
        <f>IF(E261="","",IF(COUNTIFS(Table2[[#All],[De (Lote)]],Input_APM!F261)&gt;0,INDEX(Table2[[#All],[Para (Ticker Daniel)]],MATCH(Input_APM!F261,Table2[[#All],[De (Lote)]],0)),Input_APM!F261))</f>
        <v/>
      </c>
      <c r="M261" s="171" t="str">
        <f t="shared" si="21"/>
        <v/>
      </c>
      <c r="N261" s="172" t="str">
        <f t="shared" si="22"/>
        <v/>
      </c>
      <c r="O261" s="172" t="str">
        <f t="shared" si="23"/>
        <v/>
      </c>
    </row>
    <row r="262" spans="5:15">
      <c r="E262" s="298"/>
      <c r="K262" s="171" t="str">
        <f t="shared" si="20"/>
        <v/>
      </c>
      <c r="L262" s="171" t="str">
        <f>IF(E262="","",IF(COUNTIFS(Table2[[#All],[De (Lote)]],Input_APM!F262)&gt;0,INDEX(Table2[[#All],[Para (Ticker Daniel)]],MATCH(Input_APM!F262,Table2[[#All],[De (Lote)]],0)),Input_APM!F262))</f>
        <v/>
      </c>
      <c r="M262" s="171" t="str">
        <f t="shared" si="21"/>
        <v/>
      </c>
      <c r="N262" s="172" t="str">
        <f t="shared" si="22"/>
        <v/>
      </c>
      <c r="O262" s="172" t="str">
        <f t="shared" si="23"/>
        <v/>
      </c>
    </row>
    <row r="263" spans="5:15">
      <c r="E263" s="298"/>
      <c r="K263" s="171" t="str">
        <f t="shared" si="20"/>
        <v/>
      </c>
      <c r="L263" s="171" t="str">
        <f>IF(E263="","",IF(COUNTIFS(Table2[[#All],[De (Lote)]],Input_APM!F263)&gt;0,INDEX(Table2[[#All],[Para (Ticker Daniel)]],MATCH(Input_APM!F263,Table2[[#All],[De (Lote)]],0)),Input_APM!F263))</f>
        <v/>
      </c>
      <c r="M263" s="171" t="str">
        <f t="shared" si="21"/>
        <v/>
      </c>
      <c r="N263" s="172" t="str">
        <f t="shared" si="22"/>
        <v/>
      </c>
      <c r="O263" s="172" t="str">
        <f t="shared" si="23"/>
        <v/>
      </c>
    </row>
    <row r="264" spans="5:15">
      <c r="E264" s="298"/>
      <c r="K264" s="171" t="str">
        <f t="shared" si="20"/>
        <v/>
      </c>
      <c r="L264" s="171" t="str">
        <f>IF(E264="","",IF(COUNTIFS(Table2[[#All],[De (Lote)]],Input_APM!F264)&gt;0,INDEX(Table2[[#All],[Para (Ticker Daniel)]],MATCH(Input_APM!F264,Table2[[#All],[De (Lote)]],0)),Input_APM!F264))</f>
        <v/>
      </c>
      <c r="M264" s="171" t="str">
        <f t="shared" si="21"/>
        <v/>
      </c>
      <c r="N264" s="172" t="str">
        <f t="shared" si="22"/>
        <v/>
      </c>
      <c r="O264" s="172" t="str">
        <f t="shared" si="23"/>
        <v/>
      </c>
    </row>
    <row r="265" spans="5:15">
      <c r="E265" s="298"/>
      <c r="K265" s="171" t="str">
        <f t="shared" si="20"/>
        <v/>
      </c>
      <c r="L265" s="171" t="str">
        <f>IF(E265="","",IF(COUNTIFS(Table2[[#All],[De (Lote)]],Input_APM!F265)&gt;0,INDEX(Table2[[#All],[Para (Ticker Daniel)]],MATCH(Input_APM!F265,Table2[[#All],[De (Lote)]],0)),Input_APM!F265))</f>
        <v/>
      </c>
      <c r="M265" s="171" t="str">
        <f t="shared" si="21"/>
        <v/>
      </c>
      <c r="N265" s="172" t="str">
        <f t="shared" si="22"/>
        <v/>
      </c>
      <c r="O265" s="172" t="str">
        <f t="shared" si="23"/>
        <v/>
      </c>
    </row>
    <row r="266" spans="5:15">
      <c r="E266" s="298"/>
      <c r="K266" s="171" t="str">
        <f t="shared" si="20"/>
        <v/>
      </c>
      <c r="L266" s="171" t="str">
        <f>IF(E266="","",IF(COUNTIFS(Table2[[#All],[De (Lote)]],Input_APM!F266)&gt;0,INDEX(Table2[[#All],[Para (Ticker Daniel)]],MATCH(Input_APM!F266,Table2[[#All],[De (Lote)]],0)),Input_APM!F266))</f>
        <v/>
      </c>
      <c r="M266" s="171" t="str">
        <f t="shared" si="21"/>
        <v/>
      </c>
      <c r="N266" s="172" t="str">
        <f t="shared" si="22"/>
        <v/>
      </c>
      <c r="O266" s="172" t="str">
        <f t="shared" si="23"/>
        <v/>
      </c>
    </row>
    <row r="267" spans="5:15">
      <c r="E267" s="298"/>
      <c r="K267" s="171" t="str">
        <f t="shared" si="20"/>
        <v/>
      </c>
      <c r="L267" s="171" t="str">
        <f>IF(E267="","",IF(COUNTIFS(Table2[[#All],[De (Lote)]],Input_APM!F267)&gt;0,INDEX(Table2[[#All],[Para (Ticker Daniel)]],MATCH(Input_APM!F267,Table2[[#All],[De (Lote)]],0)),Input_APM!F267))</f>
        <v/>
      </c>
      <c r="M267" s="171" t="str">
        <f t="shared" si="21"/>
        <v/>
      </c>
      <c r="N267" s="172" t="str">
        <f t="shared" si="22"/>
        <v/>
      </c>
      <c r="O267" s="172" t="str">
        <f t="shared" si="23"/>
        <v/>
      </c>
    </row>
    <row r="268" spans="5:15">
      <c r="E268" s="298"/>
      <c r="K268" s="171" t="str">
        <f t="shared" si="20"/>
        <v/>
      </c>
      <c r="L268" s="171" t="str">
        <f>IF(E268="","",IF(COUNTIFS(Table2[[#All],[De (Lote)]],Input_APM!F268)&gt;0,INDEX(Table2[[#All],[Para (Ticker Daniel)]],MATCH(Input_APM!F268,Table2[[#All],[De (Lote)]],0)),Input_APM!F268))</f>
        <v/>
      </c>
      <c r="M268" s="171" t="str">
        <f t="shared" si="21"/>
        <v/>
      </c>
      <c r="N268" s="172" t="str">
        <f t="shared" si="22"/>
        <v/>
      </c>
      <c r="O268" s="172" t="str">
        <f t="shared" si="23"/>
        <v/>
      </c>
    </row>
    <row r="269" spans="5:15">
      <c r="E269" s="298"/>
      <c r="K269" s="171" t="str">
        <f t="shared" si="20"/>
        <v/>
      </c>
      <c r="L269" s="171" t="str">
        <f>IF(E269="","",IF(COUNTIFS(Table2[[#All],[De (Lote)]],Input_APM!F269)&gt;0,INDEX(Table2[[#All],[Para (Ticker Daniel)]],MATCH(Input_APM!F269,Table2[[#All],[De (Lote)]],0)),Input_APM!F269))</f>
        <v/>
      </c>
      <c r="M269" s="171" t="str">
        <f t="shared" si="21"/>
        <v/>
      </c>
      <c r="N269" s="172" t="str">
        <f t="shared" si="22"/>
        <v/>
      </c>
      <c r="O269" s="172" t="str">
        <f t="shared" si="23"/>
        <v/>
      </c>
    </row>
    <row r="270" spans="5:15">
      <c r="E270" s="298"/>
      <c r="K270" s="171" t="str">
        <f t="shared" si="20"/>
        <v/>
      </c>
      <c r="L270" s="171" t="str">
        <f>IF(E270="","",IF(COUNTIFS(Table2[[#All],[De (Lote)]],Input_APM!F270)&gt;0,INDEX(Table2[[#All],[Para (Ticker Daniel)]],MATCH(Input_APM!F270,Table2[[#All],[De (Lote)]],0)),Input_APM!F270))</f>
        <v/>
      </c>
      <c r="M270" s="171" t="str">
        <f t="shared" si="21"/>
        <v/>
      </c>
      <c r="N270" s="172" t="str">
        <f t="shared" si="22"/>
        <v/>
      </c>
      <c r="O270" s="172" t="str">
        <f t="shared" si="23"/>
        <v/>
      </c>
    </row>
    <row r="271" spans="5:15">
      <c r="E271" s="298"/>
      <c r="K271" s="171" t="str">
        <f t="shared" si="20"/>
        <v/>
      </c>
      <c r="L271" s="171" t="str">
        <f>IF(E271="","",IF(COUNTIFS(Table2[[#All],[De (Lote)]],Input_APM!F271)&gt;0,INDEX(Table2[[#All],[Para (Ticker Daniel)]],MATCH(Input_APM!F271,Table2[[#All],[De (Lote)]],0)),Input_APM!F271))</f>
        <v/>
      </c>
      <c r="M271" s="171" t="str">
        <f t="shared" si="21"/>
        <v/>
      </c>
      <c r="N271" s="172" t="str">
        <f t="shared" si="22"/>
        <v/>
      </c>
      <c r="O271" s="172" t="str">
        <f t="shared" si="23"/>
        <v/>
      </c>
    </row>
    <row r="272" spans="5:15">
      <c r="E272" s="298"/>
      <c r="K272" s="171" t="str">
        <f t="shared" si="20"/>
        <v/>
      </c>
      <c r="L272" s="171" t="str">
        <f>IF(E272="","",IF(COUNTIFS(Table2[[#All],[De (Lote)]],Input_APM!F272)&gt;0,INDEX(Table2[[#All],[Para (Ticker Daniel)]],MATCH(Input_APM!F272,Table2[[#All],[De (Lote)]],0)),Input_APM!F272))</f>
        <v/>
      </c>
      <c r="M272" s="171" t="str">
        <f t="shared" si="21"/>
        <v/>
      </c>
      <c r="N272" s="172" t="str">
        <f t="shared" si="22"/>
        <v/>
      </c>
      <c r="O272" s="172" t="str">
        <f t="shared" si="23"/>
        <v/>
      </c>
    </row>
    <row r="273" spans="5:15">
      <c r="E273" s="298"/>
      <c r="K273" s="171" t="str">
        <f t="shared" si="20"/>
        <v/>
      </c>
      <c r="L273" s="171" t="str">
        <f>IF(E273="","",IF(COUNTIFS(Table2[[#All],[De (Lote)]],Input_APM!F273)&gt;0,INDEX(Table2[[#All],[Para (Ticker Daniel)]],MATCH(Input_APM!F273,Table2[[#All],[De (Lote)]],0)),Input_APM!F273))</f>
        <v/>
      </c>
      <c r="M273" s="171" t="str">
        <f t="shared" si="21"/>
        <v/>
      </c>
      <c r="N273" s="172" t="str">
        <f t="shared" si="22"/>
        <v/>
      </c>
      <c r="O273" s="172" t="str">
        <f t="shared" si="23"/>
        <v/>
      </c>
    </row>
    <row r="274" spans="5:15">
      <c r="E274" s="298"/>
      <c r="K274" s="171" t="str">
        <f t="shared" si="20"/>
        <v/>
      </c>
      <c r="L274" s="171" t="str">
        <f>IF(E274="","",IF(COUNTIFS(Table2[[#All],[De (Lote)]],Input_APM!F274)&gt;0,INDEX(Table2[[#All],[Para (Ticker Daniel)]],MATCH(Input_APM!F274,Table2[[#All],[De (Lote)]],0)),Input_APM!F274))</f>
        <v/>
      </c>
      <c r="M274" s="171" t="str">
        <f t="shared" si="21"/>
        <v/>
      </c>
      <c r="N274" s="172" t="str">
        <f t="shared" si="22"/>
        <v/>
      </c>
      <c r="O274" s="172" t="str">
        <f t="shared" si="23"/>
        <v/>
      </c>
    </row>
    <row r="275" spans="5:15">
      <c r="E275" s="298"/>
      <c r="K275" s="171" t="str">
        <f t="shared" si="20"/>
        <v/>
      </c>
      <c r="L275" s="171" t="str">
        <f>IF(E275="","",IF(COUNTIFS(Table2[[#All],[De (Lote)]],Input_APM!F275)&gt;0,INDEX(Table2[[#All],[Para (Ticker Daniel)]],MATCH(Input_APM!F275,Table2[[#All],[De (Lote)]],0)),Input_APM!F275))</f>
        <v/>
      </c>
      <c r="M275" s="171" t="str">
        <f t="shared" si="21"/>
        <v/>
      </c>
      <c r="N275" s="172" t="str">
        <f t="shared" si="22"/>
        <v/>
      </c>
      <c r="O275" s="172" t="str">
        <f t="shared" si="23"/>
        <v/>
      </c>
    </row>
    <row r="276" spans="5:15">
      <c r="E276" s="298"/>
      <c r="K276" s="171" t="str">
        <f t="shared" si="20"/>
        <v/>
      </c>
      <c r="L276" s="171" t="str">
        <f>IF(E276="","",IF(COUNTIFS(Table2[[#All],[De (Lote)]],Input_APM!F276)&gt;0,INDEX(Table2[[#All],[Para (Ticker Daniel)]],MATCH(Input_APM!F276,Table2[[#All],[De (Lote)]],0)),Input_APM!F276))</f>
        <v/>
      </c>
      <c r="M276" s="171" t="str">
        <f t="shared" si="21"/>
        <v/>
      </c>
      <c r="N276" s="172" t="str">
        <f t="shared" si="22"/>
        <v/>
      </c>
      <c r="O276" s="172" t="str">
        <f t="shared" si="23"/>
        <v/>
      </c>
    </row>
    <row r="277" spans="5:15">
      <c r="E277" s="298"/>
      <c r="K277" s="171" t="str">
        <f t="shared" si="20"/>
        <v/>
      </c>
      <c r="L277" s="171" t="str">
        <f>IF(E277="","",IF(COUNTIFS(Table2[[#All],[De (Lote)]],Input_APM!F277)&gt;0,INDEX(Table2[[#All],[Para (Ticker Daniel)]],MATCH(Input_APM!F277,Table2[[#All],[De (Lote)]],0)),Input_APM!F277))</f>
        <v/>
      </c>
      <c r="M277" s="171" t="str">
        <f t="shared" si="21"/>
        <v/>
      </c>
      <c r="N277" s="172" t="str">
        <f t="shared" si="22"/>
        <v/>
      </c>
      <c r="O277" s="172" t="str">
        <f t="shared" si="23"/>
        <v/>
      </c>
    </row>
    <row r="278" spans="5:15">
      <c r="E278" s="298"/>
      <c r="K278" s="171" t="str">
        <f t="shared" si="20"/>
        <v/>
      </c>
      <c r="L278" s="171" t="str">
        <f>IF(E278="","",IF(COUNTIFS(Table2[[#All],[De (Lote)]],Input_APM!F278)&gt;0,INDEX(Table2[[#All],[Para (Ticker Daniel)]],MATCH(Input_APM!F278,Table2[[#All],[De (Lote)]],0)),Input_APM!F278))</f>
        <v/>
      </c>
      <c r="M278" s="171" t="str">
        <f t="shared" si="21"/>
        <v/>
      </c>
      <c r="N278" s="172" t="str">
        <f t="shared" si="22"/>
        <v/>
      </c>
      <c r="O278" s="172" t="str">
        <f t="shared" si="23"/>
        <v/>
      </c>
    </row>
    <row r="279" spans="5:15">
      <c r="E279" s="298"/>
      <c r="K279" s="171" t="str">
        <f t="shared" si="20"/>
        <v/>
      </c>
      <c r="L279" s="171" t="str">
        <f>IF(E279="","",IF(COUNTIFS(Table2[[#All],[De (Lote)]],Input_APM!F279)&gt;0,INDEX(Table2[[#All],[Para (Ticker Daniel)]],MATCH(Input_APM!F279,Table2[[#All],[De (Lote)]],0)),Input_APM!F279))</f>
        <v/>
      </c>
      <c r="M279" s="171" t="str">
        <f t="shared" si="21"/>
        <v/>
      </c>
      <c r="N279" s="172" t="str">
        <f t="shared" si="22"/>
        <v/>
      </c>
      <c r="O279" s="172" t="str">
        <f t="shared" si="23"/>
        <v/>
      </c>
    </row>
    <row r="280" spans="5:15">
      <c r="E280" s="298"/>
      <c r="K280" s="171" t="str">
        <f t="shared" si="20"/>
        <v/>
      </c>
      <c r="L280" s="171" t="str">
        <f>IF(E280="","",IF(COUNTIFS(Table2[[#All],[De (Lote)]],Input_APM!F280)&gt;0,INDEX(Table2[[#All],[Para (Ticker Daniel)]],MATCH(Input_APM!F280,Table2[[#All],[De (Lote)]],0)),Input_APM!F280))</f>
        <v/>
      </c>
      <c r="M280" s="171" t="str">
        <f t="shared" si="21"/>
        <v/>
      </c>
      <c r="N280" s="172" t="str">
        <f t="shared" si="22"/>
        <v/>
      </c>
      <c r="O280" s="172" t="str">
        <f t="shared" si="23"/>
        <v/>
      </c>
    </row>
    <row r="281" spans="5:15">
      <c r="E281" s="298"/>
      <c r="K281" s="171" t="str">
        <f t="shared" si="20"/>
        <v/>
      </c>
      <c r="L281" s="171" t="str">
        <f>IF(E281="","",IF(COUNTIFS(Table2[[#All],[De (Lote)]],Input_APM!F281)&gt;0,INDEX(Table2[[#All],[Para (Ticker Daniel)]],MATCH(Input_APM!F281,Table2[[#All],[De (Lote)]],0)),Input_APM!F281))</f>
        <v/>
      </c>
      <c r="M281" s="171" t="str">
        <f t="shared" si="21"/>
        <v/>
      </c>
      <c r="N281" s="172" t="str">
        <f t="shared" si="22"/>
        <v/>
      </c>
      <c r="O281" s="172" t="str">
        <f t="shared" si="23"/>
        <v/>
      </c>
    </row>
    <row r="282" spans="5:15">
      <c r="E282" s="298"/>
      <c r="K282" s="171" t="str">
        <f t="shared" si="20"/>
        <v/>
      </c>
      <c r="L282" s="171" t="str">
        <f>IF(E282="","",IF(COUNTIFS(Table2[[#All],[De (Lote)]],Input_APM!F282)&gt;0,INDEX(Table2[[#All],[Para (Ticker Daniel)]],MATCH(Input_APM!F282,Table2[[#All],[De (Lote)]],0)),Input_APM!F282))</f>
        <v/>
      </c>
      <c r="M282" s="171" t="str">
        <f t="shared" si="21"/>
        <v/>
      </c>
      <c r="N282" s="172" t="str">
        <f t="shared" si="22"/>
        <v/>
      </c>
      <c r="O282" s="172" t="str">
        <f t="shared" si="23"/>
        <v/>
      </c>
    </row>
    <row r="283" spans="5:15">
      <c r="E283" s="298"/>
      <c r="K283" s="171" t="str">
        <f t="shared" si="20"/>
        <v/>
      </c>
      <c r="L283" s="171" t="str">
        <f>IF(E283="","",IF(COUNTIFS(Table2[[#All],[De (Lote)]],Input_APM!F283)&gt;0,INDEX(Table2[[#All],[Para (Ticker Daniel)]],MATCH(Input_APM!F283,Table2[[#All],[De (Lote)]],0)),Input_APM!F283))</f>
        <v/>
      </c>
      <c r="M283" s="171" t="str">
        <f t="shared" si="21"/>
        <v/>
      </c>
      <c r="N283" s="172" t="str">
        <f t="shared" si="22"/>
        <v/>
      </c>
      <c r="O283" s="172" t="str">
        <f t="shared" si="23"/>
        <v/>
      </c>
    </row>
    <row r="284" spans="5:15">
      <c r="E284" s="298"/>
      <c r="K284" s="171" t="str">
        <f t="shared" si="20"/>
        <v/>
      </c>
      <c r="L284" s="171" t="str">
        <f>IF(E284="","",IF(COUNTIFS(Table2[[#All],[De (Lote)]],Input_APM!F284)&gt;0,INDEX(Table2[[#All],[Para (Ticker Daniel)]],MATCH(Input_APM!F284,Table2[[#All],[De (Lote)]],0)),Input_APM!F284))</f>
        <v/>
      </c>
      <c r="M284" s="171" t="str">
        <f t="shared" si="21"/>
        <v/>
      </c>
      <c r="N284" s="172" t="str">
        <f t="shared" si="22"/>
        <v/>
      </c>
      <c r="O284" s="172" t="str">
        <f t="shared" si="23"/>
        <v/>
      </c>
    </row>
    <row r="285" spans="5:15">
      <c r="E285" s="298"/>
      <c r="K285" s="171" t="str">
        <f t="shared" si="20"/>
        <v/>
      </c>
      <c r="L285" s="171" t="str">
        <f>IF(E285="","",IF(COUNTIFS(Table2[[#All],[De (Lote)]],Input_APM!F285)&gt;0,INDEX(Table2[[#All],[Para (Ticker Daniel)]],MATCH(Input_APM!F285,Table2[[#All],[De (Lote)]],0)),Input_APM!F285))</f>
        <v/>
      </c>
      <c r="M285" s="171" t="str">
        <f t="shared" si="21"/>
        <v/>
      </c>
      <c r="N285" s="172" t="str">
        <f t="shared" si="22"/>
        <v/>
      </c>
      <c r="O285" s="172" t="str">
        <f t="shared" si="23"/>
        <v/>
      </c>
    </row>
    <row r="286" spans="5:15">
      <c r="E286" s="298"/>
      <c r="K286" s="171" t="str">
        <f t="shared" si="20"/>
        <v/>
      </c>
      <c r="L286" s="171" t="str">
        <f>IF(E286="","",IF(COUNTIFS(Table2[[#All],[De (Lote)]],Input_APM!F286)&gt;0,INDEX(Table2[[#All],[Para (Ticker Daniel)]],MATCH(Input_APM!F286,Table2[[#All],[De (Lote)]],0)),Input_APM!F286))</f>
        <v/>
      </c>
      <c r="M286" s="171" t="str">
        <f t="shared" si="21"/>
        <v/>
      </c>
      <c r="N286" s="172" t="str">
        <f t="shared" si="22"/>
        <v/>
      </c>
      <c r="O286" s="172" t="str">
        <f t="shared" si="23"/>
        <v/>
      </c>
    </row>
    <row r="287" spans="5:15">
      <c r="E287" s="298"/>
      <c r="K287" s="171" t="str">
        <f t="shared" si="20"/>
        <v/>
      </c>
      <c r="L287" s="171" t="str">
        <f>IF(E287="","",IF(COUNTIFS(Table2[[#All],[De (Lote)]],Input_APM!F287)&gt;0,INDEX(Table2[[#All],[Para (Ticker Daniel)]],MATCH(Input_APM!F287,Table2[[#All],[De (Lote)]],0)),Input_APM!F287))</f>
        <v/>
      </c>
      <c r="M287" s="171" t="str">
        <f t="shared" si="21"/>
        <v/>
      </c>
      <c r="N287" s="172" t="str">
        <f t="shared" si="22"/>
        <v/>
      </c>
      <c r="O287" s="172" t="str">
        <f t="shared" si="23"/>
        <v/>
      </c>
    </row>
    <row r="288" spans="5:15">
      <c r="E288" s="298"/>
      <c r="K288" s="171" t="str">
        <f t="shared" si="20"/>
        <v/>
      </c>
      <c r="L288" s="171" t="str">
        <f>IF(E288="","",IF(COUNTIFS(Table2[[#All],[De (Lote)]],Input_APM!F288)&gt;0,INDEX(Table2[[#All],[Para (Ticker Daniel)]],MATCH(Input_APM!F288,Table2[[#All],[De (Lote)]],0)),Input_APM!F288))</f>
        <v/>
      </c>
      <c r="M288" s="171" t="str">
        <f t="shared" si="21"/>
        <v/>
      </c>
      <c r="N288" s="172" t="str">
        <f t="shared" si="22"/>
        <v/>
      </c>
      <c r="O288" s="172" t="str">
        <f t="shared" si="23"/>
        <v/>
      </c>
    </row>
    <row r="289" spans="5:15">
      <c r="E289" s="298"/>
      <c r="K289" s="171" t="str">
        <f t="shared" si="20"/>
        <v/>
      </c>
      <c r="L289" s="171" t="str">
        <f>IF(E289="","",IF(COUNTIFS(Table2[[#All],[De (Lote)]],Input_APM!F289)&gt;0,INDEX(Table2[[#All],[Para (Ticker Daniel)]],MATCH(Input_APM!F289,Table2[[#All],[De (Lote)]],0)),Input_APM!F289))</f>
        <v/>
      </c>
      <c r="M289" s="171" t="str">
        <f t="shared" si="21"/>
        <v/>
      </c>
      <c r="N289" s="172" t="str">
        <f t="shared" si="22"/>
        <v/>
      </c>
      <c r="O289" s="172" t="str">
        <f t="shared" si="23"/>
        <v/>
      </c>
    </row>
    <row r="290" spans="5:15">
      <c r="E290" s="298"/>
      <c r="K290" s="171" t="str">
        <f t="shared" si="20"/>
        <v/>
      </c>
      <c r="L290" s="171" t="str">
        <f>IF(E290="","",IF(COUNTIFS(Table2[[#All],[De (Lote)]],Input_APM!F290)&gt;0,INDEX(Table2[[#All],[Para (Ticker Daniel)]],MATCH(Input_APM!F290,Table2[[#All],[De (Lote)]],0)),Input_APM!F290))</f>
        <v/>
      </c>
      <c r="M290" s="171" t="str">
        <f t="shared" si="21"/>
        <v/>
      </c>
      <c r="N290" s="172" t="str">
        <f t="shared" si="22"/>
        <v/>
      </c>
      <c r="O290" s="172" t="str">
        <f t="shared" si="23"/>
        <v/>
      </c>
    </row>
    <row r="291" spans="5:15">
      <c r="E291" s="298"/>
      <c r="K291" s="171" t="str">
        <f t="shared" si="20"/>
        <v/>
      </c>
      <c r="L291" s="171" t="str">
        <f>IF(E291="","",IF(COUNTIFS(Table2[[#All],[De (Lote)]],Input_APM!F291)&gt;0,INDEX(Table2[[#All],[Para (Ticker Daniel)]],MATCH(Input_APM!F291,Table2[[#All],[De (Lote)]],0)),Input_APM!F291))</f>
        <v/>
      </c>
      <c r="M291" s="171" t="str">
        <f t="shared" si="21"/>
        <v/>
      </c>
      <c r="N291" s="172" t="str">
        <f t="shared" si="22"/>
        <v/>
      </c>
      <c r="O291" s="172" t="str">
        <f t="shared" si="23"/>
        <v/>
      </c>
    </row>
    <row r="292" spans="5:15">
      <c r="E292" s="298"/>
      <c r="K292" s="171" t="str">
        <f t="shared" si="20"/>
        <v/>
      </c>
      <c r="L292" s="171" t="str">
        <f>IF(E292="","",IF(COUNTIFS(Table2[[#All],[De (Lote)]],Input_APM!F292)&gt;0,INDEX(Table2[[#All],[Para (Ticker Daniel)]],MATCH(Input_APM!F292,Table2[[#All],[De (Lote)]],0)),Input_APM!F292))</f>
        <v/>
      </c>
      <c r="M292" s="171" t="str">
        <f t="shared" si="21"/>
        <v/>
      </c>
      <c r="N292" s="172" t="str">
        <f t="shared" si="22"/>
        <v/>
      </c>
      <c r="O292" s="172" t="str">
        <f t="shared" si="23"/>
        <v/>
      </c>
    </row>
    <row r="293" spans="5:15">
      <c r="E293" s="298"/>
      <c r="K293" s="171" t="str">
        <f t="shared" si="20"/>
        <v/>
      </c>
      <c r="L293" s="171" t="str">
        <f>IF(E293="","",IF(COUNTIFS(Table2[[#All],[De (Lote)]],Input_APM!F293)&gt;0,INDEX(Table2[[#All],[Para (Ticker Daniel)]],MATCH(Input_APM!F293,Table2[[#All],[De (Lote)]],0)),Input_APM!F293))</f>
        <v/>
      </c>
      <c r="M293" s="171" t="str">
        <f t="shared" si="21"/>
        <v/>
      </c>
      <c r="N293" s="172" t="str">
        <f t="shared" si="22"/>
        <v/>
      </c>
      <c r="O293" s="172" t="str">
        <f t="shared" si="23"/>
        <v/>
      </c>
    </row>
    <row r="294" spans="5:15">
      <c r="E294" s="298"/>
      <c r="K294" s="171" t="str">
        <f t="shared" si="20"/>
        <v/>
      </c>
      <c r="L294" s="171" t="str">
        <f>IF(E294="","",IF(COUNTIFS(Table2[[#All],[De (Lote)]],Input_APM!F294)&gt;0,INDEX(Table2[[#All],[Para (Ticker Daniel)]],MATCH(Input_APM!F294,Table2[[#All],[De (Lote)]],0)),Input_APM!F294))</f>
        <v/>
      </c>
      <c r="M294" s="171" t="str">
        <f t="shared" si="21"/>
        <v/>
      </c>
      <c r="N294" s="172" t="str">
        <f t="shared" si="22"/>
        <v/>
      </c>
      <c r="O294" s="172" t="str">
        <f t="shared" si="23"/>
        <v/>
      </c>
    </row>
    <row r="295" spans="5:15">
      <c r="E295" s="298"/>
      <c r="K295" s="171" t="str">
        <f t="shared" si="20"/>
        <v/>
      </c>
      <c r="L295" s="171" t="str">
        <f>IF(E295="","",IF(COUNTIFS(Table2[[#All],[De (Lote)]],Input_APM!F295)&gt;0,INDEX(Table2[[#All],[Para (Ticker Daniel)]],MATCH(Input_APM!F295,Table2[[#All],[De (Lote)]],0)),Input_APM!F295))</f>
        <v/>
      </c>
      <c r="M295" s="171" t="str">
        <f t="shared" si="21"/>
        <v/>
      </c>
      <c r="N295" s="172" t="str">
        <f t="shared" si="22"/>
        <v/>
      </c>
      <c r="O295" s="172" t="str">
        <f t="shared" si="23"/>
        <v/>
      </c>
    </row>
    <row r="296" spans="5:15">
      <c r="E296" s="298"/>
      <c r="K296" s="171" t="str">
        <f t="shared" si="20"/>
        <v/>
      </c>
      <c r="L296" s="171" t="str">
        <f>IF(E296="","",IF(COUNTIFS(Table2[[#All],[De (Lote)]],Input_APM!F296)&gt;0,INDEX(Table2[[#All],[Para (Ticker Daniel)]],MATCH(Input_APM!F296,Table2[[#All],[De (Lote)]],0)),Input_APM!F296))</f>
        <v/>
      </c>
      <c r="M296" s="171" t="str">
        <f t="shared" si="21"/>
        <v/>
      </c>
      <c r="N296" s="172" t="str">
        <f t="shared" si="22"/>
        <v/>
      </c>
      <c r="O296" s="172" t="str">
        <f t="shared" si="23"/>
        <v/>
      </c>
    </row>
    <row r="297" spans="5:15">
      <c r="E297" s="298"/>
      <c r="K297" s="171" t="str">
        <f t="shared" si="20"/>
        <v/>
      </c>
      <c r="L297" s="171" t="str">
        <f>IF(E297="","",IF(COUNTIFS(Table2[[#All],[De (Lote)]],Input_APM!F297)&gt;0,INDEX(Table2[[#All],[Para (Ticker Daniel)]],MATCH(Input_APM!F297,Table2[[#All],[De (Lote)]],0)),Input_APM!F297))</f>
        <v/>
      </c>
      <c r="M297" s="171" t="str">
        <f t="shared" si="21"/>
        <v/>
      </c>
      <c r="N297" s="172" t="str">
        <f t="shared" si="22"/>
        <v/>
      </c>
      <c r="O297" s="172" t="str">
        <f t="shared" si="23"/>
        <v/>
      </c>
    </row>
    <row r="298" spans="5:15">
      <c r="E298" s="298"/>
      <c r="K298" s="171" t="str">
        <f t="shared" si="20"/>
        <v/>
      </c>
      <c r="L298" s="171" t="str">
        <f>IF(E298="","",IF(COUNTIFS(Table2[[#All],[De (Lote)]],Input_APM!F298)&gt;0,INDEX(Table2[[#All],[Para (Ticker Daniel)]],MATCH(Input_APM!F298,Table2[[#All],[De (Lote)]],0)),Input_APM!F298))</f>
        <v/>
      </c>
      <c r="M298" s="171" t="str">
        <f t="shared" si="21"/>
        <v/>
      </c>
      <c r="N298" s="172" t="str">
        <f t="shared" si="22"/>
        <v/>
      </c>
      <c r="O298" s="172" t="str">
        <f t="shared" si="23"/>
        <v/>
      </c>
    </row>
    <row r="299" spans="5:15">
      <c r="E299" s="298"/>
      <c r="K299" s="171" t="str">
        <f t="shared" si="20"/>
        <v/>
      </c>
      <c r="L299" s="171" t="str">
        <f>IF(E299="","",IF(COUNTIFS(Table2[[#All],[De (Lote)]],Input_APM!F299)&gt;0,INDEX(Table2[[#All],[Para (Ticker Daniel)]],MATCH(Input_APM!F299,Table2[[#All],[De (Lote)]],0)),Input_APM!F299))</f>
        <v/>
      </c>
      <c r="M299" s="171" t="str">
        <f t="shared" si="21"/>
        <v/>
      </c>
      <c r="N299" s="172" t="str">
        <f t="shared" si="22"/>
        <v/>
      </c>
      <c r="O299" s="172" t="str">
        <f t="shared" si="23"/>
        <v/>
      </c>
    </row>
    <row r="300" spans="5:15">
      <c r="E300" s="298"/>
      <c r="K300" s="171" t="str">
        <f t="shared" si="20"/>
        <v/>
      </c>
      <c r="L300" s="171" t="str">
        <f>IF(E300="","",IF(COUNTIFS(Table2[[#All],[De (Lote)]],Input_APM!F300)&gt;0,INDEX(Table2[[#All],[Para (Ticker Daniel)]],MATCH(Input_APM!F300,Table2[[#All],[De (Lote)]],0)),Input_APM!F300))</f>
        <v/>
      </c>
      <c r="M300" s="171" t="str">
        <f t="shared" si="21"/>
        <v/>
      </c>
      <c r="N300" s="172" t="str">
        <f t="shared" si="22"/>
        <v/>
      </c>
      <c r="O300" s="172" t="str">
        <f t="shared" si="23"/>
        <v/>
      </c>
    </row>
    <row r="301" spans="5:15">
      <c r="E301" s="298"/>
      <c r="K301" s="171" t="str">
        <f t="shared" si="20"/>
        <v/>
      </c>
      <c r="L301" s="171" t="str">
        <f>IF(E301="","",IF(COUNTIFS(Table2[[#All],[De (Lote)]],Input_APM!F301)&gt;0,INDEX(Table2[[#All],[Para (Ticker Daniel)]],MATCH(Input_APM!F301,Table2[[#All],[De (Lote)]],0)),Input_APM!F301))</f>
        <v/>
      </c>
      <c r="M301" s="171" t="str">
        <f t="shared" si="21"/>
        <v/>
      </c>
      <c r="N301" s="172" t="str">
        <f t="shared" si="22"/>
        <v/>
      </c>
      <c r="O301" s="172" t="str">
        <f t="shared" si="23"/>
        <v/>
      </c>
    </row>
    <row r="302" spans="5:15">
      <c r="E302" s="298"/>
      <c r="K302" s="171" t="str">
        <f t="shared" si="20"/>
        <v/>
      </c>
      <c r="L302" s="171" t="str">
        <f>IF(E302="","",IF(COUNTIFS(Table2[[#All],[De (Lote)]],Input_APM!F302)&gt;0,INDEX(Table2[[#All],[Para (Ticker Daniel)]],MATCH(Input_APM!F302,Table2[[#All],[De (Lote)]],0)),Input_APM!F302))</f>
        <v/>
      </c>
      <c r="M302" s="171" t="str">
        <f t="shared" si="21"/>
        <v/>
      </c>
      <c r="N302" s="172" t="str">
        <f t="shared" si="22"/>
        <v/>
      </c>
      <c r="O302" s="172" t="str">
        <f t="shared" si="23"/>
        <v/>
      </c>
    </row>
    <row r="303" spans="5:15">
      <c r="E303" s="298"/>
      <c r="K303" s="171" t="str">
        <f t="shared" si="20"/>
        <v/>
      </c>
      <c r="L303" s="171" t="str">
        <f>IF(E303="","",IF(COUNTIFS(Table2[[#All],[De (Lote)]],Input_APM!F303)&gt;0,INDEX(Table2[[#All],[Para (Ticker Daniel)]],MATCH(Input_APM!F303,Table2[[#All],[De (Lote)]],0)),Input_APM!F303))</f>
        <v/>
      </c>
      <c r="M303" s="171" t="str">
        <f t="shared" si="21"/>
        <v/>
      </c>
      <c r="N303" s="172" t="str">
        <f t="shared" si="22"/>
        <v/>
      </c>
      <c r="O303" s="172" t="str">
        <f t="shared" si="23"/>
        <v/>
      </c>
    </row>
    <row r="304" spans="5:15">
      <c r="E304" s="298"/>
      <c r="K304" s="171" t="str">
        <f t="shared" ref="K304:K355" si="24">IF(E304="","",E304)</f>
        <v/>
      </c>
      <c r="L304" s="171" t="str">
        <f>IF(E304="","",IF(COUNTIFS(Table2[[#All],[De (Lote)]],Input_APM!F304)&gt;0,INDEX(Table2[[#All],[Para (Ticker Daniel)]],MATCH(Input_APM!F304,Table2[[#All],[De (Lote)]],0)),Input_APM!F304))</f>
        <v/>
      </c>
      <c r="M304" s="171" t="str">
        <f t="shared" ref="M304:M355" si="25">IF(E304="","",G304)</f>
        <v/>
      </c>
      <c r="N304" s="172" t="str">
        <f t="shared" ref="N304:N355" si="26">IF(E304="","",H304)</f>
        <v/>
      </c>
      <c r="O304" s="172" t="str">
        <f t="shared" ref="O304:O355" si="27">IF(E304="","",I304)</f>
        <v/>
      </c>
    </row>
    <row r="305" spans="5:15">
      <c r="E305" s="298"/>
      <c r="K305" s="171" t="str">
        <f t="shared" si="24"/>
        <v/>
      </c>
      <c r="L305" s="171" t="str">
        <f>IF(E305="","",IF(COUNTIFS(Table2[[#All],[De (Lote)]],Input_APM!F305)&gt;0,INDEX(Table2[[#All],[Para (Ticker Daniel)]],MATCH(Input_APM!F305,Table2[[#All],[De (Lote)]],0)),Input_APM!F305))</f>
        <v/>
      </c>
      <c r="M305" s="171" t="str">
        <f t="shared" si="25"/>
        <v/>
      </c>
      <c r="N305" s="172" t="str">
        <f t="shared" si="26"/>
        <v/>
      </c>
      <c r="O305" s="172" t="str">
        <f t="shared" si="27"/>
        <v/>
      </c>
    </row>
    <row r="306" spans="5:15">
      <c r="E306" s="298"/>
      <c r="K306" s="171" t="str">
        <f t="shared" si="24"/>
        <v/>
      </c>
      <c r="L306" s="171" t="str">
        <f>IF(E306="","",IF(COUNTIFS(Table2[[#All],[De (Lote)]],Input_APM!F306)&gt;0,INDEX(Table2[[#All],[Para (Ticker Daniel)]],MATCH(Input_APM!F306,Table2[[#All],[De (Lote)]],0)),Input_APM!F306))</f>
        <v/>
      </c>
      <c r="M306" s="171" t="str">
        <f t="shared" si="25"/>
        <v/>
      </c>
      <c r="N306" s="172" t="str">
        <f t="shared" si="26"/>
        <v/>
      </c>
      <c r="O306" s="172" t="str">
        <f t="shared" si="27"/>
        <v/>
      </c>
    </row>
    <row r="307" spans="5:15">
      <c r="E307" s="298"/>
      <c r="K307" s="171" t="str">
        <f t="shared" si="24"/>
        <v/>
      </c>
      <c r="L307" s="171" t="str">
        <f>IF(E307="","",IF(COUNTIFS(Table2[[#All],[De (Lote)]],Input_APM!F307)&gt;0,INDEX(Table2[[#All],[Para (Ticker Daniel)]],MATCH(Input_APM!F307,Table2[[#All],[De (Lote)]],0)),Input_APM!F307))</f>
        <v/>
      </c>
      <c r="M307" s="171" t="str">
        <f t="shared" si="25"/>
        <v/>
      </c>
      <c r="N307" s="172" t="str">
        <f t="shared" si="26"/>
        <v/>
      </c>
      <c r="O307" s="172" t="str">
        <f t="shared" si="27"/>
        <v/>
      </c>
    </row>
    <row r="308" spans="5:15">
      <c r="E308" s="298"/>
      <c r="K308" s="171" t="str">
        <f t="shared" si="24"/>
        <v/>
      </c>
      <c r="L308" s="171" t="str">
        <f>IF(E308="","",IF(COUNTIFS(Table2[[#All],[De (Lote)]],Input_APM!F308)&gt;0,INDEX(Table2[[#All],[Para (Ticker Daniel)]],MATCH(Input_APM!F308,Table2[[#All],[De (Lote)]],0)),Input_APM!F308))</f>
        <v/>
      </c>
      <c r="M308" s="171" t="str">
        <f t="shared" si="25"/>
        <v/>
      </c>
      <c r="N308" s="172" t="str">
        <f t="shared" si="26"/>
        <v/>
      </c>
      <c r="O308" s="172" t="str">
        <f t="shared" si="27"/>
        <v/>
      </c>
    </row>
    <row r="309" spans="5:15">
      <c r="E309" s="298"/>
      <c r="K309" s="171" t="str">
        <f t="shared" si="24"/>
        <v/>
      </c>
      <c r="L309" s="171" t="str">
        <f>IF(E309="","",IF(COUNTIFS(Table2[[#All],[De (Lote)]],Input_APM!F309)&gt;0,INDEX(Table2[[#All],[Para (Ticker Daniel)]],MATCH(Input_APM!F309,Table2[[#All],[De (Lote)]],0)),Input_APM!F309))</f>
        <v/>
      </c>
      <c r="M309" s="171" t="str">
        <f t="shared" si="25"/>
        <v/>
      </c>
      <c r="N309" s="172" t="str">
        <f t="shared" si="26"/>
        <v/>
      </c>
      <c r="O309" s="172" t="str">
        <f t="shared" si="27"/>
        <v/>
      </c>
    </row>
    <row r="310" spans="5:15">
      <c r="E310" s="298"/>
      <c r="K310" s="171" t="str">
        <f t="shared" si="24"/>
        <v/>
      </c>
      <c r="L310" s="171" t="str">
        <f>IF(E310="","",IF(COUNTIFS(Table2[[#All],[De (Lote)]],Input_APM!F310)&gt;0,INDEX(Table2[[#All],[Para (Ticker Daniel)]],MATCH(Input_APM!F310,Table2[[#All],[De (Lote)]],0)),Input_APM!F310))</f>
        <v/>
      </c>
      <c r="M310" s="171" t="str">
        <f t="shared" si="25"/>
        <v/>
      </c>
      <c r="N310" s="172" t="str">
        <f t="shared" si="26"/>
        <v/>
      </c>
      <c r="O310" s="172" t="str">
        <f t="shared" si="27"/>
        <v/>
      </c>
    </row>
    <row r="311" spans="5:15">
      <c r="E311" s="298"/>
      <c r="K311" s="171" t="str">
        <f t="shared" si="24"/>
        <v/>
      </c>
      <c r="L311" s="171" t="str">
        <f>IF(E311="","",IF(COUNTIFS(Table2[[#All],[De (Lote)]],Input_APM!F311)&gt;0,INDEX(Table2[[#All],[Para (Ticker Daniel)]],MATCH(Input_APM!F311,Table2[[#All],[De (Lote)]],0)),Input_APM!F311))</f>
        <v/>
      </c>
      <c r="M311" s="171" t="str">
        <f t="shared" si="25"/>
        <v/>
      </c>
      <c r="N311" s="172" t="str">
        <f t="shared" si="26"/>
        <v/>
      </c>
      <c r="O311" s="172" t="str">
        <f t="shared" si="27"/>
        <v/>
      </c>
    </row>
    <row r="312" spans="5:15">
      <c r="E312" s="298"/>
      <c r="K312" s="171" t="str">
        <f t="shared" si="24"/>
        <v/>
      </c>
      <c r="L312" s="171" t="str">
        <f>IF(E312="","",IF(COUNTIFS(Table2[[#All],[De (Lote)]],Input_APM!F312)&gt;0,INDEX(Table2[[#All],[Para (Ticker Daniel)]],MATCH(Input_APM!F312,Table2[[#All],[De (Lote)]],0)),Input_APM!F312))</f>
        <v/>
      </c>
      <c r="M312" s="171" t="str">
        <f t="shared" si="25"/>
        <v/>
      </c>
      <c r="N312" s="172" t="str">
        <f t="shared" si="26"/>
        <v/>
      </c>
      <c r="O312" s="172" t="str">
        <f t="shared" si="27"/>
        <v/>
      </c>
    </row>
    <row r="313" spans="5:15">
      <c r="E313" s="298"/>
      <c r="K313" s="171" t="str">
        <f t="shared" si="24"/>
        <v/>
      </c>
      <c r="L313" s="171" t="str">
        <f>IF(E313="","",IF(COUNTIFS(Table2[[#All],[De (Lote)]],Input_APM!F313)&gt;0,INDEX(Table2[[#All],[Para (Ticker Daniel)]],MATCH(Input_APM!F313,Table2[[#All],[De (Lote)]],0)),Input_APM!F313))</f>
        <v/>
      </c>
      <c r="M313" s="171" t="str">
        <f t="shared" si="25"/>
        <v/>
      </c>
      <c r="N313" s="172" t="str">
        <f t="shared" si="26"/>
        <v/>
      </c>
      <c r="O313" s="172" t="str">
        <f t="shared" si="27"/>
        <v/>
      </c>
    </row>
    <row r="314" spans="5:15">
      <c r="E314" s="298"/>
      <c r="K314" s="171" t="str">
        <f t="shared" si="24"/>
        <v/>
      </c>
      <c r="L314" s="171" t="str">
        <f>IF(E314="","",IF(COUNTIFS(Table2[[#All],[De (Lote)]],Input_APM!F314)&gt;0,INDEX(Table2[[#All],[Para (Ticker Daniel)]],MATCH(Input_APM!F314,Table2[[#All],[De (Lote)]],0)),Input_APM!F314))</f>
        <v/>
      </c>
      <c r="M314" s="171" t="str">
        <f t="shared" si="25"/>
        <v/>
      </c>
      <c r="N314" s="172" t="str">
        <f t="shared" si="26"/>
        <v/>
      </c>
      <c r="O314" s="172" t="str">
        <f t="shared" si="27"/>
        <v/>
      </c>
    </row>
    <row r="315" spans="5:15">
      <c r="E315" s="298"/>
      <c r="K315" s="171" t="str">
        <f t="shared" si="24"/>
        <v/>
      </c>
      <c r="L315" s="171" t="str">
        <f>IF(E315="","",IF(COUNTIFS(Table2[[#All],[De (Lote)]],Input_APM!F315)&gt;0,INDEX(Table2[[#All],[Para (Ticker Daniel)]],MATCH(Input_APM!F315,Table2[[#All],[De (Lote)]],0)),Input_APM!F315))</f>
        <v/>
      </c>
      <c r="M315" s="171" t="str">
        <f t="shared" si="25"/>
        <v/>
      </c>
      <c r="N315" s="172" t="str">
        <f t="shared" si="26"/>
        <v/>
      </c>
      <c r="O315" s="172" t="str">
        <f t="shared" si="27"/>
        <v/>
      </c>
    </row>
    <row r="316" spans="5:15">
      <c r="E316" s="298"/>
      <c r="K316" s="171" t="str">
        <f t="shared" si="24"/>
        <v/>
      </c>
      <c r="L316" s="171" t="str">
        <f>IF(E316="","",IF(COUNTIFS(Table2[[#All],[De (Lote)]],Input_APM!F316)&gt;0,INDEX(Table2[[#All],[Para (Ticker Daniel)]],MATCH(Input_APM!F316,Table2[[#All],[De (Lote)]],0)),Input_APM!F316))</f>
        <v/>
      </c>
      <c r="M316" s="171" t="str">
        <f t="shared" si="25"/>
        <v/>
      </c>
      <c r="N316" s="172" t="str">
        <f t="shared" si="26"/>
        <v/>
      </c>
      <c r="O316" s="172" t="str">
        <f t="shared" si="27"/>
        <v/>
      </c>
    </row>
    <row r="317" spans="5:15">
      <c r="E317" s="298"/>
      <c r="K317" s="171" t="str">
        <f t="shared" si="24"/>
        <v/>
      </c>
      <c r="L317" s="171" t="str">
        <f>IF(E317="","",IF(COUNTIFS(Table2[[#All],[De (Lote)]],Input_APM!F317)&gt;0,INDEX(Table2[[#All],[Para (Ticker Daniel)]],MATCH(Input_APM!F317,Table2[[#All],[De (Lote)]],0)),Input_APM!F317))</f>
        <v/>
      </c>
      <c r="M317" s="171" t="str">
        <f t="shared" si="25"/>
        <v/>
      </c>
      <c r="N317" s="172" t="str">
        <f t="shared" si="26"/>
        <v/>
      </c>
      <c r="O317" s="172" t="str">
        <f t="shared" si="27"/>
        <v/>
      </c>
    </row>
    <row r="318" spans="5:15">
      <c r="E318" s="298"/>
      <c r="K318" s="171" t="str">
        <f t="shared" si="24"/>
        <v/>
      </c>
      <c r="L318" s="171" t="str">
        <f>IF(E318="","",IF(COUNTIFS(Table2[[#All],[De (Lote)]],Input_APM!F318)&gt;0,INDEX(Table2[[#All],[Para (Ticker Daniel)]],MATCH(Input_APM!F318,Table2[[#All],[De (Lote)]],0)),Input_APM!F318))</f>
        <v/>
      </c>
      <c r="M318" s="171" t="str">
        <f t="shared" si="25"/>
        <v/>
      </c>
      <c r="N318" s="172" t="str">
        <f t="shared" si="26"/>
        <v/>
      </c>
      <c r="O318" s="172" t="str">
        <f t="shared" si="27"/>
        <v/>
      </c>
    </row>
    <row r="319" spans="5:15">
      <c r="E319" s="298"/>
      <c r="K319" s="171" t="str">
        <f t="shared" si="24"/>
        <v/>
      </c>
      <c r="L319" s="171" t="str">
        <f>IF(E319="","",IF(COUNTIFS(Table2[[#All],[De (Lote)]],Input_APM!F319)&gt;0,INDEX(Table2[[#All],[Para (Ticker Daniel)]],MATCH(Input_APM!F319,Table2[[#All],[De (Lote)]],0)),Input_APM!F319))</f>
        <v/>
      </c>
      <c r="M319" s="171" t="str">
        <f t="shared" si="25"/>
        <v/>
      </c>
      <c r="N319" s="172" t="str">
        <f t="shared" si="26"/>
        <v/>
      </c>
      <c r="O319" s="172" t="str">
        <f t="shared" si="27"/>
        <v/>
      </c>
    </row>
    <row r="320" spans="5:15">
      <c r="E320" s="298"/>
      <c r="K320" s="171" t="str">
        <f t="shared" si="24"/>
        <v/>
      </c>
      <c r="L320" s="171" t="str">
        <f>IF(E320="","",IF(COUNTIFS(Table2[[#All],[De (Lote)]],Input_APM!F320)&gt;0,INDEX(Table2[[#All],[Para (Ticker Daniel)]],MATCH(Input_APM!F320,Table2[[#All],[De (Lote)]],0)),Input_APM!F320))</f>
        <v/>
      </c>
      <c r="M320" s="171" t="str">
        <f t="shared" si="25"/>
        <v/>
      </c>
      <c r="N320" s="172" t="str">
        <f t="shared" si="26"/>
        <v/>
      </c>
      <c r="O320" s="172" t="str">
        <f t="shared" si="27"/>
        <v/>
      </c>
    </row>
    <row r="321" spans="5:15">
      <c r="E321" s="298"/>
      <c r="K321" s="171" t="str">
        <f t="shared" si="24"/>
        <v/>
      </c>
      <c r="L321" s="171" t="str">
        <f>IF(E321="","",IF(COUNTIFS(Table2[[#All],[De (Lote)]],Input_APM!F321)&gt;0,INDEX(Table2[[#All],[Para (Ticker Daniel)]],MATCH(Input_APM!F321,Table2[[#All],[De (Lote)]],0)),Input_APM!F321))</f>
        <v/>
      </c>
      <c r="M321" s="171" t="str">
        <f t="shared" si="25"/>
        <v/>
      </c>
      <c r="N321" s="172" t="str">
        <f t="shared" si="26"/>
        <v/>
      </c>
      <c r="O321" s="172" t="str">
        <f t="shared" si="27"/>
        <v/>
      </c>
    </row>
    <row r="322" spans="5:15">
      <c r="E322" s="298"/>
      <c r="K322" s="171" t="str">
        <f t="shared" si="24"/>
        <v/>
      </c>
      <c r="L322" s="171" t="str">
        <f>IF(E322="","",IF(COUNTIFS(Table2[[#All],[De (Lote)]],Input_APM!F322)&gt;0,INDEX(Table2[[#All],[Para (Ticker Daniel)]],MATCH(Input_APM!F322,Table2[[#All],[De (Lote)]],0)),Input_APM!F322))</f>
        <v/>
      </c>
      <c r="M322" s="171" t="str">
        <f t="shared" si="25"/>
        <v/>
      </c>
      <c r="N322" s="172" t="str">
        <f t="shared" si="26"/>
        <v/>
      </c>
      <c r="O322" s="172" t="str">
        <f t="shared" si="27"/>
        <v/>
      </c>
    </row>
    <row r="323" spans="5:15">
      <c r="E323" s="298"/>
      <c r="K323" s="171" t="str">
        <f t="shared" si="24"/>
        <v/>
      </c>
      <c r="L323" s="171" t="str">
        <f>IF(E323="","",IF(COUNTIFS(Table2[[#All],[De (Lote)]],Input_APM!F323)&gt;0,INDEX(Table2[[#All],[Para (Ticker Daniel)]],MATCH(Input_APM!F323,Table2[[#All],[De (Lote)]],0)),Input_APM!F323))</f>
        <v/>
      </c>
      <c r="M323" s="171" t="str">
        <f t="shared" si="25"/>
        <v/>
      </c>
      <c r="N323" s="172" t="str">
        <f t="shared" si="26"/>
        <v/>
      </c>
      <c r="O323" s="172" t="str">
        <f t="shared" si="27"/>
        <v/>
      </c>
    </row>
    <row r="324" spans="5:15">
      <c r="E324" s="298"/>
      <c r="K324" s="171" t="str">
        <f t="shared" si="24"/>
        <v/>
      </c>
      <c r="L324" s="171" t="str">
        <f>IF(E324="","",IF(COUNTIFS(Table2[[#All],[De (Lote)]],Input_APM!F324)&gt;0,INDEX(Table2[[#All],[Para (Ticker Daniel)]],MATCH(Input_APM!F324,Table2[[#All],[De (Lote)]],0)),Input_APM!F324))</f>
        <v/>
      </c>
      <c r="M324" s="171" t="str">
        <f t="shared" si="25"/>
        <v/>
      </c>
      <c r="N324" s="172" t="str">
        <f t="shared" si="26"/>
        <v/>
      </c>
      <c r="O324" s="172" t="str">
        <f t="shared" si="27"/>
        <v/>
      </c>
    </row>
    <row r="325" spans="5:15">
      <c r="E325" s="298"/>
      <c r="K325" s="171" t="str">
        <f t="shared" si="24"/>
        <v/>
      </c>
      <c r="L325" s="171" t="str">
        <f>IF(E325="","",IF(COUNTIFS(Table2[[#All],[De (Lote)]],Input_APM!F325)&gt;0,INDEX(Table2[[#All],[Para (Ticker Daniel)]],MATCH(Input_APM!F325,Table2[[#All],[De (Lote)]],0)),Input_APM!F325))</f>
        <v/>
      </c>
      <c r="M325" s="171" t="str">
        <f t="shared" si="25"/>
        <v/>
      </c>
      <c r="N325" s="172" t="str">
        <f t="shared" si="26"/>
        <v/>
      </c>
      <c r="O325" s="172" t="str">
        <f t="shared" si="27"/>
        <v/>
      </c>
    </row>
    <row r="326" spans="5:15">
      <c r="E326" s="298"/>
      <c r="K326" s="171" t="str">
        <f t="shared" si="24"/>
        <v/>
      </c>
      <c r="L326" s="171" t="str">
        <f>IF(E326="","",IF(COUNTIFS(Table2[[#All],[De (Lote)]],Input_APM!F326)&gt;0,INDEX(Table2[[#All],[Para (Ticker Daniel)]],MATCH(Input_APM!F326,Table2[[#All],[De (Lote)]],0)),Input_APM!F326))</f>
        <v/>
      </c>
      <c r="M326" s="171" t="str">
        <f t="shared" si="25"/>
        <v/>
      </c>
      <c r="N326" s="172" t="str">
        <f t="shared" si="26"/>
        <v/>
      </c>
      <c r="O326" s="172" t="str">
        <f t="shared" si="27"/>
        <v/>
      </c>
    </row>
    <row r="327" spans="5:15">
      <c r="E327" s="298"/>
      <c r="K327" s="171" t="str">
        <f t="shared" si="24"/>
        <v/>
      </c>
      <c r="L327" s="171" t="str">
        <f>IF(E327="","",IF(COUNTIFS(Table2[[#All],[De (Lote)]],Input_APM!F327)&gt;0,INDEX(Table2[[#All],[Para (Ticker Daniel)]],MATCH(Input_APM!F327,Table2[[#All],[De (Lote)]],0)),Input_APM!F327))</f>
        <v/>
      </c>
      <c r="M327" s="171" t="str">
        <f t="shared" si="25"/>
        <v/>
      </c>
      <c r="N327" s="172" t="str">
        <f t="shared" si="26"/>
        <v/>
      </c>
      <c r="O327" s="172" t="str">
        <f t="shared" si="27"/>
        <v/>
      </c>
    </row>
    <row r="328" spans="5:15">
      <c r="E328" s="298"/>
      <c r="K328" s="171" t="str">
        <f t="shared" si="24"/>
        <v/>
      </c>
      <c r="L328" s="171" t="str">
        <f>IF(E328="","",IF(COUNTIFS(Table2[[#All],[De (Lote)]],Input_APM!F328)&gt;0,INDEX(Table2[[#All],[Para (Ticker Daniel)]],MATCH(Input_APM!F328,Table2[[#All],[De (Lote)]],0)),Input_APM!F328))</f>
        <v/>
      </c>
      <c r="M328" s="171" t="str">
        <f t="shared" si="25"/>
        <v/>
      </c>
      <c r="N328" s="172" t="str">
        <f t="shared" si="26"/>
        <v/>
      </c>
      <c r="O328" s="172" t="str">
        <f t="shared" si="27"/>
        <v/>
      </c>
    </row>
    <row r="329" spans="5:15">
      <c r="E329" s="298"/>
      <c r="K329" s="171" t="str">
        <f t="shared" si="24"/>
        <v/>
      </c>
      <c r="L329" s="171" t="str">
        <f>IF(E329="","",IF(COUNTIFS(Table2[[#All],[De (Lote)]],Input_APM!F329)&gt;0,INDEX(Table2[[#All],[Para (Ticker Daniel)]],MATCH(Input_APM!F329,Table2[[#All],[De (Lote)]],0)),Input_APM!F329))</f>
        <v/>
      </c>
      <c r="M329" s="171" t="str">
        <f t="shared" si="25"/>
        <v/>
      </c>
      <c r="N329" s="172" t="str">
        <f t="shared" si="26"/>
        <v/>
      </c>
      <c r="O329" s="172" t="str">
        <f t="shared" si="27"/>
        <v/>
      </c>
    </row>
    <row r="330" spans="5:15">
      <c r="E330" s="298"/>
      <c r="K330" s="171" t="str">
        <f t="shared" si="24"/>
        <v/>
      </c>
      <c r="L330" s="171" t="str">
        <f>IF(E330="","",IF(COUNTIFS(Table2[[#All],[De (Lote)]],Input_APM!F330)&gt;0,INDEX(Table2[[#All],[Para (Ticker Daniel)]],MATCH(Input_APM!F330,Table2[[#All],[De (Lote)]],0)),Input_APM!F330))</f>
        <v/>
      </c>
      <c r="M330" s="171" t="str">
        <f t="shared" si="25"/>
        <v/>
      </c>
      <c r="N330" s="172" t="str">
        <f t="shared" si="26"/>
        <v/>
      </c>
      <c r="O330" s="172" t="str">
        <f t="shared" si="27"/>
        <v/>
      </c>
    </row>
    <row r="331" spans="5:15">
      <c r="E331" s="298"/>
      <c r="K331" s="171" t="str">
        <f t="shared" si="24"/>
        <v/>
      </c>
      <c r="L331" s="171" t="str">
        <f>IF(E331="","",IF(COUNTIFS(Table2[[#All],[De (Lote)]],Input_APM!F331)&gt;0,INDEX(Table2[[#All],[Para (Ticker Daniel)]],MATCH(Input_APM!F331,Table2[[#All],[De (Lote)]],0)),Input_APM!F331))</f>
        <v/>
      </c>
      <c r="M331" s="171" t="str">
        <f t="shared" si="25"/>
        <v/>
      </c>
      <c r="N331" s="172" t="str">
        <f t="shared" si="26"/>
        <v/>
      </c>
      <c r="O331" s="172" t="str">
        <f t="shared" si="27"/>
        <v/>
      </c>
    </row>
    <row r="332" spans="5:15">
      <c r="E332" s="298"/>
      <c r="K332" s="171" t="str">
        <f t="shared" si="24"/>
        <v/>
      </c>
      <c r="L332" s="171" t="str">
        <f>IF(E332="","",IF(COUNTIFS(Table2[[#All],[De (Lote)]],Input_APM!F332)&gt;0,INDEX(Table2[[#All],[Para (Ticker Daniel)]],MATCH(Input_APM!F332,Table2[[#All],[De (Lote)]],0)),Input_APM!F332))</f>
        <v/>
      </c>
      <c r="M332" s="171" t="str">
        <f t="shared" si="25"/>
        <v/>
      </c>
      <c r="N332" s="172" t="str">
        <f t="shared" si="26"/>
        <v/>
      </c>
      <c r="O332" s="172" t="str">
        <f t="shared" si="27"/>
        <v/>
      </c>
    </row>
    <row r="333" spans="5:15">
      <c r="E333" s="298"/>
      <c r="K333" s="171" t="str">
        <f t="shared" si="24"/>
        <v/>
      </c>
      <c r="L333" s="171" t="str">
        <f>IF(E333="","",IF(COUNTIFS(Table2[[#All],[De (Lote)]],Input_APM!F333)&gt;0,INDEX(Table2[[#All],[Para (Ticker Daniel)]],MATCH(Input_APM!F333,Table2[[#All],[De (Lote)]],0)),Input_APM!F333))</f>
        <v/>
      </c>
      <c r="M333" s="171" t="str">
        <f t="shared" si="25"/>
        <v/>
      </c>
      <c r="N333" s="172" t="str">
        <f t="shared" si="26"/>
        <v/>
      </c>
      <c r="O333" s="172" t="str">
        <f t="shared" si="27"/>
        <v/>
      </c>
    </row>
    <row r="334" spans="5:15">
      <c r="E334" s="298"/>
      <c r="K334" s="171" t="str">
        <f t="shared" si="24"/>
        <v/>
      </c>
      <c r="L334" s="171" t="str">
        <f>IF(E334="","",IF(COUNTIFS(Table2[[#All],[De (Lote)]],Input_APM!F334)&gt;0,INDEX(Table2[[#All],[Para (Ticker Daniel)]],MATCH(Input_APM!F334,Table2[[#All],[De (Lote)]],0)),Input_APM!F334))</f>
        <v/>
      </c>
      <c r="M334" s="171" t="str">
        <f t="shared" si="25"/>
        <v/>
      </c>
      <c r="N334" s="172" t="str">
        <f t="shared" si="26"/>
        <v/>
      </c>
      <c r="O334" s="172" t="str">
        <f t="shared" si="27"/>
        <v/>
      </c>
    </row>
    <row r="335" spans="5:15">
      <c r="E335" s="298"/>
      <c r="K335" s="171" t="str">
        <f t="shared" si="24"/>
        <v/>
      </c>
      <c r="L335" s="171" t="str">
        <f>IF(E335="","",IF(COUNTIFS(Table2[[#All],[De (Lote)]],Input_APM!F335)&gt;0,INDEX(Table2[[#All],[Para (Ticker Daniel)]],MATCH(Input_APM!F335,Table2[[#All],[De (Lote)]],0)),Input_APM!F335))</f>
        <v/>
      </c>
      <c r="M335" s="171" t="str">
        <f t="shared" si="25"/>
        <v/>
      </c>
      <c r="N335" s="172" t="str">
        <f t="shared" si="26"/>
        <v/>
      </c>
      <c r="O335" s="172" t="str">
        <f t="shared" si="27"/>
        <v/>
      </c>
    </row>
    <row r="336" spans="5:15">
      <c r="E336" s="298"/>
      <c r="K336" s="171" t="str">
        <f t="shared" si="24"/>
        <v/>
      </c>
      <c r="L336" s="171" t="str">
        <f>IF(E336="","",IF(COUNTIFS(Table2[[#All],[De (Lote)]],Input_APM!F336)&gt;0,INDEX(Table2[[#All],[Para (Ticker Daniel)]],MATCH(Input_APM!F336,Table2[[#All],[De (Lote)]],0)),Input_APM!F336))</f>
        <v/>
      </c>
      <c r="M336" s="171" t="str">
        <f t="shared" si="25"/>
        <v/>
      </c>
      <c r="N336" s="172" t="str">
        <f t="shared" si="26"/>
        <v/>
      </c>
      <c r="O336" s="172" t="str">
        <f t="shared" si="27"/>
        <v/>
      </c>
    </row>
    <row r="337" spans="5:15">
      <c r="E337" s="298"/>
      <c r="K337" s="171" t="str">
        <f t="shared" si="24"/>
        <v/>
      </c>
      <c r="L337" s="171" t="str">
        <f>IF(E337="","",IF(COUNTIFS(Table2[[#All],[De (Lote)]],Input_APM!F337)&gt;0,INDEX(Table2[[#All],[Para (Ticker Daniel)]],MATCH(Input_APM!F337,Table2[[#All],[De (Lote)]],0)),Input_APM!F337))</f>
        <v/>
      </c>
      <c r="M337" s="171" t="str">
        <f t="shared" si="25"/>
        <v/>
      </c>
      <c r="N337" s="172" t="str">
        <f t="shared" si="26"/>
        <v/>
      </c>
      <c r="O337" s="172" t="str">
        <f t="shared" si="27"/>
        <v/>
      </c>
    </row>
    <row r="338" spans="5:15">
      <c r="E338" s="298"/>
      <c r="K338" s="171" t="str">
        <f t="shared" si="24"/>
        <v/>
      </c>
      <c r="L338" s="171" t="str">
        <f>IF(E338="","",IF(COUNTIFS(Table2[[#All],[De (Lote)]],Input_APM!F338)&gt;0,INDEX(Table2[[#All],[Para (Ticker Daniel)]],MATCH(Input_APM!F338,Table2[[#All],[De (Lote)]],0)),Input_APM!F338))</f>
        <v/>
      </c>
      <c r="M338" s="171" t="str">
        <f t="shared" si="25"/>
        <v/>
      </c>
      <c r="N338" s="172" t="str">
        <f t="shared" si="26"/>
        <v/>
      </c>
      <c r="O338" s="172" t="str">
        <f t="shared" si="27"/>
        <v/>
      </c>
    </row>
    <row r="339" spans="5:15">
      <c r="E339" s="298"/>
      <c r="K339" s="171" t="str">
        <f t="shared" si="24"/>
        <v/>
      </c>
      <c r="L339" s="171" t="str">
        <f>IF(E339="","",IF(COUNTIFS(Table2[[#All],[De (Lote)]],Input_APM!F339)&gt;0,INDEX(Table2[[#All],[Para (Ticker Daniel)]],MATCH(Input_APM!F339,Table2[[#All],[De (Lote)]],0)),Input_APM!F339))</f>
        <v/>
      </c>
      <c r="M339" s="171" t="str">
        <f t="shared" si="25"/>
        <v/>
      </c>
      <c r="N339" s="172" t="str">
        <f t="shared" si="26"/>
        <v/>
      </c>
      <c r="O339" s="172" t="str">
        <f t="shared" si="27"/>
        <v/>
      </c>
    </row>
    <row r="340" spans="5:15">
      <c r="E340" s="298"/>
      <c r="K340" s="171" t="str">
        <f t="shared" si="24"/>
        <v/>
      </c>
      <c r="L340" s="171" t="str">
        <f>IF(E340="","",IF(COUNTIFS(Table2[[#All],[De (Lote)]],Input_APM!F340)&gt;0,INDEX(Table2[[#All],[Para (Ticker Daniel)]],MATCH(Input_APM!F340,Table2[[#All],[De (Lote)]],0)),Input_APM!F340))</f>
        <v/>
      </c>
      <c r="M340" s="171" t="str">
        <f t="shared" si="25"/>
        <v/>
      </c>
      <c r="N340" s="172" t="str">
        <f t="shared" si="26"/>
        <v/>
      </c>
      <c r="O340" s="172" t="str">
        <f t="shared" si="27"/>
        <v/>
      </c>
    </row>
    <row r="341" spans="5:15">
      <c r="E341" s="298"/>
      <c r="K341" s="171" t="str">
        <f t="shared" si="24"/>
        <v/>
      </c>
      <c r="L341" s="171" t="str">
        <f>IF(E341="","",IF(COUNTIFS(Table2[[#All],[De (Lote)]],Input_APM!F341)&gt;0,INDEX(Table2[[#All],[Para (Ticker Daniel)]],MATCH(Input_APM!F341,Table2[[#All],[De (Lote)]],0)),Input_APM!F341))</f>
        <v/>
      </c>
      <c r="M341" s="171" t="str">
        <f t="shared" si="25"/>
        <v/>
      </c>
      <c r="N341" s="172" t="str">
        <f t="shared" si="26"/>
        <v/>
      </c>
      <c r="O341" s="172" t="str">
        <f t="shared" si="27"/>
        <v/>
      </c>
    </row>
    <row r="342" spans="5:15">
      <c r="E342" s="298"/>
      <c r="K342" s="171" t="str">
        <f t="shared" si="24"/>
        <v/>
      </c>
      <c r="L342" s="171" t="str">
        <f>IF(E342="","",IF(COUNTIFS(Table2[[#All],[De (Lote)]],Input_APM!F342)&gt;0,INDEX(Table2[[#All],[Para (Ticker Daniel)]],MATCH(Input_APM!F342,Table2[[#All],[De (Lote)]],0)),Input_APM!F342))</f>
        <v/>
      </c>
      <c r="M342" s="171" t="str">
        <f t="shared" si="25"/>
        <v/>
      </c>
      <c r="N342" s="172" t="str">
        <f t="shared" si="26"/>
        <v/>
      </c>
      <c r="O342" s="172" t="str">
        <f t="shared" si="27"/>
        <v/>
      </c>
    </row>
    <row r="343" spans="5:15">
      <c r="E343" s="298"/>
      <c r="K343" s="171" t="str">
        <f t="shared" si="24"/>
        <v/>
      </c>
      <c r="L343" s="171" t="str">
        <f>IF(E343="","",IF(COUNTIFS(Table2[[#All],[De (Lote)]],Input_APM!F343)&gt;0,INDEX(Table2[[#All],[Para (Ticker Daniel)]],MATCH(Input_APM!F343,Table2[[#All],[De (Lote)]],0)),Input_APM!F343))</f>
        <v/>
      </c>
      <c r="M343" s="171" t="str">
        <f t="shared" si="25"/>
        <v/>
      </c>
      <c r="N343" s="172" t="str">
        <f t="shared" si="26"/>
        <v/>
      </c>
      <c r="O343" s="172" t="str">
        <f t="shared" si="27"/>
        <v/>
      </c>
    </row>
    <row r="344" spans="5:15">
      <c r="E344" s="298"/>
      <c r="K344" s="171" t="str">
        <f t="shared" si="24"/>
        <v/>
      </c>
      <c r="L344" s="171" t="str">
        <f>IF(E344="","",IF(COUNTIFS(Table2[[#All],[De (Lote)]],Input_APM!F344)&gt;0,INDEX(Table2[[#All],[Para (Ticker Daniel)]],MATCH(Input_APM!F344,Table2[[#All],[De (Lote)]],0)),Input_APM!F344))</f>
        <v/>
      </c>
      <c r="M344" s="171" t="str">
        <f t="shared" si="25"/>
        <v/>
      </c>
      <c r="N344" s="172" t="str">
        <f t="shared" si="26"/>
        <v/>
      </c>
      <c r="O344" s="172" t="str">
        <f t="shared" si="27"/>
        <v/>
      </c>
    </row>
    <row r="345" spans="5:15">
      <c r="E345" s="298"/>
      <c r="K345" s="171" t="str">
        <f t="shared" si="24"/>
        <v/>
      </c>
      <c r="L345" s="171" t="str">
        <f>IF(E345="","",IF(COUNTIFS(Table2[[#All],[De (Lote)]],Input_APM!F345)&gt;0,INDEX(Table2[[#All],[Para (Ticker Daniel)]],MATCH(Input_APM!F345,Table2[[#All],[De (Lote)]],0)),Input_APM!F345))</f>
        <v/>
      </c>
      <c r="M345" s="171" t="str">
        <f t="shared" si="25"/>
        <v/>
      </c>
      <c r="N345" s="172" t="str">
        <f t="shared" si="26"/>
        <v/>
      </c>
      <c r="O345" s="172" t="str">
        <f t="shared" si="27"/>
        <v/>
      </c>
    </row>
    <row r="346" spans="5:15">
      <c r="E346" s="298"/>
      <c r="K346" s="171" t="str">
        <f t="shared" si="24"/>
        <v/>
      </c>
      <c r="L346" s="171" t="str">
        <f>IF(E346="","",IF(COUNTIFS(Table2[[#All],[De (Lote)]],Input_APM!F346)&gt;0,INDEX(Table2[[#All],[Para (Ticker Daniel)]],MATCH(Input_APM!F346,Table2[[#All],[De (Lote)]],0)),Input_APM!F346))</f>
        <v/>
      </c>
      <c r="M346" s="171" t="str">
        <f t="shared" si="25"/>
        <v/>
      </c>
      <c r="N346" s="172" t="str">
        <f t="shared" si="26"/>
        <v/>
      </c>
      <c r="O346" s="172" t="str">
        <f t="shared" si="27"/>
        <v/>
      </c>
    </row>
    <row r="347" spans="5:15">
      <c r="E347" s="298"/>
      <c r="K347" s="171" t="str">
        <f t="shared" si="24"/>
        <v/>
      </c>
      <c r="L347" s="171" t="str">
        <f>IF(E347="","",IF(COUNTIFS(Table2[[#All],[De (Lote)]],Input_APM!F347)&gt;0,INDEX(Table2[[#All],[Para (Ticker Daniel)]],MATCH(Input_APM!F347,Table2[[#All],[De (Lote)]],0)),Input_APM!F347))</f>
        <v/>
      </c>
      <c r="M347" s="171" t="str">
        <f t="shared" si="25"/>
        <v/>
      </c>
      <c r="N347" s="172" t="str">
        <f t="shared" si="26"/>
        <v/>
      </c>
      <c r="O347" s="172" t="str">
        <f t="shared" si="27"/>
        <v/>
      </c>
    </row>
    <row r="348" spans="5:15">
      <c r="E348" s="298"/>
      <c r="K348" s="171" t="str">
        <f t="shared" si="24"/>
        <v/>
      </c>
      <c r="L348" s="171" t="str">
        <f>IF(E348="","",IF(COUNTIFS(Table2[[#All],[De (Lote)]],Input_APM!F348)&gt;0,INDEX(Table2[[#All],[Para (Ticker Daniel)]],MATCH(Input_APM!F348,Table2[[#All],[De (Lote)]],0)),Input_APM!F348))</f>
        <v/>
      </c>
      <c r="M348" s="171" t="str">
        <f t="shared" si="25"/>
        <v/>
      </c>
      <c r="N348" s="172" t="str">
        <f t="shared" si="26"/>
        <v/>
      </c>
      <c r="O348" s="172" t="str">
        <f t="shared" si="27"/>
        <v/>
      </c>
    </row>
    <row r="349" spans="5:15">
      <c r="E349" s="298"/>
      <c r="K349" s="171" t="str">
        <f t="shared" si="24"/>
        <v/>
      </c>
      <c r="L349" s="171" t="str">
        <f>IF(E349="","",IF(COUNTIFS(Table2[[#All],[De (Lote)]],Input_APM!F349)&gt;0,INDEX(Table2[[#All],[Para (Ticker Daniel)]],MATCH(Input_APM!F349,Table2[[#All],[De (Lote)]],0)),Input_APM!F349))</f>
        <v/>
      </c>
      <c r="M349" s="171" t="str">
        <f t="shared" si="25"/>
        <v/>
      </c>
      <c r="N349" s="172" t="str">
        <f t="shared" si="26"/>
        <v/>
      </c>
      <c r="O349" s="172" t="str">
        <f t="shared" si="27"/>
        <v/>
      </c>
    </row>
    <row r="350" spans="5:15">
      <c r="E350" s="298"/>
      <c r="K350" s="171" t="str">
        <f t="shared" si="24"/>
        <v/>
      </c>
      <c r="L350" s="171" t="str">
        <f>IF(E350="","",IF(COUNTIFS(Table2[[#All],[De (Lote)]],Input_APM!F350)&gt;0,INDEX(Table2[[#All],[Para (Ticker Daniel)]],MATCH(Input_APM!F350,Table2[[#All],[De (Lote)]],0)),Input_APM!F350))</f>
        <v/>
      </c>
      <c r="M350" s="171" t="str">
        <f t="shared" si="25"/>
        <v/>
      </c>
      <c r="N350" s="172" t="str">
        <f t="shared" si="26"/>
        <v/>
      </c>
      <c r="O350" s="172" t="str">
        <f t="shared" si="27"/>
        <v/>
      </c>
    </row>
    <row r="351" spans="5:15">
      <c r="E351" s="298"/>
      <c r="K351" s="171" t="str">
        <f t="shared" si="24"/>
        <v/>
      </c>
      <c r="L351" s="171" t="str">
        <f>IF(E351="","",IF(COUNTIFS(Table2[[#All],[De (Lote)]],Input_APM!F351)&gt;0,INDEX(Table2[[#All],[Para (Ticker Daniel)]],MATCH(Input_APM!F351,Table2[[#All],[De (Lote)]],0)),Input_APM!F351))</f>
        <v/>
      </c>
      <c r="M351" s="171" t="str">
        <f t="shared" si="25"/>
        <v/>
      </c>
      <c r="N351" s="172" t="str">
        <f t="shared" si="26"/>
        <v/>
      </c>
      <c r="O351" s="172" t="str">
        <f t="shared" si="27"/>
        <v/>
      </c>
    </row>
    <row r="352" spans="5:15">
      <c r="E352" s="298"/>
      <c r="K352" s="171" t="str">
        <f t="shared" si="24"/>
        <v/>
      </c>
      <c r="L352" s="171" t="str">
        <f>IF(E352="","",IF(COUNTIFS(Table2[[#All],[De (Lote)]],Input_APM!F352)&gt;0,INDEX(Table2[[#All],[Para (Ticker Daniel)]],MATCH(Input_APM!F352,Table2[[#All],[De (Lote)]],0)),Input_APM!F352))</f>
        <v/>
      </c>
      <c r="M352" s="171" t="str">
        <f t="shared" si="25"/>
        <v/>
      </c>
      <c r="N352" s="172" t="str">
        <f t="shared" si="26"/>
        <v/>
      </c>
      <c r="O352" s="172" t="str">
        <f t="shared" si="27"/>
        <v/>
      </c>
    </row>
    <row r="353" spans="5:15">
      <c r="E353" s="298"/>
      <c r="K353" s="171" t="str">
        <f t="shared" si="24"/>
        <v/>
      </c>
      <c r="L353" s="171" t="str">
        <f>IF(E353="","",IF(COUNTIFS(Table2[[#All],[De (Lote)]],Input_APM!F353)&gt;0,INDEX(Table2[[#All],[Para (Ticker Daniel)]],MATCH(Input_APM!F353,Table2[[#All],[De (Lote)]],0)),Input_APM!F353))</f>
        <v/>
      </c>
      <c r="M353" s="171" t="str">
        <f t="shared" si="25"/>
        <v/>
      </c>
      <c r="N353" s="172" t="str">
        <f t="shared" si="26"/>
        <v/>
      </c>
      <c r="O353" s="172" t="str">
        <f t="shared" si="27"/>
        <v/>
      </c>
    </row>
    <row r="354" spans="5:15">
      <c r="E354" s="298"/>
      <c r="K354" s="171" t="str">
        <f t="shared" si="24"/>
        <v/>
      </c>
      <c r="L354" s="171" t="str">
        <f>IF(E354="","",IF(COUNTIFS(Table2[[#All],[De (Lote)]],Input_APM!F354)&gt;0,INDEX(Table2[[#All],[Para (Ticker Daniel)]],MATCH(Input_APM!F354,Table2[[#All],[De (Lote)]],0)),Input_APM!F354))</f>
        <v/>
      </c>
      <c r="M354" s="171" t="str">
        <f t="shared" si="25"/>
        <v/>
      </c>
      <c r="N354" s="172" t="str">
        <f t="shared" si="26"/>
        <v/>
      </c>
      <c r="O354" s="172" t="str">
        <f t="shared" si="27"/>
        <v/>
      </c>
    </row>
    <row r="355" spans="5:15">
      <c r="E355" s="298"/>
      <c r="K355" s="171" t="str">
        <f t="shared" si="24"/>
        <v/>
      </c>
      <c r="L355" s="171" t="str">
        <f>IF(E355="","",IF(COUNTIFS(Table2[[#All],[De (Lote)]],Input_APM!F355)&gt;0,INDEX(Table2[[#All],[Para (Ticker Daniel)]],MATCH(Input_APM!F355,Table2[[#All],[De (Lote)]],0)),Input_APM!F355))</f>
        <v/>
      </c>
      <c r="M355" s="171" t="str">
        <f t="shared" si="25"/>
        <v/>
      </c>
      <c r="N355" s="172" t="str">
        <f t="shared" si="26"/>
        <v/>
      </c>
      <c r="O355" s="172" t="str">
        <f t="shared" si="27"/>
        <v/>
      </c>
    </row>
    <row r="356" spans="5:15">
      <c r="E356" s="298"/>
      <c r="K356" s="171" t="str">
        <f t="shared" ref="K356:K396" si="28">IF(E356="","",E356)</f>
        <v/>
      </c>
      <c r="L356" s="171" t="str">
        <f>IF(E356="","",IF(COUNTIFS(Table2[[#All],[De (Lote)]],Input_APM!F356)&gt;0,INDEX(Table2[[#All],[Para (Ticker Daniel)]],MATCH(Input_APM!F356,Table2[[#All],[De (Lote)]],0)),Input_APM!F356))</f>
        <v/>
      </c>
      <c r="M356" s="171" t="str">
        <f t="shared" ref="M356:M396" si="29">IF(E356="","",G356)</f>
        <v/>
      </c>
      <c r="N356" s="172" t="str">
        <f t="shared" ref="N356:N396" si="30">IF(E356="","",H356)</f>
        <v/>
      </c>
      <c r="O356" s="172" t="str">
        <f t="shared" ref="O356:O396" si="31">IF(E356="","",I356)</f>
        <v/>
      </c>
    </row>
    <row r="357" spans="5:15">
      <c r="E357" s="298"/>
      <c r="K357" s="171" t="str">
        <f t="shared" si="28"/>
        <v/>
      </c>
      <c r="L357" s="171" t="str">
        <f>IF(E357="","",IF(COUNTIFS(Table2[[#All],[De (Lote)]],Input_APM!F357)&gt;0,INDEX(Table2[[#All],[Para (Ticker Daniel)]],MATCH(Input_APM!F357,Table2[[#All],[De (Lote)]],0)),Input_APM!F357))</f>
        <v/>
      </c>
      <c r="M357" s="171" t="str">
        <f t="shared" si="29"/>
        <v/>
      </c>
      <c r="N357" s="172" t="str">
        <f t="shared" si="30"/>
        <v/>
      </c>
      <c r="O357" s="172" t="str">
        <f t="shared" si="31"/>
        <v/>
      </c>
    </row>
    <row r="358" spans="5:15">
      <c r="E358" s="298"/>
      <c r="K358" s="171" t="str">
        <f t="shared" si="28"/>
        <v/>
      </c>
      <c r="L358" s="171" t="str">
        <f>IF(E358="","",IF(COUNTIFS(Table2[[#All],[De (Lote)]],Input_APM!F358)&gt;0,INDEX(Table2[[#All],[Para (Ticker Daniel)]],MATCH(Input_APM!F358,Table2[[#All],[De (Lote)]],0)),Input_APM!F358))</f>
        <v/>
      </c>
      <c r="M358" s="171" t="str">
        <f t="shared" si="29"/>
        <v/>
      </c>
      <c r="N358" s="172" t="str">
        <f t="shared" si="30"/>
        <v/>
      </c>
      <c r="O358" s="172" t="str">
        <f t="shared" si="31"/>
        <v/>
      </c>
    </row>
    <row r="359" spans="5:15">
      <c r="E359" s="298"/>
      <c r="K359" s="171" t="str">
        <f t="shared" si="28"/>
        <v/>
      </c>
      <c r="L359" s="171" t="str">
        <f>IF(E359="","",IF(COUNTIFS(Table2[[#All],[De (Lote)]],Input_APM!F359)&gt;0,INDEX(Table2[[#All],[Para (Ticker Daniel)]],MATCH(Input_APM!F359,Table2[[#All],[De (Lote)]],0)),Input_APM!F359))</f>
        <v/>
      </c>
      <c r="M359" s="171" t="str">
        <f t="shared" si="29"/>
        <v/>
      </c>
      <c r="N359" s="172" t="str">
        <f t="shared" si="30"/>
        <v/>
      </c>
      <c r="O359" s="172" t="str">
        <f t="shared" si="31"/>
        <v/>
      </c>
    </row>
    <row r="360" spans="5:15">
      <c r="E360" s="298"/>
      <c r="K360" s="171" t="str">
        <f t="shared" si="28"/>
        <v/>
      </c>
      <c r="L360" s="171" t="str">
        <f>IF(E360="","",IF(COUNTIFS(Table2[[#All],[De (Lote)]],Input_APM!F360)&gt;0,INDEX(Table2[[#All],[Para (Ticker Daniel)]],MATCH(Input_APM!F360,Table2[[#All],[De (Lote)]],0)),Input_APM!F360))</f>
        <v/>
      </c>
      <c r="M360" s="171" t="str">
        <f t="shared" si="29"/>
        <v/>
      </c>
      <c r="N360" s="172" t="str">
        <f t="shared" si="30"/>
        <v/>
      </c>
      <c r="O360" s="172" t="str">
        <f t="shared" si="31"/>
        <v/>
      </c>
    </row>
    <row r="361" spans="5:15">
      <c r="E361" s="298"/>
      <c r="K361" s="171" t="str">
        <f t="shared" si="28"/>
        <v/>
      </c>
      <c r="L361" s="171" t="str">
        <f>IF(E361="","",IF(COUNTIFS(Table2[[#All],[De (Lote)]],Input_APM!F361)&gt;0,INDEX(Table2[[#All],[Para (Ticker Daniel)]],MATCH(Input_APM!F361,Table2[[#All],[De (Lote)]],0)),Input_APM!F361))</f>
        <v/>
      </c>
      <c r="M361" s="171" t="str">
        <f t="shared" si="29"/>
        <v/>
      </c>
      <c r="N361" s="172" t="str">
        <f t="shared" si="30"/>
        <v/>
      </c>
      <c r="O361" s="172" t="str">
        <f t="shared" si="31"/>
        <v/>
      </c>
    </row>
    <row r="362" spans="5:15">
      <c r="E362" s="298"/>
      <c r="K362" s="171" t="str">
        <f t="shared" si="28"/>
        <v/>
      </c>
      <c r="L362" s="171" t="str">
        <f>IF(E362="","",IF(COUNTIFS(Table2[[#All],[De (Lote)]],Input_APM!F362)&gt;0,INDEX(Table2[[#All],[Para (Ticker Daniel)]],MATCH(Input_APM!F362,Table2[[#All],[De (Lote)]],0)),Input_APM!F362))</f>
        <v/>
      </c>
      <c r="M362" s="171" t="str">
        <f t="shared" si="29"/>
        <v/>
      </c>
      <c r="N362" s="172" t="str">
        <f t="shared" si="30"/>
        <v/>
      </c>
      <c r="O362" s="172" t="str">
        <f t="shared" si="31"/>
        <v/>
      </c>
    </row>
    <row r="363" spans="5:15">
      <c r="E363" s="298"/>
      <c r="K363" s="171" t="str">
        <f t="shared" si="28"/>
        <v/>
      </c>
      <c r="L363" s="171" t="str">
        <f>IF(E363="","",IF(COUNTIFS(Table2[[#All],[De (Lote)]],Input_APM!F363)&gt;0,INDEX(Table2[[#All],[Para (Ticker Daniel)]],MATCH(Input_APM!F363,Table2[[#All],[De (Lote)]],0)),Input_APM!F363))</f>
        <v/>
      </c>
      <c r="M363" s="171" t="str">
        <f t="shared" si="29"/>
        <v/>
      </c>
      <c r="N363" s="172" t="str">
        <f t="shared" si="30"/>
        <v/>
      </c>
      <c r="O363" s="172" t="str">
        <f t="shared" si="31"/>
        <v/>
      </c>
    </row>
    <row r="364" spans="5:15">
      <c r="E364" s="298"/>
      <c r="K364" s="171" t="str">
        <f t="shared" si="28"/>
        <v/>
      </c>
      <c r="L364" s="171" t="str">
        <f>IF(E364="","",IF(COUNTIFS(Table2[[#All],[De (Lote)]],Input_APM!F364)&gt;0,INDEX(Table2[[#All],[Para (Ticker Daniel)]],MATCH(Input_APM!F364,Table2[[#All],[De (Lote)]],0)),Input_APM!F364))</f>
        <v/>
      </c>
      <c r="M364" s="171" t="str">
        <f t="shared" si="29"/>
        <v/>
      </c>
      <c r="N364" s="172" t="str">
        <f t="shared" si="30"/>
        <v/>
      </c>
      <c r="O364" s="172" t="str">
        <f t="shared" si="31"/>
        <v/>
      </c>
    </row>
    <row r="365" spans="5:15">
      <c r="E365" s="298"/>
      <c r="K365" s="171" t="str">
        <f t="shared" si="28"/>
        <v/>
      </c>
      <c r="L365" s="171" t="str">
        <f>IF(E365="","",IF(COUNTIFS(Table2[[#All],[De (Lote)]],Input_APM!F365)&gt;0,INDEX(Table2[[#All],[Para (Ticker Daniel)]],MATCH(Input_APM!F365,Table2[[#All],[De (Lote)]],0)),Input_APM!F365))</f>
        <v/>
      </c>
      <c r="M365" s="171" t="str">
        <f t="shared" si="29"/>
        <v/>
      </c>
      <c r="N365" s="172" t="str">
        <f t="shared" si="30"/>
        <v/>
      </c>
      <c r="O365" s="172" t="str">
        <f t="shared" si="31"/>
        <v/>
      </c>
    </row>
    <row r="366" spans="5:15">
      <c r="E366" s="298"/>
      <c r="K366" s="171" t="str">
        <f t="shared" si="28"/>
        <v/>
      </c>
      <c r="L366" s="171" t="str">
        <f>IF(E366="","",IF(COUNTIFS(Table2[[#All],[De (Lote)]],Input_APM!F366)&gt;0,INDEX(Table2[[#All],[Para (Ticker Daniel)]],MATCH(Input_APM!F366,Table2[[#All],[De (Lote)]],0)),Input_APM!F366))</f>
        <v/>
      </c>
      <c r="M366" s="171" t="str">
        <f t="shared" si="29"/>
        <v/>
      </c>
      <c r="N366" s="172" t="str">
        <f t="shared" si="30"/>
        <v/>
      </c>
      <c r="O366" s="172" t="str">
        <f t="shared" si="31"/>
        <v/>
      </c>
    </row>
    <row r="367" spans="5:15">
      <c r="E367" s="298"/>
      <c r="K367" s="171" t="str">
        <f t="shared" si="28"/>
        <v/>
      </c>
      <c r="L367" s="171" t="str">
        <f>IF(E367="","",IF(COUNTIFS(Table2[[#All],[De (Lote)]],Input_APM!F367)&gt;0,INDEX(Table2[[#All],[Para (Ticker Daniel)]],MATCH(Input_APM!F367,Table2[[#All],[De (Lote)]],0)),Input_APM!F367))</f>
        <v/>
      </c>
      <c r="M367" s="171" t="str">
        <f t="shared" si="29"/>
        <v/>
      </c>
      <c r="N367" s="172" t="str">
        <f t="shared" si="30"/>
        <v/>
      </c>
      <c r="O367" s="172" t="str">
        <f t="shared" si="31"/>
        <v/>
      </c>
    </row>
    <row r="368" spans="5:15">
      <c r="E368" s="298"/>
      <c r="K368" s="171" t="str">
        <f t="shared" si="28"/>
        <v/>
      </c>
      <c r="L368" s="171" t="str">
        <f>IF(E368="","",IF(COUNTIFS(Table2[[#All],[De (Lote)]],Input_APM!F368)&gt;0,INDEX(Table2[[#All],[Para (Ticker Daniel)]],MATCH(Input_APM!F368,Table2[[#All],[De (Lote)]],0)),Input_APM!F368))</f>
        <v/>
      </c>
      <c r="M368" s="171" t="str">
        <f t="shared" si="29"/>
        <v/>
      </c>
      <c r="N368" s="172" t="str">
        <f t="shared" si="30"/>
        <v/>
      </c>
      <c r="O368" s="172" t="str">
        <f t="shared" si="31"/>
        <v/>
      </c>
    </row>
    <row r="369" spans="5:15">
      <c r="E369" s="298"/>
      <c r="K369" s="171" t="str">
        <f t="shared" si="28"/>
        <v/>
      </c>
      <c r="L369" s="171" t="str">
        <f>IF(E369="","",IF(COUNTIFS(Table2[[#All],[De (Lote)]],Input_APM!F369)&gt;0,INDEX(Table2[[#All],[Para (Ticker Daniel)]],MATCH(Input_APM!F369,Table2[[#All],[De (Lote)]],0)),Input_APM!F369))</f>
        <v/>
      </c>
      <c r="M369" s="171" t="str">
        <f t="shared" si="29"/>
        <v/>
      </c>
      <c r="N369" s="172" t="str">
        <f t="shared" si="30"/>
        <v/>
      </c>
      <c r="O369" s="172" t="str">
        <f t="shared" si="31"/>
        <v/>
      </c>
    </row>
    <row r="370" spans="5:15">
      <c r="E370" s="298"/>
      <c r="K370" s="171" t="str">
        <f t="shared" si="28"/>
        <v/>
      </c>
      <c r="L370" s="171" t="str">
        <f>IF(E370="","",IF(COUNTIFS(Table2[[#All],[De (Lote)]],Input_APM!F370)&gt;0,INDEX(Table2[[#All],[Para (Ticker Daniel)]],MATCH(Input_APM!F370,Table2[[#All],[De (Lote)]],0)),Input_APM!F370))</f>
        <v/>
      </c>
      <c r="M370" s="171" t="str">
        <f t="shared" si="29"/>
        <v/>
      </c>
      <c r="N370" s="172" t="str">
        <f t="shared" si="30"/>
        <v/>
      </c>
      <c r="O370" s="172" t="str">
        <f t="shared" si="31"/>
        <v/>
      </c>
    </row>
    <row r="371" spans="5:15">
      <c r="E371" s="298"/>
      <c r="K371" s="171" t="str">
        <f t="shared" si="28"/>
        <v/>
      </c>
      <c r="L371" s="171" t="str">
        <f>IF(E371="","",IF(COUNTIFS(Table2[[#All],[De (Lote)]],Input_APM!F371)&gt;0,INDEX(Table2[[#All],[Para (Ticker Daniel)]],MATCH(Input_APM!F371,Table2[[#All],[De (Lote)]],0)),Input_APM!F371))</f>
        <v/>
      </c>
      <c r="M371" s="171" t="str">
        <f t="shared" si="29"/>
        <v/>
      </c>
      <c r="N371" s="172" t="str">
        <f t="shared" si="30"/>
        <v/>
      </c>
      <c r="O371" s="172" t="str">
        <f t="shared" si="31"/>
        <v/>
      </c>
    </row>
    <row r="372" spans="5:15">
      <c r="E372" s="298"/>
      <c r="K372" s="171" t="str">
        <f t="shared" si="28"/>
        <v/>
      </c>
      <c r="L372" s="171" t="str">
        <f>IF(E372="","",IF(COUNTIFS(Table2[[#All],[De (Lote)]],Input_APM!F372)&gt;0,INDEX(Table2[[#All],[Para (Ticker Daniel)]],MATCH(Input_APM!F372,Table2[[#All],[De (Lote)]],0)),Input_APM!F372))</f>
        <v/>
      </c>
      <c r="M372" s="171" t="str">
        <f t="shared" si="29"/>
        <v/>
      </c>
      <c r="N372" s="172" t="str">
        <f t="shared" si="30"/>
        <v/>
      </c>
      <c r="O372" s="172" t="str">
        <f t="shared" si="31"/>
        <v/>
      </c>
    </row>
    <row r="373" spans="5:15">
      <c r="E373" s="298"/>
      <c r="K373" s="171" t="str">
        <f t="shared" si="28"/>
        <v/>
      </c>
      <c r="L373" s="171" t="str">
        <f>IF(E373="","",IF(COUNTIFS(Table2[[#All],[De (Lote)]],Input_APM!F373)&gt;0,INDEX(Table2[[#All],[Para (Ticker Daniel)]],MATCH(Input_APM!F373,Table2[[#All],[De (Lote)]],0)),Input_APM!F373))</f>
        <v/>
      </c>
      <c r="M373" s="171" t="str">
        <f t="shared" si="29"/>
        <v/>
      </c>
      <c r="N373" s="172" t="str">
        <f t="shared" si="30"/>
        <v/>
      </c>
      <c r="O373" s="172" t="str">
        <f t="shared" si="31"/>
        <v/>
      </c>
    </row>
    <row r="374" spans="5:15">
      <c r="E374" s="298"/>
      <c r="K374" s="171" t="str">
        <f t="shared" si="28"/>
        <v/>
      </c>
      <c r="L374" s="171" t="str">
        <f>IF(E374="","",IF(COUNTIFS(Table2[[#All],[De (Lote)]],Input_APM!F374)&gt;0,INDEX(Table2[[#All],[Para (Ticker Daniel)]],MATCH(Input_APM!F374,Table2[[#All],[De (Lote)]],0)),Input_APM!F374))</f>
        <v/>
      </c>
      <c r="M374" s="171" t="str">
        <f t="shared" si="29"/>
        <v/>
      </c>
      <c r="N374" s="172" t="str">
        <f t="shared" si="30"/>
        <v/>
      </c>
      <c r="O374" s="172" t="str">
        <f t="shared" si="31"/>
        <v/>
      </c>
    </row>
    <row r="375" spans="5:15">
      <c r="E375" s="298"/>
      <c r="K375" s="171" t="str">
        <f t="shared" si="28"/>
        <v/>
      </c>
      <c r="L375" s="171" t="str">
        <f>IF(E375="","",IF(COUNTIFS(Table2[[#All],[De (Lote)]],Input_APM!F375)&gt;0,INDEX(Table2[[#All],[Para (Ticker Daniel)]],MATCH(Input_APM!F375,Table2[[#All],[De (Lote)]],0)),Input_APM!F375))</f>
        <v/>
      </c>
      <c r="M375" s="171" t="str">
        <f t="shared" si="29"/>
        <v/>
      </c>
      <c r="N375" s="172" t="str">
        <f t="shared" si="30"/>
        <v/>
      </c>
      <c r="O375" s="172" t="str">
        <f t="shared" si="31"/>
        <v/>
      </c>
    </row>
    <row r="376" spans="5:15">
      <c r="E376" s="298"/>
      <c r="K376" s="171" t="str">
        <f t="shared" si="28"/>
        <v/>
      </c>
      <c r="L376" s="171" t="str">
        <f>IF(E376="","",IF(COUNTIFS(Table2[[#All],[De (Lote)]],Input_APM!F376)&gt;0,INDEX(Table2[[#All],[Para (Ticker Daniel)]],MATCH(Input_APM!F376,Table2[[#All],[De (Lote)]],0)),Input_APM!F376))</f>
        <v/>
      </c>
      <c r="M376" s="171" t="str">
        <f t="shared" si="29"/>
        <v/>
      </c>
      <c r="N376" s="172" t="str">
        <f t="shared" si="30"/>
        <v/>
      </c>
      <c r="O376" s="172" t="str">
        <f t="shared" si="31"/>
        <v/>
      </c>
    </row>
    <row r="377" spans="5:15">
      <c r="E377" s="298"/>
      <c r="K377" s="171" t="str">
        <f t="shared" si="28"/>
        <v/>
      </c>
      <c r="L377" s="171" t="str">
        <f>IF(E377="","",IF(COUNTIFS(Table2[[#All],[De (Lote)]],Input_APM!F377)&gt;0,INDEX(Table2[[#All],[Para (Ticker Daniel)]],MATCH(Input_APM!F377,Table2[[#All],[De (Lote)]],0)),Input_APM!F377))</f>
        <v/>
      </c>
      <c r="M377" s="171" t="str">
        <f t="shared" si="29"/>
        <v/>
      </c>
      <c r="N377" s="172" t="str">
        <f t="shared" si="30"/>
        <v/>
      </c>
      <c r="O377" s="172" t="str">
        <f t="shared" si="31"/>
        <v/>
      </c>
    </row>
    <row r="378" spans="5:15">
      <c r="E378" s="298"/>
      <c r="K378" s="171" t="str">
        <f t="shared" si="28"/>
        <v/>
      </c>
      <c r="L378" s="171" t="str">
        <f>IF(E378="","",IF(COUNTIFS(Table2[[#All],[De (Lote)]],Input_APM!F378)&gt;0,INDEX(Table2[[#All],[Para (Ticker Daniel)]],MATCH(Input_APM!F378,Table2[[#All],[De (Lote)]],0)),Input_APM!F378))</f>
        <v/>
      </c>
      <c r="M378" s="171" t="str">
        <f t="shared" si="29"/>
        <v/>
      </c>
      <c r="N378" s="172" t="str">
        <f t="shared" si="30"/>
        <v/>
      </c>
      <c r="O378" s="172" t="str">
        <f t="shared" si="31"/>
        <v/>
      </c>
    </row>
    <row r="379" spans="5:15">
      <c r="E379" s="298"/>
      <c r="K379" s="171" t="str">
        <f t="shared" si="28"/>
        <v/>
      </c>
      <c r="L379" s="171" t="str">
        <f>IF(E379="","",IF(COUNTIFS(Table2[[#All],[De (Lote)]],Input_APM!F379)&gt;0,INDEX(Table2[[#All],[Para (Ticker Daniel)]],MATCH(Input_APM!F379,Table2[[#All],[De (Lote)]],0)),Input_APM!F379))</f>
        <v/>
      </c>
      <c r="M379" s="171" t="str">
        <f t="shared" si="29"/>
        <v/>
      </c>
      <c r="N379" s="172" t="str">
        <f t="shared" si="30"/>
        <v/>
      </c>
      <c r="O379" s="172" t="str">
        <f t="shared" si="31"/>
        <v/>
      </c>
    </row>
    <row r="380" spans="5:15">
      <c r="E380" s="298"/>
      <c r="K380" s="171" t="str">
        <f t="shared" si="28"/>
        <v/>
      </c>
      <c r="L380" s="171" t="str">
        <f>IF(E380="","",IF(COUNTIFS(Table2[[#All],[De (Lote)]],Input_APM!F380)&gt;0,INDEX(Table2[[#All],[Para (Ticker Daniel)]],MATCH(Input_APM!F380,Table2[[#All],[De (Lote)]],0)),Input_APM!F380))</f>
        <v/>
      </c>
      <c r="M380" s="171" t="str">
        <f t="shared" si="29"/>
        <v/>
      </c>
      <c r="N380" s="172" t="str">
        <f t="shared" si="30"/>
        <v/>
      </c>
      <c r="O380" s="172" t="str">
        <f t="shared" si="31"/>
        <v/>
      </c>
    </row>
    <row r="381" spans="5:15">
      <c r="E381" s="298"/>
      <c r="K381" s="171" t="str">
        <f t="shared" si="28"/>
        <v/>
      </c>
      <c r="L381" s="171" t="str">
        <f>IF(E381="","",IF(COUNTIFS(Table2[[#All],[De (Lote)]],Input_APM!F381)&gt;0,INDEX(Table2[[#All],[Para (Ticker Daniel)]],MATCH(Input_APM!F381,Table2[[#All],[De (Lote)]],0)),Input_APM!F381))</f>
        <v/>
      </c>
      <c r="M381" s="171" t="str">
        <f t="shared" si="29"/>
        <v/>
      </c>
      <c r="N381" s="172" t="str">
        <f t="shared" si="30"/>
        <v/>
      </c>
      <c r="O381" s="172" t="str">
        <f t="shared" si="31"/>
        <v/>
      </c>
    </row>
    <row r="382" spans="5:15">
      <c r="E382" s="298"/>
      <c r="K382" s="171" t="str">
        <f t="shared" si="28"/>
        <v/>
      </c>
      <c r="L382" s="171" t="str">
        <f>IF(E382="","",IF(COUNTIFS(Table2[[#All],[De (Lote)]],Input_APM!F382)&gt;0,INDEX(Table2[[#All],[Para (Ticker Daniel)]],MATCH(Input_APM!F382,Table2[[#All],[De (Lote)]],0)),Input_APM!F382))</f>
        <v/>
      </c>
      <c r="M382" s="171" t="str">
        <f t="shared" si="29"/>
        <v/>
      </c>
      <c r="N382" s="172" t="str">
        <f t="shared" si="30"/>
        <v/>
      </c>
      <c r="O382" s="172" t="str">
        <f t="shared" si="31"/>
        <v/>
      </c>
    </row>
    <row r="383" spans="5:15">
      <c r="E383" s="298"/>
      <c r="K383" s="171" t="str">
        <f t="shared" si="28"/>
        <v/>
      </c>
      <c r="L383" s="171" t="str">
        <f>IF(E383="","",IF(COUNTIFS(Table2[[#All],[De (Lote)]],Input_APM!F383)&gt;0,INDEX(Table2[[#All],[Para (Ticker Daniel)]],MATCH(Input_APM!F383,Table2[[#All],[De (Lote)]],0)),Input_APM!F383))</f>
        <v/>
      </c>
      <c r="M383" s="171" t="str">
        <f t="shared" si="29"/>
        <v/>
      </c>
      <c r="N383" s="172" t="str">
        <f t="shared" si="30"/>
        <v/>
      </c>
      <c r="O383" s="172" t="str">
        <f t="shared" si="31"/>
        <v/>
      </c>
    </row>
    <row r="384" spans="5:15">
      <c r="E384" s="298"/>
      <c r="K384" s="171" t="str">
        <f t="shared" si="28"/>
        <v/>
      </c>
      <c r="L384" s="171" t="str">
        <f>IF(E384="","",IF(COUNTIFS(Table2[[#All],[De (Lote)]],Input_APM!F384)&gt;0,INDEX(Table2[[#All],[Para (Ticker Daniel)]],MATCH(Input_APM!F384,Table2[[#All],[De (Lote)]],0)),Input_APM!F384))</f>
        <v/>
      </c>
      <c r="M384" s="171" t="str">
        <f t="shared" si="29"/>
        <v/>
      </c>
      <c r="N384" s="172" t="str">
        <f t="shared" si="30"/>
        <v/>
      </c>
      <c r="O384" s="172" t="str">
        <f t="shared" si="31"/>
        <v/>
      </c>
    </row>
    <row r="385" spans="5:15">
      <c r="E385" s="298"/>
      <c r="K385" s="171" t="str">
        <f t="shared" si="28"/>
        <v/>
      </c>
      <c r="L385" s="171" t="str">
        <f>IF(E385="","",IF(COUNTIFS(Table2[[#All],[De (Lote)]],Input_APM!F385)&gt;0,INDEX(Table2[[#All],[Para (Ticker Daniel)]],MATCH(Input_APM!F385,Table2[[#All],[De (Lote)]],0)),Input_APM!F385))</f>
        <v/>
      </c>
      <c r="M385" s="171" t="str">
        <f t="shared" si="29"/>
        <v/>
      </c>
      <c r="N385" s="172" t="str">
        <f t="shared" si="30"/>
        <v/>
      </c>
      <c r="O385" s="172" t="str">
        <f t="shared" si="31"/>
        <v/>
      </c>
    </row>
    <row r="386" spans="5:15">
      <c r="E386" s="298"/>
      <c r="K386" s="171" t="str">
        <f t="shared" si="28"/>
        <v/>
      </c>
      <c r="L386" s="171" t="str">
        <f>IF(E386="","",IF(COUNTIFS(Table2[[#All],[De (Lote)]],Input_APM!F386)&gt;0,INDEX(Table2[[#All],[Para (Ticker Daniel)]],MATCH(Input_APM!F386,Table2[[#All],[De (Lote)]],0)),Input_APM!F386))</f>
        <v/>
      </c>
      <c r="M386" s="171" t="str">
        <f t="shared" si="29"/>
        <v/>
      </c>
      <c r="N386" s="172" t="str">
        <f t="shared" si="30"/>
        <v/>
      </c>
      <c r="O386" s="172" t="str">
        <f t="shared" si="31"/>
        <v/>
      </c>
    </row>
    <row r="387" spans="5:15">
      <c r="E387" s="298"/>
      <c r="K387" s="171" t="str">
        <f t="shared" si="28"/>
        <v/>
      </c>
      <c r="L387" s="171" t="str">
        <f>IF(E387="","",IF(COUNTIFS(Table2[[#All],[De (Lote)]],Input_APM!F387)&gt;0,INDEX(Table2[[#All],[Para (Ticker Daniel)]],MATCH(Input_APM!F387,Table2[[#All],[De (Lote)]],0)),Input_APM!F387))</f>
        <v/>
      </c>
      <c r="M387" s="171" t="str">
        <f t="shared" si="29"/>
        <v/>
      </c>
      <c r="N387" s="172" t="str">
        <f t="shared" si="30"/>
        <v/>
      </c>
      <c r="O387" s="172" t="str">
        <f t="shared" si="31"/>
        <v/>
      </c>
    </row>
    <row r="388" spans="5:15">
      <c r="E388" s="298"/>
      <c r="K388" s="171" t="str">
        <f t="shared" si="28"/>
        <v/>
      </c>
      <c r="L388" s="171" t="str">
        <f>IF(E388="","",IF(COUNTIFS(Table2[[#All],[De (Lote)]],Input_APM!F388)&gt;0,INDEX(Table2[[#All],[Para (Ticker Daniel)]],MATCH(Input_APM!F388,Table2[[#All],[De (Lote)]],0)),Input_APM!F388))</f>
        <v/>
      </c>
      <c r="M388" s="171" t="str">
        <f t="shared" si="29"/>
        <v/>
      </c>
      <c r="N388" s="172" t="str">
        <f t="shared" si="30"/>
        <v/>
      </c>
      <c r="O388" s="172" t="str">
        <f t="shared" si="31"/>
        <v/>
      </c>
    </row>
    <row r="389" spans="5:15">
      <c r="E389" s="298"/>
      <c r="K389" s="171" t="str">
        <f t="shared" si="28"/>
        <v/>
      </c>
      <c r="L389" s="171" t="str">
        <f>IF(E389="","",IF(COUNTIFS(Table2[[#All],[De (Lote)]],Input_APM!F389)&gt;0,INDEX(Table2[[#All],[Para (Ticker Daniel)]],MATCH(Input_APM!F389,Table2[[#All],[De (Lote)]],0)),Input_APM!F389))</f>
        <v/>
      </c>
      <c r="M389" s="171" t="str">
        <f t="shared" si="29"/>
        <v/>
      </c>
      <c r="N389" s="172" t="str">
        <f t="shared" si="30"/>
        <v/>
      </c>
      <c r="O389" s="172" t="str">
        <f t="shared" si="31"/>
        <v/>
      </c>
    </row>
    <row r="390" spans="5:15">
      <c r="E390" s="298"/>
      <c r="K390" s="171" t="str">
        <f t="shared" si="28"/>
        <v/>
      </c>
      <c r="L390" s="171" t="str">
        <f>IF(E390="","",IF(COUNTIFS(Table2[[#All],[De (Lote)]],Input_APM!F390)&gt;0,INDEX(Table2[[#All],[Para (Ticker Daniel)]],MATCH(Input_APM!F390,Table2[[#All],[De (Lote)]],0)),Input_APM!F390))</f>
        <v/>
      </c>
      <c r="M390" s="171" t="str">
        <f t="shared" si="29"/>
        <v/>
      </c>
      <c r="N390" s="172" t="str">
        <f t="shared" si="30"/>
        <v/>
      </c>
      <c r="O390" s="172" t="str">
        <f t="shared" si="31"/>
        <v/>
      </c>
    </row>
    <row r="391" spans="5:15">
      <c r="E391" s="298"/>
      <c r="K391" s="171" t="str">
        <f t="shared" si="28"/>
        <v/>
      </c>
      <c r="L391" s="171" t="str">
        <f>IF(E391="","",IF(COUNTIFS(Table2[[#All],[De (Lote)]],Input_APM!F391)&gt;0,INDEX(Table2[[#All],[Para (Ticker Daniel)]],MATCH(Input_APM!F391,Table2[[#All],[De (Lote)]],0)),Input_APM!F391))</f>
        <v/>
      </c>
      <c r="M391" s="171" t="str">
        <f t="shared" si="29"/>
        <v/>
      </c>
      <c r="N391" s="172" t="str">
        <f t="shared" si="30"/>
        <v/>
      </c>
      <c r="O391" s="172" t="str">
        <f t="shared" si="31"/>
        <v/>
      </c>
    </row>
    <row r="392" spans="5:15">
      <c r="E392" s="298"/>
      <c r="K392" s="171" t="str">
        <f t="shared" si="28"/>
        <v/>
      </c>
      <c r="L392" s="171" t="str">
        <f>IF(E392="","",IF(COUNTIFS(Table2[[#All],[De (Lote)]],Input_APM!F392)&gt;0,INDEX(Table2[[#All],[Para (Ticker Daniel)]],MATCH(Input_APM!F392,Table2[[#All],[De (Lote)]],0)),Input_APM!F392))</f>
        <v/>
      </c>
      <c r="M392" s="171" t="str">
        <f t="shared" si="29"/>
        <v/>
      </c>
      <c r="N392" s="172" t="str">
        <f t="shared" si="30"/>
        <v/>
      </c>
      <c r="O392" s="172" t="str">
        <f t="shared" si="31"/>
        <v/>
      </c>
    </row>
    <row r="393" spans="5:15">
      <c r="E393" s="298"/>
      <c r="K393" s="171" t="str">
        <f t="shared" si="28"/>
        <v/>
      </c>
      <c r="L393" s="171" t="str">
        <f>IF(E393="","",IF(COUNTIFS(Table2[[#All],[De (Lote)]],Input_APM!F393)&gt;0,INDEX(Table2[[#All],[Para (Ticker Daniel)]],MATCH(Input_APM!F393,Table2[[#All],[De (Lote)]],0)),Input_APM!F393))</f>
        <v/>
      </c>
      <c r="M393" s="171" t="str">
        <f t="shared" si="29"/>
        <v/>
      </c>
      <c r="N393" s="172" t="str">
        <f t="shared" si="30"/>
        <v/>
      </c>
      <c r="O393" s="172" t="str">
        <f t="shared" si="31"/>
        <v/>
      </c>
    </row>
    <row r="394" spans="5:15">
      <c r="E394" s="298"/>
      <c r="K394" s="171" t="str">
        <f t="shared" si="28"/>
        <v/>
      </c>
      <c r="L394" s="171" t="str">
        <f>IF(E394="","",IF(COUNTIFS(Table2[[#All],[De (Lote)]],Input_APM!F394)&gt;0,INDEX(Table2[[#All],[Para (Ticker Daniel)]],MATCH(Input_APM!F394,Table2[[#All],[De (Lote)]],0)),Input_APM!F394))</f>
        <v/>
      </c>
      <c r="M394" s="171" t="str">
        <f t="shared" si="29"/>
        <v/>
      </c>
      <c r="N394" s="172" t="str">
        <f t="shared" si="30"/>
        <v/>
      </c>
      <c r="O394" s="172" t="str">
        <f t="shared" si="31"/>
        <v/>
      </c>
    </row>
    <row r="395" spans="5:15">
      <c r="E395" s="298"/>
      <c r="K395" s="171" t="str">
        <f t="shared" si="28"/>
        <v/>
      </c>
      <c r="L395" s="171" t="str">
        <f>IF(E395="","",IF(COUNTIFS(Table2[[#All],[De (Lote)]],Input_APM!F395)&gt;0,INDEX(Table2[[#All],[Para (Ticker Daniel)]],MATCH(Input_APM!F395,Table2[[#All],[De (Lote)]],0)),Input_APM!F395))</f>
        <v/>
      </c>
      <c r="M395" s="171" t="str">
        <f t="shared" si="29"/>
        <v/>
      </c>
      <c r="N395" s="172" t="str">
        <f t="shared" si="30"/>
        <v/>
      </c>
      <c r="O395" s="172" t="str">
        <f t="shared" si="31"/>
        <v/>
      </c>
    </row>
    <row r="396" spans="5:15">
      <c r="E396" s="298"/>
      <c r="K396" s="171" t="str">
        <f t="shared" si="28"/>
        <v/>
      </c>
      <c r="L396" s="171" t="str">
        <f>IF(E396="","",IF(COUNTIFS(Table2[[#All],[De (Lote)]],Input_APM!F396)&gt;0,INDEX(Table2[[#All],[Para (Ticker Daniel)]],MATCH(Input_APM!F396,Table2[[#All],[De (Lote)]],0)),Input_APM!F396))</f>
        <v/>
      </c>
      <c r="M396" s="171" t="str">
        <f t="shared" si="29"/>
        <v/>
      </c>
      <c r="N396" s="172" t="str">
        <f t="shared" si="30"/>
        <v/>
      </c>
      <c r="O396" s="172" t="str">
        <f t="shared" si="31"/>
        <v/>
      </c>
    </row>
    <row r="397" spans="5:15">
      <c r="E397" s="298"/>
      <c r="K397" s="171" t="str">
        <f>IF(E397="","",E397)</f>
        <v/>
      </c>
      <c r="L397" s="171" t="str">
        <f>IF(E397="","",IF(COUNTIFS(Table2[[#All],[De (Lote)]],Input_APM!F397)&gt;0,INDEX(Table2[[#All],[Para (Ticker Daniel)]],MATCH(Input_APM!F397,Table2[[#All],[De (Lote)]],0)),Input_APM!F397))</f>
        <v/>
      </c>
      <c r="M397" s="171" t="str">
        <f>IF(E397="","",G397)</f>
        <v/>
      </c>
      <c r="N397" s="172" t="str">
        <f>IF(E397="","",H397)</f>
        <v/>
      </c>
      <c r="O397" s="172" t="str">
        <f>IF(E397="","",I397)</f>
        <v/>
      </c>
    </row>
    <row r="398" spans="5:15">
      <c r="E398" s="298"/>
    </row>
    <row r="399" spans="5:15">
      <c r="E399" s="298"/>
    </row>
    <row r="400" spans="5:15">
      <c r="E400" s="298"/>
    </row>
    <row r="401" spans="5:5">
      <c r="E401" s="298"/>
    </row>
    <row r="402" spans="5:5">
      <c r="E402" s="298"/>
    </row>
    <row r="403" spans="5:5">
      <c r="E403" s="298"/>
    </row>
    <row r="404" spans="5:5">
      <c r="E404" s="298"/>
    </row>
    <row r="405" spans="5:5">
      <c r="E405" s="298"/>
    </row>
    <row r="406" spans="5:5">
      <c r="E406" s="298"/>
    </row>
    <row r="407" spans="5:5">
      <c r="E407" s="298"/>
    </row>
    <row r="408" spans="5:5">
      <c r="E408" s="298"/>
    </row>
    <row r="409" spans="5:5">
      <c r="E409" s="298"/>
    </row>
    <row r="410" spans="5:5">
      <c r="E410" s="298"/>
    </row>
    <row r="411" spans="5:5">
      <c r="E411" s="298"/>
    </row>
    <row r="412" spans="5:5">
      <c r="E412" s="298"/>
    </row>
    <row r="413" spans="5:5">
      <c r="E413" s="298"/>
    </row>
    <row r="414" spans="5:5">
      <c r="E414" s="298"/>
    </row>
    <row r="415" spans="5:5">
      <c r="E415" s="298"/>
    </row>
    <row r="416" spans="5:5">
      <c r="E416" s="298"/>
    </row>
    <row r="417" spans="5:5">
      <c r="E417" s="298"/>
    </row>
    <row r="418" spans="5:5">
      <c r="E418" s="298"/>
    </row>
    <row r="419" spans="5:5">
      <c r="E419" s="298"/>
    </row>
    <row r="420" spans="5:5">
      <c r="E420" s="298"/>
    </row>
    <row r="421" spans="5:5">
      <c r="E421" s="298"/>
    </row>
    <row r="422" spans="5:5">
      <c r="E422" s="298"/>
    </row>
    <row r="423" spans="5:5">
      <c r="E423" s="298"/>
    </row>
    <row r="424" spans="5:5">
      <c r="E424" s="298"/>
    </row>
    <row r="425" spans="5:5">
      <c r="E425" s="298"/>
    </row>
    <row r="426" spans="5:5">
      <c r="E426" s="298"/>
    </row>
    <row r="427" spans="5:5">
      <c r="E427" s="298"/>
    </row>
    <row r="428" spans="5:5">
      <c r="E428" s="298"/>
    </row>
    <row r="429" spans="5:5">
      <c r="E429" s="298"/>
    </row>
    <row r="430" spans="5:5">
      <c r="E430" s="298"/>
    </row>
    <row r="431" spans="5:5">
      <c r="E431" s="298"/>
    </row>
    <row r="432" spans="5:5">
      <c r="E432" s="298"/>
    </row>
    <row r="433" spans="5:5">
      <c r="E433" s="298"/>
    </row>
    <row r="434" spans="5:5">
      <c r="E434" s="298"/>
    </row>
    <row r="435" spans="5:5">
      <c r="E435" s="298"/>
    </row>
    <row r="436" spans="5:5">
      <c r="E436" s="298"/>
    </row>
    <row r="437" spans="5:5">
      <c r="E437" s="298"/>
    </row>
    <row r="438" spans="5:5">
      <c r="E438" s="298"/>
    </row>
    <row r="439" spans="5:5">
      <c r="E439" s="298"/>
    </row>
    <row r="440" spans="5:5">
      <c r="E440" s="298"/>
    </row>
    <row r="441" spans="5:5">
      <c r="E441" s="298"/>
    </row>
    <row r="442" spans="5:5">
      <c r="E442" s="298"/>
    </row>
    <row r="443" spans="5:5">
      <c r="E443" s="298"/>
    </row>
    <row r="444" spans="5:5">
      <c r="E444" s="298"/>
    </row>
    <row r="445" spans="5:5">
      <c r="E445" s="298"/>
    </row>
    <row r="446" spans="5:5">
      <c r="E446" s="298"/>
    </row>
    <row r="447" spans="5:5">
      <c r="E447" s="298"/>
    </row>
    <row r="448" spans="5:5">
      <c r="E448" s="298"/>
    </row>
    <row r="449" spans="5:5">
      <c r="E449" s="298"/>
    </row>
    <row r="450" spans="5:5">
      <c r="E450" s="298"/>
    </row>
    <row r="451" spans="5:5">
      <c r="E451" s="298"/>
    </row>
    <row r="452" spans="5:5">
      <c r="E452" s="298"/>
    </row>
    <row r="453" spans="5:5">
      <c r="E453" s="298"/>
    </row>
    <row r="454" spans="5:5">
      <c r="E454" s="298"/>
    </row>
    <row r="455" spans="5:5">
      <c r="E455" s="298"/>
    </row>
    <row r="456" spans="5:5">
      <c r="E456" s="298"/>
    </row>
    <row r="457" spans="5:5">
      <c r="E457" s="298"/>
    </row>
    <row r="458" spans="5:5">
      <c r="E458" s="298"/>
    </row>
    <row r="459" spans="5:5">
      <c r="E459" s="298"/>
    </row>
    <row r="460" spans="5:5">
      <c r="E460" s="298"/>
    </row>
    <row r="461" spans="5:5">
      <c r="E461" s="298"/>
    </row>
    <row r="462" spans="5:5">
      <c r="E462" s="298"/>
    </row>
    <row r="463" spans="5:5">
      <c r="E463" s="298"/>
    </row>
    <row r="464" spans="5:5">
      <c r="E464" s="298"/>
    </row>
    <row r="465" spans="5:5">
      <c r="E465" s="298"/>
    </row>
    <row r="466" spans="5:5">
      <c r="E466" s="298"/>
    </row>
    <row r="467" spans="5:5">
      <c r="E467" s="298"/>
    </row>
    <row r="468" spans="5:5">
      <c r="E468" s="298"/>
    </row>
    <row r="469" spans="5:5">
      <c r="E469" s="298"/>
    </row>
    <row r="470" spans="5:5">
      <c r="E470" s="298"/>
    </row>
    <row r="471" spans="5:5">
      <c r="E471" s="298"/>
    </row>
    <row r="472" spans="5:5">
      <c r="E472" s="298"/>
    </row>
    <row r="473" spans="5:5">
      <c r="E473" s="298"/>
    </row>
    <row r="474" spans="5:5">
      <c r="E474" s="298"/>
    </row>
    <row r="475" spans="5:5">
      <c r="E475" s="298"/>
    </row>
    <row r="476" spans="5:5">
      <c r="E476" s="298"/>
    </row>
    <row r="477" spans="5:5">
      <c r="E477" s="298"/>
    </row>
    <row r="478" spans="5:5">
      <c r="E478" s="298"/>
    </row>
    <row r="479" spans="5:5">
      <c r="E479" s="298"/>
    </row>
    <row r="480" spans="5:5">
      <c r="E480" s="298"/>
    </row>
    <row r="481" spans="5:5">
      <c r="E481" s="298"/>
    </row>
    <row r="482" spans="5:5">
      <c r="E482" s="298"/>
    </row>
    <row r="483" spans="5:5">
      <c r="E483" s="298"/>
    </row>
    <row r="484" spans="5:5">
      <c r="E484" s="298"/>
    </row>
    <row r="485" spans="5:5">
      <c r="E485" s="298"/>
    </row>
    <row r="486" spans="5:5">
      <c r="E486" s="298"/>
    </row>
    <row r="487" spans="5:5">
      <c r="E487" s="298"/>
    </row>
    <row r="488" spans="5:5">
      <c r="E488" s="298"/>
    </row>
    <row r="489" spans="5:5">
      <c r="E489" s="298"/>
    </row>
    <row r="490" spans="5:5">
      <c r="E490" s="298"/>
    </row>
    <row r="491" spans="5:5">
      <c r="E491" s="298"/>
    </row>
    <row r="492" spans="5:5">
      <c r="E492" s="298"/>
    </row>
    <row r="493" spans="5:5">
      <c r="E493" s="298"/>
    </row>
    <row r="494" spans="5:5">
      <c r="E494" s="298"/>
    </row>
    <row r="495" spans="5:5">
      <c r="E495" s="298"/>
    </row>
    <row r="496" spans="5:5">
      <c r="E496" s="298"/>
    </row>
    <row r="497" spans="5:5">
      <c r="E497" s="298"/>
    </row>
    <row r="498" spans="5:5">
      <c r="E498" s="298"/>
    </row>
    <row r="499" spans="5:5">
      <c r="E499" s="298"/>
    </row>
    <row r="500" spans="5:5">
      <c r="E500" s="298"/>
    </row>
    <row r="501" spans="5:5">
      <c r="E501" s="298"/>
    </row>
    <row r="502" spans="5:5">
      <c r="E502" s="298"/>
    </row>
    <row r="503" spans="5:5">
      <c r="E503" s="298"/>
    </row>
    <row r="504" spans="5:5">
      <c r="E504" s="298"/>
    </row>
    <row r="505" spans="5:5">
      <c r="E505" s="298"/>
    </row>
    <row r="506" spans="5:5">
      <c r="E506" s="298"/>
    </row>
    <row r="507" spans="5:5">
      <c r="E507" s="298"/>
    </row>
    <row r="508" spans="5:5">
      <c r="E508" s="298"/>
    </row>
    <row r="509" spans="5:5">
      <c r="E509" s="298"/>
    </row>
    <row r="510" spans="5:5">
      <c r="E510" s="298"/>
    </row>
    <row r="511" spans="5:5">
      <c r="E511" s="298"/>
    </row>
    <row r="512" spans="5:5">
      <c r="E512" s="298"/>
    </row>
    <row r="513" spans="5:5">
      <c r="E513" s="298"/>
    </row>
    <row r="514" spans="5:5">
      <c r="E514" s="298"/>
    </row>
    <row r="515" spans="5:5">
      <c r="E515" s="298"/>
    </row>
    <row r="516" spans="5:5">
      <c r="E516" s="298"/>
    </row>
    <row r="517" spans="5:5">
      <c r="E517" s="298"/>
    </row>
    <row r="518" spans="5:5">
      <c r="E518" s="298"/>
    </row>
    <row r="519" spans="5:5">
      <c r="E519" s="298"/>
    </row>
    <row r="520" spans="5:5">
      <c r="E520" s="298"/>
    </row>
    <row r="521" spans="5:5">
      <c r="E521" s="298"/>
    </row>
    <row r="522" spans="5:5">
      <c r="E522" s="298"/>
    </row>
    <row r="523" spans="5:5">
      <c r="E523" s="298"/>
    </row>
    <row r="524" spans="5:5">
      <c r="E524" s="298"/>
    </row>
    <row r="525" spans="5:5">
      <c r="E525" s="298"/>
    </row>
    <row r="526" spans="5:5">
      <c r="E526" s="298"/>
    </row>
    <row r="527" spans="5:5">
      <c r="E527" s="298"/>
    </row>
    <row r="528" spans="5:5">
      <c r="E528" s="298"/>
    </row>
    <row r="529" spans="5:5">
      <c r="E529" s="298"/>
    </row>
    <row r="530" spans="5:5">
      <c r="E530" s="298"/>
    </row>
    <row r="531" spans="5:5">
      <c r="E531" s="298"/>
    </row>
    <row r="532" spans="5:5">
      <c r="E532" s="298"/>
    </row>
    <row r="533" spans="5:5">
      <c r="E533" s="298"/>
    </row>
    <row r="534" spans="5:5">
      <c r="E534" s="298"/>
    </row>
    <row r="535" spans="5:5">
      <c r="E535" s="298"/>
    </row>
    <row r="536" spans="5:5">
      <c r="E536" s="298"/>
    </row>
    <row r="537" spans="5:5">
      <c r="E537" s="298"/>
    </row>
    <row r="538" spans="5:5">
      <c r="E538" s="298"/>
    </row>
    <row r="539" spans="5:5">
      <c r="E539" s="298"/>
    </row>
    <row r="540" spans="5:5">
      <c r="E540" s="298"/>
    </row>
    <row r="541" spans="5:5">
      <c r="E541" s="298"/>
    </row>
    <row r="542" spans="5:5">
      <c r="E542" s="298"/>
    </row>
    <row r="543" spans="5:5">
      <c r="E543" s="298"/>
    </row>
    <row r="544" spans="5:5">
      <c r="E544" s="298"/>
    </row>
    <row r="545" spans="5:5">
      <c r="E545" s="298"/>
    </row>
    <row r="546" spans="5:5">
      <c r="E546" s="298"/>
    </row>
    <row r="547" spans="5:5">
      <c r="E547" s="298"/>
    </row>
    <row r="548" spans="5:5">
      <c r="E548" s="298"/>
    </row>
    <row r="549" spans="5:5">
      <c r="E549" s="298"/>
    </row>
    <row r="550" spans="5:5">
      <c r="E550" s="298"/>
    </row>
    <row r="551" spans="5:5">
      <c r="E551" s="298"/>
    </row>
    <row r="552" spans="5:5">
      <c r="E552" s="298"/>
    </row>
    <row r="553" spans="5:5">
      <c r="E553" s="298"/>
    </row>
    <row r="554" spans="5:5">
      <c r="E554" s="298"/>
    </row>
    <row r="555" spans="5:5">
      <c r="E555" s="298"/>
    </row>
    <row r="556" spans="5:5">
      <c r="E556" s="298"/>
    </row>
    <row r="557" spans="5:5">
      <c r="E557" s="298"/>
    </row>
    <row r="558" spans="5:5">
      <c r="E558" s="298"/>
    </row>
    <row r="559" spans="5:5">
      <c r="E559" s="298"/>
    </row>
    <row r="560" spans="5:5">
      <c r="E560" s="298"/>
    </row>
    <row r="561" spans="5:5">
      <c r="E561" s="298"/>
    </row>
    <row r="562" spans="5:5">
      <c r="E562" s="298"/>
    </row>
    <row r="563" spans="5:5">
      <c r="E563" s="298"/>
    </row>
    <row r="564" spans="5:5">
      <c r="E564" s="298"/>
    </row>
    <row r="565" spans="5:5">
      <c r="E565" s="298"/>
    </row>
    <row r="566" spans="5:5">
      <c r="E566" s="298"/>
    </row>
    <row r="567" spans="5:5">
      <c r="E567" s="298"/>
    </row>
    <row r="568" spans="5:5">
      <c r="E568" s="298"/>
    </row>
    <row r="569" spans="5:5">
      <c r="E569" s="298"/>
    </row>
    <row r="570" spans="5:5">
      <c r="E570" s="298"/>
    </row>
    <row r="571" spans="5:5">
      <c r="E571" s="298"/>
    </row>
    <row r="572" spans="5:5">
      <c r="E572" s="298"/>
    </row>
    <row r="573" spans="5:5">
      <c r="E573" s="298"/>
    </row>
    <row r="574" spans="5:5">
      <c r="E574" s="298"/>
    </row>
    <row r="575" spans="5:5">
      <c r="E575" s="298"/>
    </row>
    <row r="576" spans="5:5">
      <c r="E576" s="298"/>
    </row>
    <row r="577" spans="5:5">
      <c r="E577" s="298"/>
    </row>
    <row r="578" spans="5:5">
      <c r="E578" s="298"/>
    </row>
    <row r="579" spans="5:5">
      <c r="E579" s="298"/>
    </row>
    <row r="580" spans="5:5">
      <c r="E580" s="298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B3" sqref="B3"/>
    </sheetView>
  </sheetViews>
  <sheetFormatPr defaultColWidth="9.140625" defaultRowHeight="12.75" outlineLevelCol="1"/>
  <cols>
    <col min="1" max="4" width="9.140625" style="170"/>
    <col min="5" max="5" width="31.7109375" style="170" bestFit="1" customWidth="1" outlineLevel="1"/>
    <col min="6" max="6" width="45.5703125" style="170" bestFit="1" customWidth="1" outlineLevel="1"/>
    <col min="7" max="7" width="24.42578125" style="170" customWidth="1" outlineLevel="1"/>
    <col min="8" max="8" width="14" style="170" bestFit="1" customWidth="1" outlineLevel="1"/>
    <col min="9" max="9" width="13.28515625" style="170" bestFit="1" customWidth="1" outlineLevel="1"/>
    <col min="10" max="10" width="9.140625" style="170"/>
    <col min="11" max="11" width="30.5703125" style="170" bestFit="1" customWidth="1"/>
    <col min="12" max="12" width="41.42578125" style="170" bestFit="1" customWidth="1"/>
    <col min="13" max="13" width="24" style="170" bestFit="1" customWidth="1"/>
    <col min="14" max="14" width="10.42578125" style="170" bestFit="1" customWidth="1"/>
    <col min="15" max="15" width="10.85546875" style="170" bestFit="1" customWidth="1"/>
    <col min="16" max="16384" width="9.140625" style="170"/>
  </cols>
  <sheetData>
    <row r="1" spans="11:15">
      <c r="K1" s="185" t="s">
        <v>240</v>
      </c>
      <c r="L1" s="185" t="s">
        <v>118</v>
      </c>
      <c r="M1" s="185" t="s">
        <v>241</v>
      </c>
      <c r="N1" s="185" t="s">
        <v>221</v>
      </c>
      <c r="O1" s="185" t="s">
        <v>242</v>
      </c>
    </row>
    <row r="2" spans="11:15">
      <c r="K2" s="171" t="str">
        <f>IF(E2="","",E2)</f>
        <v/>
      </c>
      <c r="L2" s="171" t="str">
        <f>IF(E2="","",IF(COUNTIFS(Table2[[#All],[De (Lote)]],'Input_APM (Zenith)'!F2)&gt;0,INDEX(Table2[[#All],[Para (Ticker Daniel)]],MATCH('Input_APM (Zenith)'!F2,Table2[[#All],[De (Lote)]],0)),'Input_APM (Zenith)'!F2))</f>
        <v/>
      </c>
      <c r="M2" s="171" t="str">
        <f>IF(E2="","",G2)</f>
        <v/>
      </c>
      <c r="N2" s="172" t="str">
        <f>IF(E2="","",H2)</f>
        <v/>
      </c>
      <c r="O2" s="172" t="str">
        <f>IF(E2="","",I2)</f>
        <v/>
      </c>
    </row>
    <row r="3" spans="11:15">
      <c r="K3" s="171" t="str">
        <f t="shared" ref="K3:K66" si="0">IF(E3="","",E3)</f>
        <v/>
      </c>
      <c r="L3" s="171" t="str">
        <f>IF(E3="","",IF(COUNTIFS(Table2[[#All],[De (Lote)]],'Input_APM (Zenith)'!F3)&gt;0,INDEX(Table2[[#All],[Para (Ticker Daniel)]],MATCH('Input_APM (Zenith)'!F3,Table2[[#All],[De (Lote)]],0)),'Input_APM (Zenith)'!F3))</f>
        <v/>
      </c>
      <c r="M3" s="171" t="str">
        <f t="shared" ref="M3:M66" si="1">IF(E3="","",G3)</f>
        <v/>
      </c>
      <c r="N3" s="172" t="str">
        <f t="shared" ref="N3:N66" si="2">IF(E3="","",H3)</f>
        <v/>
      </c>
      <c r="O3" s="172" t="str">
        <f t="shared" ref="O3:O66" si="3">IF(E3="","",I3)</f>
        <v/>
      </c>
    </row>
    <row r="4" spans="11:15">
      <c r="K4" s="171" t="str">
        <f t="shared" si="0"/>
        <v/>
      </c>
      <c r="L4" s="171" t="str">
        <f>IF(E4="","",IF(COUNTIFS(Table2[[#All],[De (Lote)]],'Input_APM (Zenith)'!F4)&gt;0,INDEX(Table2[[#All],[Para (Ticker Daniel)]],MATCH('Input_APM (Zenith)'!F4,Table2[[#All],[De (Lote)]],0)),'Input_APM (Zenith)'!F4))</f>
        <v/>
      </c>
      <c r="M4" s="171" t="str">
        <f t="shared" si="1"/>
        <v/>
      </c>
      <c r="N4" s="172" t="str">
        <f t="shared" si="2"/>
        <v/>
      </c>
      <c r="O4" s="172" t="str">
        <f t="shared" si="3"/>
        <v/>
      </c>
    </row>
    <row r="5" spans="11:15">
      <c r="K5" s="171" t="str">
        <f t="shared" si="0"/>
        <v/>
      </c>
      <c r="L5" s="171" t="str">
        <f>IF(E5="","",IF(COUNTIFS(Table2[[#All],[De (Lote)]],'Input_APM (Zenith)'!F5)&gt;0,INDEX(Table2[[#All],[Para (Ticker Daniel)]],MATCH('Input_APM (Zenith)'!F5,Table2[[#All],[De (Lote)]],0)),'Input_APM (Zenith)'!F5))</f>
        <v/>
      </c>
      <c r="M5" s="171" t="str">
        <f t="shared" si="1"/>
        <v/>
      </c>
      <c r="N5" s="172" t="str">
        <f t="shared" si="2"/>
        <v/>
      </c>
      <c r="O5" s="172" t="str">
        <f t="shared" si="3"/>
        <v/>
      </c>
    </row>
    <row r="6" spans="11:15">
      <c r="K6" s="171" t="str">
        <f t="shared" si="0"/>
        <v/>
      </c>
      <c r="L6" s="171" t="str">
        <f>IF(E6="","",IF(COUNTIFS(Table2[[#All],[De (Lote)]],'Input_APM (Zenith)'!F6)&gt;0,INDEX(Table2[[#All],[Para (Ticker Daniel)]],MATCH('Input_APM (Zenith)'!F6,Table2[[#All],[De (Lote)]],0)),'Input_APM (Zenith)'!F6))</f>
        <v/>
      </c>
      <c r="M6" s="171" t="str">
        <f t="shared" si="1"/>
        <v/>
      </c>
      <c r="N6" s="172" t="str">
        <f t="shared" si="2"/>
        <v/>
      </c>
      <c r="O6" s="172" t="str">
        <f t="shared" si="3"/>
        <v/>
      </c>
    </row>
    <row r="7" spans="11:15">
      <c r="K7" s="171" t="str">
        <f t="shared" si="0"/>
        <v/>
      </c>
      <c r="L7" s="171" t="str">
        <f>IF(E7="","",IF(COUNTIFS(Table2[[#All],[De (Lote)]],'Input_APM (Zenith)'!F7)&gt;0,INDEX(Table2[[#All],[Para (Ticker Daniel)]],MATCH('Input_APM (Zenith)'!F7,Table2[[#All],[De (Lote)]],0)),'Input_APM (Zenith)'!F7))</f>
        <v/>
      </c>
      <c r="M7" s="171" t="str">
        <f t="shared" si="1"/>
        <v/>
      </c>
      <c r="N7" s="172" t="str">
        <f t="shared" si="2"/>
        <v/>
      </c>
      <c r="O7" s="172" t="str">
        <f t="shared" si="3"/>
        <v/>
      </c>
    </row>
    <row r="8" spans="11:15">
      <c r="K8" s="171" t="str">
        <f t="shared" si="0"/>
        <v/>
      </c>
      <c r="L8" s="171" t="str">
        <f>IF(E8="","",IF(COUNTIFS(Table2[[#All],[De (Lote)]],'Input_APM (Zenith)'!F8)&gt;0,INDEX(Table2[[#All],[Para (Ticker Daniel)]],MATCH('Input_APM (Zenith)'!F8,Table2[[#All],[De (Lote)]],0)),'Input_APM (Zenith)'!F8))</f>
        <v/>
      </c>
      <c r="M8" s="171" t="str">
        <f t="shared" si="1"/>
        <v/>
      </c>
      <c r="N8" s="172" t="str">
        <f t="shared" si="2"/>
        <v/>
      </c>
      <c r="O8" s="172" t="str">
        <f t="shared" si="3"/>
        <v/>
      </c>
    </row>
    <row r="9" spans="11:15">
      <c r="K9" s="171" t="str">
        <f t="shared" si="0"/>
        <v/>
      </c>
      <c r="L9" s="171" t="str">
        <f>IF(E9="","",IF(COUNTIFS(Table2[[#All],[De (Lote)]],'Input_APM (Zenith)'!F9)&gt;0,INDEX(Table2[[#All],[Para (Ticker Daniel)]],MATCH('Input_APM (Zenith)'!F9,Table2[[#All],[De (Lote)]],0)),'Input_APM (Zenith)'!F9))</f>
        <v/>
      </c>
      <c r="M9" s="171" t="str">
        <f t="shared" si="1"/>
        <v/>
      </c>
      <c r="N9" s="172" t="str">
        <f t="shared" si="2"/>
        <v/>
      </c>
      <c r="O9" s="172" t="str">
        <f t="shared" si="3"/>
        <v/>
      </c>
    </row>
    <row r="10" spans="11:15">
      <c r="K10" s="171" t="str">
        <f t="shared" si="0"/>
        <v/>
      </c>
      <c r="L10" s="171" t="str">
        <f>IF(E10="","",IF(COUNTIFS(Table2[[#All],[De (Lote)]],'Input_APM (Zenith)'!F10)&gt;0,INDEX(Table2[[#All],[Para (Ticker Daniel)]],MATCH('Input_APM (Zenith)'!F10,Table2[[#All],[De (Lote)]],0)),'Input_APM (Zenith)'!F10))</f>
        <v/>
      </c>
      <c r="M10" s="171" t="str">
        <f t="shared" si="1"/>
        <v/>
      </c>
      <c r="N10" s="172" t="str">
        <f t="shared" si="2"/>
        <v/>
      </c>
      <c r="O10" s="172" t="str">
        <f t="shared" si="3"/>
        <v/>
      </c>
    </row>
    <row r="11" spans="11:15">
      <c r="K11" s="171" t="str">
        <f t="shared" si="0"/>
        <v/>
      </c>
      <c r="L11" s="171" t="str">
        <f>IF(E11="","",IF(COUNTIFS(Table2[[#All],[De (Lote)]],'Input_APM (Zenith)'!F11)&gt;0,INDEX(Table2[[#All],[Para (Ticker Daniel)]],MATCH('Input_APM (Zenith)'!F11,Table2[[#All],[De (Lote)]],0)),'Input_APM (Zenith)'!F11))</f>
        <v/>
      </c>
      <c r="M11" s="171" t="str">
        <f t="shared" si="1"/>
        <v/>
      </c>
      <c r="N11" s="172" t="str">
        <f t="shared" si="2"/>
        <v/>
      </c>
      <c r="O11" s="172" t="str">
        <f t="shared" si="3"/>
        <v/>
      </c>
    </row>
    <row r="12" spans="11:15">
      <c r="K12" s="171" t="str">
        <f t="shared" si="0"/>
        <v/>
      </c>
      <c r="L12" s="171" t="str">
        <f>IF(E12="","",IF(COUNTIFS(Table2[[#All],[De (Lote)]],'Input_APM (Zenith)'!F12)&gt;0,INDEX(Table2[[#All],[Para (Ticker Daniel)]],MATCH('Input_APM (Zenith)'!F12,Table2[[#All],[De (Lote)]],0)),'Input_APM (Zenith)'!F12))</f>
        <v/>
      </c>
      <c r="M12" s="171" t="str">
        <f t="shared" si="1"/>
        <v/>
      </c>
      <c r="N12" s="172" t="str">
        <f t="shared" si="2"/>
        <v/>
      </c>
      <c r="O12" s="172" t="str">
        <f t="shared" si="3"/>
        <v/>
      </c>
    </row>
    <row r="13" spans="11:15">
      <c r="K13" s="171" t="str">
        <f t="shared" si="0"/>
        <v/>
      </c>
      <c r="L13" s="171" t="str">
        <f>IF(E13="","",IF(COUNTIFS(Table2[[#All],[De (Lote)]],'Input_APM (Zenith)'!F13)&gt;0,INDEX(Table2[[#All],[Para (Ticker Daniel)]],MATCH('Input_APM (Zenith)'!F13,Table2[[#All],[De (Lote)]],0)),'Input_APM (Zenith)'!F13))</f>
        <v/>
      </c>
      <c r="M13" s="171" t="str">
        <f t="shared" si="1"/>
        <v/>
      </c>
      <c r="N13" s="172" t="str">
        <f t="shared" si="2"/>
        <v/>
      </c>
      <c r="O13" s="172" t="str">
        <f t="shared" si="3"/>
        <v/>
      </c>
    </row>
    <row r="14" spans="11:15">
      <c r="K14" s="171" t="str">
        <f t="shared" si="0"/>
        <v/>
      </c>
      <c r="L14" s="171" t="str">
        <f>IF(E14="","",IF(COUNTIFS(Table2[[#All],[De (Lote)]],'Input_APM (Zenith)'!F14)&gt;0,INDEX(Table2[[#All],[Para (Ticker Daniel)]],MATCH('Input_APM (Zenith)'!F14,Table2[[#All],[De (Lote)]],0)),'Input_APM (Zenith)'!F14))</f>
        <v/>
      </c>
      <c r="M14" s="171" t="str">
        <f t="shared" si="1"/>
        <v/>
      </c>
      <c r="N14" s="172" t="str">
        <f t="shared" si="2"/>
        <v/>
      </c>
      <c r="O14" s="172" t="str">
        <f t="shared" si="3"/>
        <v/>
      </c>
    </row>
    <row r="15" spans="11:15">
      <c r="K15" s="171" t="str">
        <f t="shared" si="0"/>
        <v/>
      </c>
      <c r="L15" s="171" t="str">
        <f>IF(E15="","",IF(COUNTIFS(Table2[[#All],[De (Lote)]],'Input_APM (Zenith)'!F15)&gt;0,INDEX(Table2[[#All],[Para (Ticker Daniel)]],MATCH('Input_APM (Zenith)'!F15,Table2[[#All],[De (Lote)]],0)),'Input_APM (Zenith)'!F15))</f>
        <v/>
      </c>
      <c r="M15" s="171" t="str">
        <f t="shared" si="1"/>
        <v/>
      </c>
      <c r="N15" s="172" t="str">
        <f t="shared" si="2"/>
        <v/>
      </c>
      <c r="O15" s="172" t="str">
        <f t="shared" si="3"/>
        <v/>
      </c>
    </row>
    <row r="16" spans="11:15">
      <c r="K16" s="171" t="str">
        <f t="shared" si="0"/>
        <v/>
      </c>
      <c r="L16" s="171" t="str">
        <f>IF(E16="","",IF(COUNTIFS(Table2[[#All],[De (Lote)]],'Input_APM (Zenith)'!F16)&gt;0,INDEX(Table2[[#All],[Para (Ticker Daniel)]],MATCH('Input_APM (Zenith)'!F16,Table2[[#All],[De (Lote)]],0)),'Input_APM (Zenith)'!F16))</f>
        <v/>
      </c>
      <c r="M16" s="171" t="str">
        <f t="shared" si="1"/>
        <v/>
      </c>
      <c r="N16" s="172" t="str">
        <f t="shared" si="2"/>
        <v/>
      </c>
      <c r="O16" s="172" t="str">
        <f t="shared" si="3"/>
        <v/>
      </c>
    </row>
    <row r="17" spans="11:15">
      <c r="K17" s="171" t="str">
        <f t="shared" si="0"/>
        <v/>
      </c>
      <c r="L17" s="171" t="str">
        <f>IF(E17="","",IF(COUNTIFS(Table2[[#All],[De (Lote)]],'Input_APM (Zenith)'!F17)&gt;0,INDEX(Table2[[#All],[Para (Ticker Daniel)]],MATCH('Input_APM (Zenith)'!F17,Table2[[#All],[De (Lote)]],0)),'Input_APM (Zenith)'!F17))</f>
        <v/>
      </c>
      <c r="M17" s="171" t="str">
        <f t="shared" si="1"/>
        <v/>
      </c>
      <c r="N17" s="172" t="str">
        <f t="shared" si="2"/>
        <v/>
      </c>
      <c r="O17" s="172" t="str">
        <f t="shared" si="3"/>
        <v/>
      </c>
    </row>
    <row r="18" spans="11:15">
      <c r="K18" s="171" t="str">
        <f t="shared" si="0"/>
        <v/>
      </c>
      <c r="L18" s="171" t="str">
        <f>IF(E18="","",IF(COUNTIFS(Table2[[#All],[De (Lote)]],'Input_APM (Zenith)'!F18)&gt;0,INDEX(Table2[[#All],[Para (Ticker Daniel)]],MATCH('Input_APM (Zenith)'!F18,Table2[[#All],[De (Lote)]],0)),'Input_APM (Zenith)'!F18))</f>
        <v/>
      </c>
      <c r="M18" s="171" t="str">
        <f t="shared" si="1"/>
        <v/>
      </c>
      <c r="N18" s="172" t="str">
        <f t="shared" si="2"/>
        <v/>
      </c>
      <c r="O18" s="172" t="str">
        <f t="shared" si="3"/>
        <v/>
      </c>
    </row>
    <row r="19" spans="11:15">
      <c r="K19" s="171" t="str">
        <f t="shared" si="0"/>
        <v/>
      </c>
      <c r="L19" s="171" t="str">
        <f>IF(E19="","",IF(COUNTIFS(Table2[[#All],[De (Lote)]],'Input_APM (Zenith)'!F19)&gt;0,INDEX(Table2[[#All],[Para (Ticker Daniel)]],MATCH('Input_APM (Zenith)'!F19,Table2[[#All],[De (Lote)]],0)),'Input_APM (Zenith)'!F19))</f>
        <v/>
      </c>
      <c r="M19" s="171" t="str">
        <f t="shared" si="1"/>
        <v/>
      </c>
      <c r="N19" s="172" t="str">
        <f t="shared" si="2"/>
        <v/>
      </c>
      <c r="O19" s="172" t="str">
        <f t="shared" si="3"/>
        <v/>
      </c>
    </row>
    <row r="20" spans="11:15">
      <c r="K20" s="171" t="str">
        <f t="shared" si="0"/>
        <v/>
      </c>
      <c r="L20" s="171" t="str">
        <f>IF(E20="","",IF(COUNTIFS(Table2[[#All],[De (Lote)]],'Input_APM (Zenith)'!F20)&gt;0,INDEX(Table2[[#All],[Para (Ticker Daniel)]],MATCH('Input_APM (Zenith)'!F20,Table2[[#All],[De (Lote)]],0)),'Input_APM (Zenith)'!F20))</f>
        <v/>
      </c>
      <c r="M20" s="171" t="str">
        <f t="shared" si="1"/>
        <v/>
      </c>
      <c r="N20" s="172" t="str">
        <f t="shared" si="2"/>
        <v/>
      </c>
      <c r="O20" s="172" t="str">
        <f t="shared" si="3"/>
        <v/>
      </c>
    </row>
    <row r="21" spans="11:15">
      <c r="K21" s="171" t="str">
        <f t="shared" si="0"/>
        <v/>
      </c>
      <c r="L21" s="171" t="str">
        <f>IF(E21="","",IF(COUNTIFS(Table2[[#All],[De (Lote)]],'Input_APM (Zenith)'!F21)&gt;0,INDEX(Table2[[#All],[Para (Ticker Daniel)]],MATCH('Input_APM (Zenith)'!F21,Table2[[#All],[De (Lote)]],0)),'Input_APM (Zenith)'!F21))</f>
        <v/>
      </c>
      <c r="M21" s="171" t="str">
        <f t="shared" si="1"/>
        <v/>
      </c>
      <c r="N21" s="172" t="str">
        <f t="shared" si="2"/>
        <v/>
      </c>
      <c r="O21" s="172" t="str">
        <f t="shared" si="3"/>
        <v/>
      </c>
    </row>
    <row r="22" spans="11:15">
      <c r="K22" s="171" t="str">
        <f t="shared" si="0"/>
        <v/>
      </c>
      <c r="L22" s="171" t="str">
        <f>IF(E22="","",IF(COUNTIFS(Table2[[#All],[De (Lote)]],'Input_APM (Zenith)'!F22)&gt;0,INDEX(Table2[[#All],[Para (Ticker Daniel)]],MATCH('Input_APM (Zenith)'!F22,Table2[[#All],[De (Lote)]],0)),'Input_APM (Zenith)'!F22))</f>
        <v/>
      </c>
      <c r="M22" s="171" t="str">
        <f t="shared" si="1"/>
        <v/>
      </c>
      <c r="N22" s="172" t="str">
        <f t="shared" si="2"/>
        <v/>
      </c>
      <c r="O22" s="172" t="str">
        <f t="shared" si="3"/>
        <v/>
      </c>
    </row>
    <row r="23" spans="11:15">
      <c r="K23" s="171" t="str">
        <f t="shared" si="0"/>
        <v/>
      </c>
      <c r="L23" s="171" t="str">
        <f>IF(E23="","",IF(COUNTIFS(Table2[[#All],[De (Lote)]],'Input_APM (Zenith)'!F23)&gt;0,INDEX(Table2[[#All],[Para (Ticker Daniel)]],MATCH('Input_APM (Zenith)'!F23,Table2[[#All],[De (Lote)]],0)),'Input_APM (Zenith)'!F23))</f>
        <v/>
      </c>
      <c r="M23" s="171" t="str">
        <f t="shared" si="1"/>
        <v/>
      </c>
      <c r="N23" s="172" t="str">
        <f t="shared" si="2"/>
        <v/>
      </c>
      <c r="O23" s="172" t="str">
        <f t="shared" si="3"/>
        <v/>
      </c>
    </row>
    <row r="24" spans="11:15">
      <c r="K24" s="171" t="str">
        <f t="shared" si="0"/>
        <v/>
      </c>
      <c r="L24" s="171" t="str">
        <f>IF(E24="","",IF(COUNTIFS(Table2[[#All],[De (Lote)]],'Input_APM (Zenith)'!F24)&gt;0,INDEX(Table2[[#All],[Para (Ticker Daniel)]],MATCH('Input_APM (Zenith)'!F24,Table2[[#All],[De (Lote)]],0)),'Input_APM (Zenith)'!F24))</f>
        <v/>
      </c>
      <c r="M24" s="171" t="str">
        <f t="shared" si="1"/>
        <v/>
      </c>
      <c r="N24" s="172" t="str">
        <f t="shared" si="2"/>
        <v/>
      </c>
      <c r="O24" s="172" t="str">
        <f t="shared" si="3"/>
        <v/>
      </c>
    </row>
    <row r="25" spans="11:15">
      <c r="K25" s="171" t="str">
        <f t="shared" si="0"/>
        <v/>
      </c>
      <c r="L25" s="171" t="str">
        <f>IF(E25="","",IF(COUNTIFS(Table2[[#All],[De (Lote)]],'Input_APM (Zenith)'!F25)&gt;0,INDEX(Table2[[#All],[Para (Ticker Daniel)]],MATCH('Input_APM (Zenith)'!F25,Table2[[#All],[De (Lote)]],0)),'Input_APM (Zenith)'!F25))</f>
        <v/>
      </c>
      <c r="M25" s="171" t="str">
        <f t="shared" si="1"/>
        <v/>
      </c>
      <c r="N25" s="172" t="str">
        <f t="shared" si="2"/>
        <v/>
      </c>
      <c r="O25" s="172" t="str">
        <f t="shared" si="3"/>
        <v/>
      </c>
    </row>
    <row r="26" spans="11:15">
      <c r="K26" s="171" t="str">
        <f t="shared" si="0"/>
        <v/>
      </c>
      <c r="L26" s="171" t="str">
        <f>IF(E26="","",IF(COUNTIFS(Table2[[#All],[De (Lote)]],'Input_APM (Zenith)'!F26)&gt;0,INDEX(Table2[[#All],[Para (Ticker Daniel)]],MATCH('Input_APM (Zenith)'!F26,Table2[[#All],[De (Lote)]],0)),'Input_APM (Zenith)'!F26))</f>
        <v/>
      </c>
      <c r="M26" s="171" t="str">
        <f t="shared" si="1"/>
        <v/>
      </c>
      <c r="N26" s="172" t="str">
        <f t="shared" si="2"/>
        <v/>
      </c>
      <c r="O26" s="172" t="str">
        <f t="shared" si="3"/>
        <v/>
      </c>
    </row>
    <row r="27" spans="11:15">
      <c r="K27" s="171" t="str">
        <f t="shared" si="0"/>
        <v/>
      </c>
      <c r="L27" s="171" t="str">
        <f>IF(E27="","",IF(COUNTIFS(Table2[[#All],[De (Lote)]],'Input_APM (Zenith)'!F27)&gt;0,INDEX(Table2[[#All],[Para (Ticker Daniel)]],MATCH('Input_APM (Zenith)'!F27,Table2[[#All],[De (Lote)]],0)),'Input_APM (Zenith)'!F27))</f>
        <v/>
      </c>
      <c r="M27" s="171" t="str">
        <f t="shared" si="1"/>
        <v/>
      </c>
      <c r="N27" s="172" t="str">
        <f t="shared" si="2"/>
        <v/>
      </c>
      <c r="O27" s="172" t="str">
        <f t="shared" si="3"/>
        <v/>
      </c>
    </row>
    <row r="28" spans="11:15">
      <c r="K28" s="171" t="str">
        <f t="shared" si="0"/>
        <v/>
      </c>
      <c r="L28" s="171" t="str">
        <f>IF(E28="","",IF(COUNTIFS(Table2[[#All],[De (Lote)]],'Input_APM (Zenith)'!F28)&gt;0,INDEX(Table2[[#All],[Para (Ticker Daniel)]],MATCH('Input_APM (Zenith)'!F28,Table2[[#All],[De (Lote)]],0)),'Input_APM (Zenith)'!F28))</f>
        <v/>
      </c>
      <c r="M28" s="171" t="str">
        <f t="shared" si="1"/>
        <v/>
      </c>
      <c r="N28" s="172" t="str">
        <f t="shared" si="2"/>
        <v/>
      </c>
      <c r="O28" s="172" t="str">
        <f t="shared" si="3"/>
        <v/>
      </c>
    </row>
    <row r="29" spans="11:15">
      <c r="K29" s="171" t="str">
        <f t="shared" si="0"/>
        <v/>
      </c>
      <c r="L29" s="171" t="str">
        <f>IF(E29="","",IF(COUNTIFS(Table2[[#All],[De (Lote)]],'Input_APM (Zenith)'!F29)&gt;0,INDEX(Table2[[#All],[Para (Ticker Daniel)]],MATCH('Input_APM (Zenith)'!F29,Table2[[#All],[De (Lote)]],0)),'Input_APM (Zenith)'!F29))</f>
        <v/>
      </c>
      <c r="M29" s="171" t="str">
        <f t="shared" si="1"/>
        <v/>
      </c>
      <c r="N29" s="172" t="str">
        <f t="shared" si="2"/>
        <v/>
      </c>
      <c r="O29" s="172" t="str">
        <f t="shared" si="3"/>
        <v/>
      </c>
    </row>
    <row r="30" spans="11:15">
      <c r="K30" s="171" t="str">
        <f t="shared" si="0"/>
        <v/>
      </c>
      <c r="L30" s="171" t="str">
        <f>IF(E30="","",IF(COUNTIFS(Table2[[#All],[De (Lote)]],'Input_APM (Zenith)'!F30)&gt;0,INDEX(Table2[[#All],[Para (Ticker Daniel)]],MATCH('Input_APM (Zenith)'!F30,Table2[[#All],[De (Lote)]],0)),'Input_APM (Zenith)'!F30))</f>
        <v/>
      </c>
      <c r="M30" s="171" t="str">
        <f t="shared" si="1"/>
        <v/>
      </c>
      <c r="N30" s="172" t="str">
        <f t="shared" si="2"/>
        <v/>
      </c>
      <c r="O30" s="172" t="str">
        <f t="shared" si="3"/>
        <v/>
      </c>
    </row>
    <row r="31" spans="11:15">
      <c r="K31" s="171" t="str">
        <f t="shared" si="0"/>
        <v/>
      </c>
      <c r="L31" s="171" t="str">
        <f>IF(E31="","",IF(COUNTIFS(Table2[[#All],[De (Lote)]],'Input_APM (Zenith)'!F31)&gt;0,INDEX(Table2[[#All],[Para (Ticker Daniel)]],MATCH('Input_APM (Zenith)'!F31,Table2[[#All],[De (Lote)]],0)),'Input_APM (Zenith)'!F31))</f>
        <v/>
      </c>
      <c r="M31" s="171" t="str">
        <f t="shared" si="1"/>
        <v/>
      </c>
      <c r="N31" s="172" t="str">
        <f t="shared" si="2"/>
        <v/>
      </c>
      <c r="O31" s="172" t="str">
        <f t="shared" si="3"/>
        <v/>
      </c>
    </row>
    <row r="32" spans="11:15">
      <c r="K32" s="171" t="str">
        <f t="shared" si="0"/>
        <v/>
      </c>
      <c r="L32" s="171" t="str">
        <f>IF(E32="","",IF(COUNTIFS(Table2[[#All],[De (Lote)]],'Input_APM (Zenith)'!F32)&gt;0,INDEX(Table2[[#All],[Para (Ticker Daniel)]],MATCH('Input_APM (Zenith)'!F32,Table2[[#All],[De (Lote)]],0)),'Input_APM (Zenith)'!F32))</f>
        <v/>
      </c>
      <c r="M32" s="171" t="str">
        <f t="shared" si="1"/>
        <v/>
      </c>
      <c r="N32" s="172" t="str">
        <f t="shared" si="2"/>
        <v/>
      </c>
      <c r="O32" s="172" t="str">
        <f t="shared" si="3"/>
        <v/>
      </c>
    </row>
    <row r="33" spans="11:15">
      <c r="K33" s="171" t="str">
        <f t="shared" si="0"/>
        <v/>
      </c>
      <c r="L33" s="171" t="str">
        <f>IF(E33="","",IF(COUNTIFS(Table2[[#All],[De (Lote)]],'Input_APM (Zenith)'!F33)&gt;0,INDEX(Table2[[#All],[Para (Ticker Daniel)]],MATCH('Input_APM (Zenith)'!F33,Table2[[#All],[De (Lote)]],0)),'Input_APM (Zenith)'!F33))</f>
        <v/>
      </c>
      <c r="M33" s="171" t="str">
        <f t="shared" si="1"/>
        <v/>
      </c>
      <c r="N33" s="172" t="str">
        <f t="shared" si="2"/>
        <v/>
      </c>
      <c r="O33" s="172" t="str">
        <f t="shared" si="3"/>
        <v/>
      </c>
    </row>
    <row r="34" spans="11:15">
      <c r="K34" s="171" t="str">
        <f t="shared" si="0"/>
        <v/>
      </c>
      <c r="L34" s="171" t="str">
        <f>IF(E34="","",IF(COUNTIFS(Table2[[#All],[De (Lote)]],'Input_APM (Zenith)'!F34)&gt;0,INDEX(Table2[[#All],[Para (Ticker Daniel)]],MATCH('Input_APM (Zenith)'!F34,Table2[[#All],[De (Lote)]],0)),'Input_APM (Zenith)'!F34))</f>
        <v/>
      </c>
      <c r="M34" s="171" t="str">
        <f t="shared" si="1"/>
        <v/>
      </c>
      <c r="N34" s="172" t="str">
        <f t="shared" si="2"/>
        <v/>
      </c>
      <c r="O34" s="172" t="str">
        <f t="shared" si="3"/>
        <v/>
      </c>
    </row>
    <row r="35" spans="11:15">
      <c r="K35" s="171" t="str">
        <f t="shared" si="0"/>
        <v/>
      </c>
      <c r="L35" s="171" t="str">
        <f>IF(E35="","",IF(COUNTIFS(Table2[[#All],[De (Lote)]],'Input_APM (Zenith)'!F35)&gt;0,INDEX(Table2[[#All],[Para (Ticker Daniel)]],MATCH('Input_APM (Zenith)'!F35,Table2[[#All],[De (Lote)]],0)),'Input_APM (Zenith)'!F35))</f>
        <v/>
      </c>
      <c r="M35" s="171" t="str">
        <f t="shared" si="1"/>
        <v/>
      </c>
      <c r="N35" s="172" t="str">
        <f t="shared" si="2"/>
        <v/>
      </c>
      <c r="O35" s="172" t="str">
        <f t="shared" si="3"/>
        <v/>
      </c>
    </row>
    <row r="36" spans="11:15">
      <c r="K36" s="171" t="str">
        <f t="shared" si="0"/>
        <v/>
      </c>
      <c r="L36" s="171" t="str">
        <f>IF(E36="","",IF(COUNTIFS(Table2[[#All],[De (Lote)]],'Input_APM (Zenith)'!F36)&gt;0,INDEX(Table2[[#All],[Para (Ticker Daniel)]],MATCH('Input_APM (Zenith)'!F36,Table2[[#All],[De (Lote)]],0)),'Input_APM (Zenith)'!F36))</f>
        <v/>
      </c>
      <c r="M36" s="171" t="str">
        <f t="shared" si="1"/>
        <v/>
      </c>
      <c r="N36" s="172" t="str">
        <f t="shared" si="2"/>
        <v/>
      </c>
      <c r="O36" s="172" t="str">
        <f t="shared" si="3"/>
        <v/>
      </c>
    </row>
    <row r="37" spans="11:15">
      <c r="K37" s="171" t="str">
        <f t="shared" si="0"/>
        <v/>
      </c>
      <c r="L37" s="171" t="str">
        <f>IF(E37="","",IF(COUNTIFS(Table2[[#All],[De (Lote)]],'Input_APM (Zenith)'!F37)&gt;0,INDEX(Table2[[#All],[Para (Ticker Daniel)]],MATCH('Input_APM (Zenith)'!F37,Table2[[#All],[De (Lote)]],0)),'Input_APM (Zenith)'!F37))</f>
        <v/>
      </c>
      <c r="M37" s="171" t="str">
        <f t="shared" si="1"/>
        <v/>
      </c>
      <c r="N37" s="172" t="str">
        <f t="shared" si="2"/>
        <v/>
      </c>
      <c r="O37" s="172" t="str">
        <f t="shared" si="3"/>
        <v/>
      </c>
    </row>
    <row r="38" spans="11:15">
      <c r="K38" s="171" t="str">
        <f t="shared" si="0"/>
        <v/>
      </c>
      <c r="L38" s="171" t="str">
        <f>IF(E38="","",IF(COUNTIFS(Table2[[#All],[De (Lote)]],'Input_APM (Zenith)'!F38)&gt;0,INDEX(Table2[[#All],[Para (Ticker Daniel)]],MATCH('Input_APM (Zenith)'!F38,Table2[[#All],[De (Lote)]],0)),'Input_APM (Zenith)'!F38))</f>
        <v/>
      </c>
      <c r="M38" s="171" t="str">
        <f t="shared" si="1"/>
        <v/>
      </c>
      <c r="N38" s="172" t="str">
        <f t="shared" si="2"/>
        <v/>
      </c>
      <c r="O38" s="172" t="str">
        <f t="shared" si="3"/>
        <v/>
      </c>
    </row>
    <row r="39" spans="11:15">
      <c r="K39" s="171" t="str">
        <f t="shared" si="0"/>
        <v/>
      </c>
      <c r="L39" s="171" t="str">
        <f>IF(E39="","",IF(COUNTIFS(Table2[[#All],[De (Lote)]],'Input_APM (Zenith)'!F39)&gt;0,INDEX(Table2[[#All],[Para (Ticker Daniel)]],MATCH('Input_APM (Zenith)'!F39,Table2[[#All],[De (Lote)]],0)),'Input_APM (Zenith)'!F39))</f>
        <v/>
      </c>
      <c r="M39" s="171" t="str">
        <f t="shared" si="1"/>
        <v/>
      </c>
      <c r="N39" s="172" t="str">
        <f t="shared" si="2"/>
        <v/>
      </c>
      <c r="O39" s="172" t="str">
        <f t="shared" si="3"/>
        <v/>
      </c>
    </row>
    <row r="40" spans="11:15">
      <c r="K40" s="171" t="str">
        <f t="shared" si="0"/>
        <v/>
      </c>
      <c r="L40" s="171" t="str">
        <f>IF(E40="","",IF(COUNTIFS(Table2[[#All],[De (Lote)]],'Input_APM (Zenith)'!F40)&gt;0,INDEX(Table2[[#All],[Para (Ticker Daniel)]],MATCH('Input_APM (Zenith)'!F40,Table2[[#All],[De (Lote)]],0)),'Input_APM (Zenith)'!F40))</f>
        <v/>
      </c>
      <c r="M40" s="171" t="str">
        <f t="shared" si="1"/>
        <v/>
      </c>
      <c r="N40" s="172" t="str">
        <f t="shared" si="2"/>
        <v/>
      </c>
      <c r="O40" s="172" t="str">
        <f t="shared" si="3"/>
        <v/>
      </c>
    </row>
    <row r="41" spans="11:15">
      <c r="K41" s="171" t="str">
        <f t="shared" si="0"/>
        <v/>
      </c>
      <c r="L41" s="171" t="str">
        <f>IF(E41="","",IF(COUNTIFS(Table2[[#All],[De (Lote)]],'Input_APM (Zenith)'!F41)&gt;0,INDEX(Table2[[#All],[Para (Ticker Daniel)]],MATCH('Input_APM (Zenith)'!F41,Table2[[#All],[De (Lote)]],0)),'Input_APM (Zenith)'!F41))</f>
        <v/>
      </c>
      <c r="M41" s="171" t="str">
        <f t="shared" si="1"/>
        <v/>
      </c>
      <c r="N41" s="172" t="str">
        <f t="shared" si="2"/>
        <v/>
      </c>
      <c r="O41" s="172" t="str">
        <f t="shared" si="3"/>
        <v/>
      </c>
    </row>
    <row r="42" spans="11:15">
      <c r="K42" s="171" t="str">
        <f t="shared" si="0"/>
        <v/>
      </c>
      <c r="L42" s="171" t="str">
        <f>IF(E42="","",IF(COUNTIFS(Table2[[#All],[De (Lote)]],'Input_APM (Zenith)'!F42)&gt;0,INDEX(Table2[[#All],[Para (Ticker Daniel)]],MATCH('Input_APM (Zenith)'!F42,Table2[[#All],[De (Lote)]],0)),'Input_APM (Zenith)'!F42))</f>
        <v/>
      </c>
      <c r="M42" s="171" t="str">
        <f t="shared" si="1"/>
        <v/>
      </c>
      <c r="N42" s="172" t="str">
        <f t="shared" si="2"/>
        <v/>
      </c>
      <c r="O42" s="172" t="str">
        <f t="shared" si="3"/>
        <v/>
      </c>
    </row>
    <row r="43" spans="11:15">
      <c r="K43" s="171" t="str">
        <f t="shared" si="0"/>
        <v/>
      </c>
      <c r="L43" s="171" t="str">
        <f>IF(E43="","",IF(COUNTIFS(Table2[[#All],[De (Lote)]],'Input_APM (Zenith)'!F43)&gt;0,INDEX(Table2[[#All],[Para (Ticker Daniel)]],MATCH('Input_APM (Zenith)'!F43,Table2[[#All],[De (Lote)]],0)),'Input_APM (Zenith)'!F43))</f>
        <v/>
      </c>
      <c r="M43" s="171" t="str">
        <f t="shared" si="1"/>
        <v/>
      </c>
      <c r="N43" s="172" t="str">
        <f t="shared" si="2"/>
        <v/>
      </c>
      <c r="O43" s="172" t="str">
        <f t="shared" si="3"/>
        <v/>
      </c>
    </row>
    <row r="44" spans="11:15">
      <c r="K44" s="171" t="str">
        <f t="shared" si="0"/>
        <v/>
      </c>
      <c r="L44" s="171" t="str">
        <f>IF(E44="","",IF(COUNTIFS(Table2[[#All],[De (Lote)]],'Input_APM (Zenith)'!F44)&gt;0,INDEX(Table2[[#All],[Para (Ticker Daniel)]],MATCH('Input_APM (Zenith)'!F44,Table2[[#All],[De (Lote)]],0)),'Input_APM (Zenith)'!F44))</f>
        <v/>
      </c>
      <c r="M44" s="171" t="str">
        <f t="shared" si="1"/>
        <v/>
      </c>
      <c r="N44" s="172" t="str">
        <f t="shared" si="2"/>
        <v/>
      </c>
      <c r="O44" s="172" t="str">
        <f t="shared" si="3"/>
        <v/>
      </c>
    </row>
    <row r="45" spans="11:15">
      <c r="K45" s="171" t="str">
        <f t="shared" si="0"/>
        <v/>
      </c>
      <c r="L45" s="171" t="str">
        <f>IF(E45="","",IF(COUNTIFS(Table2[[#All],[De (Lote)]],'Input_APM (Zenith)'!F45)&gt;0,INDEX(Table2[[#All],[Para (Ticker Daniel)]],MATCH('Input_APM (Zenith)'!F45,Table2[[#All],[De (Lote)]],0)),'Input_APM (Zenith)'!F45))</f>
        <v/>
      </c>
      <c r="M45" s="171" t="str">
        <f t="shared" si="1"/>
        <v/>
      </c>
      <c r="N45" s="172" t="str">
        <f t="shared" si="2"/>
        <v/>
      </c>
      <c r="O45" s="172" t="str">
        <f t="shared" si="3"/>
        <v/>
      </c>
    </row>
    <row r="46" spans="11:15">
      <c r="K46" s="171" t="str">
        <f t="shared" si="0"/>
        <v/>
      </c>
      <c r="L46" s="171" t="str">
        <f>IF(E46="","",IF(COUNTIFS(Table2[[#All],[De (Lote)]],'Input_APM (Zenith)'!F46)&gt;0,INDEX(Table2[[#All],[Para (Ticker Daniel)]],MATCH('Input_APM (Zenith)'!F46,Table2[[#All],[De (Lote)]],0)),'Input_APM (Zenith)'!F46))</f>
        <v/>
      </c>
      <c r="M46" s="171" t="str">
        <f t="shared" si="1"/>
        <v/>
      </c>
      <c r="N46" s="172" t="str">
        <f t="shared" si="2"/>
        <v/>
      </c>
      <c r="O46" s="172" t="str">
        <f t="shared" si="3"/>
        <v/>
      </c>
    </row>
    <row r="47" spans="11:15">
      <c r="K47" s="171" t="str">
        <f t="shared" si="0"/>
        <v/>
      </c>
      <c r="L47" s="171" t="str">
        <f>IF(E47="","",IF(COUNTIFS(Table2[[#All],[De (Lote)]],'Input_APM (Zenith)'!F47)&gt;0,INDEX(Table2[[#All],[Para (Ticker Daniel)]],MATCH('Input_APM (Zenith)'!F47,Table2[[#All],[De (Lote)]],0)),'Input_APM (Zenith)'!F47))</f>
        <v/>
      </c>
      <c r="M47" s="171" t="str">
        <f t="shared" si="1"/>
        <v/>
      </c>
      <c r="N47" s="172" t="str">
        <f t="shared" si="2"/>
        <v/>
      </c>
      <c r="O47" s="172" t="str">
        <f t="shared" si="3"/>
        <v/>
      </c>
    </row>
    <row r="48" spans="11:15">
      <c r="K48" s="171" t="str">
        <f t="shared" si="0"/>
        <v/>
      </c>
      <c r="L48" s="171" t="str">
        <f>IF(E48="","",IF(COUNTIFS(Table2[[#All],[De (Lote)]],'Input_APM (Zenith)'!F48)&gt;0,INDEX(Table2[[#All],[Para (Ticker Daniel)]],MATCH('Input_APM (Zenith)'!F48,Table2[[#All],[De (Lote)]],0)),'Input_APM (Zenith)'!F48))</f>
        <v/>
      </c>
      <c r="M48" s="171" t="str">
        <f t="shared" si="1"/>
        <v/>
      </c>
      <c r="N48" s="172" t="str">
        <f t="shared" si="2"/>
        <v/>
      </c>
      <c r="O48" s="172" t="str">
        <f t="shared" si="3"/>
        <v/>
      </c>
    </row>
    <row r="49" spans="11:15">
      <c r="K49" s="171" t="str">
        <f t="shared" si="0"/>
        <v/>
      </c>
      <c r="L49" s="171" t="str">
        <f>IF(E49="","",IF(COUNTIFS(Table2[[#All],[De (Lote)]],'Input_APM (Zenith)'!F49)&gt;0,INDEX(Table2[[#All],[Para (Ticker Daniel)]],MATCH('Input_APM (Zenith)'!F49,Table2[[#All],[De (Lote)]],0)),'Input_APM (Zenith)'!F49))</f>
        <v/>
      </c>
      <c r="M49" s="171" t="str">
        <f t="shared" si="1"/>
        <v/>
      </c>
      <c r="N49" s="172" t="str">
        <f t="shared" si="2"/>
        <v/>
      </c>
      <c r="O49" s="172" t="str">
        <f t="shared" si="3"/>
        <v/>
      </c>
    </row>
    <row r="50" spans="11:15">
      <c r="K50" s="171" t="str">
        <f t="shared" si="0"/>
        <v/>
      </c>
      <c r="L50" s="171" t="str">
        <f>IF(E50="","",IF(COUNTIFS(Table2[[#All],[De (Lote)]],'Input_APM (Zenith)'!F50)&gt;0,INDEX(Table2[[#All],[Para (Ticker Daniel)]],MATCH('Input_APM (Zenith)'!F50,Table2[[#All],[De (Lote)]],0)),'Input_APM (Zenith)'!F50))</f>
        <v/>
      </c>
      <c r="M50" s="171" t="str">
        <f t="shared" si="1"/>
        <v/>
      </c>
      <c r="N50" s="172" t="str">
        <f t="shared" si="2"/>
        <v/>
      </c>
      <c r="O50" s="172" t="str">
        <f t="shared" si="3"/>
        <v/>
      </c>
    </row>
    <row r="51" spans="11:15">
      <c r="K51" s="171" t="str">
        <f t="shared" si="0"/>
        <v/>
      </c>
      <c r="L51" s="171" t="str">
        <f>IF(E51="","",IF(COUNTIFS(Table2[[#All],[De (Lote)]],'Input_APM (Zenith)'!F51)&gt;0,INDEX(Table2[[#All],[Para (Ticker Daniel)]],MATCH('Input_APM (Zenith)'!F51,Table2[[#All],[De (Lote)]],0)),'Input_APM (Zenith)'!F51))</f>
        <v/>
      </c>
      <c r="M51" s="171" t="str">
        <f t="shared" si="1"/>
        <v/>
      </c>
      <c r="N51" s="172" t="str">
        <f t="shared" si="2"/>
        <v/>
      </c>
      <c r="O51" s="172" t="str">
        <f t="shared" si="3"/>
        <v/>
      </c>
    </row>
    <row r="52" spans="11:15">
      <c r="K52" s="171" t="str">
        <f t="shared" si="0"/>
        <v/>
      </c>
      <c r="L52" s="171" t="str">
        <f>IF(E52="","",IF(COUNTIFS(Table2[[#All],[De (Lote)]],'Input_APM (Zenith)'!F52)&gt;0,INDEX(Table2[[#All],[Para (Ticker Daniel)]],MATCH('Input_APM (Zenith)'!F52,Table2[[#All],[De (Lote)]],0)),'Input_APM (Zenith)'!F52))</f>
        <v/>
      </c>
      <c r="M52" s="171" t="str">
        <f t="shared" si="1"/>
        <v/>
      </c>
      <c r="N52" s="172" t="str">
        <f t="shared" si="2"/>
        <v/>
      </c>
      <c r="O52" s="172" t="str">
        <f t="shared" si="3"/>
        <v/>
      </c>
    </row>
    <row r="53" spans="11:15">
      <c r="K53" s="171" t="str">
        <f t="shared" si="0"/>
        <v/>
      </c>
      <c r="L53" s="171" t="str">
        <f>IF(E53="","",IF(COUNTIFS(Table2[[#All],[De (Lote)]],'Input_APM (Zenith)'!F53)&gt;0,INDEX(Table2[[#All],[Para (Ticker Daniel)]],MATCH('Input_APM (Zenith)'!F53,Table2[[#All],[De (Lote)]],0)),'Input_APM (Zenith)'!F53))</f>
        <v/>
      </c>
      <c r="M53" s="171" t="str">
        <f t="shared" si="1"/>
        <v/>
      </c>
      <c r="N53" s="172" t="str">
        <f t="shared" si="2"/>
        <v/>
      </c>
      <c r="O53" s="172" t="str">
        <f t="shared" si="3"/>
        <v/>
      </c>
    </row>
    <row r="54" spans="11:15">
      <c r="K54" s="171" t="str">
        <f t="shared" si="0"/>
        <v/>
      </c>
      <c r="L54" s="171" t="str">
        <f>IF(E54="","",IF(COUNTIFS(Table2[[#All],[De (Lote)]],'Input_APM (Zenith)'!F54)&gt;0,INDEX(Table2[[#All],[Para (Ticker Daniel)]],MATCH('Input_APM (Zenith)'!F54,Table2[[#All],[De (Lote)]],0)),'Input_APM (Zenith)'!F54))</f>
        <v/>
      </c>
      <c r="M54" s="171" t="str">
        <f t="shared" si="1"/>
        <v/>
      </c>
      <c r="N54" s="172" t="str">
        <f t="shared" si="2"/>
        <v/>
      </c>
      <c r="O54" s="172" t="str">
        <f t="shared" si="3"/>
        <v/>
      </c>
    </row>
    <row r="55" spans="11:15">
      <c r="K55" s="171" t="str">
        <f t="shared" si="0"/>
        <v/>
      </c>
      <c r="L55" s="171" t="str">
        <f>IF(E55="","",IF(COUNTIFS(Table2[[#All],[De (Lote)]],'Input_APM (Zenith)'!F55)&gt;0,INDEX(Table2[[#All],[Para (Ticker Daniel)]],MATCH('Input_APM (Zenith)'!F55,Table2[[#All],[De (Lote)]],0)),'Input_APM (Zenith)'!F55))</f>
        <v/>
      </c>
      <c r="M55" s="171" t="str">
        <f t="shared" si="1"/>
        <v/>
      </c>
      <c r="N55" s="172" t="str">
        <f t="shared" si="2"/>
        <v/>
      </c>
      <c r="O55" s="172" t="str">
        <f t="shared" si="3"/>
        <v/>
      </c>
    </row>
    <row r="56" spans="11:15">
      <c r="K56" s="171" t="str">
        <f t="shared" si="0"/>
        <v/>
      </c>
      <c r="L56" s="171" t="str">
        <f>IF(E56="","",IF(COUNTIFS(Table2[[#All],[De (Lote)]],'Input_APM (Zenith)'!F56)&gt;0,INDEX(Table2[[#All],[Para (Ticker Daniel)]],MATCH('Input_APM (Zenith)'!F56,Table2[[#All],[De (Lote)]],0)),'Input_APM (Zenith)'!F56))</f>
        <v/>
      </c>
      <c r="M56" s="171" t="str">
        <f t="shared" si="1"/>
        <v/>
      </c>
      <c r="N56" s="172" t="str">
        <f t="shared" si="2"/>
        <v/>
      </c>
      <c r="O56" s="172" t="str">
        <f t="shared" si="3"/>
        <v/>
      </c>
    </row>
    <row r="57" spans="11:15">
      <c r="K57" s="171" t="str">
        <f t="shared" si="0"/>
        <v/>
      </c>
      <c r="L57" s="171" t="str">
        <f>IF(E57="","",IF(COUNTIFS(Table2[[#All],[De (Lote)]],'Input_APM (Zenith)'!F57)&gt;0,INDEX(Table2[[#All],[Para (Ticker Daniel)]],MATCH('Input_APM (Zenith)'!F57,Table2[[#All],[De (Lote)]],0)),'Input_APM (Zenith)'!F57))</f>
        <v/>
      </c>
      <c r="M57" s="171" t="str">
        <f t="shared" si="1"/>
        <v/>
      </c>
      <c r="N57" s="172" t="str">
        <f t="shared" si="2"/>
        <v/>
      </c>
      <c r="O57" s="172" t="str">
        <f t="shared" si="3"/>
        <v/>
      </c>
    </row>
    <row r="58" spans="11:15">
      <c r="K58" s="171" t="str">
        <f t="shared" si="0"/>
        <v/>
      </c>
      <c r="L58" s="171" t="str">
        <f>IF(E58="","",IF(COUNTIFS(Table2[[#All],[De (Lote)]],'Input_APM (Zenith)'!F58)&gt;0,INDEX(Table2[[#All],[Para (Ticker Daniel)]],MATCH('Input_APM (Zenith)'!F58,Table2[[#All],[De (Lote)]],0)),'Input_APM (Zenith)'!F58))</f>
        <v/>
      </c>
      <c r="M58" s="171" t="str">
        <f t="shared" si="1"/>
        <v/>
      </c>
      <c r="N58" s="172" t="str">
        <f t="shared" si="2"/>
        <v/>
      </c>
      <c r="O58" s="172" t="str">
        <f t="shared" si="3"/>
        <v/>
      </c>
    </row>
    <row r="59" spans="11:15">
      <c r="K59" s="171" t="str">
        <f t="shared" si="0"/>
        <v/>
      </c>
      <c r="L59" s="171" t="str">
        <f>IF(E59="","",IF(COUNTIFS(Table2[[#All],[De (Lote)]],'Input_APM (Zenith)'!F59)&gt;0,INDEX(Table2[[#All],[Para (Ticker Daniel)]],MATCH('Input_APM (Zenith)'!F59,Table2[[#All],[De (Lote)]],0)),'Input_APM (Zenith)'!F59))</f>
        <v/>
      </c>
      <c r="M59" s="171" t="str">
        <f t="shared" si="1"/>
        <v/>
      </c>
      <c r="N59" s="172" t="str">
        <f t="shared" si="2"/>
        <v/>
      </c>
      <c r="O59" s="172" t="str">
        <f t="shared" si="3"/>
        <v/>
      </c>
    </row>
    <row r="60" spans="11:15">
      <c r="K60" s="171" t="str">
        <f t="shared" si="0"/>
        <v/>
      </c>
      <c r="L60" s="171" t="str">
        <f>IF(E60="","",IF(COUNTIFS(Table2[[#All],[De (Lote)]],'Input_APM (Zenith)'!F60)&gt;0,INDEX(Table2[[#All],[Para (Ticker Daniel)]],MATCH('Input_APM (Zenith)'!F60,Table2[[#All],[De (Lote)]],0)),'Input_APM (Zenith)'!F60))</f>
        <v/>
      </c>
      <c r="M60" s="171" t="str">
        <f t="shared" si="1"/>
        <v/>
      </c>
      <c r="N60" s="172" t="str">
        <f t="shared" si="2"/>
        <v/>
      </c>
      <c r="O60" s="172" t="str">
        <f t="shared" si="3"/>
        <v/>
      </c>
    </row>
    <row r="61" spans="11:15">
      <c r="K61" s="171" t="str">
        <f t="shared" si="0"/>
        <v/>
      </c>
      <c r="L61" s="171" t="str">
        <f>IF(E61="","",IF(COUNTIFS(Table2[[#All],[De (Lote)]],'Input_APM (Zenith)'!F61)&gt;0,INDEX(Table2[[#All],[Para (Ticker Daniel)]],MATCH('Input_APM (Zenith)'!F61,Table2[[#All],[De (Lote)]],0)),'Input_APM (Zenith)'!F61))</f>
        <v/>
      </c>
      <c r="M61" s="171" t="str">
        <f t="shared" si="1"/>
        <v/>
      </c>
      <c r="N61" s="172" t="str">
        <f t="shared" si="2"/>
        <v/>
      </c>
      <c r="O61" s="172" t="str">
        <f t="shared" si="3"/>
        <v/>
      </c>
    </row>
    <row r="62" spans="11:15">
      <c r="K62" s="171" t="str">
        <f t="shared" si="0"/>
        <v/>
      </c>
      <c r="L62" s="171" t="str">
        <f>IF(E62="","",IF(COUNTIFS(Table2[[#All],[De (Lote)]],'Input_APM (Zenith)'!F62)&gt;0,INDEX(Table2[[#All],[Para (Ticker Daniel)]],MATCH('Input_APM (Zenith)'!F62,Table2[[#All],[De (Lote)]],0)),'Input_APM (Zenith)'!F62))</f>
        <v/>
      </c>
      <c r="M62" s="171" t="str">
        <f t="shared" si="1"/>
        <v/>
      </c>
      <c r="N62" s="172" t="str">
        <f t="shared" si="2"/>
        <v/>
      </c>
      <c r="O62" s="172" t="str">
        <f t="shared" si="3"/>
        <v/>
      </c>
    </row>
    <row r="63" spans="11:15">
      <c r="K63" s="171" t="str">
        <f t="shared" si="0"/>
        <v/>
      </c>
      <c r="L63" s="171" t="str">
        <f>IF(E63="","",IF(COUNTIFS(Table2[[#All],[De (Lote)]],'Input_APM (Zenith)'!F63)&gt;0,INDEX(Table2[[#All],[Para (Ticker Daniel)]],MATCH('Input_APM (Zenith)'!F63,Table2[[#All],[De (Lote)]],0)),'Input_APM (Zenith)'!F63))</f>
        <v/>
      </c>
      <c r="M63" s="171" t="str">
        <f t="shared" si="1"/>
        <v/>
      </c>
      <c r="N63" s="172" t="str">
        <f t="shared" si="2"/>
        <v/>
      </c>
      <c r="O63" s="172" t="str">
        <f t="shared" si="3"/>
        <v/>
      </c>
    </row>
    <row r="64" spans="11:15">
      <c r="K64" s="171" t="str">
        <f t="shared" si="0"/>
        <v/>
      </c>
      <c r="L64" s="171" t="str">
        <f>IF(E64="","",IF(COUNTIFS(Table2[[#All],[De (Lote)]],'Input_APM (Zenith)'!F64)&gt;0,INDEX(Table2[[#All],[Para (Ticker Daniel)]],MATCH('Input_APM (Zenith)'!F64,Table2[[#All],[De (Lote)]],0)),'Input_APM (Zenith)'!F64))</f>
        <v/>
      </c>
      <c r="M64" s="171" t="str">
        <f t="shared" si="1"/>
        <v/>
      </c>
      <c r="N64" s="172" t="str">
        <f t="shared" si="2"/>
        <v/>
      </c>
      <c r="O64" s="172" t="str">
        <f t="shared" si="3"/>
        <v/>
      </c>
    </row>
    <row r="65" spans="11:15">
      <c r="K65" s="171" t="str">
        <f t="shared" si="0"/>
        <v/>
      </c>
      <c r="L65" s="171" t="str">
        <f>IF(E65="","",IF(COUNTIFS(Table2[[#All],[De (Lote)]],'Input_APM (Zenith)'!F65)&gt;0,INDEX(Table2[[#All],[Para (Ticker Daniel)]],MATCH('Input_APM (Zenith)'!F65,Table2[[#All],[De (Lote)]],0)),'Input_APM (Zenith)'!F65))</f>
        <v/>
      </c>
      <c r="M65" s="171" t="str">
        <f t="shared" si="1"/>
        <v/>
      </c>
      <c r="N65" s="172" t="str">
        <f t="shared" si="2"/>
        <v/>
      </c>
      <c r="O65" s="172" t="str">
        <f t="shared" si="3"/>
        <v/>
      </c>
    </row>
    <row r="66" spans="11:15">
      <c r="K66" s="171" t="str">
        <f t="shared" si="0"/>
        <v/>
      </c>
      <c r="L66" s="171" t="str">
        <f>IF(E66="","",IF(COUNTIFS(Table2[[#All],[De (Lote)]],'Input_APM (Zenith)'!F66)&gt;0,INDEX(Table2[[#All],[Para (Ticker Daniel)]],MATCH('Input_APM (Zenith)'!F66,Table2[[#All],[De (Lote)]],0)),'Input_APM (Zenith)'!F66))</f>
        <v/>
      </c>
      <c r="M66" s="171" t="str">
        <f t="shared" si="1"/>
        <v/>
      </c>
      <c r="N66" s="172" t="str">
        <f t="shared" si="2"/>
        <v/>
      </c>
      <c r="O66" s="172" t="str">
        <f t="shared" si="3"/>
        <v/>
      </c>
    </row>
    <row r="67" spans="11:15">
      <c r="K67" s="171" t="str">
        <f t="shared" ref="K67:K130" si="4">IF(E67="","",E67)</f>
        <v/>
      </c>
      <c r="L67" s="171" t="str">
        <f>IF(E67="","",IF(COUNTIFS(Table2[[#All],[De (Lote)]],'Input_APM (Zenith)'!F67)&gt;0,INDEX(Table2[[#All],[Para (Ticker Daniel)]],MATCH('Input_APM (Zenith)'!F67,Table2[[#All],[De (Lote)]],0)),'Input_APM (Zenith)'!F67))</f>
        <v/>
      </c>
      <c r="M67" s="171" t="str">
        <f t="shared" ref="M67:M130" si="5">IF(E67="","",G67)</f>
        <v/>
      </c>
      <c r="N67" s="172" t="str">
        <f t="shared" ref="N67:N130" si="6">IF(E67="","",H67)</f>
        <v/>
      </c>
      <c r="O67" s="172" t="str">
        <f t="shared" ref="O67:O130" si="7">IF(E67="","",I67)</f>
        <v/>
      </c>
    </row>
    <row r="68" spans="11:15">
      <c r="K68" s="171" t="str">
        <f t="shared" si="4"/>
        <v/>
      </c>
      <c r="L68" s="171" t="str">
        <f>IF(E68="","",IF(COUNTIFS(Table2[[#All],[De (Lote)]],'Input_APM (Zenith)'!F68)&gt;0,INDEX(Table2[[#All],[Para (Ticker Daniel)]],MATCH('Input_APM (Zenith)'!F68,Table2[[#All],[De (Lote)]],0)),'Input_APM (Zenith)'!F68))</f>
        <v/>
      </c>
      <c r="M68" s="171" t="str">
        <f t="shared" si="5"/>
        <v/>
      </c>
      <c r="N68" s="172" t="str">
        <f t="shared" si="6"/>
        <v/>
      </c>
      <c r="O68" s="172" t="str">
        <f t="shared" si="7"/>
        <v/>
      </c>
    </row>
    <row r="69" spans="11:15">
      <c r="K69" s="171" t="str">
        <f t="shared" si="4"/>
        <v/>
      </c>
      <c r="L69" s="171" t="str">
        <f>IF(E69="","",IF(COUNTIFS(Table2[[#All],[De (Lote)]],'Input_APM (Zenith)'!F69)&gt;0,INDEX(Table2[[#All],[Para (Ticker Daniel)]],MATCH('Input_APM (Zenith)'!F69,Table2[[#All],[De (Lote)]],0)),'Input_APM (Zenith)'!F69))</f>
        <v/>
      </c>
      <c r="M69" s="171" t="str">
        <f t="shared" si="5"/>
        <v/>
      </c>
      <c r="N69" s="172" t="str">
        <f t="shared" si="6"/>
        <v/>
      </c>
      <c r="O69" s="172" t="str">
        <f t="shared" si="7"/>
        <v/>
      </c>
    </row>
    <row r="70" spans="11:15">
      <c r="K70" s="171" t="str">
        <f t="shared" si="4"/>
        <v/>
      </c>
      <c r="L70" s="171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171" t="str">
        <f t="shared" si="5"/>
        <v/>
      </c>
      <c r="N70" s="172" t="str">
        <f t="shared" si="6"/>
        <v/>
      </c>
      <c r="O70" s="172" t="str">
        <f t="shared" si="7"/>
        <v/>
      </c>
    </row>
    <row r="71" spans="11:15">
      <c r="K71" s="171" t="str">
        <f t="shared" si="4"/>
        <v/>
      </c>
      <c r="L71" s="171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171" t="str">
        <f t="shared" si="5"/>
        <v/>
      </c>
      <c r="N71" s="172" t="str">
        <f t="shared" si="6"/>
        <v/>
      </c>
      <c r="O71" s="172" t="str">
        <f t="shared" si="7"/>
        <v/>
      </c>
    </row>
    <row r="72" spans="11:15">
      <c r="K72" s="171" t="str">
        <f t="shared" si="4"/>
        <v/>
      </c>
      <c r="L72" s="171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171" t="str">
        <f t="shared" si="5"/>
        <v/>
      </c>
      <c r="N72" s="172" t="str">
        <f t="shared" si="6"/>
        <v/>
      </c>
      <c r="O72" s="172" t="str">
        <f t="shared" si="7"/>
        <v/>
      </c>
    </row>
    <row r="73" spans="11:15">
      <c r="K73" s="171" t="str">
        <f t="shared" si="4"/>
        <v/>
      </c>
      <c r="L73" s="171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171" t="str">
        <f t="shared" si="5"/>
        <v/>
      </c>
      <c r="N73" s="172" t="str">
        <f t="shared" si="6"/>
        <v/>
      </c>
      <c r="O73" s="172" t="str">
        <f t="shared" si="7"/>
        <v/>
      </c>
    </row>
    <row r="74" spans="11:15">
      <c r="K74" s="171" t="str">
        <f t="shared" si="4"/>
        <v/>
      </c>
      <c r="L74" s="171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171" t="str">
        <f t="shared" si="5"/>
        <v/>
      </c>
      <c r="N74" s="172" t="str">
        <f t="shared" si="6"/>
        <v/>
      </c>
      <c r="O74" s="172" t="str">
        <f t="shared" si="7"/>
        <v/>
      </c>
    </row>
    <row r="75" spans="11:15">
      <c r="K75" s="171" t="str">
        <f t="shared" si="4"/>
        <v/>
      </c>
      <c r="L75" s="171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171" t="str">
        <f t="shared" si="5"/>
        <v/>
      </c>
      <c r="N75" s="172" t="str">
        <f t="shared" si="6"/>
        <v/>
      </c>
      <c r="O75" s="172" t="str">
        <f t="shared" si="7"/>
        <v/>
      </c>
    </row>
    <row r="76" spans="11:15">
      <c r="K76" s="171" t="str">
        <f t="shared" si="4"/>
        <v/>
      </c>
      <c r="L76" s="171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171" t="str">
        <f t="shared" si="5"/>
        <v/>
      </c>
      <c r="N76" s="172" t="str">
        <f t="shared" si="6"/>
        <v/>
      </c>
      <c r="O76" s="172" t="str">
        <f t="shared" si="7"/>
        <v/>
      </c>
    </row>
    <row r="77" spans="11:15">
      <c r="K77" s="171" t="str">
        <f t="shared" si="4"/>
        <v/>
      </c>
      <c r="L77" s="171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171" t="str">
        <f t="shared" si="5"/>
        <v/>
      </c>
      <c r="N77" s="172" t="str">
        <f t="shared" si="6"/>
        <v/>
      </c>
      <c r="O77" s="172" t="str">
        <f t="shared" si="7"/>
        <v/>
      </c>
    </row>
    <row r="78" spans="11:15">
      <c r="K78" s="171" t="str">
        <f t="shared" si="4"/>
        <v/>
      </c>
      <c r="L78" s="171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171" t="str">
        <f t="shared" si="5"/>
        <v/>
      </c>
      <c r="N78" s="172" t="str">
        <f t="shared" si="6"/>
        <v/>
      </c>
      <c r="O78" s="172" t="str">
        <f t="shared" si="7"/>
        <v/>
      </c>
    </row>
    <row r="79" spans="11:15">
      <c r="K79" s="171" t="str">
        <f t="shared" si="4"/>
        <v/>
      </c>
      <c r="L79" s="171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171" t="str">
        <f t="shared" si="5"/>
        <v/>
      </c>
      <c r="N79" s="172" t="str">
        <f t="shared" si="6"/>
        <v/>
      </c>
      <c r="O79" s="172" t="str">
        <f t="shared" si="7"/>
        <v/>
      </c>
    </row>
    <row r="80" spans="11:15">
      <c r="K80" s="171" t="str">
        <f t="shared" si="4"/>
        <v/>
      </c>
      <c r="L80" s="171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171" t="str">
        <f t="shared" si="5"/>
        <v/>
      </c>
      <c r="N80" s="172" t="str">
        <f t="shared" si="6"/>
        <v/>
      </c>
      <c r="O80" s="172" t="str">
        <f t="shared" si="7"/>
        <v/>
      </c>
    </row>
    <row r="81" spans="8:15">
      <c r="K81" s="171" t="str">
        <f t="shared" si="4"/>
        <v/>
      </c>
      <c r="L81" s="171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171" t="str">
        <f t="shared" si="5"/>
        <v/>
      </c>
      <c r="N81" s="172" t="str">
        <f t="shared" si="6"/>
        <v/>
      </c>
      <c r="O81" s="172" t="str">
        <f t="shared" si="7"/>
        <v/>
      </c>
    </row>
    <row r="82" spans="8:15">
      <c r="K82" s="171" t="str">
        <f t="shared" si="4"/>
        <v/>
      </c>
      <c r="L82" s="171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171" t="str">
        <f t="shared" si="5"/>
        <v/>
      </c>
      <c r="N82" s="172" t="str">
        <f t="shared" si="6"/>
        <v/>
      </c>
      <c r="O82" s="172" t="str">
        <f t="shared" si="7"/>
        <v/>
      </c>
    </row>
    <row r="83" spans="8:15">
      <c r="K83" s="171" t="str">
        <f t="shared" si="4"/>
        <v/>
      </c>
      <c r="L83" s="171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171" t="str">
        <f t="shared" si="5"/>
        <v/>
      </c>
      <c r="N83" s="172" t="str">
        <f t="shared" si="6"/>
        <v/>
      </c>
      <c r="O83" s="172" t="str">
        <f t="shared" si="7"/>
        <v/>
      </c>
    </row>
    <row r="84" spans="8:15">
      <c r="K84" s="171" t="str">
        <f t="shared" si="4"/>
        <v/>
      </c>
      <c r="L84" s="171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171" t="str">
        <f t="shared" si="5"/>
        <v/>
      </c>
      <c r="N84" s="172" t="str">
        <f t="shared" si="6"/>
        <v/>
      </c>
      <c r="O84" s="172" t="str">
        <f t="shared" si="7"/>
        <v/>
      </c>
    </row>
    <row r="85" spans="8:15">
      <c r="K85" s="171" t="str">
        <f t="shared" si="4"/>
        <v/>
      </c>
      <c r="L85" s="171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171" t="str">
        <f t="shared" si="5"/>
        <v/>
      </c>
      <c r="N85" s="172" t="str">
        <f t="shared" si="6"/>
        <v/>
      </c>
      <c r="O85" s="172" t="str">
        <f t="shared" si="7"/>
        <v/>
      </c>
    </row>
    <row r="86" spans="8:15">
      <c r="K86" s="171" t="str">
        <f t="shared" si="4"/>
        <v/>
      </c>
      <c r="L86" s="171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171" t="str">
        <f t="shared" si="5"/>
        <v/>
      </c>
      <c r="N86" s="172" t="str">
        <f t="shared" si="6"/>
        <v/>
      </c>
      <c r="O86" s="172" t="str">
        <f t="shared" si="7"/>
        <v/>
      </c>
    </row>
    <row r="87" spans="8:15">
      <c r="K87" s="171" t="str">
        <f t="shared" si="4"/>
        <v/>
      </c>
      <c r="L87" s="171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171" t="str">
        <f t="shared" si="5"/>
        <v/>
      </c>
      <c r="N87" s="172" t="str">
        <f t="shared" si="6"/>
        <v/>
      </c>
      <c r="O87" s="172" t="str">
        <f t="shared" si="7"/>
        <v/>
      </c>
    </row>
    <row r="88" spans="8:15">
      <c r="K88" s="171" t="str">
        <f t="shared" si="4"/>
        <v/>
      </c>
      <c r="L88" s="171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171" t="str">
        <f t="shared" si="5"/>
        <v/>
      </c>
      <c r="N88" s="172" t="str">
        <f t="shared" si="6"/>
        <v/>
      </c>
      <c r="O88" s="172" t="str">
        <f t="shared" si="7"/>
        <v/>
      </c>
    </row>
    <row r="89" spans="8:15">
      <c r="K89" s="171" t="str">
        <f t="shared" si="4"/>
        <v/>
      </c>
      <c r="L89" s="171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171" t="str">
        <f t="shared" si="5"/>
        <v/>
      </c>
      <c r="N89" s="172" t="str">
        <f t="shared" si="6"/>
        <v/>
      </c>
      <c r="O89" s="172" t="str">
        <f t="shared" si="7"/>
        <v/>
      </c>
    </row>
    <row r="90" spans="8:15">
      <c r="K90" s="171" t="str">
        <f t="shared" si="4"/>
        <v/>
      </c>
      <c r="L90" s="171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171" t="str">
        <f t="shared" si="5"/>
        <v/>
      </c>
      <c r="N90" s="172" t="str">
        <f t="shared" si="6"/>
        <v/>
      </c>
      <c r="O90" s="172" t="str">
        <f t="shared" si="7"/>
        <v/>
      </c>
    </row>
    <row r="91" spans="8:15">
      <c r="K91" s="171" t="str">
        <f t="shared" si="4"/>
        <v/>
      </c>
      <c r="L91" s="171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171" t="str">
        <f t="shared" si="5"/>
        <v/>
      </c>
      <c r="N91" s="172" t="str">
        <f t="shared" si="6"/>
        <v/>
      </c>
      <c r="O91" s="172" t="str">
        <f t="shared" si="7"/>
        <v/>
      </c>
    </row>
    <row r="92" spans="8:15">
      <c r="K92" s="171" t="str">
        <f t="shared" si="4"/>
        <v/>
      </c>
      <c r="L92" s="171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171" t="str">
        <f t="shared" si="5"/>
        <v/>
      </c>
      <c r="N92" s="172" t="str">
        <f t="shared" si="6"/>
        <v/>
      </c>
      <c r="O92" s="172" t="str">
        <f t="shared" si="7"/>
        <v/>
      </c>
    </row>
    <row r="93" spans="8:15">
      <c r="H93" s="180"/>
      <c r="K93" s="171" t="str">
        <f t="shared" si="4"/>
        <v/>
      </c>
      <c r="L93" s="171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171" t="str">
        <f t="shared" si="5"/>
        <v/>
      </c>
      <c r="N93" s="172" t="str">
        <f t="shared" si="6"/>
        <v/>
      </c>
      <c r="O93" s="172" t="str">
        <f t="shared" si="7"/>
        <v/>
      </c>
    </row>
    <row r="94" spans="8:15">
      <c r="H94" s="180"/>
      <c r="K94" s="171" t="str">
        <f t="shared" si="4"/>
        <v/>
      </c>
      <c r="L94" s="171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171" t="str">
        <f t="shared" si="5"/>
        <v/>
      </c>
      <c r="N94" s="172" t="str">
        <f t="shared" si="6"/>
        <v/>
      </c>
      <c r="O94" s="172" t="str">
        <f t="shared" si="7"/>
        <v/>
      </c>
    </row>
    <row r="95" spans="8:15">
      <c r="K95" s="171" t="str">
        <f t="shared" si="4"/>
        <v/>
      </c>
      <c r="L95" s="171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171" t="str">
        <f t="shared" si="5"/>
        <v/>
      </c>
      <c r="N95" s="172" t="str">
        <f t="shared" si="6"/>
        <v/>
      </c>
      <c r="O95" s="172" t="str">
        <f t="shared" si="7"/>
        <v/>
      </c>
    </row>
    <row r="96" spans="8:15">
      <c r="K96" s="171" t="str">
        <f t="shared" si="4"/>
        <v/>
      </c>
      <c r="L96" s="171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1" t="str">
        <f t="shared" si="5"/>
        <v/>
      </c>
      <c r="N96" s="172" t="str">
        <f t="shared" si="6"/>
        <v/>
      </c>
      <c r="O96" s="172" t="str">
        <f t="shared" si="7"/>
        <v/>
      </c>
    </row>
    <row r="97" spans="11:15">
      <c r="K97" s="171" t="str">
        <f t="shared" si="4"/>
        <v/>
      </c>
      <c r="L97" s="171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1" t="str">
        <f t="shared" si="5"/>
        <v/>
      </c>
      <c r="N97" s="172" t="str">
        <f t="shared" si="6"/>
        <v/>
      </c>
      <c r="O97" s="172" t="str">
        <f t="shared" si="7"/>
        <v/>
      </c>
    </row>
    <row r="98" spans="11:15">
      <c r="K98" s="171" t="str">
        <f t="shared" si="4"/>
        <v/>
      </c>
      <c r="L98" s="171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1" t="str">
        <f t="shared" si="5"/>
        <v/>
      </c>
      <c r="N98" s="172" t="str">
        <f t="shared" si="6"/>
        <v/>
      </c>
      <c r="O98" s="172" t="str">
        <f t="shared" si="7"/>
        <v/>
      </c>
    </row>
    <row r="99" spans="11:15">
      <c r="K99" s="171" t="str">
        <f t="shared" si="4"/>
        <v/>
      </c>
      <c r="L99" s="171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1" t="str">
        <f t="shared" si="5"/>
        <v/>
      </c>
      <c r="N99" s="172" t="str">
        <f t="shared" si="6"/>
        <v/>
      </c>
      <c r="O99" s="172" t="str">
        <f t="shared" si="7"/>
        <v/>
      </c>
    </row>
    <row r="100" spans="11:15">
      <c r="K100" s="171" t="str">
        <f t="shared" si="4"/>
        <v/>
      </c>
      <c r="L100" s="171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1" t="str">
        <f t="shared" si="5"/>
        <v/>
      </c>
      <c r="N100" s="172" t="str">
        <f t="shared" si="6"/>
        <v/>
      </c>
      <c r="O100" s="172" t="str">
        <f t="shared" si="7"/>
        <v/>
      </c>
    </row>
    <row r="101" spans="11:15">
      <c r="K101" s="171" t="str">
        <f t="shared" si="4"/>
        <v/>
      </c>
      <c r="L101" s="171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1" t="str">
        <f t="shared" si="5"/>
        <v/>
      </c>
      <c r="N101" s="172" t="str">
        <f t="shared" si="6"/>
        <v/>
      </c>
      <c r="O101" s="172" t="str">
        <f t="shared" si="7"/>
        <v/>
      </c>
    </row>
    <row r="102" spans="11:15">
      <c r="K102" s="171" t="str">
        <f t="shared" si="4"/>
        <v/>
      </c>
      <c r="L102" s="171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1" t="str">
        <f t="shared" si="5"/>
        <v/>
      </c>
      <c r="N102" s="172" t="str">
        <f t="shared" si="6"/>
        <v/>
      </c>
      <c r="O102" s="172" t="str">
        <f t="shared" si="7"/>
        <v/>
      </c>
    </row>
    <row r="103" spans="11:15">
      <c r="K103" s="171" t="str">
        <f t="shared" si="4"/>
        <v/>
      </c>
      <c r="L103" s="171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1" t="str">
        <f t="shared" si="5"/>
        <v/>
      </c>
      <c r="N103" s="172" t="str">
        <f t="shared" si="6"/>
        <v/>
      </c>
      <c r="O103" s="172" t="str">
        <f t="shared" si="7"/>
        <v/>
      </c>
    </row>
    <row r="104" spans="11:15">
      <c r="K104" s="171" t="str">
        <f t="shared" si="4"/>
        <v/>
      </c>
      <c r="L104" s="171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1" t="str">
        <f t="shared" si="5"/>
        <v/>
      </c>
      <c r="N104" s="172" t="str">
        <f t="shared" si="6"/>
        <v/>
      </c>
      <c r="O104" s="172" t="str">
        <f t="shared" si="7"/>
        <v/>
      </c>
    </row>
    <row r="105" spans="11:15">
      <c r="K105" s="171" t="str">
        <f t="shared" si="4"/>
        <v/>
      </c>
      <c r="L105" s="171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1" t="str">
        <f t="shared" si="5"/>
        <v/>
      </c>
      <c r="N105" s="172" t="str">
        <f t="shared" si="6"/>
        <v/>
      </c>
      <c r="O105" s="172" t="str">
        <f t="shared" si="7"/>
        <v/>
      </c>
    </row>
    <row r="106" spans="11:15">
      <c r="K106" s="171" t="str">
        <f t="shared" si="4"/>
        <v/>
      </c>
      <c r="L106" s="171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1" t="str">
        <f t="shared" si="5"/>
        <v/>
      </c>
      <c r="N106" s="172" t="str">
        <f t="shared" si="6"/>
        <v/>
      </c>
      <c r="O106" s="172" t="str">
        <f t="shared" si="7"/>
        <v/>
      </c>
    </row>
    <row r="107" spans="11:15">
      <c r="K107" s="171" t="str">
        <f t="shared" si="4"/>
        <v/>
      </c>
      <c r="L107" s="171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1" t="str">
        <f t="shared" si="5"/>
        <v/>
      </c>
      <c r="N107" s="172" t="str">
        <f t="shared" si="6"/>
        <v/>
      </c>
      <c r="O107" s="172" t="str">
        <f t="shared" si="7"/>
        <v/>
      </c>
    </row>
    <row r="108" spans="11:15">
      <c r="K108" s="171" t="str">
        <f t="shared" si="4"/>
        <v/>
      </c>
      <c r="L108" s="171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1" t="str">
        <f t="shared" si="5"/>
        <v/>
      </c>
      <c r="N108" s="172" t="str">
        <f t="shared" si="6"/>
        <v/>
      </c>
      <c r="O108" s="172" t="str">
        <f t="shared" si="7"/>
        <v/>
      </c>
    </row>
    <row r="109" spans="11:15">
      <c r="K109" s="171" t="str">
        <f t="shared" si="4"/>
        <v/>
      </c>
      <c r="L109" s="171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1" t="str">
        <f t="shared" si="5"/>
        <v/>
      </c>
      <c r="N109" s="172" t="str">
        <f t="shared" si="6"/>
        <v/>
      </c>
      <c r="O109" s="172" t="str">
        <f t="shared" si="7"/>
        <v/>
      </c>
    </row>
    <row r="110" spans="11:15">
      <c r="K110" s="171" t="str">
        <f t="shared" si="4"/>
        <v/>
      </c>
      <c r="L110" s="171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1" t="str">
        <f t="shared" si="5"/>
        <v/>
      </c>
      <c r="N110" s="172" t="str">
        <f t="shared" si="6"/>
        <v/>
      </c>
      <c r="O110" s="172" t="str">
        <f t="shared" si="7"/>
        <v/>
      </c>
    </row>
    <row r="111" spans="11:15">
      <c r="K111" s="171" t="str">
        <f t="shared" si="4"/>
        <v/>
      </c>
      <c r="L111" s="171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1" t="str">
        <f t="shared" si="5"/>
        <v/>
      </c>
      <c r="N111" s="172" t="str">
        <f t="shared" si="6"/>
        <v/>
      </c>
      <c r="O111" s="172" t="str">
        <f t="shared" si="7"/>
        <v/>
      </c>
    </row>
    <row r="112" spans="11:15">
      <c r="K112" s="171" t="str">
        <f t="shared" si="4"/>
        <v/>
      </c>
      <c r="L112" s="171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1" t="str">
        <f t="shared" si="5"/>
        <v/>
      </c>
      <c r="N112" s="172" t="str">
        <f t="shared" si="6"/>
        <v/>
      </c>
      <c r="O112" s="172" t="str">
        <f t="shared" si="7"/>
        <v/>
      </c>
    </row>
    <row r="113" spans="11:15">
      <c r="K113" s="171" t="str">
        <f t="shared" si="4"/>
        <v/>
      </c>
      <c r="L113" s="171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1" t="str">
        <f t="shared" si="5"/>
        <v/>
      </c>
      <c r="N113" s="172" t="str">
        <f t="shared" si="6"/>
        <v/>
      </c>
      <c r="O113" s="172" t="str">
        <f t="shared" si="7"/>
        <v/>
      </c>
    </row>
    <row r="114" spans="11:15">
      <c r="K114" s="171" t="str">
        <f t="shared" si="4"/>
        <v/>
      </c>
      <c r="L114" s="171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1" t="str">
        <f t="shared" si="5"/>
        <v/>
      </c>
      <c r="N114" s="172" t="str">
        <f t="shared" si="6"/>
        <v/>
      </c>
      <c r="O114" s="172" t="str">
        <f t="shared" si="7"/>
        <v/>
      </c>
    </row>
    <row r="115" spans="11:15">
      <c r="K115" s="171" t="str">
        <f t="shared" si="4"/>
        <v/>
      </c>
      <c r="L115" s="171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1" t="str">
        <f t="shared" si="5"/>
        <v/>
      </c>
      <c r="N115" s="172" t="str">
        <f t="shared" si="6"/>
        <v/>
      </c>
      <c r="O115" s="172" t="str">
        <f t="shared" si="7"/>
        <v/>
      </c>
    </row>
    <row r="116" spans="11:15">
      <c r="K116" s="171" t="str">
        <f t="shared" si="4"/>
        <v/>
      </c>
      <c r="L116" s="171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1" t="str">
        <f t="shared" si="5"/>
        <v/>
      </c>
      <c r="N116" s="172" t="str">
        <f t="shared" si="6"/>
        <v/>
      </c>
      <c r="O116" s="172" t="str">
        <f t="shared" si="7"/>
        <v/>
      </c>
    </row>
    <row r="117" spans="11:15">
      <c r="K117" s="171" t="str">
        <f t="shared" si="4"/>
        <v/>
      </c>
      <c r="L117" s="171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1" t="str">
        <f t="shared" si="5"/>
        <v/>
      </c>
      <c r="N117" s="172" t="str">
        <f t="shared" si="6"/>
        <v/>
      </c>
      <c r="O117" s="172" t="str">
        <f t="shared" si="7"/>
        <v/>
      </c>
    </row>
    <row r="118" spans="11:15">
      <c r="K118" s="171" t="str">
        <f t="shared" si="4"/>
        <v/>
      </c>
      <c r="L118" s="171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1" t="str">
        <f t="shared" si="5"/>
        <v/>
      </c>
      <c r="N118" s="172" t="str">
        <f t="shared" si="6"/>
        <v/>
      </c>
      <c r="O118" s="172" t="str">
        <f t="shared" si="7"/>
        <v/>
      </c>
    </row>
    <row r="119" spans="11:15">
      <c r="K119" s="171" t="str">
        <f t="shared" si="4"/>
        <v/>
      </c>
      <c r="L119" s="171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1" t="str">
        <f t="shared" si="5"/>
        <v/>
      </c>
      <c r="N119" s="172" t="str">
        <f t="shared" si="6"/>
        <v/>
      </c>
      <c r="O119" s="172" t="str">
        <f t="shared" si="7"/>
        <v/>
      </c>
    </row>
    <row r="120" spans="11:15">
      <c r="K120" s="171" t="str">
        <f t="shared" si="4"/>
        <v/>
      </c>
      <c r="L120" s="171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1" t="str">
        <f t="shared" si="5"/>
        <v/>
      </c>
      <c r="N120" s="172" t="str">
        <f t="shared" si="6"/>
        <v/>
      </c>
      <c r="O120" s="172" t="str">
        <f t="shared" si="7"/>
        <v/>
      </c>
    </row>
    <row r="121" spans="11:15">
      <c r="K121" s="171" t="str">
        <f t="shared" si="4"/>
        <v/>
      </c>
      <c r="L121" s="171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1" t="str">
        <f t="shared" si="5"/>
        <v/>
      </c>
      <c r="N121" s="172" t="str">
        <f t="shared" si="6"/>
        <v/>
      </c>
      <c r="O121" s="172" t="str">
        <f t="shared" si="7"/>
        <v/>
      </c>
    </row>
    <row r="122" spans="11:15">
      <c r="K122" s="171" t="str">
        <f t="shared" si="4"/>
        <v/>
      </c>
      <c r="L122" s="171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1" t="str">
        <f t="shared" si="5"/>
        <v/>
      </c>
      <c r="N122" s="172" t="str">
        <f t="shared" si="6"/>
        <v/>
      </c>
      <c r="O122" s="172" t="str">
        <f t="shared" si="7"/>
        <v/>
      </c>
    </row>
    <row r="123" spans="11:15">
      <c r="K123" s="171" t="str">
        <f t="shared" si="4"/>
        <v/>
      </c>
      <c r="L123" s="171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1" t="str">
        <f t="shared" si="5"/>
        <v/>
      </c>
      <c r="N123" s="172" t="str">
        <f t="shared" si="6"/>
        <v/>
      </c>
      <c r="O123" s="172" t="str">
        <f t="shared" si="7"/>
        <v/>
      </c>
    </row>
    <row r="124" spans="11:15">
      <c r="K124" s="171" t="str">
        <f t="shared" si="4"/>
        <v/>
      </c>
      <c r="L124" s="171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1" t="str">
        <f t="shared" si="5"/>
        <v/>
      </c>
      <c r="N124" s="172" t="str">
        <f t="shared" si="6"/>
        <v/>
      </c>
      <c r="O124" s="172" t="str">
        <f t="shared" si="7"/>
        <v/>
      </c>
    </row>
    <row r="125" spans="11:15">
      <c r="K125" s="171" t="str">
        <f t="shared" si="4"/>
        <v/>
      </c>
      <c r="L125" s="171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1" t="str">
        <f t="shared" si="5"/>
        <v/>
      </c>
      <c r="N125" s="172" t="str">
        <f t="shared" si="6"/>
        <v/>
      </c>
      <c r="O125" s="172" t="str">
        <f t="shared" si="7"/>
        <v/>
      </c>
    </row>
    <row r="126" spans="11:15">
      <c r="K126" s="171" t="str">
        <f t="shared" si="4"/>
        <v/>
      </c>
      <c r="L126" s="171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1" t="str">
        <f t="shared" si="5"/>
        <v/>
      </c>
      <c r="N126" s="172" t="str">
        <f t="shared" si="6"/>
        <v/>
      </c>
      <c r="O126" s="172" t="str">
        <f t="shared" si="7"/>
        <v/>
      </c>
    </row>
    <row r="127" spans="11:15">
      <c r="K127" s="171" t="str">
        <f t="shared" si="4"/>
        <v/>
      </c>
      <c r="L127" s="171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1" t="str">
        <f t="shared" si="5"/>
        <v/>
      </c>
      <c r="N127" s="172" t="str">
        <f t="shared" si="6"/>
        <v/>
      </c>
      <c r="O127" s="172" t="str">
        <f t="shared" si="7"/>
        <v/>
      </c>
    </row>
    <row r="128" spans="11:15">
      <c r="K128" s="171" t="str">
        <f t="shared" si="4"/>
        <v/>
      </c>
      <c r="L128" s="171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1" t="str">
        <f t="shared" si="5"/>
        <v/>
      </c>
      <c r="N128" s="172" t="str">
        <f t="shared" si="6"/>
        <v/>
      </c>
      <c r="O128" s="172" t="str">
        <f t="shared" si="7"/>
        <v/>
      </c>
    </row>
    <row r="129" spans="11:15">
      <c r="K129" s="171" t="str">
        <f t="shared" si="4"/>
        <v/>
      </c>
      <c r="L129" s="171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1" t="str">
        <f t="shared" si="5"/>
        <v/>
      </c>
      <c r="N129" s="172" t="str">
        <f t="shared" si="6"/>
        <v/>
      </c>
      <c r="O129" s="172" t="str">
        <f t="shared" si="7"/>
        <v/>
      </c>
    </row>
    <row r="130" spans="11:15">
      <c r="K130" s="171" t="str">
        <f t="shared" si="4"/>
        <v/>
      </c>
      <c r="L130" s="171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1" t="str">
        <f t="shared" si="5"/>
        <v/>
      </c>
      <c r="N130" s="172" t="str">
        <f t="shared" si="6"/>
        <v/>
      </c>
      <c r="O130" s="172" t="str">
        <f t="shared" si="7"/>
        <v/>
      </c>
    </row>
    <row r="131" spans="11:15">
      <c r="K131" s="171" t="str">
        <f t="shared" ref="K131:K148" si="8">IF(E131="","",E131)</f>
        <v/>
      </c>
      <c r="L131" s="171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1" t="str">
        <f t="shared" ref="M131:M148" si="9">IF(E131="","",G131)</f>
        <v/>
      </c>
      <c r="N131" s="172" t="str">
        <f t="shared" ref="N131:N148" si="10">IF(E131="","",H131)</f>
        <v/>
      </c>
      <c r="O131" s="172" t="str">
        <f t="shared" ref="O131:O148" si="11">IF(E131="","",I131)</f>
        <v/>
      </c>
    </row>
    <row r="132" spans="11:15">
      <c r="K132" s="171" t="str">
        <f t="shared" si="8"/>
        <v/>
      </c>
      <c r="L132" s="171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1" t="str">
        <f t="shared" si="9"/>
        <v/>
      </c>
      <c r="N132" s="172" t="str">
        <f t="shared" si="10"/>
        <v/>
      </c>
      <c r="O132" s="172" t="str">
        <f t="shared" si="11"/>
        <v/>
      </c>
    </row>
    <row r="133" spans="11:15">
      <c r="K133" s="171" t="str">
        <f t="shared" si="8"/>
        <v/>
      </c>
      <c r="L133" s="171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1" t="str">
        <f t="shared" si="9"/>
        <v/>
      </c>
      <c r="N133" s="172" t="str">
        <f t="shared" si="10"/>
        <v/>
      </c>
      <c r="O133" s="172" t="str">
        <f t="shared" si="11"/>
        <v/>
      </c>
    </row>
    <row r="134" spans="11:15">
      <c r="K134" s="171" t="str">
        <f t="shared" si="8"/>
        <v/>
      </c>
      <c r="L134" s="171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1" t="str">
        <f t="shared" si="9"/>
        <v/>
      </c>
      <c r="N134" s="172" t="str">
        <f t="shared" si="10"/>
        <v/>
      </c>
      <c r="O134" s="172" t="str">
        <f t="shared" si="11"/>
        <v/>
      </c>
    </row>
    <row r="135" spans="11:15">
      <c r="K135" s="171" t="str">
        <f t="shared" si="8"/>
        <v/>
      </c>
      <c r="L135" s="171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1" t="str">
        <f t="shared" si="9"/>
        <v/>
      </c>
      <c r="N135" s="172" t="str">
        <f t="shared" si="10"/>
        <v/>
      </c>
      <c r="O135" s="172" t="str">
        <f t="shared" si="11"/>
        <v/>
      </c>
    </row>
    <row r="136" spans="11:15">
      <c r="K136" s="171" t="str">
        <f t="shared" si="8"/>
        <v/>
      </c>
      <c r="L136" s="171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1" t="str">
        <f t="shared" si="9"/>
        <v/>
      </c>
      <c r="N136" s="172" t="str">
        <f t="shared" si="10"/>
        <v/>
      </c>
      <c r="O136" s="172" t="str">
        <f t="shared" si="11"/>
        <v/>
      </c>
    </row>
    <row r="137" spans="11:15">
      <c r="K137" s="171" t="str">
        <f t="shared" si="8"/>
        <v/>
      </c>
      <c r="L137" s="171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1" t="str">
        <f t="shared" si="9"/>
        <v/>
      </c>
      <c r="N137" s="172" t="str">
        <f t="shared" si="10"/>
        <v/>
      </c>
      <c r="O137" s="172" t="str">
        <f t="shared" si="11"/>
        <v/>
      </c>
    </row>
    <row r="138" spans="11:15">
      <c r="K138" s="171" t="str">
        <f t="shared" si="8"/>
        <v/>
      </c>
      <c r="L138" s="171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1" t="str">
        <f t="shared" si="9"/>
        <v/>
      </c>
      <c r="N138" s="172" t="str">
        <f t="shared" si="10"/>
        <v/>
      </c>
      <c r="O138" s="172" t="str">
        <f t="shared" si="11"/>
        <v/>
      </c>
    </row>
    <row r="139" spans="11:15">
      <c r="K139" s="171" t="str">
        <f t="shared" si="8"/>
        <v/>
      </c>
      <c r="L139" s="171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1" t="str">
        <f t="shared" si="9"/>
        <v/>
      </c>
      <c r="N139" s="172" t="str">
        <f t="shared" si="10"/>
        <v/>
      </c>
      <c r="O139" s="172" t="str">
        <f t="shared" si="11"/>
        <v/>
      </c>
    </row>
    <row r="140" spans="11:15">
      <c r="K140" s="171" t="str">
        <f t="shared" si="8"/>
        <v/>
      </c>
      <c r="L140" s="171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1" t="str">
        <f t="shared" si="9"/>
        <v/>
      </c>
      <c r="N140" s="172" t="str">
        <f t="shared" si="10"/>
        <v/>
      </c>
      <c r="O140" s="172" t="str">
        <f t="shared" si="11"/>
        <v/>
      </c>
    </row>
    <row r="141" spans="11:15">
      <c r="K141" s="171" t="str">
        <f t="shared" si="8"/>
        <v/>
      </c>
      <c r="L141" s="171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1" t="str">
        <f t="shared" si="9"/>
        <v/>
      </c>
      <c r="N141" s="172" t="str">
        <f t="shared" si="10"/>
        <v/>
      </c>
      <c r="O141" s="172" t="str">
        <f t="shared" si="11"/>
        <v/>
      </c>
    </row>
    <row r="142" spans="11:15">
      <c r="K142" s="171" t="str">
        <f t="shared" si="8"/>
        <v/>
      </c>
      <c r="L142" s="171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1" t="str">
        <f t="shared" si="9"/>
        <v/>
      </c>
      <c r="N142" s="172" t="str">
        <f t="shared" si="10"/>
        <v/>
      </c>
      <c r="O142" s="172" t="str">
        <f t="shared" si="11"/>
        <v/>
      </c>
    </row>
    <row r="143" spans="11:15">
      <c r="K143" s="171" t="str">
        <f t="shared" si="8"/>
        <v/>
      </c>
      <c r="L143" s="171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1" t="str">
        <f t="shared" si="9"/>
        <v/>
      </c>
      <c r="N143" s="172" t="str">
        <f t="shared" si="10"/>
        <v/>
      </c>
      <c r="O143" s="172" t="str">
        <f t="shared" si="11"/>
        <v/>
      </c>
    </row>
    <row r="144" spans="11:15">
      <c r="K144" s="171" t="str">
        <f t="shared" si="8"/>
        <v/>
      </c>
      <c r="L144" s="171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1" t="str">
        <f t="shared" si="9"/>
        <v/>
      </c>
      <c r="N144" s="172" t="str">
        <f t="shared" si="10"/>
        <v/>
      </c>
      <c r="O144" s="172" t="str">
        <f t="shared" si="11"/>
        <v/>
      </c>
    </row>
    <row r="145" spans="11:15">
      <c r="K145" s="171" t="str">
        <f t="shared" si="8"/>
        <v/>
      </c>
      <c r="L145" s="171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1" t="str">
        <f t="shared" si="9"/>
        <v/>
      </c>
      <c r="N145" s="172" t="str">
        <f t="shared" si="10"/>
        <v/>
      </c>
      <c r="O145" s="172" t="str">
        <f t="shared" si="11"/>
        <v/>
      </c>
    </row>
    <row r="146" spans="11:15">
      <c r="K146" s="171" t="str">
        <f t="shared" si="8"/>
        <v/>
      </c>
      <c r="L146" s="171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1" t="str">
        <f t="shared" si="9"/>
        <v/>
      </c>
      <c r="N146" s="172" t="str">
        <f t="shared" si="10"/>
        <v/>
      </c>
      <c r="O146" s="172" t="str">
        <f t="shared" si="11"/>
        <v/>
      </c>
    </row>
    <row r="147" spans="11:15">
      <c r="K147" s="171" t="str">
        <f t="shared" si="8"/>
        <v/>
      </c>
      <c r="L147" s="171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1" t="str">
        <f t="shared" si="9"/>
        <v/>
      </c>
      <c r="N147" s="172" t="str">
        <f t="shared" si="10"/>
        <v/>
      </c>
      <c r="O147" s="172" t="str">
        <f t="shared" si="11"/>
        <v/>
      </c>
    </row>
    <row r="148" spans="11:15">
      <c r="K148" s="171" t="str">
        <f t="shared" si="8"/>
        <v/>
      </c>
      <c r="L148" s="171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1" t="str">
        <f t="shared" si="9"/>
        <v/>
      </c>
      <c r="N148" s="172" t="str">
        <f t="shared" si="10"/>
        <v/>
      </c>
      <c r="O148" s="172" t="str">
        <f t="shared" si="11"/>
        <v/>
      </c>
    </row>
    <row r="149" spans="11:15">
      <c r="K149" s="171" t="str">
        <f t="shared" ref="K149:K156" si="12">IF(E149="","",E149)</f>
        <v/>
      </c>
      <c r="L149" s="171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1" t="str">
        <f t="shared" ref="M149:M156" si="13">IF(E149="","",G149)</f>
        <v/>
      </c>
      <c r="N149" s="172" t="str">
        <f t="shared" ref="N149:N156" si="14">IF(E149="","",H149)</f>
        <v/>
      </c>
      <c r="O149" s="172" t="str">
        <f t="shared" ref="O149:O156" si="15">IF(E149="","",I149)</f>
        <v/>
      </c>
    </row>
    <row r="150" spans="11:15">
      <c r="K150" s="171" t="str">
        <f t="shared" si="12"/>
        <v/>
      </c>
      <c r="L150" s="171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1" t="str">
        <f t="shared" si="13"/>
        <v/>
      </c>
      <c r="N150" s="172" t="str">
        <f t="shared" si="14"/>
        <v/>
      </c>
      <c r="O150" s="172" t="str">
        <f t="shared" si="15"/>
        <v/>
      </c>
    </row>
    <row r="151" spans="11:15">
      <c r="K151" s="171" t="str">
        <f t="shared" si="12"/>
        <v/>
      </c>
      <c r="L151" s="171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1" t="str">
        <f t="shared" si="13"/>
        <v/>
      </c>
      <c r="N151" s="172" t="str">
        <f t="shared" si="14"/>
        <v/>
      </c>
      <c r="O151" s="172" t="str">
        <f t="shared" si="15"/>
        <v/>
      </c>
    </row>
    <row r="152" spans="11:15">
      <c r="K152" s="171" t="str">
        <f t="shared" si="12"/>
        <v/>
      </c>
      <c r="L152" s="171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1" t="str">
        <f t="shared" si="13"/>
        <v/>
      </c>
      <c r="N152" s="172" t="str">
        <f t="shared" si="14"/>
        <v/>
      </c>
      <c r="O152" s="172" t="str">
        <f t="shared" si="15"/>
        <v/>
      </c>
    </row>
    <row r="153" spans="11:15">
      <c r="K153" s="171" t="str">
        <f t="shared" si="12"/>
        <v/>
      </c>
      <c r="L153" s="171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1" t="str">
        <f t="shared" si="13"/>
        <v/>
      </c>
      <c r="N153" s="172" t="str">
        <f t="shared" si="14"/>
        <v/>
      </c>
      <c r="O153" s="172" t="str">
        <f t="shared" si="15"/>
        <v/>
      </c>
    </row>
    <row r="154" spans="11:15">
      <c r="K154" s="171" t="str">
        <f t="shared" si="12"/>
        <v/>
      </c>
      <c r="L154" s="171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1" t="str">
        <f t="shared" si="13"/>
        <v/>
      </c>
      <c r="N154" s="172" t="str">
        <f t="shared" si="14"/>
        <v/>
      </c>
      <c r="O154" s="172" t="str">
        <f t="shared" si="15"/>
        <v/>
      </c>
    </row>
    <row r="155" spans="11:15">
      <c r="K155" s="171" t="str">
        <f t="shared" si="12"/>
        <v/>
      </c>
      <c r="L155" s="171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1" t="str">
        <f t="shared" si="13"/>
        <v/>
      </c>
      <c r="N155" s="172" t="str">
        <f t="shared" si="14"/>
        <v/>
      </c>
      <c r="O155" s="172" t="str">
        <f t="shared" si="15"/>
        <v/>
      </c>
    </row>
    <row r="156" spans="11:15">
      <c r="K156" s="171" t="str">
        <f t="shared" si="12"/>
        <v/>
      </c>
      <c r="L156" s="171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1" t="str">
        <f t="shared" si="13"/>
        <v/>
      </c>
      <c r="N156" s="172" t="str">
        <f t="shared" si="14"/>
        <v/>
      </c>
      <c r="O156" s="172" t="str">
        <f t="shared" si="15"/>
        <v/>
      </c>
    </row>
    <row r="157" spans="11:15">
      <c r="K157" s="171" t="str">
        <f>IF(E157="","",E157)</f>
        <v/>
      </c>
      <c r="L157" s="171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1" t="str">
        <f>IF(E157="","",G157)</f>
        <v/>
      </c>
      <c r="N157" s="172" t="str">
        <f>IF(E157="","",H157)</f>
        <v/>
      </c>
      <c r="O157" s="172" t="str">
        <f>IF(E157="","",I157)</f>
        <v/>
      </c>
    </row>
    <row r="158" spans="11:15">
      <c r="K158" s="171" t="str">
        <f>IF(E158="","",E158)</f>
        <v/>
      </c>
      <c r="L158" s="171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1" t="str">
        <f>IF(E158="","",G158)</f>
        <v/>
      </c>
      <c r="N158" s="172" t="str">
        <f>IF(E158="","",H158)</f>
        <v/>
      </c>
      <c r="O158" s="172" t="str">
        <f>IF(E158="","",I158)</f>
        <v/>
      </c>
    </row>
    <row r="159" spans="11:15">
      <c r="K159" s="171" t="str">
        <f>IF(E159="","",E159)</f>
        <v/>
      </c>
      <c r="L159" s="171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1" t="str">
        <f>IF(E159="","",G159)</f>
        <v/>
      </c>
      <c r="N159" s="172" t="str">
        <f>IF(E159="","",H159)</f>
        <v/>
      </c>
      <c r="O159" s="172" t="str">
        <f>IF(E159="","",I159)</f>
        <v/>
      </c>
    </row>
    <row r="160" spans="11:15">
      <c r="K160" s="171" t="str">
        <f>IF(E160="","",E160)</f>
        <v/>
      </c>
      <c r="L160" s="171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1" t="str">
        <f>IF(E160="","",G160)</f>
        <v/>
      </c>
      <c r="N160" s="172" t="str">
        <f>IF(E160="","",H160)</f>
        <v/>
      </c>
      <c r="O160" s="172" t="str">
        <f>IF(E160="","",I160)</f>
        <v/>
      </c>
    </row>
    <row r="161" spans="11:15">
      <c r="K161" s="171" t="str">
        <f>IF(E161="","",E161)</f>
        <v/>
      </c>
      <c r="L161" s="171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1" t="str">
        <f>IF(E161="","",G161)</f>
        <v/>
      </c>
      <c r="N161" s="172" t="str">
        <f>IF(E161="","",H161)</f>
        <v/>
      </c>
      <c r="O161" s="172" t="str">
        <f>IF(E161="","",I161)</f>
        <v/>
      </c>
    </row>
    <row r="162" spans="11:15">
      <c r="K162" s="171" t="str">
        <f t="shared" ref="K162:K183" si="16">IF(E162="","",E162)</f>
        <v/>
      </c>
      <c r="L162" s="171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1" t="str">
        <f t="shared" ref="M162:M183" si="17">IF(E162="","",G162)</f>
        <v/>
      </c>
      <c r="N162" s="172" t="str">
        <f t="shared" ref="N162:N183" si="18">IF(E162="","",H162)</f>
        <v/>
      </c>
      <c r="O162" s="172" t="str">
        <f t="shared" ref="O162:O183" si="19">IF(E162="","",I162)</f>
        <v/>
      </c>
    </row>
    <row r="163" spans="11:15">
      <c r="K163" s="171" t="str">
        <f t="shared" si="16"/>
        <v/>
      </c>
      <c r="L163" s="171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1" t="str">
        <f t="shared" si="17"/>
        <v/>
      </c>
      <c r="N163" s="172" t="str">
        <f t="shared" si="18"/>
        <v/>
      </c>
      <c r="O163" s="172" t="str">
        <f t="shared" si="19"/>
        <v/>
      </c>
    </row>
    <row r="164" spans="11:15">
      <c r="K164" s="171" t="str">
        <f t="shared" si="16"/>
        <v/>
      </c>
      <c r="L164" s="171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1" t="str">
        <f t="shared" si="17"/>
        <v/>
      </c>
      <c r="N164" s="172" t="str">
        <f t="shared" si="18"/>
        <v/>
      </c>
      <c r="O164" s="172" t="str">
        <f t="shared" si="19"/>
        <v/>
      </c>
    </row>
    <row r="165" spans="11:15">
      <c r="K165" s="171" t="str">
        <f t="shared" si="16"/>
        <v/>
      </c>
      <c r="L165" s="171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1" t="str">
        <f t="shared" si="17"/>
        <v/>
      </c>
      <c r="N165" s="172" t="str">
        <f t="shared" si="18"/>
        <v/>
      </c>
      <c r="O165" s="172" t="str">
        <f t="shared" si="19"/>
        <v/>
      </c>
    </row>
    <row r="166" spans="11:15">
      <c r="K166" s="171" t="str">
        <f t="shared" si="16"/>
        <v/>
      </c>
      <c r="L166" s="171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1" t="str">
        <f t="shared" si="17"/>
        <v/>
      </c>
      <c r="N166" s="172" t="str">
        <f t="shared" si="18"/>
        <v/>
      </c>
      <c r="O166" s="172" t="str">
        <f t="shared" si="19"/>
        <v/>
      </c>
    </row>
    <row r="167" spans="11:15">
      <c r="K167" s="171" t="str">
        <f t="shared" si="16"/>
        <v/>
      </c>
      <c r="L167" s="171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1" t="str">
        <f t="shared" si="17"/>
        <v/>
      </c>
      <c r="N167" s="172" t="str">
        <f t="shared" si="18"/>
        <v/>
      </c>
      <c r="O167" s="172" t="str">
        <f t="shared" si="19"/>
        <v/>
      </c>
    </row>
    <row r="168" spans="11:15">
      <c r="K168" s="171" t="str">
        <f t="shared" si="16"/>
        <v/>
      </c>
      <c r="L168" s="171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1" t="str">
        <f t="shared" si="17"/>
        <v/>
      </c>
      <c r="N168" s="172" t="str">
        <f t="shared" si="18"/>
        <v/>
      </c>
      <c r="O168" s="172" t="str">
        <f t="shared" si="19"/>
        <v/>
      </c>
    </row>
    <row r="169" spans="11:15">
      <c r="K169" s="171" t="str">
        <f t="shared" si="16"/>
        <v/>
      </c>
      <c r="L169" s="171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1" t="str">
        <f t="shared" si="17"/>
        <v/>
      </c>
      <c r="N169" s="172" t="str">
        <f t="shared" si="18"/>
        <v/>
      </c>
      <c r="O169" s="172" t="str">
        <f t="shared" si="19"/>
        <v/>
      </c>
    </row>
    <row r="170" spans="11:15">
      <c r="K170" s="171" t="str">
        <f t="shared" si="16"/>
        <v/>
      </c>
      <c r="L170" s="171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1" t="str">
        <f t="shared" si="17"/>
        <v/>
      </c>
      <c r="N170" s="172" t="str">
        <f t="shared" si="18"/>
        <v/>
      </c>
      <c r="O170" s="172" t="str">
        <f t="shared" si="19"/>
        <v/>
      </c>
    </row>
    <row r="171" spans="11:15">
      <c r="K171" s="171" t="str">
        <f t="shared" si="16"/>
        <v/>
      </c>
      <c r="L171" s="171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1" t="str">
        <f t="shared" si="17"/>
        <v/>
      </c>
      <c r="N171" s="172" t="str">
        <f t="shared" si="18"/>
        <v/>
      </c>
      <c r="O171" s="172" t="str">
        <f t="shared" si="19"/>
        <v/>
      </c>
    </row>
    <row r="172" spans="11:15">
      <c r="K172" s="171" t="str">
        <f t="shared" si="16"/>
        <v/>
      </c>
      <c r="L172" s="171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1" t="str">
        <f t="shared" si="17"/>
        <v/>
      </c>
      <c r="N172" s="172" t="str">
        <f t="shared" si="18"/>
        <v/>
      </c>
      <c r="O172" s="172" t="str">
        <f t="shared" si="19"/>
        <v/>
      </c>
    </row>
    <row r="173" spans="11:15">
      <c r="K173" s="171" t="str">
        <f t="shared" si="16"/>
        <v/>
      </c>
      <c r="L173" s="171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1" t="str">
        <f t="shared" si="17"/>
        <v/>
      </c>
      <c r="N173" s="172" t="str">
        <f t="shared" si="18"/>
        <v/>
      </c>
      <c r="O173" s="172" t="str">
        <f t="shared" si="19"/>
        <v/>
      </c>
    </row>
    <row r="174" spans="11:15">
      <c r="K174" s="171" t="str">
        <f t="shared" si="16"/>
        <v/>
      </c>
      <c r="L174" s="171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1" t="str">
        <f t="shared" si="17"/>
        <v/>
      </c>
      <c r="N174" s="172" t="str">
        <f t="shared" si="18"/>
        <v/>
      </c>
      <c r="O174" s="172" t="str">
        <f t="shared" si="19"/>
        <v/>
      </c>
    </row>
    <row r="175" spans="11:15">
      <c r="K175" s="171" t="str">
        <f t="shared" si="16"/>
        <v/>
      </c>
      <c r="L175" s="171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1" t="str">
        <f t="shared" si="17"/>
        <v/>
      </c>
      <c r="N175" s="172" t="str">
        <f t="shared" si="18"/>
        <v/>
      </c>
      <c r="O175" s="172" t="str">
        <f t="shared" si="19"/>
        <v/>
      </c>
    </row>
    <row r="176" spans="11:15">
      <c r="K176" s="171" t="str">
        <f t="shared" si="16"/>
        <v/>
      </c>
      <c r="L176" s="171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1" t="str">
        <f t="shared" si="17"/>
        <v/>
      </c>
      <c r="N176" s="172" t="str">
        <f t="shared" si="18"/>
        <v/>
      </c>
      <c r="O176" s="172" t="str">
        <f t="shared" si="19"/>
        <v/>
      </c>
    </row>
    <row r="177" spans="11:15">
      <c r="K177" s="171" t="str">
        <f t="shared" si="16"/>
        <v/>
      </c>
      <c r="L177" s="171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1" t="str">
        <f t="shared" si="17"/>
        <v/>
      </c>
      <c r="N177" s="172" t="str">
        <f t="shared" si="18"/>
        <v/>
      </c>
      <c r="O177" s="172" t="str">
        <f t="shared" si="19"/>
        <v/>
      </c>
    </row>
    <row r="178" spans="11:15">
      <c r="K178" s="171" t="str">
        <f t="shared" si="16"/>
        <v/>
      </c>
      <c r="L178" s="171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1" t="str">
        <f t="shared" si="17"/>
        <v/>
      </c>
      <c r="N178" s="172" t="str">
        <f t="shared" si="18"/>
        <v/>
      </c>
      <c r="O178" s="172" t="str">
        <f t="shared" si="19"/>
        <v/>
      </c>
    </row>
    <row r="179" spans="11:15">
      <c r="K179" s="171" t="str">
        <f t="shared" si="16"/>
        <v/>
      </c>
      <c r="L179" s="171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1" t="str">
        <f t="shared" si="17"/>
        <v/>
      </c>
      <c r="N179" s="172" t="str">
        <f t="shared" si="18"/>
        <v/>
      </c>
      <c r="O179" s="172" t="str">
        <f t="shared" si="19"/>
        <v/>
      </c>
    </row>
    <row r="180" spans="11:15">
      <c r="K180" s="171" t="str">
        <f t="shared" si="16"/>
        <v/>
      </c>
      <c r="L180" s="171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1" t="str">
        <f t="shared" si="17"/>
        <v/>
      </c>
      <c r="N180" s="172" t="str">
        <f t="shared" si="18"/>
        <v/>
      </c>
      <c r="O180" s="172" t="str">
        <f t="shared" si="19"/>
        <v/>
      </c>
    </row>
    <row r="181" spans="11:15">
      <c r="K181" s="171" t="str">
        <f t="shared" si="16"/>
        <v/>
      </c>
      <c r="L181" s="171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1" t="str">
        <f t="shared" si="17"/>
        <v/>
      </c>
      <c r="N181" s="172" t="str">
        <f t="shared" si="18"/>
        <v/>
      </c>
      <c r="O181" s="172" t="str">
        <f t="shared" si="19"/>
        <v/>
      </c>
    </row>
    <row r="182" spans="11:15">
      <c r="K182" s="171" t="str">
        <f t="shared" si="16"/>
        <v/>
      </c>
      <c r="L182" s="171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1" t="str">
        <f t="shared" si="17"/>
        <v/>
      </c>
      <c r="N182" s="172" t="str">
        <f t="shared" si="18"/>
        <v/>
      </c>
      <c r="O182" s="172" t="str">
        <f t="shared" si="19"/>
        <v/>
      </c>
    </row>
    <row r="183" spans="11:15">
      <c r="K183" s="171" t="str">
        <f t="shared" si="16"/>
        <v/>
      </c>
      <c r="L183" s="171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1" t="str">
        <f t="shared" si="17"/>
        <v/>
      </c>
      <c r="N183" s="172" t="str">
        <f t="shared" si="18"/>
        <v/>
      </c>
      <c r="O183" s="172" t="str">
        <f t="shared" si="19"/>
        <v/>
      </c>
    </row>
    <row r="184" spans="11:15">
      <c r="K184" s="171" t="str">
        <f>IF(E184="","",E184)</f>
        <v/>
      </c>
      <c r="L184" s="171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1" t="str">
        <f>IF(E184="","",G184)</f>
        <v/>
      </c>
      <c r="N184" s="172" t="str">
        <f>IF(E184="","",H184)</f>
        <v/>
      </c>
      <c r="O184" s="172" t="str">
        <f>IF(E184="","",I184)</f>
        <v/>
      </c>
    </row>
    <row r="185" spans="11:15">
      <c r="K185" s="171" t="str">
        <f>IF(E185="","",E185)</f>
        <v/>
      </c>
      <c r="L185" s="171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1" t="str">
        <f>IF(E185="","",G185)</f>
        <v/>
      </c>
      <c r="N185" s="172" t="str">
        <f>IF(E185="","",H185)</f>
        <v/>
      </c>
      <c r="O185" s="172" t="str">
        <f>IF(E185="","",I185)</f>
        <v/>
      </c>
    </row>
    <row r="186" spans="11:15">
      <c r="K186" s="171" t="str">
        <f>IF(E186="","",E186)</f>
        <v/>
      </c>
      <c r="L186" s="171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1" t="str">
        <f>IF(E186="","",G186)</f>
        <v/>
      </c>
      <c r="N186" s="172" t="str">
        <f>IF(E186="","",H186)</f>
        <v/>
      </c>
      <c r="O186" s="172" t="str">
        <f>IF(E186="","",I186)</f>
        <v/>
      </c>
    </row>
    <row r="187" spans="11:15">
      <c r="K187" s="171" t="str">
        <f>IF(E187="","",E187)</f>
        <v/>
      </c>
      <c r="L187" s="171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1" t="str">
        <f>IF(E187="","",G187)</f>
        <v/>
      </c>
      <c r="N187" s="172" t="str">
        <f>IF(E187="","",H187)</f>
        <v/>
      </c>
      <c r="O187" s="172" t="str">
        <f>IF(E187="","",I187)</f>
        <v/>
      </c>
    </row>
    <row r="188" spans="11:15">
      <c r="K188" s="171" t="str">
        <f t="shared" ref="K188:K199" si="20">IF(E188="","",E188)</f>
        <v/>
      </c>
      <c r="L188" s="171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1" t="str">
        <f t="shared" ref="M188:M199" si="21">IF(E188="","",G188)</f>
        <v/>
      </c>
      <c r="N188" s="172" t="str">
        <f t="shared" ref="N188:N199" si="22">IF(E188="","",H188)</f>
        <v/>
      </c>
      <c r="O188" s="172" t="str">
        <f t="shared" ref="O188:O199" si="23">IF(E188="","",I188)</f>
        <v/>
      </c>
    </row>
    <row r="189" spans="11:15">
      <c r="K189" s="171" t="str">
        <f t="shared" si="20"/>
        <v/>
      </c>
      <c r="L189" s="171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1" t="str">
        <f t="shared" si="21"/>
        <v/>
      </c>
      <c r="N189" s="172" t="str">
        <f t="shared" si="22"/>
        <v/>
      </c>
      <c r="O189" s="172" t="str">
        <f t="shared" si="23"/>
        <v/>
      </c>
    </row>
    <row r="190" spans="11:15">
      <c r="K190" s="171" t="str">
        <f t="shared" si="20"/>
        <v/>
      </c>
      <c r="L190" s="171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1" t="str">
        <f t="shared" si="21"/>
        <v/>
      </c>
      <c r="N190" s="172" t="str">
        <f t="shared" si="22"/>
        <v/>
      </c>
      <c r="O190" s="172" t="str">
        <f t="shared" si="23"/>
        <v/>
      </c>
    </row>
    <row r="191" spans="11:15">
      <c r="K191" s="171" t="str">
        <f t="shared" si="20"/>
        <v/>
      </c>
      <c r="L191" s="171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1" t="str">
        <f t="shared" si="21"/>
        <v/>
      </c>
      <c r="N191" s="172" t="str">
        <f t="shared" si="22"/>
        <v/>
      </c>
      <c r="O191" s="172" t="str">
        <f t="shared" si="23"/>
        <v/>
      </c>
    </row>
    <row r="192" spans="11:15">
      <c r="K192" s="171" t="str">
        <f t="shared" si="20"/>
        <v/>
      </c>
      <c r="L192" s="171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1" t="str">
        <f t="shared" si="21"/>
        <v/>
      </c>
      <c r="N192" s="172" t="str">
        <f t="shared" si="22"/>
        <v/>
      </c>
      <c r="O192" s="172" t="str">
        <f t="shared" si="23"/>
        <v/>
      </c>
    </row>
    <row r="193" spans="11:15">
      <c r="K193" s="171" t="str">
        <f t="shared" si="20"/>
        <v/>
      </c>
      <c r="L193" s="171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1" t="str">
        <f t="shared" si="21"/>
        <v/>
      </c>
      <c r="N193" s="172" t="str">
        <f t="shared" si="22"/>
        <v/>
      </c>
      <c r="O193" s="172" t="str">
        <f t="shared" si="23"/>
        <v/>
      </c>
    </row>
    <row r="194" spans="11:15">
      <c r="K194" s="171" t="str">
        <f t="shared" si="20"/>
        <v/>
      </c>
      <c r="L194" s="171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1" t="str">
        <f t="shared" si="21"/>
        <v/>
      </c>
      <c r="N194" s="172" t="str">
        <f t="shared" si="22"/>
        <v/>
      </c>
      <c r="O194" s="172" t="str">
        <f t="shared" si="23"/>
        <v/>
      </c>
    </row>
    <row r="195" spans="11:15">
      <c r="K195" s="171" t="str">
        <f t="shared" si="20"/>
        <v/>
      </c>
      <c r="L195" s="171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1" t="str">
        <f t="shared" si="21"/>
        <v/>
      </c>
      <c r="N195" s="172" t="str">
        <f t="shared" si="22"/>
        <v/>
      </c>
      <c r="O195" s="172" t="str">
        <f t="shared" si="23"/>
        <v/>
      </c>
    </row>
    <row r="196" spans="11:15">
      <c r="K196" s="171" t="str">
        <f t="shared" si="20"/>
        <v/>
      </c>
      <c r="L196" s="171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1" t="str">
        <f t="shared" si="21"/>
        <v/>
      </c>
      <c r="N196" s="172" t="str">
        <f t="shared" si="22"/>
        <v/>
      </c>
      <c r="O196" s="172" t="str">
        <f t="shared" si="23"/>
        <v/>
      </c>
    </row>
    <row r="197" spans="11:15">
      <c r="K197" s="171" t="str">
        <f t="shared" si="20"/>
        <v/>
      </c>
      <c r="L197" s="171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1" t="str">
        <f t="shared" si="21"/>
        <v/>
      </c>
      <c r="N197" s="172" t="str">
        <f t="shared" si="22"/>
        <v/>
      </c>
      <c r="O197" s="172" t="str">
        <f t="shared" si="23"/>
        <v/>
      </c>
    </row>
    <row r="198" spans="11:15">
      <c r="K198" s="171" t="str">
        <f t="shared" si="20"/>
        <v/>
      </c>
      <c r="L198" s="171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1" t="str">
        <f t="shared" si="21"/>
        <v/>
      </c>
      <c r="N198" s="172" t="str">
        <f t="shared" si="22"/>
        <v/>
      </c>
      <c r="O198" s="172" t="str">
        <f t="shared" si="23"/>
        <v/>
      </c>
    </row>
    <row r="199" spans="11:15">
      <c r="K199" s="171" t="str">
        <f t="shared" si="20"/>
        <v/>
      </c>
      <c r="L199" s="171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1" t="str">
        <f t="shared" si="21"/>
        <v/>
      </c>
      <c r="N199" s="172" t="str">
        <f t="shared" si="22"/>
        <v/>
      </c>
      <c r="O199" s="172" t="str">
        <f t="shared" si="23"/>
        <v/>
      </c>
    </row>
    <row r="200" spans="11:15">
      <c r="K200" s="171" t="str">
        <f t="shared" ref="K200:K212" si="24">IF(E200="","",E200)</f>
        <v/>
      </c>
      <c r="L200" s="171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1" t="str">
        <f t="shared" ref="M200:M212" si="25">IF(E200="","",G200)</f>
        <v/>
      </c>
      <c r="N200" s="172" t="str">
        <f t="shared" ref="N200:N212" si="26">IF(E200="","",H200)</f>
        <v/>
      </c>
      <c r="O200" s="172" t="str">
        <f t="shared" ref="O200:O212" si="27">IF(E200="","",I200)</f>
        <v/>
      </c>
    </row>
    <row r="201" spans="11:15">
      <c r="K201" s="171" t="str">
        <f t="shared" si="24"/>
        <v/>
      </c>
      <c r="L201" s="171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1" t="str">
        <f t="shared" si="25"/>
        <v/>
      </c>
      <c r="N201" s="172" t="str">
        <f t="shared" si="26"/>
        <v/>
      </c>
      <c r="O201" s="172" t="str">
        <f t="shared" si="27"/>
        <v/>
      </c>
    </row>
    <row r="202" spans="11:15">
      <c r="K202" s="171" t="str">
        <f t="shared" si="24"/>
        <v/>
      </c>
      <c r="L202" s="171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1" t="str">
        <f t="shared" si="25"/>
        <v/>
      </c>
      <c r="N202" s="172" t="str">
        <f t="shared" si="26"/>
        <v/>
      </c>
      <c r="O202" s="172" t="str">
        <f t="shared" si="27"/>
        <v/>
      </c>
    </row>
    <row r="203" spans="11:15">
      <c r="K203" s="171" t="str">
        <f t="shared" si="24"/>
        <v/>
      </c>
      <c r="L203" s="171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1" t="str">
        <f t="shared" si="25"/>
        <v/>
      </c>
      <c r="N203" s="172" t="str">
        <f t="shared" si="26"/>
        <v/>
      </c>
      <c r="O203" s="172" t="str">
        <f t="shared" si="27"/>
        <v/>
      </c>
    </row>
    <row r="204" spans="11:15">
      <c r="K204" s="171" t="str">
        <f t="shared" si="24"/>
        <v/>
      </c>
      <c r="L204" s="171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1" t="str">
        <f t="shared" si="25"/>
        <v/>
      </c>
      <c r="N204" s="172" t="str">
        <f t="shared" si="26"/>
        <v/>
      </c>
      <c r="O204" s="172" t="str">
        <f t="shared" si="27"/>
        <v/>
      </c>
    </row>
    <row r="205" spans="11:15">
      <c r="K205" s="171" t="str">
        <f t="shared" si="24"/>
        <v/>
      </c>
      <c r="L205" s="171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1" t="str">
        <f t="shared" si="25"/>
        <v/>
      </c>
      <c r="N205" s="172" t="str">
        <f t="shared" si="26"/>
        <v/>
      </c>
      <c r="O205" s="172" t="str">
        <f t="shared" si="27"/>
        <v/>
      </c>
    </row>
    <row r="206" spans="11:15">
      <c r="K206" s="171" t="str">
        <f t="shared" si="24"/>
        <v/>
      </c>
      <c r="L206" s="171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1" t="str">
        <f t="shared" si="25"/>
        <v/>
      </c>
      <c r="N206" s="172" t="str">
        <f t="shared" si="26"/>
        <v/>
      </c>
      <c r="O206" s="172" t="str">
        <f t="shared" si="27"/>
        <v/>
      </c>
    </row>
    <row r="207" spans="11:15">
      <c r="K207" s="171" t="str">
        <f t="shared" si="24"/>
        <v/>
      </c>
      <c r="L207" s="171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1" t="str">
        <f t="shared" si="25"/>
        <v/>
      </c>
      <c r="N207" s="172" t="str">
        <f t="shared" si="26"/>
        <v/>
      </c>
      <c r="O207" s="172" t="str">
        <f t="shared" si="27"/>
        <v/>
      </c>
    </row>
    <row r="208" spans="11:15">
      <c r="K208" s="171" t="str">
        <f t="shared" si="24"/>
        <v/>
      </c>
      <c r="L208" s="171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1" t="str">
        <f t="shared" si="25"/>
        <v/>
      </c>
      <c r="N208" s="172" t="str">
        <f t="shared" si="26"/>
        <v/>
      </c>
      <c r="O208" s="172" t="str">
        <f t="shared" si="27"/>
        <v/>
      </c>
    </row>
    <row r="209" spans="8:15">
      <c r="K209" s="171" t="str">
        <f t="shared" si="24"/>
        <v/>
      </c>
      <c r="L209" s="171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1" t="str">
        <f t="shared" si="25"/>
        <v/>
      </c>
      <c r="N209" s="172" t="str">
        <f t="shared" si="26"/>
        <v/>
      </c>
      <c r="O209" s="172" t="str">
        <f t="shared" si="27"/>
        <v/>
      </c>
    </row>
    <row r="210" spans="8:15">
      <c r="K210" s="171" t="str">
        <f t="shared" si="24"/>
        <v/>
      </c>
      <c r="L210" s="171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1" t="str">
        <f t="shared" si="25"/>
        <v/>
      </c>
      <c r="N210" s="172" t="str">
        <f t="shared" si="26"/>
        <v/>
      </c>
      <c r="O210" s="172" t="str">
        <f t="shared" si="27"/>
        <v/>
      </c>
    </row>
    <row r="211" spans="8:15">
      <c r="H211" s="180"/>
      <c r="K211" s="171" t="str">
        <f t="shared" si="24"/>
        <v/>
      </c>
      <c r="L211" s="171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1" t="str">
        <f t="shared" si="25"/>
        <v/>
      </c>
      <c r="N211" s="172" t="str">
        <f t="shared" si="26"/>
        <v/>
      </c>
      <c r="O211" s="172" t="str">
        <f t="shared" si="27"/>
        <v/>
      </c>
    </row>
    <row r="212" spans="8:15">
      <c r="H212" s="180"/>
      <c r="K212" s="171" t="str">
        <f t="shared" si="24"/>
        <v/>
      </c>
      <c r="L212" s="171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1" t="str">
        <f t="shared" si="25"/>
        <v/>
      </c>
      <c r="N212" s="172" t="str">
        <f t="shared" si="26"/>
        <v/>
      </c>
      <c r="O212" s="172" t="str">
        <f t="shared" si="27"/>
        <v/>
      </c>
    </row>
    <row r="213" spans="8:15">
      <c r="H213" s="180"/>
      <c r="K213" s="171" t="str">
        <f t="shared" ref="K213:K219" si="28">IF(E213="","",E213)</f>
        <v/>
      </c>
      <c r="L213" s="171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1" t="str">
        <f t="shared" ref="M213:M219" si="29">IF(E213="","",G213)</f>
        <v/>
      </c>
      <c r="N213" s="172" t="str">
        <f t="shared" ref="N213:N219" si="30">IF(E213="","",H213)</f>
        <v/>
      </c>
      <c r="O213" s="172" t="str">
        <f t="shared" ref="O213:O219" si="31">IF(E213="","",I213)</f>
        <v/>
      </c>
    </row>
    <row r="214" spans="8:15">
      <c r="H214" s="180"/>
      <c r="K214" s="171" t="str">
        <f t="shared" si="28"/>
        <v/>
      </c>
      <c r="L214" s="171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1" t="str">
        <f t="shared" si="29"/>
        <v/>
      </c>
      <c r="N214" s="172" t="str">
        <f t="shared" si="30"/>
        <v/>
      </c>
      <c r="O214" s="172" t="str">
        <f t="shared" si="31"/>
        <v/>
      </c>
    </row>
    <row r="215" spans="8:15">
      <c r="H215" s="180"/>
      <c r="K215" s="171" t="str">
        <f t="shared" si="28"/>
        <v/>
      </c>
      <c r="L215" s="171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1" t="str">
        <f t="shared" si="29"/>
        <v/>
      </c>
      <c r="N215" s="172" t="str">
        <f t="shared" si="30"/>
        <v/>
      </c>
      <c r="O215" s="172" t="str">
        <f t="shared" si="31"/>
        <v/>
      </c>
    </row>
    <row r="216" spans="8:15">
      <c r="H216" s="180"/>
      <c r="K216" s="171" t="str">
        <f t="shared" si="28"/>
        <v/>
      </c>
      <c r="L216" s="171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1" t="str">
        <f t="shared" si="29"/>
        <v/>
      </c>
      <c r="N216" s="172" t="str">
        <f t="shared" si="30"/>
        <v/>
      </c>
      <c r="O216" s="172" t="str">
        <f t="shared" si="31"/>
        <v/>
      </c>
    </row>
    <row r="217" spans="8:15">
      <c r="H217" s="180"/>
      <c r="K217" s="171" t="str">
        <f t="shared" si="28"/>
        <v/>
      </c>
      <c r="L217" s="171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1" t="str">
        <f t="shared" si="29"/>
        <v/>
      </c>
      <c r="N217" s="172" t="str">
        <f t="shared" si="30"/>
        <v/>
      </c>
      <c r="O217" s="172" t="str">
        <f t="shared" si="31"/>
        <v/>
      </c>
    </row>
    <row r="218" spans="8:15">
      <c r="H218" s="180"/>
      <c r="K218" s="171" t="str">
        <f t="shared" si="28"/>
        <v/>
      </c>
      <c r="L218" s="171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1" t="str">
        <f t="shared" si="29"/>
        <v/>
      </c>
      <c r="N218" s="172" t="str">
        <f t="shared" si="30"/>
        <v/>
      </c>
      <c r="O218" s="172" t="str">
        <f t="shared" si="31"/>
        <v/>
      </c>
    </row>
    <row r="219" spans="8:15">
      <c r="K219" s="171" t="str">
        <f t="shared" si="28"/>
        <v/>
      </c>
      <c r="L219" s="171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1" t="str">
        <f t="shared" si="29"/>
        <v/>
      </c>
      <c r="N219" s="172" t="str">
        <f t="shared" si="30"/>
        <v/>
      </c>
      <c r="O219" s="172" t="str">
        <f t="shared" si="31"/>
        <v/>
      </c>
    </row>
    <row r="220" spans="8:15">
      <c r="K220" s="171" t="str">
        <f>IF(E220="","",E220)</f>
        <v/>
      </c>
      <c r="L220" s="171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1" t="str">
        <f>IF(E220="","",G220)</f>
        <v/>
      </c>
      <c r="N220" s="172" t="str">
        <f>IF(E220="","",H220)</f>
        <v/>
      </c>
      <c r="O220" s="172" t="str">
        <f>IF(E220="","",I220)</f>
        <v/>
      </c>
    </row>
    <row r="221" spans="8:15">
      <c r="K221" s="171" t="str">
        <f>IF(E221="","",E221)</f>
        <v/>
      </c>
      <c r="L221" s="171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1" t="str">
        <f>IF(E221="","",G221)</f>
        <v/>
      </c>
      <c r="N221" s="172" t="str">
        <f>IF(E221="","",H221)</f>
        <v/>
      </c>
      <c r="O221" s="172" t="str">
        <f>IF(E221="","",I221)</f>
        <v/>
      </c>
    </row>
    <row r="222" spans="8:15">
      <c r="K222" s="171" t="str">
        <f t="shared" ref="K222:K261" si="32">IF(E222="","",E222)</f>
        <v/>
      </c>
      <c r="L222" s="171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1" t="str">
        <f t="shared" ref="M222:M261" si="33">IF(E222="","",G222)</f>
        <v/>
      </c>
      <c r="N222" s="172" t="str">
        <f t="shared" ref="N222:N261" si="34">IF(E222="","",H222)</f>
        <v/>
      </c>
      <c r="O222" s="172" t="str">
        <f t="shared" ref="O222:O261" si="35">IF(E222="","",I222)</f>
        <v/>
      </c>
    </row>
    <row r="223" spans="8:15">
      <c r="K223" s="171" t="str">
        <f t="shared" si="32"/>
        <v/>
      </c>
      <c r="L223" s="171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1" t="str">
        <f t="shared" si="33"/>
        <v/>
      </c>
      <c r="N223" s="172" t="str">
        <f t="shared" si="34"/>
        <v/>
      </c>
      <c r="O223" s="172" t="str">
        <f t="shared" si="35"/>
        <v/>
      </c>
    </row>
    <row r="224" spans="8:15">
      <c r="K224" s="171" t="str">
        <f t="shared" si="32"/>
        <v/>
      </c>
      <c r="L224" s="171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1" t="str">
        <f t="shared" si="33"/>
        <v/>
      </c>
      <c r="N224" s="172" t="str">
        <f t="shared" si="34"/>
        <v/>
      </c>
      <c r="O224" s="172" t="str">
        <f t="shared" si="35"/>
        <v/>
      </c>
    </row>
    <row r="225" spans="11:15">
      <c r="K225" s="171" t="str">
        <f t="shared" si="32"/>
        <v/>
      </c>
      <c r="L225" s="171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1" t="str">
        <f t="shared" si="33"/>
        <v/>
      </c>
      <c r="N225" s="172" t="str">
        <f t="shared" si="34"/>
        <v/>
      </c>
      <c r="O225" s="172" t="str">
        <f t="shared" si="35"/>
        <v/>
      </c>
    </row>
    <row r="226" spans="11:15">
      <c r="K226" s="171" t="str">
        <f t="shared" si="32"/>
        <v/>
      </c>
      <c r="L226" s="171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1" t="str">
        <f t="shared" si="33"/>
        <v/>
      </c>
      <c r="N226" s="172" t="str">
        <f t="shared" si="34"/>
        <v/>
      </c>
      <c r="O226" s="172" t="str">
        <f t="shared" si="35"/>
        <v/>
      </c>
    </row>
    <row r="227" spans="11:15">
      <c r="K227" s="171" t="str">
        <f t="shared" si="32"/>
        <v/>
      </c>
      <c r="L227" s="171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1" t="str">
        <f t="shared" si="33"/>
        <v/>
      </c>
      <c r="N227" s="172" t="str">
        <f t="shared" si="34"/>
        <v/>
      </c>
      <c r="O227" s="172" t="str">
        <f t="shared" si="35"/>
        <v/>
      </c>
    </row>
    <row r="228" spans="11:15">
      <c r="K228" s="171" t="str">
        <f t="shared" si="32"/>
        <v/>
      </c>
      <c r="L228" s="171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1" t="str">
        <f t="shared" si="33"/>
        <v/>
      </c>
      <c r="N228" s="172" t="str">
        <f t="shared" si="34"/>
        <v/>
      </c>
      <c r="O228" s="172" t="str">
        <f t="shared" si="35"/>
        <v/>
      </c>
    </row>
    <row r="229" spans="11:15">
      <c r="K229" s="171" t="str">
        <f t="shared" si="32"/>
        <v/>
      </c>
      <c r="L229" s="171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1" t="str">
        <f t="shared" si="33"/>
        <v/>
      </c>
      <c r="N229" s="172" t="str">
        <f t="shared" si="34"/>
        <v/>
      </c>
      <c r="O229" s="172" t="str">
        <f t="shared" si="35"/>
        <v/>
      </c>
    </row>
    <row r="230" spans="11:15">
      <c r="K230" s="171" t="str">
        <f t="shared" si="32"/>
        <v/>
      </c>
      <c r="L230" s="171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1" t="str">
        <f t="shared" si="33"/>
        <v/>
      </c>
      <c r="N230" s="172" t="str">
        <f t="shared" si="34"/>
        <v/>
      </c>
      <c r="O230" s="172" t="str">
        <f t="shared" si="35"/>
        <v/>
      </c>
    </row>
    <row r="231" spans="11:15">
      <c r="K231" s="171" t="str">
        <f t="shared" si="32"/>
        <v/>
      </c>
      <c r="L231" s="171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1" t="str">
        <f t="shared" si="33"/>
        <v/>
      </c>
      <c r="N231" s="172" t="str">
        <f t="shared" si="34"/>
        <v/>
      </c>
      <c r="O231" s="172" t="str">
        <f t="shared" si="35"/>
        <v/>
      </c>
    </row>
    <row r="232" spans="11:15">
      <c r="K232" s="171" t="str">
        <f t="shared" si="32"/>
        <v/>
      </c>
      <c r="L232" s="171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1" t="str">
        <f t="shared" si="33"/>
        <v/>
      </c>
      <c r="N232" s="172" t="str">
        <f t="shared" si="34"/>
        <v/>
      </c>
      <c r="O232" s="172" t="str">
        <f t="shared" si="35"/>
        <v/>
      </c>
    </row>
    <row r="233" spans="11:15">
      <c r="K233" s="171" t="str">
        <f t="shared" si="32"/>
        <v/>
      </c>
      <c r="L233" s="171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1" t="str">
        <f t="shared" si="33"/>
        <v/>
      </c>
      <c r="N233" s="172" t="str">
        <f t="shared" si="34"/>
        <v/>
      </c>
      <c r="O233" s="172" t="str">
        <f t="shared" si="35"/>
        <v/>
      </c>
    </row>
    <row r="234" spans="11:15">
      <c r="K234" s="171" t="str">
        <f t="shared" si="32"/>
        <v/>
      </c>
      <c r="L234" s="171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1" t="str">
        <f t="shared" si="33"/>
        <v/>
      </c>
      <c r="N234" s="172" t="str">
        <f t="shared" si="34"/>
        <v/>
      </c>
      <c r="O234" s="172" t="str">
        <f t="shared" si="35"/>
        <v/>
      </c>
    </row>
    <row r="235" spans="11:15">
      <c r="K235" s="171" t="str">
        <f t="shared" si="32"/>
        <v/>
      </c>
      <c r="L235" s="171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1" t="str">
        <f t="shared" si="33"/>
        <v/>
      </c>
      <c r="N235" s="172" t="str">
        <f t="shared" si="34"/>
        <v/>
      </c>
      <c r="O235" s="172" t="str">
        <f t="shared" si="35"/>
        <v/>
      </c>
    </row>
    <row r="236" spans="11:15">
      <c r="K236" s="171" t="str">
        <f t="shared" si="32"/>
        <v/>
      </c>
      <c r="L236" s="171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1" t="str">
        <f t="shared" si="33"/>
        <v/>
      </c>
      <c r="N236" s="172" t="str">
        <f t="shared" si="34"/>
        <v/>
      </c>
      <c r="O236" s="172" t="str">
        <f t="shared" si="35"/>
        <v/>
      </c>
    </row>
    <row r="237" spans="11:15">
      <c r="K237" s="171" t="str">
        <f t="shared" si="32"/>
        <v/>
      </c>
      <c r="L237" s="171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1" t="str">
        <f t="shared" si="33"/>
        <v/>
      </c>
      <c r="N237" s="172" t="str">
        <f t="shared" si="34"/>
        <v/>
      </c>
      <c r="O237" s="172" t="str">
        <f t="shared" si="35"/>
        <v/>
      </c>
    </row>
    <row r="238" spans="11:15">
      <c r="K238" s="171" t="str">
        <f t="shared" si="32"/>
        <v/>
      </c>
      <c r="L238" s="171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1" t="str">
        <f t="shared" si="33"/>
        <v/>
      </c>
      <c r="N238" s="172" t="str">
        <f t="shared" si="34"/>
        <v/>
      </c>
      <c r="O238" s="172" t="str">
        <f t="shared" si="35"/>
        <v/>
      </c>
    </row>
    <row r="239" spans="11:15">
      <c r="K239" s="171" t="str">
        <f t="shared" si="32"/>
        <v/>
      </c>
      <c r="L239" s="171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1" t="str">
        <f t="shared" si="33"/>
        <v/>
      </c>
      <c r="N239" s="172" t="str">
        <f t="shared" si="34"/>
        <v/>
      </c>
      <c r="O239" s="172" t="str">
        <f t="shared" si="35"/>
        <v/>
      </c>
    </row>
    <row r="240" spans="11:15">
      <c r="K240" s="171" t="str">
        <f t="shared" si="32"/>
        <v/>
      </c>
      <c r="L240" s="171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1" t="str">
        <f t="shared" si="33"/>
        <v/>
      </c>
      <c r="N240" s="172" t="str">
        <f t="shared" si="34"/>
        <v/>
      </c>
      <c r="O240" s="172" t="str">
        <f t="shared" si="35"/>
        <v/>
      </c>
    </row>
    <row r="241" spans="11:15">
      <c r="K241" s="171" t="str">
        <f t="shared" si="32"/>
        <v/>
      </c>
      <c r="L241" s="171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1" t="str">
        <f t="shared" si="33"/>
        <v/>
      </c>
      <c r="N241" s="172" t="str">
        <f t="shared" si="34"/>
        <v/>
      </c>
      <c r="O241" s="172" t="str">
        <f t="shared" si="35"/>
        <v/>
      </c>
    </row>
    <row r="242" spans="11:15">
      <c r="K242" s="171" t="str">
        <f t="shared" si="32"/>
        <v/>
      </c>
      <c r="L242" s="171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1" t="str">
        <f t="shared" si="33"/>
        <v/>
      </c>
      <c r="N242" s="172" t="str">
        <f t="shared" si="34"/>
        <v/>
      </c>
      <c r="O242" s="172" t="str">
        <f t="shared" si="35"/>
        <v/>
      </c>
    </row>
    <row r="243" spans="11:15">
      <c r="K243" s="171" t="str">
        <f t="shared" si="32"/>
        <v/>
      </c>
      <c r="L243" s="171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1" t="str">
        <f t="shared" si="33"/>
        <v/>
      </c>
      <c r="N243" s="172" t="str">
        <f t="shared" si="34"/>
        <v/>
      </c>
      <c r="O243" s="172" t="str">
        <f t="shared" si="35"/>
        <v/>
      </c>
    </row>
    <row r="244" spans="11:15">
      <c r="K244" s="171" t="str">
        <f t="shared" si="32"/>
        <v/>
      </c>
      <c r="L244" s="171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1" t="str">
        <f t="shared" si="33"/>
        <v/>
      </c>
      <c r="N244" s="172" t="str">
        <f t="shared" si="34"/>
        <v/>
      </c>
      <c r="O244" s="172" t="str">
        <f t="shared" si="35"/>
        <v/>
      </c>
    </row>
    <row r="245" spans="11:15">
      <c r="K245" s="171" t="str">
        <f t="shared" si="32"/>
        <v/>
      </c>
      <c r="L245" s="171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1" t="str">
        <f t="shared" si="33"/>
        <v/>
      </c>
      <c r="N245" s="172" t="str">
        <f t="shared" si="34"/>
        <v/>
      </c>
      <c r="O245" s="172" t="str">
        <f t="shared" si="35"/>
        <v/>
      </c>
    </row>
    <row r="246" spans="11:15">
      <c r="K246" s="171" t="str">
        <f t="shared" si="32"/>
        <v/>
      </c>
      <c r="L246" s="171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1" t="str">
        <f t="shared" si="33"/>
        <v/>
      </c>
      <c r="N246" s="172" t="str">
        <f t="shared" si="34"/>
        <v/>
      </c>
      <c r="O246" s="172" t="str">
        <f t="shared" si="35"/>
        <v/>
      </c>
    </row>
    <row r="247" spans="11:15">
      <c r="K247" s="171" t="str">
        <f t="shared" si="32"/>
        <v/>
      </c>
      <c r="L247" s="171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1" t="str">
        <f t="shared" si="33"/>
        <v/>
      </c>
      <c r="N247" s="172" t="str">
        <f t="shared" si="34"/>
        <v/>
      </c>
      <c r="O247" s="172" t="str">
        <f t="shared" si="35"/>
        <v/>
      </c>
    </row>
    <row r="248" spans="11:15">
      <c r="K248" s="171" t="str">
        <f t="shared" si="32"/>
        <v/>
      </c>
      <c r="L248" s="171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1" t="str">
        <f t="shared" si="33"/>
        <v/>
      </c>
      <c r="N248" s="172" t="str">
        <f t="shared" si="34"/>
        <v/>
      </c>
      <c r="O248" s="172" t="str">
        <f t="shared" si="35"/>
        <v/>
      </c>
    </row>
    <row r="249" spans="11:15">
      <c r="K249" s="171" t="str">
        <f t="shared" si="32"/>
        <v/>
      </c>
      <c r="L249" s="171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1" t="str">
        <f t="shared" si="33"/>
        <v/>
      </c>
      <c r="N249" s="172" t="str">
        <f t="shared" si="34"/>
        <v/>
      </c>
      <c r="O249" s="172" t="str">
        <f t="shared" si="35"/>
        <v/>
      </c>
    </row>
    <row r="250" spans="11:15">
      <c r="K250" s="171" t="str">
        <f t="shared" si="32"/>
        <v/>
      </c>
      <c r="L250" s="171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1" t="str">
        <f t="shared" si="33"/>
        <v/>
      </c>
      <c r="N250" s="172" t="str">
        <f t="shared" si="34"/>
        <v/>
      </c>
      <c r="O250" s="172" t="str">
        <f t="shared" si="35"/>
        <v/>
      </c>
    </row>
    <row r="251" spans="11:15">
      <c r="K251" s="171" t="str">
        <f t="shared" si="32"/>
        <v/>
      </c>
      <c r="L251" s="171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1" t="str">
        <f t="shared" si="33"/>
        <v/>
      </c>
      <c r="N251" s="172" t="str">
        <f t="shared" si="34"/>
        <v/>
      </c>
      <c r="O251" s="172" t="str">
        <f t="shared" si="35"/>
        <v/>
      </c>
    </row>
    <row r="252" spans="11:15">
      <c r="K252" s="171" t="str">
        <f t="shared" si="32"/>
        <v/>
      </c>
      <c r="L252" s="171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1" t="str">
        <f t="shared" si="33"/>
        <v/>
      </c>
      <c r="N252" s="172" t="str">
        <f t="shared" si="34"/>
        <v/>
      </c>
      <c r="O252" s="172" t="str">
        <f t="shared" si="35"/>
        <v/>
      </c>
    </row>
    <row r="253" spans="11:15">
      <c r="K253" s="171" t="str">
        <f t="shared" si="32"/>
        <v/>
      </c>
      <c r="L253" s="171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1" t="str">
        <f t="shared" si="33"/>
        <v/>
      </c>
      <c r="N253" s="172" t="str">
        <f t="shared" si="34"/>
        <v/>
      </c>
      <c r="O253" s="172" t="str">
        <f t="shared" si="35"/>
        <v/>
      </c>
    </row>
    <row r="254" spans="11:15">
      <c r="K254" s="171" t="str">
        <f t="shared" si="32"/>
        <v/>
      </c>
      <c r="L254" s="171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1" t="str">
        <f t="shared" si="33"/>
        <v/>
      </c>
      <c r="N254" s="172" t="str">
        <f t="shared" si="34"/>
        <v/>
      </c>
      <c r="O254" s="172" t="str">
        <f t="shared" si="35"/>
        <v/>
      </c>
    </row>
    <row r="255" spans="11:15">
      <c r="K255" s="171" t="str">
        <f t="shared" si="32"/>
        <v/>
      </c>
      <c r="L255" s="171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1" t="str">
        <f t="shared" si="33"/>
        <v/>
      </c>
      <c r="N255" s="172" t="str">
        <f t="shared" si="34"/>
        <v/>
      </c>
      <c r="O255" s="172" t="str">
        <f t="shared" si="35"/>
        <v/>
      </c>
    </row>
    <row r="256" spans="11:15">
      <c r="K256" s="171" t="str">
        <f t="shared" si="32"/>
        <v/>
      </c>
      <c r="L256" s="171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1" t="str">
        <f t="shared" si="33"/>
        <v/>
      </c>
      <c r="N256" s="172" t="str">
        <f t="shared" si="34"/>
        <v/>
      </c>
      <c r="O256" s="172" t="str">
        <f t="shared" si="35"/>
        <v/>
      </c>
    </row>
    <row r="257" spans="11:15">
      <c r="K257" s="171" t="str">
        <f t="shared" si="32"/>
        <v/>
      </c>
      <c r="L257" s="171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1" t="str">
        <f t="shared" si="33"/>
        <v/>
      </c>
      <c r="N257" s="172" t="str">
        <f t="shared" si="34"/>
        <v/>
      </c>
      <c r="O257" s="172" t="str">
        <f t="shared" si="35"/>
        <v/>
      </c>
    </row>
    <row r="258" spans="11:15">
      <c r="K258" s="171" t="str">
        <f t="shared" si="32"/>
        <v/>
      </c>
      <c r="L258" s="171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1" t="str">
        <f t="shared" si="33"/>
        <v/>
      </c>
      <c r="N258" s="172" t="str">
        <f t="shared" si="34"/>
        <v/>
      </c>
      <c r="O258" s="172" t="str">
        <f t="shared" si="35"/>
        <v/>
      </c>
    </row>
    <row r="259" spans="11:15">
      <c r="K259" s="171" t="str">
        <f t="shared" si="32"/>
        <v/>
      </c>
      <c r="L259" s="171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1" t="str">
        <f t="shared" si="33"/>
        <v/>
      </c>
      <c r="N259" s="172" t="str">
        <f t="shared" si="34"/>
        <v/>
      </c>
      <c r="O259" s="172" t="str">
        <f t="shared" si="35"/>
        <v/>
      </c>
    </row>
    <row r="260" spans="11:15">
      <c r="K260" s="171" t="str">
        <f t="shared" si="32"/>
        <v/>
      </c>
      <c r="L260" s="171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1" t="str">
        <f t="shared" si="33"/>
        <v/>
      </c>
      <c r="N260" s="172" t="str">
        <f t="shared" si="34"/>
        <v/>
      </c>
      <c r="O260" s="172" t="str">
        <f t="shared" si="35"/>
        <v/>
      </c>
    </row>
    <row r="261" spans="11:15">
      <c r="K261" s="171" t="str">
        <f t="shared" si="32"/>
        <v/>
      </c>
      <c r="L261" s="171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1" t="str">
        <f t="shared" si="33"/>
        <v/>
      </c>
      <c r="N261" s="172" t="str">
        <f t="shared" si="34"/>
        <v/>
      </c>
      <c r="O261" s="172" t="str">
        <f t="shared" si="35"/>
        <v/>
      </c>
    </row>
    <row r="262" spans="11:15">
      <c r="K262" s="171" t="str">
        <f t="shared" ref="K262:K267" si="36">IF(E262="","",E262)</f>
        <v/>
      </c>
      <c r="L262" s="171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1" t="str">
        <f t="shared" ref="M262:M267" si="37">IF(E262="","",G262)</f>
        <v/>
      </c>
      <c r="N262" s="172" t="str">
        <f t="shared" ref="N262:N267" si="38">IF(E262="","",H262)</f>
        <v/>
      </c>
      <c r="O262" s="172" t="str">
        <f t="shared" ref="O262:O267" si="39">IF(E262="","",I262)</f>
        <v/>
      </c>
    </row>
    <row r="263" spans="11:15">
      <c r="K263" s="171" t="str">
        <f t="shared" si="36"/>
        <v/>
      </c>
      <c r="L263" s="171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1" t="str">
        <f t="shared" si="37"/>
        <v/>
      </c>
      <c r="N263" s="172" t="str">
        <f t="shared" si="38"/>
        <v/>
      </c>
      <c r="O263" s="172" t="str">
        <f t="shared" si="39"/>
        <v/>
      </c>
    </row>
    <row r="264" spans="11:15">
      <c r="K264" s="171" t="str">
        <f t="shared" si="36"/>
        <v/>
      </c>
      <c r="L264" s="171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1" t="str">
        <f t="shared" si="37"/>
        <v/>
      </c>
      <c r="N264" s="172" t="str">
        <f t="shared" si="38"/>
        <v/>
      </c>
      <c r="O264" s="172" t="str">
        <f t="shared" si="39"/>
        <v/>
      </c>
    </row>
    <row r="265" spans="11:15">
      <c r="K265" s="171" t="str">
        <f t="shared" si="36"/>
        <v/>
      </c>
      <c r="L265" s="171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1" t="str">
        <f t="shared" si="37"/>
        <v/>
      </c>
      <c r="N265" s="172" t="str">
        <f t="shared" si="38"/>
        <v/>
      </c>
      <c r="O265" s="172" t="str">
        <f t="shared" si="39"/>
        <v/>
      </c>
    </row>
    <row r="266" spans="11:15">
      <c r="K266" s="171" t="str">
        <f t="shared" si="36"/>
        <v/>
      </c>
      <c r="L266" s="171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1" t="str">
        <f t="shared" si="37"/>
        <v/>
      </c>
      <c r="N266" s="172" t="str">
        <f t="shared" si="38"/>
        <v/>
      </c>
      <c r="O266" s="172" t="str">
        <f t="shared" si="39"/>
        <v/>
      </c>
    </row>
    <row r="267" spans="11:15">
      <c r="K267" s="171" t="str">
        <f t="shared" si="36"/>
        <v/>
      </c>
      <c r="L267" s="171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1" t="str">
        <f t="shared" si="37"/>
        <v/>
      </c>
      <c r="N267" s="172" t="str">
        <f t="shared" si="38"/>
        <v/>
      </c>
      <c r="O267" s="172" t="str">
        <f t="shared" si="39"/>
        <v/>
      </c>
    </row>
    <row r="268" spans="11:15">
      <c r="K268" s="171" t="str">
        <f t="shared" ref="K268:K293" si="40">IF(E268="","",E268)</f>
        <v/>
      </c>
      <c r="L268" s="171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1" t="str">
        <f t="shared" ref="M268:M293" si="41">IF(E268="","",G268)</f>
        <v/>
      </c>
      <c r="N268" s="172" t="str">
        <f t="shared" ref="N268:N293" si="42">IF(E268="","",H268)</f>
        <v/>
      </c>
      <c r="O268" s="172" t="str">
        <f t="shared" ref="O268:O293" si="43">IF(E268="","",I268)</f>
        <v/>
      </c>
    </row>
    <row r="269" spans="11:15">
      <c r="K269" s="171" t="str">
        <f t="shared" si="40"/>
        <v/>
      </c>
      <c r="L269" s="171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1" t="str">
        <f t="shared" si="41"/>
        <v/>
      </c>
      <c r="N269" s="172" t="str">
        <f t="shared" si="42"/>
        <v/>
      </c>
      <c r="O269" s="172" t="str">
        <f t="shared" si="43"/>
        <v/>
      </c>
    </row>
    <row r="270" spans="11:15">
      <c r="K270" s="171" t="str">
        <f t="shared" si="40"/>
        <v/>
      </c>
      <c r="L270" s="171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1" t="str">
        <f t="shared" si="41"/>
        <v/>
      </c>
      <c r="N270" s="172" t="str">
        <f t="shared" si="42"/>
        <v/>
      </c>
      <c r="O270" s="172" t="str">
        <f t="shared" si="43"/>
        <v/>
      </c>
    </row>
    <row r="271" spans="11:15">
      <c r="K271" s="171" t="str">
        <f t="shared" si="40"/>
        <v/>
      </c>
      <c r="L271" s="171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1" t="str">
        <f t="shared" si="41"/>
        <v/>
      </c>
      <c r="N271" s="172" t="str">
        <f t="shared" si="42"/>
        <v/>
      </c>
      <c r="O271" s="172" t="str">
        <f t="shared" si="43"/>
        <v/>
      </c>
    </row>
    <row r="272" spans="11:15">
      <c r="K272" s="171" t="str">
        <f t="shared" si="40"/>
        <v/>
      </c>
      <c r="L272" s="171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1" t="str">
        <f t="shared" si="41"/>
        <v/>
      </c>
      <c r="N272" s="172" t="str">
        <f t="shared" si="42"/>
        <v/>
      </c>
      <c r="O272" s="172" t="str">
        <f t="shared" si="43"/>
        <v/>
      </c>
    </row>
    <row r="273" spans="11:15">
      <c r="K273" s="171" t="str">
        <f t="shared" si="40"/>
        <v/>
      </c>
      <c r="L273" s="171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1" t="str">
        <f t="shared" si="41"/>
        <v/>
      </c>
      <c r="N273" s="172" t="str">
        <f t="shared" si="42"/>
        <v/>
      </c>
      <c r="O273" s="172" t="str">
        <f t="shared" si="43"/>
        <v/>
      </c>
    </row>
    <row r="274" spans="11:15">
      <c r="K274" s="171" t="str">
        <f t="shared" si="40"/>
        <v/>
      </c>
      <c r="L274" s="171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1" t="str">
        <f t="shared" si="41"/>
        <v/>
      </c>
      <c r="N274" s="172" t="str">
        <f t="shared" si="42"/>
        <v/>
      </c>
      <c r="O274" s="172" t="str">
        <f t="shared" si="43"/>
        <v/>
      </c>
    </row>
    <row r="275" spans="11:15">
      <c r="K275" s="171" t="str">
        <f t="shared" si="40"/>
        <v/>
      </c>
      <c r="L275" s="171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1" t="str">
        <f t="shared" si="41"/>
        <v/>
      </c>
      <c r="N275" s="172" t="str">
        <f t="shared" si="42"/>
        <v/>
      </c>
      <c r="O275" s="172" t="str">
        <f t="shared" si="43"/>
        <v/>
      </c>
    </row>
    <row r="276" spans="11:15">
      <c r="K276" s="171" t="str">
        <f t="shared" si="40"/>
        <v/>
      </c>
      <c r="L276" s="171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1" t="str">
        <f t="shared" si="41"/>
        <v/>
      </c>
      <c r="N276" s="172" t="str">
        <f t="shared" si="42"/>
        <v/>
      </c>
      <c r="O276" s="172" t="str">
        <f t="shared" si="43"/>
        <v/>
      </c>
    </row>
    <row r="277" spans="11:15">
      <c r="K277" s="171" t="str">
        <f t="shared" si="40"/>
        <v/>
      </c>
      <c r="L277" s="171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1" t="str">
        <f t="shared" si="41"/>
        <v/>
      </c>
      <c r="N277" s="172" t="str">
        <f t="shared" si="42"/>
        <v/>
      </c>
      <c r="O277" s="172" t="str">
        <f t="shared" si="43"/>
        <v/>
      </c>
    </row>
    <row r="278" spans="11:15">
      <c r="K278" s="171" t="str">
        <f t="shared" si="40"/>
        <v/>
      </c>
      <c r="L278" s="171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1" t="str">
        <f t="shared" si="41"/>
        <v/>
      </c>
      <c r="N278" s="172" t="str">
        <f t="shared" si="42"/>
        <v/>
      </c>
      <c r="O278" s="172" t="str">
        <f t="shared" si="43"/>
        <v/>
      </c>
    </row>
    <row r="279" spans="11:15">
      <c r="K279" s="171" t="str">
        <f t="shared" si="40"/>
        <v/>
      </c>
      <c r="L279" s="171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1" t="str">
        <f t="shared" si="41"/>
        <v/>
      </c>
      <c r="N279" s="172" t="str">
        <f t="shared" si="42"/>
        <v/>
      </c>
      <c r="O279" s="172" t="str">
        <f t="shared" si="43"/>
        <v/>
      </c>
    </row>
    <row r="280" spans="11:15">
      <c r="K280" s="171" t="str">
        <f t="shared" si="40"/>
        <v/>
      </c>
      <c r="L280" s="171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1" t="str">
        <f t="shared" si="41"/>
        <v/>
      </c>
      <c r="N280" s="172" t="str">
        <f t="shared" si="42"/>
        <v/>
      </c>
      <c r="O280" s="172" t="str">
        <f t="shared" si="43"/>
        <v/>
      </c>
    </row>
    <row r="281" spans="11:15">
      <c r="K281" s="171" t="str">
        <f t="shared" si="40"/>
        <v/>
      </c>
      <c r="L281" s="171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1" t="str">
        <f t="shared" si="41"/>
        <v/>
      </c>
      <c r="N281" s="172" t="str">
        <f t="shared" si="42"/>
        <v/>
      </c>
      <c r="O281" s="172" t="str">
        <f t="shared" si="43"/>
        <v/>
      </c>
    </row>
    <row r="282" spans="11:15">
      <c r="K282" s="171" t="str">
        <f t="shared" si="40"/>
        <v/>
      </c>
      <c r="L282" s="171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1" t="str">
        <f t="shared" si="41"/>
        <v/>
      </c>
      <c r="N282" s="172" t="str">
        <f t="shared" si="42"/>
        <v/>
      </c>
      <c r="O282" s="172" t="str">
        <f t="shared" si="43"/>
        <v/>
      </c>
    </row>
    <row r="283" spans="11:15">
      <c r="K283" s="171" t="str">
        <f t="shared" si="40"/>
        <v/>
      </c>
      <c r="L283" s="171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1" t="str">
        <f t="shared" si="41"/>
        <v/>
      </c>
      <c r="N283" s="172" t="str">
        <f t="shared" si="42"/>
        <v/>
      </c>
      <c r="O283" s="172" t="str">
        <f t="shared" si="43"/>
        <v/>
      </c>
    </row>
    <row r="284" spans="11:15">
      <c r="K284" s="171" t="str">
        <f t="shared" si="40"/>
        <v/>
      </c>
      <c r="L284" s="171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1" t="str">
        <f t="shared" si="41"/>
        <v/>
      </c>
      <c r="N284" s="172" t="str">
        <f t="shared" si="42"/>
        <v/>
      </c>
      <c r="O284" s="172" t="str">
        <f t="shared" si="43"/>
        <v/>
      </c>
    </row>
    <row r="285" spans="11:15">
      <c r="K285" s="171" t="str">
        <f t="shared" si="40"/>
        <v/>
      </c>
      <c r="L285" s="171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1" t="str">
        <f t="shared" si="41"/>
        <v/>
      </c>
      <c r="N285" s="172" t="str">
        <f t="shared" si="42"/>
        <v/>
      </c>
      <c r="O285" s="172" t="str">
        <f t="shared" si="43"/>
        <v/>
      </c>
    </row>
    <row r="286" spans="11:15">
      <c r="K286" s="171" t="str">
        <f t="shared" si="40"/>
        <v/>
      </c>
      <c r="L286" s="171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1" t="str">
        <f t="shared" si="41"/>
        <v/>
      </c>
      <c r="N286" s="172" t="str">
        <f t="shared" si="42"/>
        <v/>
      </c>
      <c r="O286" s="172" t="str">
        <f t="shared" si="43"/>
        <v/>
      </c>
    </row>
    <row r="287" spans="11:15">
      <c r="K287" s="171" t="str">
        <f t="shared" si="40"/>
        <v/>
      </c>
      <c r="L287" s="171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1" t="str">
        <f t="shared" si="41"/>
        <v/>
      </c>
      <c r="N287" s="172" t="str">
        <f t="shared" si="42"/>
        <v/>
      </c>
      <c r="O287" s="172" t="str">
        <f t="shared" si="43"/>
        <v/>
      </c>
    </row>
    <row r="288" spans="11:15">
      <c r="K288" s="171" t="str">
        <f t="shared" si="40"/>
        <v/>
      </c>
      <c r="L288" s="171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1" t="str">
        <f t="shared" si="41"/>
        <v/>
      </c>
      <c r="N288" s="172" t="str">
        <f t="shared" si="42"/>
        <v/>
      </c>
      <c r="O288" s="172" t="str">
        <f t="shared" si="43"/>
        <v/>
      </c>
    </row>
    <row r="289" spans="11:15">
      <c r="K289" s="171" t="str">
        <f t="shared" si="40"/>
        <v/>
      </c>
      <c r="L289" s="171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1" t="str">
        <f t="shared" si="41"/>
        <v/>
      </c>
      <c r="N289" s="172" t="str">
        <f t="shared" si="42"/>
        <v/>
      </c>
      <c r="O289" s="172" t="str">
        <f t="shared" si="43"/>
        <v/>
      </c>
    </row>
    <row r="290" spans="11:15">
      <c r="K290" s="171" t="str">
        <f t="shared" si="40"/>
        <v/>
      </c>
      <c r="L290" s="171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1" t="str">
        <f t="shared" si="41"/>
        <v/>
      </c>
      <c r="N290" s="172" t="str">
        <f t="shared" si="42"/>
        <v/>
      </c>
      <c r="O290" s="172" t="str">
        <f t="shared" si="43"/>
        <v/>
      </c>
    </row>
    <row r="291" spans="11:15">
      <c r="K291" s="171" t="str">
        <f t="shared" si="40"/>
        <v/>
      </c>
      <c r="L291" s="171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1" t="str">
        <f t="shared" si="41"/>
        <v/>
      </c>
      <c r="N291" s="172" t="str">
        <f t="shared" si="42"/>
        <v/>
      </c>
      <c r="O291" s="172" t="str">
        <f t="shared" si="43"/>
        <v/>
      </c>
    </row>
    <row r="292" spans="11:15">
      <c r="K292" s="171" t="str">
        <f t="shared" si="40"/>
        <v/>
      </c>
      <c r="L292" s="171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1" t="str">
        <f t="shared" si="41"/>
        <v/>
      </c>
      <c r="N292" s="172" t="str">
        <f t="shared" si="42"/>
        <v/>
      </c>
      <c r="O292" s="172" t="str">
        <f t="shared" si="43"/>
        <v/>
      </c>
    </row>
    <row r="293" spans="11:15">
      <c r="K293" s="171" t="str">
        <f t="shared" si="40"/>
        <v/>
      </c>
      <c r="L293" s="171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1" t="str">
        <f t="shared" si="41"/>
        <v/>
      </c>
      <c r="N293" s="172" t="str">
        <f t="shared" si="42"/>
        <v/>
      </c>
      <c r="O293" s="172" t="str">
        <f t="shared" si="43"/>
        <v/>
      </c>
    </row>
    <row r="294" spans="11:15">
      <c r="K294" s="171" t="str">
        <f t="shared" ref="K294:K357" si="44">IF(E294="","",E294)</f>
        <v/>
      </c>
      <c r="L294" s="171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1" t="str">
        <f t="shared" ref="M294:M357" si="45">IF(E294="","",G294)</f>
        <v/>
      </c>
      <c r="N294" s="172" t="str">
        <f t="shared" ref="N294:N357" si="46">IF(E294="","",H294)</f>
        <v/>
      </c>
      <c r="O294" s="172" t="str">
        <f t="shared" ref="O294:O357" si="47">IF(E294="","",I294)</f>
        <v/>
      </c>
    </row>
    <row r="295" spans="11:15">
      <c r="K295" s="171" t="str">
        <f t="shared" si="44"/>
        <v/>
      </c>
      <c r="L295" s="171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1" t="str">
        <f t="shared" si="45"/>
        <v/>
      </c>
      <c r="N295" s="172" t="str">
        <f t="shared" si="46"/>
        <v/>
      </c>
      <c r="O295" s="172" t="str">
        <f t="shared" si="47"/>
        <v/>
      </c>
    </row>
    <row r="296" spans="11:15">
      <c r="K296" s="171" t="str">
        <f t="shared" si="44"/>
        <v/>
      </c>
      <c r="L296" s="171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1" t="str">
        <f t="shared" si="45"/>
        <v/>
      </c>
      <c r="N296" s="172" t="str">
        <f t="shared" si="46"/>
        <v/>
      </c>
      <c r="O296" s="172" t="str">
        <f t="shared" si="47"/>
        <v/>
      </c>
    </row>
    <row r="297" spans="11:15">
      <c r="K297" s="171" t="str">
        <f t="shared" si="44"/>
        <v/>
      </c>
      <c r="L297" s="171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1" t="str">
        <f t="shared" si="45"/>
        <v/>
      </c>
      <c r="N297" s="172" t="str">
        <f t="shared" si="46"/>
        <v/>
      </c>
      <c r="O297" s="172" t="str">
        <f t="shared" si="47"/>
        <v/>
      </c>
    </row>
    <row r="298" spans="11:15">
      <c r="K298" s="171" t="str">
        <f t="shared" si="44"/>
        <v/>
      </c>
      <c r="L298" s="171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1" t="str">
        <f t="shared" si="45"/>
        <v/>
      </c>
      <c r="N298" s="172" t="str">
        <f t="shared" si="46"/>
        <v/>
      </c>
      <c r="O298" s="172" t="str">
        <f t="shared" si="47"/>
        <v/>
      </c>
    </row>
    <row r="299" spans="11:15">
      <c r="K299" s="171" t="str">
        <f t="shared" si="44"/>
        <v/>
      </c>
      <c r="L299" s="171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1" t="str">
        <f t="shared" si="45"/>
        <v/>
      </c>
      <c r="N299" s="172" t="str">
        <f t="shared" si="46"/>
        <v/>
      </c>
      <c r="O299" s="172" t="str">
        <f t="shared" si="47"/>
        <v/>
      </c>
    </row>
    <row r="300" spans="11:15">
      <c r="K300" s="171" t="str">
        <f t="shared" si="44"/>
        <v/>
      </c>
      <c r="L300" s="171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1" t="str">
        <f t="shared" si="45"/>
        <v/>
      </c>
      <c r="N300" s="172" t="str">
        <f t="shared" si="46"/>
        <v/>
      </c>
      <c r="O300" s="172" t="str">
        <f t="shared" si="47"/>
        <v/>
      </c>
    </row>
    <row r="301" spans="11:15">
      <c r="K301" s="171" t="str">
        <f t="shared" si="44"/>
        <v/>
      </c>
      <c r="L301" s="171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1" t="str">
        <f t="shared" si="45"/>
        <v/>
      </c>
      <c r="N301" s="172" t="str">
        <f t="shared" si="46"/>
        <v/>
      </c>
      <c r="O301" s="172" t="str">
        <f t="shared" si="47"/>
        <v/>
      </c>
    </row>
    <row r="302" spans="11:15">
      <c r="K302" s="171" t="str">
        <f t="shared" si="44"/>
        <v/>
      </c>
      <c r="L302" s="171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1" t="str">
        <f t="shared" si="45"/>
        <v/>
      </c>
      <c r="N302" s="172" t="str">
        <f t="shared" si="46"/>
        <v/>
      </c>
      <c r="O302" s="172" t="str">
        <f t="shared" si="47"/>
        <v/>
      </c>
    </row>
    <row r="303" spans="11:15">
      <c r="K303" s="171" t="str">
        <f t="shared" si="44"/>
        <v/>
      </c>
      <c r="L303" s="171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1" t="str">
        <f t="shared" si="45"/>
        <v/>
      </c>
      <c r="N303" s="172" t="str">
        <f t="shared" si="46"/>
        <v/>
      </c>
      <c r="O303" s="172" t="str">
        <f t="shared" si="47"/>
        <v/>
      </c>
    </row>
    <row r="304" spans="11:15">
      <c r="K304" s="171" t="str">
        <f t="shared" si="44"/>
        <v/>
      </c>
      <c r="L304" s="171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1" t="str">
        <f t="shared" si="45"/>
        <v/>
      </c>
      <c r="N304" s="172" t="str">
        <f t="shared" si="46"/>
        <v/>
      </c>
      <c r="O304" s="172" t="str">
        <f t="shared" si="47"/>
        <v/>
      </c>
    </row>
    <row r="305" spans="11:15">
      <c r="K305" s="171" t="str">
        <f t="shared" si="44"/>
        <v/>
      </c>
      <c r="L305" s="171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1" t="str">
        <f t="shared" si="45"/>
        <v/>
      </c>
      <c r="N305" s="172" t="str">
        <f t="shared" si="46"/>
        <v/>
      </c>
      <c r="O305" s="172" t="str">
        <f t="shared" si="47"/>
        <v/>
      </c>
    </row>
    <row r="306" spans="11:15">
      <c r="K306" s="171" t="str">
        <f t="shared" si="44"/>
        <v/>
      </c>
      <c r="L306" s="171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1" t="str">
        <f t="shared" si="45"/>
        <v/>
      </c>
      <c r="N306" s="172" t="str">
        <f t="shared" si="46"/>
        <v/>
      </c>
      <c r="O306" s="172" t="str">
        <f t="shared" si="47"/>
        <v/>
      </c>
    </row>
    <row r="307" spans="11:15">
      <c r="K307" s="171" t="str">
        <f t="shared" si="44"/>
        <v/>
      </c>
      <c r="L307" s="171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1" t="str">
        <f t="shared" si="45"/>
        <v/>
      </c>
      <c r="N307" s="172" t="str">
        <f t="shared" si="46"/>
        <v/>
      </c>
      <c r="O307" s="172" t="str">
        <f t="shared" si="47"/>
        <v/>
      </c>
    </row>
    <row r="308" spans="11:15">
      <c r="K308" s="171" t="str">
        <f t="shared" si="44"/>
        <v/>
      </c>
      <c r="L308" s="171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1" t="str">
        <f t="shared" si="45"/>
        <v/>
      </c>
      <c r="N308" s="172" t="str">
        <f t="shared" si="46"/>
        <v/>
      </c>
      <c r="O308" s="172" t="str">
        <f t="shared" si="47"/>
        <v/>
      </c>
    </row>
    <row r="309" spans="11:15">
      <c r="K309" s="171" t="str">
        <f t="shared" si="44"/>
        <v/>
      </c>
      <c r="L309" s="171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1" t="str">
        <f t="shared" si="45"/>
        <v/>
      </c>
      <c r="N309" s="172" t="str">
        <f t="shared" si="46"/>
        <v/>
      </c>
      <c r="O309" s="172" t="str">
        <f t="shared" si="47"/>
        <v/>
      </c>
    </row>
    <row r="310" spans="11:15">
      <c r="K310" s="171" t="str">
        <f t="shared" si="44"/>
        <v/>
      </c>
      <c r="L310" s="171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1" t="str">
        <f t="shared" si="45"/>
        <v/>
      </c>
      <c r="N310" s="172" t="str">
        <f t="shared" si="46"/>
        <v/>
      </c>
      <c r="O310" s="172" t="str">
        <f t="shared" si="47"/>
        <v/>
      </c>
    </row>
    <row r="311" spans="11:15">
      <c r="K311" s="171" t="str">
        <f t="shared" si="44"/>
        <v/>
      </c>
      <c r="L311" s="171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1" t="str">
        <f t="shared" si="45"/>
        <v/>
      </c>
      <c r="N311" s="172" t="str">
        <f t="shared" si="46"/>
        <v/>
      </c>
      <c r="O311" s="172" t="str">
        <f t="shared" si="47"/>
        <v/>
      </c>
    </row>
    <row r="312" spans="11:15">
      <c r="K312" s="171" t="str">
        <f t="shared" si="44"/>
        <v/>
      </c>
      <c r="L312" s="171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1" t="str">
        <f t="shared" si="45"/>
        <v/>
      </c>
      <c r="N312" s="172" t="str">
        <f t="shared" si="46"/>
        <v/>
      </c>
      <c r="O312" s="172" t="str">
        <f t="shared" si="47"/>
        <v/>
      </c>
    </row>
    <row r="313" spans="11:15">
      <c r="K313" s="171" t="str">
        <f t="shared" si="44"/>
        <v/>
      </c>
      <c r="L313" s="171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1" t="str">
        <f t="shared" si="45"/>
        <v/>
      </c>
      <c r="N313" s="172" t="str">
        <f t="shared" si="46"/>
        <v/>
      </c>
      <c r="O313" s="172" t="str">
        <f t="shared" si="47"/>
        <v/>
      </c>
    </row>
    <row r="314" spans="11:15">
      <c r="K314" s="171" t="str">
        <f t="shared" si="44"/>
        <v/>
      </c>
      <c r="L314" s="171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1" t="str">
        <f t="shared" si="45"/>
        <v/>
      </c>
      <c r="N314" s="172" t="str">
        <f t="shared" si="46"/>
        <v/>
      </c>
      <c r="O314" s="172" t="str">
        <f t="shared" si="47"/>
        <v/>
      </c>
    </row>
    <row r="315" spans="11:15">
      <c r="K315" s="171" t="str">
        <f t="shared" si="44"/>
        <v/>
      </c>
      <c r="L315" s="171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1" t="str">
        <f t="shared" si="45"/>
        <v/>
      </c>
      <c r="N315" s="172" t="str">
        <f t="shared" si="46"/>
        <v/>
      </c>
      <c r="O315" s="172" t="str">
        <f t="shared" si="47"/>
        <v/>
      </c>
    </row>
    <row r="316" spans="11:15">
      <c r="K316" s="171" t="str">
        <f t="shared" si="44"/>
        <v/>
      </c>
      <c r="L316" s="171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1" t="str">
        <f t="shared" si="45"/>
        <v/>
      </c>
      <c r="N316" s="172" t="str">
        <f t="shared" si="46"/>
        <v/>
      </c>
      <c r="O316" s="172" t="str">
        <f t="shared" si="47"/>
        <v/>
      </c>
    </row>
    <row r="317" spans="11:15">
      <c r="K317" s="171" t="str">
        <f t="shared" si="44"/>
        <v/>
      </c>
      <c r="L317" s="171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1" t="str">
        <f t="shared" si="45"/>
        <v/>
      </c>
      <c r="N317" s="172" t="str">
        <f t="shared" si="46"/>
        <v/>
      </c>
      <c r="O317" s="172" t="str">
        <f t="shared" si="47"/>
        <v/>
      </c>
    </row>
    <row r="318" spans="11:15">
      <c r="K318" s="171" t="str">
        <f t="shared" si="44"/>
        <v/>
      </c>
      <c r="L318" s="171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1" t="str">
        <f t="shared" si="45"/>
        <v/>
      </c>
      <c r="N318" s="172" t="str">
        <f t="shared" si="46"/>
        <v/>
      </c>
      <c r="O318" s="172" t="str">
        <f t="shared" si="47"/>
        <v/>
      </c>
    </row>
    <row r="319" spans="11:15">
      <c r="K319" s="171" t="str">
        <f t="shared" si="44"/>
        <v/>
      </c>
      <c r="L319" s="171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1" t="str">
        <f t="shared" si="45"/>
        <v/>
      </c>
      <c r="N319" s="172" t="str">
        <f t="shared" si="46"/>
        <v/>
      </c>
      <c r="O319" s="172" t="str">
        <f t="shared" si="47"/>
        <v/>
      </c>
    </row>
    <row r="320" spans="11:15">
      <c r="K320" s="171" t="str">
        <f t="shared" si="44"/>
        <v/>
      </c>
      <c r="L320" s="171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1" t="str">
        <f t="shared" si="45"/>
        <v/>
      </c>
      <c r="N320" s="172" t="str">
        <f t="shared" si="46"/>
        <v/>
      </c>
      <c r="O320" s="172" t="str">
        <f t="shared" si="47"/>
        <v/>
      </c>
    </row>
    <row r="321" spans="11:15">
      <c r="K321" s="171" t="str">
        <f t="shared" si="44"/>
        <v/>
      </c>
      <c r="L321" s="171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1" t="str">
        <f t="shared" si="45"/>
        <v/>
      </c>
      <c r="N321" s="172" t="str">
        <f t="shared" si="46"/>
        <v/>
      </c>
      <c r="O321" s="172" t="str">
        <f t="shared" si="47"/>
        <v/>
      </c>
    </row>
    <row r="322" spans="11:15">
      <c r="K322" s="171" t="str">
        <f t="shared" si="44"/>
        <v/>
      </c>
      <c r="L322" s="171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1" t="str">
        <f t="shared" si="45"/>
        <v/>
      </c>
      <c r="N322" s="172" t="str">
        <f t="shared" si="46"/>
        <v/>
      </c>
      <c r="O322" s="172" t="str">
        <f t="shared" si="47"/>
        <v/>
      </c>
    </row>
    <row r="323" spans="11:15">
      <c r="K323" s="171" t="str">
        <f t="shared" si="44"/>
        <v/>
      </c>
      <c r="L323" s="171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1" t="str">
        <f t="shared" si="45"/>
        <v/>
      </c>
      <c r="N323" s="172" t="str">
        <f t="shared" si="46"/>
        <v/>
      </c>
      <c r="O323" s="172" t="str">
        <f t="shared" si="47"/>
        <v/>
      </c>
    </row>
    <row r="324" spans="11:15">
      <c r="K324" s="171" t="str">
        <f t="shared" si="44"/>
        <v/>
      </c>
      <c r="L324" s="171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1" t="str">
        <f t="shared" si="45"/>
        <v/>
      </c>
      <c r="N324" s="172" t="str">
        <f t="shared" si="46"/>
        <v/>
      </c>
      <c r="O324" s="172" t="str">
        <f t="shared" si="47"/>
        <v/>
      </c>
    </row>
    <row r="325" spans="11:15">
      <c r="K325" s="171" t="str">
        <f t="shared" si="44"/>
        <v/>
      </c>
      <c r="L325" s="171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1" t="str">
        <f t="shared" si="45"/>
        <v/>
      </c>
      <c r="N325" s="172" t="str">
        <f t="shared" si="46"/>
        <v/>
      </c>
      <c r="O325" s="172" t="str">
        <f t="shared" si="47"/>
        <v/>
      </c>
    </row>
    <row r="326" spans="11:15">
      <c r="K326" s="171" t="str">
        <f t="shared" si="44"/>
        <v/>
      </c>
      <c r="L326" s="171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1" t="str">
        <f t="shared" si="45"/>
        <v/>
      </c>
      <c r="N326" s="172" t="str">
        <f t="shared" si="46"/>
        <v/>
      </c>
      <c r="O326" s="172" t="str">
        <f t="shared" si="47"/>
        <v/>
      </c>
    </row>
    <row r="327" spans="11:15">
      <c r="K327" s="171" t="str">
        <f t="shared" si="44"/>
        <v/>
      </c>
      <c r="L327" s="171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1" t="str">
        <f t="shared" si="45"/>
        <v/>
      </c>
      <c r="N327" s="172" t="str">
        <f t="shared" si="46"/>
        <v/>
      </c>
      <c r="O327" s="172" t="str">
        <f t="shared" si="47"/>
        <v/>
      </c>
    </row>
    <row r="328" spans="11:15">
      <c r="K328" s="171" t="str">
        <f t="shared" si="44"/>
        <v/>
      </c>
      <c r="L328" s="171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1" t="str">
        <f t="shared" si="45"/>
        <v/>
      </c>
      <c r="N328" s="172" t="str">
        <f t="shared" si="46"/>
        <v/>
      </c>
      <c r="O328" s="172" t="str">
        <f t="shared" si="47"/>
        <v/>
      </c>
    </row>
    <row r="329" spans="11:15">
      <c r="K329" s="171" t="str">
        <f t="shared" si="44"/>
        <v/>
      </c>
      <c r="L329" s="171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1" t="str">
        <f t="shared" si="45"/>
        <v/>
      </c>
      <c r="N329" s="172" t="str">
        <f t="shared" si="46"/>
        <v/>
      </c>
      <c r="O329" s="172" t="str">
        <f t="shared" si="47"/>
        <v/>
      </c>
    </row>
    <row r="330" spans="11:15">
      <c r="K330" s="171" t="str">
        <f t="shared" si="44"/>
        <v/>
      </c>
      <c r="L330" s="171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1" t="str">
        <f t="shared" si="45"/>
        <v/>
      </c>
      <c r="N330" s="172" t="str">
        <f t="shared" si="46"/>
        <v/>
      </c>
      <c r="O330" s="172" t="str">
        <f t="shared" si="47"/>
        <v/>
      </c>
    </row>
    <row r="331" spans="11:15">
      <c r="K331" s="171" t="str">
        <f t="shared" si="44"/>
        <v/>
      </c>
      <c r="L331" s="171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1" t="str">
        <f t="shared" si="45"/>
        <v/>
      </c>
      <c r="N331" s="172" t="str">
        <f t="shared" si="46"/>
        <v/>
      </c>
      <c r="O331" s="172" t="str">
        <f t="shared" si="47"/>
        <v/>
      </c>
    </row>
    <row r="332" spans="11:15">
      <c r="K332" s="171" t="str">
        <f t="shared" si="44"/>
        <v/>
      </c>
      <c r="L332" s="171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1" t="str">
        <f t="shared" si="45"/>
        <v/>
      </c>
      <c r="N332" s="172" t="str">
        <f t="shared" si="46"/>
        <v/>
      </c>
      <c r="O332" s="172" t="str">
        <f t="shared" si="47"/>
        <v/>
      </c>
    </row>
    <row r="333" spans="11:15">
      <c r="K333" s="171" t="str">
        <f t="shared" si="44"/>
        <v/>
      </c>
      <c r="L333" s="171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1" t="str">
        <f t="shared" si="45"/>
        <v/>
      </c>
      <c r="N333" s="172" t="str">
        <f t="shared" si="46"/>
        <v/>
      </c>
      <c r="O333" s="172" t="str">
        <f t="shared" si="47"/>
        <v/>
      </c>
    </row>
    <row r="334" spans="11:15">
      <c r="K334" s="171" t="str">
        <f t="shared" si="44"/>
        <v/>
      </c>
      <c r="L334" s="171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1" t="str">
        <f t="shared" si="45"/>
        <v/>
      </c>
      <c r="N334" s="172" t="str">
        <f t="shared" si="46"/>
        <v/>
      </c>
      <c r="O334" s="172" t="str">
        <f t="shared" si="47"/>
        <v/>
      </c>
    </row>
    <row r="335" spans="11:15">
      <c r="K335" s="171" t="str">
        <f t="shared" si="44"/>
        <v/>
      </c>
      <c r="L335" s="171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1" t="str">
        <f t="shared" si="45"/>
        <v/>
      </c>
      <c r="N335" s="172" t="str">
        <f t="shared" si="46"/>
        <v/>
      </c>
      <c r="O335" s="172" t="str">
        <f t="shared" si="47"/>
        <v/>
      </c>
    </row>
    <row r="336" spans="11:15">
      <c r="K336" s="171" t="str">
        <f t="shared" si="44"/>
        <v/>
      </c>
      <c r="L336" s="171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1" t="str">
        <f t="shared" si="45"/>
        <v/>
      </c>
      <c r="N336" s="172" t="str">
        <f t="shared" si="46"/>
        <v/>
      </c>
      <c r="O336" s="172" t="str">
        <f t="shared" si="47"/>
        <v/>
      </c>
    </row>
    <row r="337" spans="11:15">
      <c r="K337" s="171" t="str">
        <f t="shared" si="44"/>
        <v/>
      </c>
      <c r="L337" s="171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1" t="str">
        <f t="shared" si="45"/>
        <v/>
      </c>
      <c r="N337" s="172" t="str">
        <f t="shared" si="46"/>
        <v/>
      </c>
      <c r="O337" s="172" t="str">
        <f t="shared" si="47"/>
        <v/>
      </c>
    </row>
    <row r="338" spans="11:15">
      <c r="K338" s="171" t="str">
        <f t="shared" si="44"/>
        <v/>
      </c>
      <c r="L338" s="171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1" t="str">
        <f t="shared" si="45"/>
        <v/>
      </c>
      <c r="N338" s="172" t="str">
        <f t="shared" si="46"/>
        <v/>
      </c>
      <c r="O338" s="172" t="str">
        <f t="shared" si="47"/>
        <v/>
      </c>
    </row>
    <row r="339" spans="11:15">
      <c r="K339" s="171" t="str">
        <f t="shared" si="44"/>
        <v/>
      </c>
      <c r="L339" s="171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1" t="str">
        <f t="shared" si="45"/>
        <v/>
      </c>
      <c r="N339" s="172" t="str">
        <f t="shared" si="46"/>
        <v/>
      </c>
      <c r="O339" s="172" t="str">
        <f t="shared" si="47"/>
        <v/>
      </c>
    </row>
    <row r="340" spans="11:15">
      <c r="K340" s="171" t="str">
        <f t="shared" si="44"/>
        <v/>
      </c>
      <c r="L340" s="171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1" t="str">
        <f t="shared" si="45"/>
        <v/>
      </c>
      <c r="N340" s="172" t="str">
        <f t="shared" si="46"/>
        <v/>
      </c>
      <c r="O340" s="172" t="str">
        <f t="shared" si="47"/>
        <v/>
      </c>
    </row>
    <row r="341" spans="11:15">
      <c r="K341" s="171" t="str">
        <f t="shared" si="44"/>
        <v/>
      </c>
      <c r="L341" s="171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1" t="str">
        <f t="shared" si="45"/>
        <v/>
      </c>
      <c r="N341" s="172" t="str">
        <f t="shared" si="46"/>
        <v/>
      </c>
      <c r="O341" s="172" t="str">
        <f t="shared" si="47"/>
        <v/>
      </c>
    </row>
    <row r="342" spans="11:15">
      <c r="K342" s="171" t="str">
        <f t="shared" si="44"/>
        <v/>
      </c>
      <c r="L342" s="171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1" t="str">
        <f t="shared" si="45"/>
        <v/>
      </c>
      <c r="N342" s="172" t="str">
        <f t="shared" si="46"/>
        <v/>
      </c>
      <c r="O342" s="172" t="str">
        <f t="shared" si="47"/>
        <v/>
      </c>
    </row>
    <row r="343" spans="11:15">
      <c r="K343" s="171" t="str">
        <f t="shared" si="44"/>
        <v/>
      </c>
      <c r="L343" s="171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1" t="str">
        <f t="shared" si="45"/>
        <v/>
      </c>
      <c r="N343" s="172" t="str">
        <f t="shared" si="46"/>
        <v/>
      </c>
      <c r="O343" s="172" t="str">
        <f t="shared" si="47"/>
        <v/>
      </c>
    </row>
    <row r="344" spans="11:15">
      <c r="K344" s="171" t="str">
        <f t="shared" si="44"/>
        <v/>
      </c>
      <c r="L344" s="171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1" t="str">
        <f t="shared" si="45"/>
        <v/>
      </c>
      <c r="N344" s="172" t="str">
        <f t="shared" si="46"/>
        <v/>
      </c>
      <c r="O344" s="172" t="str">
        <f t="shared" si="47"/>
        <v/>
      </c>
    </row>
    <row r="345" spans="11:15">
      <c r="K345" s="171" t="str">
        <f t="shared" si="44"/>
        <v/>
      </c>
      <c r="L345" s="171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1" t="str">
        <f t="shared" si="45"/>
        <v/>
      </c>
      <c r="N345" s="172" t="str">
        <f t="shared" si="46"/>
        <v/>
      </c>
      <c r="O345" s="172" t="str">
        <f t="shared" si="47"/>
        <v/>
      </c>
    </row>
    <row r="346" spans="11:15">
      <c r="K346" s="171" t="str">
        <f t="shared" si="44"/>
        <v/>
      </c>
      <c r="L346" s="171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1" t="str">
        <f t="shared" si="45"/>
        <v/>
      </c>
      <c r="N346" s="172" t="str">
        <f t="shared" si="46"/>
        <v/>
      </c>
      <c r="O346" s="172" t="str">
        <f t="shared" si="47"/>
        <v/>
      </c>
    </row>
    <row r="347" spans="11:15">
      <c r="K347" s="171" t="str">
        <f t="shared" si="44"/>
        <v/>
      </c>
      <c r="L347" s="171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1" t="str">
        <f t="shared" si="45"/>
        <v/>
      </c>
      <c r="N347" s="172" t="str">
        <f t="shared" si="46"/>
        <v/>
      </c>
      <c r="O347" s="172" t="str">
        <f t="shared" si="47"/>
        <v/>
      </c>
    </row>
    <row r="348" spans="11:15">
      <c r="K348" s="171" t="str">
        <f t="shared" si="44"/>
        <v/>
      </c>
      <c r="L348" s="171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1" t="str">
        <f t="shared" si="45"/>
        <v/>
      </c>
      <c r="N348" s="172" t="str">
        <f t="shared" si="46"/>
        <v/>
      </c>
      <c r="O348" s="172" t="str">
        <f t="shared" si="47"/>
        <v/>
      </c>
    </row>
    <row r="349" spans="11:15">
      <c r="K349" s="171" t="str">
        <f t="shared" si="44"/>
        <v/>
      </c>
      <c r="L349" s="171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1" t="str">
        <f t="shared" si="45"/>
        <v/>
      </c>
      <c r="N349" s="172" t="str">
        <f t="shared" si="46"/>
        <v/>
      </c>
      <c r="O349" s="172" t="str">
        <f t="shared" si="47"/>
        <v/>
      </c>
    </row>
    <row r="350" spans="11:15">
      <c r="K350" s="171" t="str">
        <f t="shared" si="44"/>
        <v/>
      </c>
      <c r="L350" s="171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1" t="str">
        <f t="shared" si="45"/>
        <v/>
      </c>
      <c r="N350" s="172" t="str">
        <f t="shared" si="46"/>
        <v/>
      </c>
      <c r="O350" s="172" t="str">
        <f t="shared" si="47"/>
        <v/>
      </c>
    </row>
    <row r="351" spans="11:15">
      <c r="K351" s="171" t="str">
        <f t="shared" si="44"/>
        <v/>
      </c>
      <c r="L351" s="171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1" t="str">
        <f t="shared" si="45"/>
        <v/>
      </c>
      <c r="N351" s="172" t="str">
        <f t="shared" si="46"/>
        <v/>
      </c>
      <c r="O351" s="172" t="str">
        <f t="shared" si="47"/>
        <v/>
      </c>
    </row>
    <row r="352" spans="11:15">
      <c r="K352" s="171" t="str">
        <f t="shared" si="44"/>
        <v/>
      </c>
      <c r="L352" s="171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1" t="str">
        <f t="shared" si="45"/>
        <v/>
      </c>
      <c r="N352" s="172" t="str">
        <f t="shared" si="46"/>
        <v/>
      </c>
      <c r="O352" s="172" t="str">
        <f t="shared" si="47"/>
        <v/>
      </c>
    </row>
    <row r="353" spans="8:15">
      <c r="K353" s="171" t="str">
        <f t="shared" si="44"/>
        <v/>
      </c>
      <c r="L353" s="171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1" t="str">
        <f t="shared" si="45"/>
        <v/>
      </c>
      <c r="N353" s="172" t="str">
        <f t="shared" si="46"/>
        <v/>
      </c>
      <c r="O353" s="172" t="str">
        <f t="shared" si="47"/>
        <v/>
      </c>
    </row>
    <row r="354" spans="8:15">
      <c r="K354" s="171" t="str">
        <f t="shared" si="44"/>
        <v/>
      </c>
      <c r="L354" s="171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1" t="str">
        <f t="shared" si="45"/>
        <v/>
      </c>
      <c r="N354" s="172" t="str">
        <f t="shared" si="46"/>
        <v/>
      </c>
      <c r="O354" s="172" t="str">
        <f t="shared" si="47"/>
        <v/>
      </c>
    </row>
    <row r="355" spans="8:15">
      <c r="K355" s="171" t="str">
        <f t="shared" si="44"/>
        <v/>
      </c>
      <c r="L355" s="171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1" t="str">
        <f t="shared" si="45"/>
        <v/>
      </c>
      <c r="N355" s="172" t="str">
        <f t="shared" si="46"/>
        <v/>
      </c>
      <c r="O355" s="172" t="str">
        <f t="shared" si="47"/>
        <v/>
      </c>
    </row>
    <row r="356" spans="8:15">
      <c r="K356" s="171" t="str">
        <f t="shared" si="44"/>
        <v/>
      </c>
      <c r="L356" s="171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1" t="str">
        <f t="shared" si="45"/>
        <v/>
      </c>
      <c r="N356" s="172" t="str">
        <f t="shared" si="46"/>
        <v/>
      </c>
      <c r="O356" s="172" t="str">
        <f t="shared" si="47"/>
        <v/>
      </c>
    </row>
    <row r="357" spans="8:15">
      <c r="K357" s="171" t="str">
        <f t="shared" si="44"/>
        <v/>
      </c>
      <c r="L357" s="171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1" t="str">
        <f t="shared" si="45"/>
        <v/>
      </c>
      <c r="N357" s="172" t="str">
        <f t="shared" si="46"/>
        <v/>
      </c>
      <c r="O357" s="172" t="str">
        <f t="shared" si="47"/>
        <v/>
      </c>
    </row>
    <row r="358" spans="8:15">
      <c r="K358" s="171" t="str">
        <f t="shared" ref="K358:K421" si="48">IF(E358="","",E358)</f>
        <v/>
      </c>
      <c r="L358" s="171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1" t="str">
        <f t="shared" ref="M358:M421" si="49">IF(E358="","",G358)</f>
        <v/>
      </c>
      <c r="N358" s="172" t="str">
        <f t="shared" ref="N358:N421" si="50">IF(E358="","",H358)</f>
        <v/>
      </c>
      <c r="O358" s="172" t="str">
        <f t="shared" ref="O358:O421" si="51">IF(E358="","",I358)</f>
        <v/>
      </c>
    </row>
    <row r="359" spans="8:15">
      <c r="K359" s="171" t="str">
        <f t="shared" si="48"/>
        <v/>
      </c>
      <c r="L359" s="171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1" t="str">
        <f t="shared" si="49"/>
        <v/>
      </c>
      <c r="N359" s="172" t="str">
        <f t="shared" si="50"/>
        <v/>
      </c>
      <c r="O359" s="172" t="str">
        <f t="shared" si="51"/>
        <v/>
      </c>
    </row>
    <row r="360" spans="8:15">
      <c r="K360" s="171" t="str">
        <f t="shared" si="48"/>
        <v/>
      </c>
      <c r="L360" s="171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1" t="str">
        <f t="shared" si="49"/>
        <v/>
      </c>
      <c r="N360" s="172" t="str">
        <f t="shared" si="50"/>
        <v/>
      </c>
      <c r="O360" s="172" t="str">
        <f t="shared" si="51"/>
        <v/>
      </c>
    </row>
    <row r="361" spans="8:15">
      <c r="K361" s="171" t="str">
        <f t="shared" si="48"/>
        <v/>
      </c>
      <c r="L361" s="171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1" t="str">
        <f t="shared" si="49"/>
        <v/>
      </c>
      <c r="N361" s="172" t="str">
        <f t="shared" si="50"/>
        <v/>
      </c>
      <c r="O361" s="172" t="str">
        <f t="shared" si="51"/>
        <v/>
      </c>
    </row>
    <row r="362" spans="8:15">
      <c r="K362" s="171" t="str">
        <f t="shared" si="48"/>
        <v/>
      </c>
      <c r="L362" s="171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1" t="str">
        <f t="shared" si="49"/>
        <v/>
      </c>
      <c r="N362" s="172" t="str">
        <f t="shared" si="50"/>
        <v/>
      </c>
      <c r="O362" s="172" t="str">
        <f t="shared" si="51"/>
        <v/>
      </c>
    </row>
    <row r="363" spans="8:15">
      <c r="K363" s="171" t="str">
        <f t="shared" si="48"/>
        <v/>
      </c>
      <c r="L363" s="171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1" t="str">
        <f t="shared" si="49"/>
        <v/>
      </c>
      <c r="N363" s="172" t="str">
        <f t="shared" si="50"/>
        <v/>
      </c>
      <c r="O363" s="172" t="str">
        <f t="shared" si="51"/>
        <v/>
      </c>
    </row>
    <row r="364" spans="8:15">
      <c r="K364" s="171" t="str">
        <f t="shared" si="48"/>
        <v/>
      </c>
      <c r="L364" s="171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1" t="str">
        <f t="shared" si="49"/>
        <v/>
      </c>
      <c r="N364" s="172" t="str">
        <f t="shared" si="50"/>
        <v/>
      </c>
      <c r="O364" s="172" t="str">
        <f t="shared" si="51"/>
        <v/>
      </c>
    </row>
    <row r="365" spans="8:15">
      <c r="K365" s="171" t="str">
        <f t="shared" si="48"/>
        <v/>
      </c>
      <c r="L365" s="171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1" t="str">
        <f t="shared" si="49"/>
        <v/>
      </c>
      <c r="N365" s="172" t="str">
        <f t="shared" si="50"/>
        <v/>
      </c>
      <c r="O365" s="172" t="str">
        <f t="shared" si="51"/>
        <v/>
      </c>
    </row>
    <row r="366" spans="8:15">
      <c r="K366" s="171" t="str">
        <f t="shared" si="48"/>
        <v/>
      </c>
      <c r="L366" s="171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1" t="str">
        <f t="shared" si="49"/>
        <v/>
      </c>
      <c r="N366" s="172" t="str">
        <f t="shared" si="50"/>
        <v/>
      </c>
      <c r="O366" s="172" t="str">
        <f t="shared" si="51"/>
        <v/>
      </c>
    </row>
    <row r="367" spans="8:15">
      <c r="H367" s="180"/>
      <c r="K367" s="171" t="str">
        <f t="shared" si="48"/>
        <v/>
      </c>
      <c r="L367" s="171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1" t="str">
        <f t="shared" si="49"/>
        <v/>
      </c>
      <c r="N367" s="172" t="str">
        <f t="shared" si="50"/>
        <v/>
      </c>
      <c r="O367" s="172" t="str">
        <f t="shared" si="51"/>
        <v/>
      </c>
    </row>
    <row r="368" spans="8:15">
      <c r="H368" s="180"/>
      <c r="K368" s="171" t="str">
        <f t="shared" si="48"/>
        <v/>
      </c>
      <c r="L368" s="171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1" t="str">
        <f t="shared" si="49"/>
        <v/>
      </c>
      <c r="N368" s="172" t="str">
        <f t="shared" si="50"/>
        <v/>
      </c>
      <c r="O368" s="172" t="str">
        <f t="shared" si="51"/>
        <v/>
      </c>
    </row>
    <row r="369" spans="11:15">
      <c r="K369" s="171" t="str">
        <f t="shared" si="48"/>
        <v/>
      </c>
      <c r="L369" s="171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1" t="str">
        <f t="shared" si="49"/>
        <v/>
      </c>
      <c r="N369" s="172" t="str">
        <f t="shared" si="50"/>
        <v/>
      </c>
      <c r="O369" s="172" t="str">
        <f t="shared" si="51"/>
        <v/>
      </c>
    </row>
    <row r="370" spans="11:15">
      <c r="K370" s="171" t="str">
        <f t="shared" si="48"/>
        <v/>
      </c>
      <c r="L370" s="171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1" t="str">
        <f t="shared" si="49"/>
        <v/>
      </c>
      <c r="N370" s="172" t="str">
        <f t="shared" si="50"/>
        <v/>
      </c>
      <c r="O370" s="172" t="str">
        <f t="shared" si="51"/>
        <v/>
      </c>
    </row>
    <row r="371" spans="11:15">
      <c r="K371" s="171" t="str">
        <f t="shared" si="48"/>
        <v/>
      </c>
      <c r="L371" s="171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1" t="str">
        <f t="shared" si="49"/>
        <v/>
      </c>
      <c r="N371" s="172" t="str">
        <f t="shared" si="50"/>
        <v/>
      </c>
      <c r="O371" s="172" t="str">
        <f t="shared" si="51"/>
        <v/>
      </c>
    </row>
    <row r="372" spans="11:15">
      <c r="K372" s="171" t="str">
        <f t="shared" si="48"/>
        <v/>
      </c>
      <c r="L372" s="171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1" t="str">
        <f t="shared" si="49"/>
        <v/>
      </c>
      <c r="N372" s="172" t="str">
        <f t="shared" si="50"/>
        <v/>
      </c>
      <c r="O372" s="172" t="str">
        <f t="shared" si="51"/>
        <v/>
      </c>
    </row>
    <row r="373" spans="11:15">
      <c r="K373" s="171" t="str">
        <f t="shared" si="48"/>
        <v/>
      </c>
      <c r="L373" s="171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1" t="str">
        <f t="shared" si="49"/>
        <v/>
      </c>
      <c r="N373" s="172" t="str">
        <f t="shared" si="50"/>
        <v/>
      </c>
      <c r="O373" s="172" t="str">
        <f t="shared" si="51"/>
        <v/>
      </c>
    </row>
    <row r="374" spans="11:15">
      <c r="K374" s="171" t="str">
        <f t="shared" si="48"/>
        <v/>
      </c>
      <c r="L374" s="171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1" t="str">
        <f t="shared" si="49"/>
        <v/>
      </c>
      <c r="N374" s="172" t="str">
        <f t="shared" si="50"/>
        <v/>
      </c>
      <c r="O374" s="172" t="str">
        <f t="shared" si="51"/>
        <v/>
      </c>
    </row>
    <row r="375" spans="11:15">
      <c r="K375" s="171" t="str">
        <f t="shared" si="48"/>
        <v/>
      </c>
      <c r="L375" s="171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1" t="str">
        <f t="shared" si="49"/>
        <v/>
      </c>
      <c r="N375" s="172" t="str">
        <f t="shared" si="50"/>
        <v/>
      </c>
      <c r="O375" s="172" t="str">
        <f t="shared" si="51"/>
        <v/>
      </c>
    </row>
    <row r="376" spans="11:15">
      <c r="K376" s="171" t="str">
        <f t="shared" si="48"/>
        <v/>
      </c>
      <c r="L376" s="171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1" t="str">
        <f t="shared" si="49"/>
        <v/>
      </c>
      <c r="N376" s="172" t="str">
        <f t="shared" si="50"/>
        <v/>
      </c>
      <c r="O376" s="172" t="str">
        <f t="shared" si="51"/>
        <v/>
      </c>
    </row>
    <row r="377" spans="11:15">
      <c r="K377" s="171" t="str">
        <f t="shared" si="48"/>
        <v/>
      </c>
      <c r="L377" s="171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1" t="str">
        <f t="shared" si="49"/>
        <v/>
      </c>
      <c r="N377" s="172" t="str">
        <f t="shared" si="50"/>
        <v/>
      </c>
      <c r="O377" s="172" t="str">
        <f t="shared" si="51"/>
        <v/>
      </c>
    </row>
    <row r="378" spans="11:15">
      <c r="K378" s="171" t="str">
        <f t="shared" si="48"/>
        <v/>
      </c>
      <c r="L378" s="171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1" t="str">
        <f t="shared" si="49"/>
        <v/>
      </c>
      <c r="N378" s="172" t="str">
        <f t="shared" si="50"/>
        <v/>
      </c>
      <c r="O378" s="172" t="str">
        <f t="shared" si="51"/>
        <v/>
      </c>
    </row>
    <row r="379" spans="11:15">
      <c r="K379" s="171" t="str">
        <f t="shared" si="48"/>
        <v/>
      </c>
      <c r="L379" s="171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1" t="str">
        <f t="shared" si="49"/>
        <v/>
      </c>
      <c r="N379" s="172" t="str">
        <f t="shared" si="50"/>
        <v/>
      </c>
      <c r="O379" s="172" t="str">
        <f t="shared" si="51"/>
        <v/>
      </c>
    </row>
    <row r="380" spans="11:15">
      <c r="K380" s="171" t="str">
        <f t="shared" si="48"/>
        <v/>
      </c>
      <c r="L380" s="171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1" t="str">
        <f t="shared" si="49"/>
        <v/>
      </c>
      <c r="N380" s="172" t="str">
        <f t="shared" si="50"/>
        <v/>
      </c>
      <c r="O380" s="172" t="str">
        <f t="shared" si="51"/>
        <v/>
      </c>
    </row>
    <row r="381" spans="11:15">
      <c r="K381" s="171" t="str">
        <f t="shared" si="48"/>
        <v/>
      </c>
      <c r="L381" s="171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1" t="str">
        <f t="shared" si="49"/>
        <v/>
      </c>
      <c r="N381" s="172" t="str">
        <f t="shared" si="50"/>
        <v/>
      </c>
      <c r="O381" s="172" t="str">
        <f t="shared" si="51"/>
        <v/>
      </c>
    </row>
    <row r="382" spans="11:15">
      <c r="K382" s="171" t="str">
        <f t="shared" si="48"/>
        <v/>
      </c>
      <c r="L382" s="171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1" t="str">
        <f t="shared" si="49"/>
        <v/>
      </c>
      <c r="N382" s="172" t="str">
        <f t="shared" si="50"/>
        <v/>
      </c>
      <c r="O382" s="172" t="str">
        <f t="shared" si="51"/>
        <v/>
      </c>
    </row>
    <row r="383" spans="11:15">
      <c r="K383" s="171" t="str">
        <f t="shared" si="48"/>
        <v/>
      </c>
      <c r="L383" s="171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1" t="str">
        <f t="shared" si="49"/>
        <v/>
      </c>
      <c r="N383" s="172" t="str">
        <f t="shared" si="50"/>
        <v/>
      </c>
      <c r="O383" s="172" t="str">
        <f t="shared" si="51"/>
        <v/>
      </c>
    </row>
    <row r="384" spans="11:15">
      <c r="K384" s="171" t="str">
        <f t="shared" si="48"/>
        <v/>
      </c>
      <c r="L384" s="171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1" t="str">
        <f t="shared" si="49"/>
        <v/>
      </c>
      <c r="N384" s="172" t="str">
        <f t="shared" si="50"/>
        <v/>
      </c>
      <c r="O384" s="172" t="str">
        <f t="shared" si="51"/>
        <v/>
      </c>
    </row>
    <row r="385" spans="8:15">
      <c r="K385" s="171" t="str">
        <f t="shared" si="48"/>
        <v/>
      </c>
      <c r="L385" s="171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1" t="str">
        <f t="shared" si="49"/>
        <v/>
      </c>
      <c r="N385" s="172" t="str">
        <f t="shared" si="50"/>
        <v/>
      </c>
      <c r="O385" s="172" t="str">
        <f t="shared" si="51"/>
        <v/>
      </c>
    </row>
    <row r="386" spans="8:15">
      <c r="K386" s="171" t="str">
        <f t="shared" si="48"/>
        <v/>
      </c>
      <c r="L386" s="171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1" t="str">
        <f t="shared" si="49"/>
        <v/>
      </c>
      <c r="N386" s="172" t="str">
        <f t="shared" si="50"/>
        <v/>
      </c>
      <c r="O386" s="172" t="str">
        <f t="shared" si="51"/>
        <v/>
      </c>
    </row>
    <row r="387" spans="8:15">
      <c r="H387" s="180"/>
      <c r="K387" s="171" t="str">
        <f t="shared" si="48"/>
        <v/>
      </c>
      <c r="L387" s="171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1" t="str">
        <f t="shared" si="49"/>
        <v/>
      </c>
      <c r="N387" s="172" t="str">
        <f t="shared" si="50"/>
        <v/>
      </c>
      <c r="O387" s="172" t="str">
        <f t="shared" si="51"/>
        <v/>
      </c>
    </row>
    <row r="388" spans="8:15">
      <c r="H388" s="180"/>
      <c r="K388" s="171" t="str">
        <f t="shared" si="48"/>
        <v/>
      </c>
      <c r="L388" s="171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1" t="str">
        <f t="shared" si="49"/>
        <v/>
      </c>
      <c r="N388" s="172" t="str">
        <f t="shared" si="50"/>
        <v/>
      </c>
      <c r="O388" s="172" t="str">
        <f t="shared" si="51"/>
        <v/>
      </c>
    </row>
    <row r="389" spans="8:15">
      <c r="H389" s="180"/>
      <c r="K389" s="171" t="str">
        <f t="shared" si="48"/>
        <v/>
      </c>
      <c r="L389" s="171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1" t="str">
        <f t="shared" si="49"/>
        <v/>
      </c>
      <c r="N389" s="172" t="str">
        <f t="shared" si="50"/>
        <v/>
      </c>
      <c r="O389" s="172" t="str">
        <f t="shared" si="51"/>
        <v/>
      </c>
    </row>
    <row r="390" spans="8:15">
      <c r="H390" s="180"/>
      <c r="K390" s="171" t="str">
        <f t="shared" si="48"/>
        <v/>
      </c>
      <c r="L390" s="171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1" t="str">
        <f t="shared" si="49"/>
        <v/>
      </c>
      <c r="N390" s="172" t="str">
        <f t="shared" si="50"/>
        <v/>
      </c>
      <c r="O390" s="172" t="str">
        <f t="shared" si="51"/>
        <v/>
      </c>
    </row>
    <row r="391" spans="8:15">
      <c r="H391" s="180"/>
      <c r="K391" s="171" t="str">
        <f t="shared" si="48"/>
        <v/>
      </c>
      <c r="L391" s="171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1" t="str">
        <f t="shared" si="49"/>
        <v/>
      </c>
      <c r="N391" s="172" t="str">
        <f t="shared" si="50"/>
        <v/>
      </c>
      <c r="O391" s="172" t="str">
        <f t="shared" si="51"/>
        <v/>
      </c>
    </row>
    <row r="392" spans="8:15">
      <c r="K392" s="171" t="str">
        <f t="shared" si="48"/>
        <v/>
      </c>
      <c r="L392" s="171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1" t="str">
        <f t="shared" si="49"/>
        <v/>
      </c>
      <c r="N392" s="172" t="str">
        <f t="shared" si="50"/>
        <v/>
      </c>
      <c r="O392" s="172" t="str">
        <f t="shared" si="51"/>
        <v/>
      </c>
    </row>
    <row r="393" spans="8:15">
      <c r="K393" s="171" t="str">
        <f t="shared" si="48"/>
        <v/>
      </c>
      <c r="L393" s="171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1" t="str">
        <f t="shared" si="49"/>
        <v/>
      </c>
      <c r="N393" s="172" t="str">
        <f t="shared" si="50"/>
        <v/>
      </c>
      <c r="O393" s="172" t="str">
        <f t="shared" si="51"/>
        <v/>
      </c>
    </row>
    <row r="394" spans="8:15">
      <c r="K394" s="171" t="str">
        <f t="shared" si="48"/>
        <v/>
      </c>
      <c r="L394" s="171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1" t="str">
        <f t="shared" si="49"/>
        <v/>
      </c>
      <c r="N394" s="172" t="str">
        <f t="shared" si="50"/>
        <v/>
      </c>
      <c r="O394" s="172" t="str">
        <f t="shared" si="51"/>
        <v/>
      </c>
    </row>
    <row r="395" spans="8:15">
      <c r="H395" s="180"/>
      <c r="K395" s="171" t="str">
        <f t="shared" si="48"/>
        <v/>
      </c>
      <c r="L395" s="171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1" t="str">
        <f t="shared" si="49"/>
        <v/>
      </c>
      <c r="N395" s="172" t="str">
        <f t="shared" si="50"/>
        <v/>
      </c>
      <c r="O395" s="172" t="str">
        <f t="shared" si="51"/>
        <v/>
      </c>
    </row>
    <row r="396" spans="8:15">
      <c r="K396" s="171" t="str">
        <f t="shared" si="48"/>
        <v/>
      </c>
      <c r="L396" s="171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1" t="str">
        <f t="shared" si="49"/>
        <v/>
      </c>
      <c r="N396" s="172" t="str">
        <f t="shared" si="50"/>
        <v/>
      </c>
      <c r="O396" s="172" t="str">
        <f t="shared" si="51"/>
        <v/>
      </c>
    </row>
    <row r="397" spans="8:15">
      <c r="K397" s="171" t="str">
        <f t="shared" si="48"/>
        <v/>
      </c>
      <c r="L397" s="171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1" t="str">
        <f t="shared" si="49"/>
        <v/>
      </c>
      <c r="N397" s="172" t="str">
        <f t="shared" si="50"/>
        <v/>
      </c>
      <c r="O397" s="172" t="str">
        <f t="shared" si="51"/>
        <v/>
      </c>
    </row>
    <row r="398" spans="8:15">
      <c r="K398" s="171" t="str">
        <f t="shared" si="48"/>
        <v/>
      </c>
      <c r="L398" s="171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1" t="str">
        <f t="shared" si="49"/>
        <v/>
      </c>
      <c r="N398" s="172" t="str">
        <f t="shared" si="50"/>
        <v/>
      </c>
      <c r="O398" s="172" t="str">
        <f t="shared" si="51"/>
        <v/>
      </c>
    </row>
    <row r="399" spans="8:15">
      <c r="K399" s="171" t="str">
        <f t="shared" si="48"/>
        <v/>
      </c>
      <c r="L399" s="171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1" t="str">
        <f t="shared" si="49"/>
        <v/>
      </c>
      <c r="N399" s="172" t="str">
        <f t="shared" si="50"/>
        <v/>
      </c>
      <c r="O399" s="172" t="str">
        <f t="shared" si="51"/>
        <v/>
      </c>
    </row>
    <row r="400" spans="8:15">
      <c r="K400" s="171" t="str">
        <f t="shared" si="48"/>
        <v/>
      </c>
      <c r="L400" s="171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1" t="str">
        <f t="shared" si="49"/>
        <v/>
      </c>
      <c r="N400" s="172" t="str">
        <f t="shared" si="50"/>
        <v/>
      </c>
      <c r="O400" s="172" t="str">
        <f t="shared" si="51"/>
        <v/>
      </c>
    </row>
    <row r="401" spans="11:15">
      <c r="K401" s="171" t="str">
        <f t="shared" si="48"/>
        <v/>
      </c>
      <c r="L401" s="171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1" t="str">
        <f t="shared" si="49"/>
        <v/>
      </c>
      <c r="N401" s="172" t="str">
        <f t="shared" si="50"/>
        <v/>
      </c>
      <c r="O401" s="172" t="str">
        <f t="shared" si="51"/>
        <v/>
      </c>
    </row>
    <row r="402" spans="11:15">
      <c r="K402" s="171" t="str">
        <f t="shared" si="48"/>
        <v/>
      </c>
      <c r="L402" s="171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1" t="str">
        <f t="shared" si="49"/>
        <v/>
      </c>
      <c r="N402" s="172" t="str">
        <f t="shared" si="50"/>
        <v/>
      </c>
      <c r="O402" s="172" t="str">
        <f t="shared" si="51"/>
        <v/>
      </c>
    </row>
    <row r="403" spans="11:15">
      <c r="K403" s="171" t="str">
        <f t="shared" si="48"/>
        <v/>
      </c>
      <c r="L403" s="171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1" t="str">
        <f t="shared" si="49"/>
        <v/>
      </c>
      <c r="N403" s="172" t="str">
        <f t="shared" si="50"/>
        <v/>
      </c>
      <c r="O403" s="172" t="str">
        <f t="shared" si="51"/>
        <v/>
      </c>
    </row>
    <row r="404" spans="11:15">
      <c r="K404" s="171" t="str">
        <f t="shared" si="48"/>
        <v/>
      </c>
      <c r="L404" s="171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1" t="str">
        <f t="shared" si="49"/>
        <v/>
      </c>
      <c r="N404" s="172" t="str">
        <f t="shared" si="50"/>
        <v/>
      </c>
      <c r="O404" s="172" t="str">
        <f t="shared" si="51"/>
        <v/>
      </c>
    </row>
    <row r="405" spans="11:15">
      <c r="K405" s="171" t="str">
        <f t="shared" si="48"/>
        <v/>
      </c>
      <c r="L405" s="171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1" t="str">
        <f t="shared" si="49"/>
        <v/>
      </c>
      <c r="N405" s="172" t="str">
        <f t="shared" si="50"/>
        <v/>
      </c>
      <c r="O405" s="172" t="str">
        <f t="shared" si="51"/>
        <v/>
      </c>
    </row>
    <row r="406" spans="11:15">
      <c r="K406" s="171" t="str">
        <f t="shared" si="48"/>
        <v/>
      </c>
      <c r="L406" s="171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1" t="str">
        <f t="shared" si="49"/>
        <v/>
      </c>
      <c r="N406" s="172" t="str">
        <f t="shared" si="50"/>
        <v/>
      </c>
      <c r="O406" s="172" t="str">
        <f t="shared" si="51"/>
        <v/>
      </c>
    </row>
    <row r="407" spans="11:15">
      <c r="K407" s="171" t="str">
        <f t="shared" si="48"/>
        <v/>
      </c>
      <c r="L407" s="171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1" t="str">
        <f t="shared" si="49"/>
        <v/>
      </c>
      <c r="N407" s="172" t="str">
        <f t="shared" si="50"/>
        <v/>
      </c>
      <c r="O407" s="172" t="str">
        <f t="shared" si="51"/>
        <v/>
      </c>
    </row>
    <row r="408" spans="11:15">
      <c r="K408" s="171" t="str">
        <f t="shared" si="48"/>
        <v/>
      </c>
      <c r="L408" s="171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1" t="str">
        <f t="shared" si="49"/>
        <v/>
      </c>
      <c r="N408" s="172" t="str">
        <f t="shared" si="50"/>
        <v/>
      </c>
      <c r="O408" s="172" t="str">
        <f t="shared" si="51"/>
        <v/>
      </c>
    </row>
    <row r="409" spans="11:15">
      <c r="K409" s="171" t="str">
        <f t="shared" si="48"/>
        <v/>
      </c>
      <c r="L409" s="171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1" t="str">
        <f t="shared" si="49"/>
        <v/>
      </c>
      <c r="N409" s="172" t="str">
        <f t="shared" si="50"/>
        <v/>
      </c>
      <c r="O409" s="172" t="str">
        <f t="shared" si="51"/>
        <v/>
      </c>
    </row>
    <row r="410" spans="11:15">
      <c r="K410" s="171" t="str">
        <f t="shared" si="48"/>
        <v/>
      </c>
      <c r="L410" s="171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1" t="str">
        <f t="shared" si="49"/>
        <v/>
      </c>
      <c r="N410" s="172" t="str">
        <f t="shared" si="50"/>
        <v/>
      </c>
      <c r="O410" s="172" t="str">
        <f t="shared" si="51"/>
        <v/>
      </c>
    </row>
    <row r="411" spans="11:15">
      <c r="K411" s="171" t="str">
        <f t="shared" si="48"/>
        <v/>
      </c>
      <c r="L411" s="171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1" t="str">
        <f t="shared" si="49"/>
        <v/>
      </c>
      <c r="N411" s="172" t="str">
        <f t="shared" si="50"/>
        <v/>
      </c>
      <c r="O411" s="172" t="str">
        <f t="shared" si="51"/>
        <v/>
      </c>
    </row>
    <row r="412" spans="11:15">
      <c r="K412" s="171" t="str">
        <f t="shared" si="48"/>
        <v/>
      </c>
      <c r="L412" s="171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1" t="str">
        <f t="shared" si="49"/>
        <v/>
      </c>
      <c r="N412" s="172" t="str">
        <f t="shared" si="50"/>
        <v/>
      </c>
      <c r="O412" s="172" t="str">
        <f t="shared" si="51"/>
        <v/>
      </c>
    </row>
    <row r="413" spans="11:15">
      <c r="K413" s="171" t="str">
        <f t="shared" si="48"/>
        <v/>
      </c>
      <c r="L413" s="171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1" t="str">
        <f t="shared" si="49"/>
        <v/>
      </c>
      <c r="N413" s="172" t="str">
        <f t="shared" si="50"/>
        <v/>
      </c>
      <c r="O413" s="172" t="str">
        <f t="shared" si="51"/>
        <v/>
      </c>
    </row>
    <row r="414" spans="11:15">
      <c r="K414" s="171" t="str">
        <f t="shared" si="48"/>
        <v/>
      </c>
      <c r="L414" s="171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1" t="str">
        <f t="shared" si="49"/>
        <v/>
      </c>
      <c r="N414" s="172" t="str">
        <f t="shared" si="50"/>
        <v/>
      </c>
      <c r="O414" s="172" t="str">
        <f t="shared" si="51"/>
        <v/>
      </c>
    </row>
    <row r="415" spans="11:15">
      <c r="K415" s="171" t="str">
        <f t="shared" si="48"/>
        <v/>
      </c>
      <c r="L415" s="171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1" t="str">
        <f t="shared" si="49"/>
        <v/>
      </c>
      <c r="N415" s="172" t="str">
        <f t="shared" si="50"/>
        <v/>
      </c>
      <c r="O415" s="172" t="str">
        <f t="shared" si="51"/>
        <v/>
      </c>
    </row>
    <row r="416" spans="11:15">
      <c r="K416" s="171" t="str">
        <f t="shared" si="48"/>
        <v/>
      </c>
      <c r="L416" s="171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1" t="str">
        <f t="shared" si="49"/>
        <v/>
      </c>
      <c r="N416" s="172" t="str">
        <f t="shared" si="50"/>
        <v/>
      </c>
      <c r="O416" s="172" t="str">
        <f t="shared" si="51"/>
        <v/>
      </c>
    </row>
    <row r="417" spans="11:15">
      <c r="K417" s="171" t="str">
        <f t="shared" si="48"/>
        <v/>
      </c>
      <c r="L417" s="171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1" t="str">
        <f t="shared" si="49"/>
        <v/>
      </c>
      <c r="N417" s="172" t="str">
        <f t="shared" si="50"/>
        <v/>
      </c>
      <c r="O417" s="172" t="str">
        <f t="shared" si="51"/>
        <v/>
      </c>
    </row>
    <row r="418" spans="11:15">
      <c r="K418" s="171" t="str">
        <f t="shared" si="48"/>
        <v/>
      </c>
      <c r="L418" s="171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1" t="str">
        <f t="shared" si="49"/>
        <v/>
      </c>
      <c r="N418" s="172" t="str">
        <f t="shared" si="50"/>
        <v/>
      </c>
      <c r="O418" s="172" t="str">
        <f t="shared" si="51"/>
        <v/>
      </c>
    </row>
    <row r="419" spans="11:15">
      <c r="K419" s="171" t="str">
        <f t="shared" si="48"/>
        <v/>
      </c>
      <c r="L419" s="171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1" t="str">
        <f t="shared" si="49"/>
        <v/>
      </c>
      <c r="N419" s="172" t="str">
        <f t="shared" si="50"/>
        <v/>
      </c>
      <c r="O419" s="172" t="str">
        <f t="shared" si="51"/>
        <v/>
      </c>
    </row>
    <row r="420" spans="11:15">
      <c r="K420" s="171" t="str">
        <f t="shared" si="48"/>
        <v/>
      </c>
      <c r="L420" s="171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1" t="str">
        <f t="shared" si="49"/>
        <v/>
      </c>
      <c r="N420" s="172" t="str">
        <f t="shared" si="50"/>
        <v/>
      </c>
      <c r="O420" s="172" t="str">
        <f t="shared" si="51"/>
        <v/>
      </c>
    </row>
    <row r="421" spans="11:15">
      <c r="K421" s="171" t="str">
        <f t="shared" si="48"/>
        <v/>
      </c>
      <c r="L421" s="171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1" t="str">
        <f t="shared" si="49"/>
        <v/>
      </c>
      <c r="N421" s="172" t="str">
        <f t="shared" si="50"/>
        <v/>
      </c>
      <c r="O421" s="172" t="str">
        <f t="shared" si="51"/>
        <v/>
      </c>
    </row>
    <row r="422" spans="11:15">
      <c r="K422" s="171" t="str">
        <f t="shared" ref="K422:K485" si="52">IF(E422="","",E422)</f>
        <v/>
      </c>
      <c r="L422" s="171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1" t="str">
        <f t="shared" ref="M422:M485" si="53">IF(E422="","",G422)</f>
        <v/>
      </c>
      <c r="N422" s="172" t="str">
        <f t="shared" ref="N422:N485" si="54">IF(E422="","",H422)</f>
        <v/>
      </c>
      <c r="O422" s="172" t="str">
        <f t="shared" ref="O422:O485" si="55">IF(E422="","",I422)</f>
        <v/>
      </c>
    </row>
    <row r="423" spans="11:15">
      <c r="K423" s="171" t="str">
        <f t="shared" si="52"/>
        <v/>
      </c>
      <c r="L423" s="171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1" t="str">
        <f t="shared" si="53"/>
        <v/>
      </c>
      <c r="N423" s="172" t="str">
        <f t="shared" si="54"/>
        <v/>
      </c>
      <c r="O423" s="172" t="str">
        <f t="shared" si="55"/>
        <v/>
      </c>
    </row>
    <row r="424" spans="11:15">
      <c r="K424" s="171" t="str">
        <f t="shared" si="52"/>
        <v/>
      </c>
      <c r="L424" s="171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1" t="str">
        <f t="shared" si="53"/>
        <v/>
      </c>
      <c r="N424" s="172" t="str">
        <f t="shared" si="54"/>
        <v/>
      </c>
      <c r="O424" s="172" t="str">
        <f t="shared" si="55"/>
        <v/>
      </c>
    </row>
    <row r="425" spans="11:15">
      <c r="K425" s="171" t="str">
        <f t="shared" si="52"/>
        <v/>
      </c>
      <c r="L425" s="171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1" t="str">
        <f t="shared" si="53"/>
        <v/>
      </c>
      <c r="N425" s="172" t="str">
        <f t="shared" si="54"/>
        <v/>
      </c>
      <c r="O425" s="172" t="str">
        <f t="shared" si="55"/>
        <v/>
      </c>
    </row>
    <row r="426" spans="11:15">
      <c r="K426" s="171" t="str">
        <f t="shared" si="52"/>
        <v/>
      </c>
      <c r="L426" s="171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1" t="str">
        <f t="shared" si="53"/>
        <v/>
      </c>
      <c r="N426" s="172" t="str">
        <f t="shared" si="54"/>
        <v/>
      </c>
      <c r="O426" s="172" t="str">
        <f t="shared" si="55"/>
        <v/>
      </c>
    </row>
    <row r="427" spans="11:15">
      <c r="K427" s="171" t="str">
        <f t="shared" si="52"/>
        <v/>
      </c>
      <c r="L427" s="171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1" t="str">
        <f t="shared" si="53"/>
        <v/>
      </c>
      <c r="N427" s="172" t="str">
        <f t="shared" si="54"/>
        <v/>
      </c>
      <c r="O427" s="172" t="str">
        <f t="shared" si="55"/>
        <v/>
      </c>
    </row>
    <row r="428" spans="11:15">
      <c r="K428" s="171" t="str">
        <f t="shared" si="52"/>
        <v/>
      </c>
      <c r="L428" s="171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1" t="str">
        <f t="shared" si="53"/>
        <v/>
      </c>
      <c r="N428" s="172" t="str">
        <f t="shared" si="54"/>
        <v/>
      </c>
      <c r="O428" s="172" t="str">
        <f t="shared" si="55"/>
        <v/>
      </c>
    </row>
    <row r="429" spans="11:15">
      <c r="K429" s="171" t="str">
        <f t="shared" si="52"/>
        <v/>
      </c>
      <c r="L429" s="171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1" t="str">
        <f t="shared" si="53"/>
        <v/>
      </c>
      <c r="N429" s="172" t="str">
        <f t="shared" si="54"/>
        <v/>
      </c>
      <c r="O429" s="172" t="str">
        <f t="shared" si="55"/>
        <v/>
      </c>
    </row>
    <row r="430" spans="11:15">
      <c r="K430" s="171" t="str">
        <f t="shared" si="52"/>
        <v/>
      </c>
      <c r="L430" s="171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1" t="str">
        <f t="shared" si="53"/>
        <v/>
      </c>
      <c r="N430" s="172" t="str">
        <f t="shared" si="54"/>
        <v/>
      </c>
      <c r="O430" s="172" t="str">
        <f t="shared" si="55"/>
        <v/>
      </c>
    </row>
    <row r="431" spans="11:15">
      <c r="K431" s="171" t="str">
        <f t="shared" si="52"/>
        <v/>
      </c>
      <c r="L431" s="171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1" t="str">
        <f t="shared" si="53"/>
        <v/>
      </c>
      <c r="N431" s="172" t="str">
        <f t="shared" si="54"/>
        <v/>
      </c>
      <c r="O431" s="172" t="str">
        <f t="shared" si="55"/>
        <v/>
      </c>
    </row>
    <row r="432" spans="11:15">
      <c r="K432" s="171" t="str">
        <f t="shared" si="52"/>
        <v/>
      </c>
      <c r="L432" s="171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1" t="str">
        <f t="shared" si="53"/>
        <v/>
      </c>
      <c r="N432" s="172" t="str">
        <f t="shared" si="54"/>
        <v/>
      </c>
      <c r="O432" s="172" t="str">
        <f t="shared" si="55"/>
        <v/>
      </c>
    </row>
    <row r="433" spans="11:15">
      <c r="K433" s="171" t="str">
        <f t="shared" si="52"/>
        <v/>
      </c>
      <c r="L433" s="171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1" t="str">
        <f t="shared" si="53"/>
        <v/>
      </c>
      <c r="N433" s="172" t="str">
        <f t="shared" si="54"/>
        <v/>
      </c>
      <c r="O433" s="172" t="str">
        <f t="shared" si="55"/>
        <v/>
      </c>
    </row>
    <row r="434" spans="11:15">
      <c r="K434" s="171" t="str">
        <f t="shared" si="52"/>
        <v/>
      </c>
      <c r="L434" s="171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1" t="str">
        <f t="shared" si="53"/>
        <v/>
      </c>
      <c r="N434" s="172" t="str">
        <f t="shared" si="54"/>
        <v/>
      </c>
      <c r="O434" s="172" t="str">
        <f t="shared" si="55"/>
        <v/>
      </c>
    </row>
    <row r="435" spans="11:15">
      <c r="K435" s="171" t="str">
        <f t="shared" si="52"/>
        <v/>
      </c>
      <c r="L435" s="171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1" t="str">
        <f t="shared" si="53"/>
        <v/>
      </c>
      <c r="N435" s="172" t="str">
        <f t="shared" si="54"/>
        <v/>
      </c>
      <c r="O435" s="172" t="str">
        <f t="shared" si="55"/>
        <v/>
      </c>
    </row>
    <row r="436" spans="11:15">
      <c r="K436" s="171" t="str">
        <f t="shared" si="52"/>
        <v/>
      </c>
      <c r="L436" s="171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1" t="str">
        <f t="shared" si="53"/>
        <v/>
      </c>
      <c r="N436" s="172" t="str">
        <f t="shared" si="54"/>
        <v/>
      </c>
      <c r="O436" s="172" t="str">
        <f t="shared" si="55"/>
        <v/>
      </c>
    </row>
    <row r="437" spans="11:15">
      <c r="K437" s="171" t="str">
        <f t="shared" si="52"/>
        <v/>
      </c>
      <c r="L437" s="171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1" t="str">
        <f t="shared" si="53"/>
        <v/>
      </c>
      <c r="N437" s="172" t="str">
        <f t="shared" si="54"/>
        <v/>
      </c>
      <c r="O437" s="172" t="str">
        <f t="shared" si="55"/>
        <v/>
      </c>
    </row>
    <row r="438" spans="11:15">
      <c r="K438" s="171" t="str">
        <f t="shared" si="52"/>
        <v/>
      </c>
      <c r="L438" s="171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1" t="str">
        <f t="shared" si="53"/>
        <v/>
      </c>
      <c r="N438" s="172" t="str">
        <f t="shared" si="54"/>
        <v/>
      </c>
      <c r="O438" s="172" t="str">
        <f t="shared" si="55"/>
        <v/>
      </c>
    </row>
    <row r="439" spans="11:15">
      <c r="K439" s="171" t="str">
        <f t="shared" si="52"/>
        <v/>
      </c>
      <c r="L439" s="171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1" t="str">
        <f t="shared" si="53"/>
        <v/>
      </c>
      <c r="N439" s="172" t="str">
        <f t="shared" si="54"/>
        <v/>
      </c>
      <c r="O439" s="172" t="str">
        <f t="shared" si="55"/>
        <v/>
      </c>
    </row>
    <row r="440" spans="11:15">
      <c r="K440" s="171" t="str">
        <f t="shared" si="52"/>
        <v/>
      </c>
      <c r="L440" s="171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1" t="str">
        <f t="shared" si="53"/>
        <v/>
      </c>
      <c r="N440" s="172" t="str">
        <f t="shared" si="54"/>
        <v/>
      </c>
      <c r="O440" s="172" t="str">
        <f t="shared" si="55"/>
        <v/>
      </c>
    </row>
    <row r="441" spans="11:15">
      <c r="K441" s="171" t="str">
        <f t="shared" si="52"/>
        <v/>
      </c>
      <c r="L441" s="171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1" t="str">
        <f t="shared" si="53"/>
        <v/>
      </c>
      <c r="N441" s="172" t="str">
        <f t="shared" si="54"/>
        <v/>
      </c>
      <c r="O441" s="172" t="str">
        <f t="shared" si="55"/>
        <v/>
      </c>
    </row>
    <row r="442" spans="11:15">
      <c r="K442" s="171" t="str">
        <f t="shared" si="52"/>
        <v/>
      </c>
      <c r="L442" s="171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1" t="str">
        <f t="shared" si="53"/>
        <v/>
      </c>
      <c r="N442" s="172" t="str">
        <f t="shared" si="54"/>
        <v/>
      </c>
      <c r="O442" s="172" t="str">
        <f t="shared" si="55"/>
        <v/>
      </c>
    </row>
    <row r="443" spans="11:15">
      <c r="K443" s="171" t="str">
        <f t="shared" si="52"/>
        <v/>
      </c>
      <c r="L443" s="171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1" t="str">
        <f t="shared" si="53"/>
        <v/>
      </c>
      <c r="N443" s="172" t="str">
        <f t="shared" si="54"/>
        <v/>
      </c>
      <c r="O443" s="172" t="str">
        <f t="shared" si="55"/>
        <v/>
      </c>
    </row>
    <row r="444" spans="11:15">
      <c r="K444" s="171" t="str">
        <f t="shared" si="52"/>
        <v/>
      </c>
      <c r="L444" s="171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1" t="str">
        <f t="shared" si="53"/>
        <v/>
      </c>
      <c r="N444" s="172" t="str">
        <f t="shared" si="54"/>
        <v/>
      </c>
      <c r="O444" s="172" t="str">
        <f t="shared" si="55"/>
        <v/>
      </c>
    </row>
    <row r="445" spans="11:15">
      <c r="K445" s="171" t="str">
        <f t="shared" si="52"/>
        <v/>
      </c>
      <c r="L445" s="171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1" t="str">
        <f t="shared" si="53"/>
        <v/>
      </c>
      <c r="N445" s="172" t="str">
        <f t="shared" si="54"/>
        <v/>
      </c>
      <c r="O445" s="172" t="str">
        <f t="shared" si="55"/>
        <v/>
      </c>
    </row>
    <row r="446" spans="11:15">
      <c r="K446" s="171" t="str">
        <f t="shared" si="52"/>
        <v/>
      </c>
      <c r="L446" s="171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1" t="str">
        <f t="shared" si="53"/>
        <v/>
      </c>
      <c r="N446" s="172" t="str">
        <f t="shared" si="54"/>
        <v/>
      </c>
      <c r="O446" s="172" t="str">
        <f t="shared" si="55"/>
        <v/>
      </c>
    </row>
    <row r="447" spans="11:15">
      <c r="K447" s="171" t="str">
        <f t="shared" si="52"/>
        <v/>
      </c>
      <c r="L447" s="171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1" t="str">
        <f t="shared" si="53"/>
        <v/>
      </c>
      <c r="N447" s="172" t="str">
        <f t="shared" si="54"/>
        <v/>
      </c>
      <c r="O447" s="172" t="str">
        <f t="shared" si="55"/>
        <v/>
      </c>
    </row>
    <row r="448" spans="11:15">
      <c r="K448" s="171" t="str">
        <f t="shared" si="52"/>
        <v/>
      </c>
      <c r="L448" s="171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1" t="str">
        <f t="shared" si="53"/>
        <v/>
      </c>
      <c r="N448" s="172" t="str">
        <f t="shared" si="54"/>
        <v/>
      </c>
      <c r="O448" s="172" t="str">
        <f t="shared" si="55"/>
        <v/>
      </c>
    </row>
    <row r="449" spans="11:15">
      <c r="K449" s="171" t="str">
        <f t="shared" si="52"/>
        <v/>
      </c>
      <c r="L449" s="171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1" t="str">
        <f t="shared" si="53"/>
        <v/>
      </c>
      <c r="N449" s="172" t="str">
        <f t="shared" si="54"/>
        <v/>
      </c>
      <c r="O449" s="172" t="str">
        <f t="shared" si="55"/>
        <v/>
      </c>
    </row>
    <row r="450" spans="11:15">
      <c r="K450" s="171" t="str">
        <f t="shared" si="52"/>
        <v/>
      </c>
      <c r="L450" s="171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1" t="str">
        <f t="shared" si="53"/>
        <v/>
      </c>
      <c r="N450" s="172" t="str">
        <f t="shared" si="54"/>
        <v/>
      </c>
      <c r="O450" s="172" t="str">
        <f t="shared" si="55"/>
        <v/>
      </c>
    </row>
    <row r="451" spans="11:15">
      <c r="K451" s="171" t="str">
        <f t="shared" si="52"/>
        <v/>
      </c>
      <c r="L451" s="171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1" t="str">
        <f t="shared" si="53"/>
        <v/>
      </c>
      <c r="N451" s="172" t="str">
        <f t="shared" si="54"/>
        <v/>
      </c>
      <c r="O451" s="172" t="str">
        <f t="shared" si="55"/>
        <v/>
      </c>
    </row>
    <row r="452" spans="11:15">
      <c r="K452" s="171" t="str">
        <f t="shared" si="52"/>
        <v/>
      </c>
      <c r="L452" s="171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1" t="str">
        <f t="shared" si="53"/>
        <v/>
      </c>
      <c r="N452" s="172" t="str">
        <f t="shared" si="54"/>
        <v/>
      </c>
      <c r="O452" s="172" t="str">
        <f t="shared" si="55"/>
        <v/>
      </c>
    </row>
    <row r="453" spans="11:15">
      <c r="K453" s="171" t="str">
        <f t="shared" si="52"/>
        <v/>
      </c>
      <c r="L453" s="171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1" t="str">
        <f t="shared" si="53"/>
        <v/>
      </c>
      <c r="N453" s="172" t="str">
        <f t="shared" si="54"/>
        <v/>
      </c>
      <c r="O453" s="172" t="str">
        <f t="shared" si="55"/>
        <v/>
      </c>
    </row>
    <row r="454" spans="11:15">
      <c r="K454" s="171" t="str">
        <f t="shared" si="52"/>
        <v/>
      </c>
      <c r="L454" s="171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1" t="str">
        <f t="shared" si="53"/>
        <v/>
      </c>
      <c r="N454" s="172" t="str">
        <f t="shared" si="54"/>
        <v/>
      </c>
      <c r="O454" s="172" t="str">
        <f t="shared" si="55"/>
        <v/>
      </c>
    </row>
    <row r="455" spans="11:15">
      <c r="K455" s="171" t="str">
        <f t="shared" si="52"/>
        <v/>
      </c>
      <c r="L455" s="171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1" t="str">
        <f t="shared" si="53"/>
        <v/>
      </c>
      <c r="N455" s="172" t="str">
        <f t="shared" si="54"/>
        <v/>
      </c>
      <c r="O455" s="172" t="str">
        <f t="shared" si="55"/>
        <v/>
      </c>
    </row>
    <row r="456" spans="11:15">
      <c r="K456" s="171" t="str">
        <f t="shared" si="52"/>
        <v/>
      </c>
      <c r="L456" s="171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1" t="str">
        <f t="shared" si="53"/>
        <v/>
      </c>
      <c r="N456" s="172" t="str">
        <f t="shared" si="54"/>
        <v/>
      </c>
      <c r="O456" s="172" t="str">
        <f t="shared" si="55"/>
        <v/>
      </c>
    </row>
    <row r="457" spans="11:15">
      <c r="K457" s="171" t="str">
        <f t="shared" si="52"/>
        <v/>
      </c>
      <c r="L457" s="171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1" t="str">
        <f t="shared" si="53"/>
        <v/>
      </c>
      <c r="N457" s="172" t="str">
        <f t="shared" si="54"/>
        <v/>
      </c>
      <c r="O457" s="172" t="str">
        <f t="shared" si="55"/>
        <v/>
      </c>
    </row>
    <row r="458" spans="11:15">
      <c r="K458" s="171" t="str">
        <f t="shared" si="52"/>
        <v/>
      </c>
      <c r="L458" s="171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1" t="str">
        <f t="shared" si="53"/>
        <v/>
      </c>
      <c r="N458" s="172" t="str">
        <f t="shared" si="54"/>
        <v/>
      </c>
      <c r="O458" s="172" t="str">
        <f t="shared" si="55"/>
        <v/>
      </c>
    </row>
    <row r="459" spans="11:15">
      <c r="K459" s="171" t="str">
        <f t="shared" si="52"/>
        <v/>
      </c>
      <c r="L459" s="171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1" t="str">
        <f t="shared" si="53"/>
        <v/>
      </c>
      <c r="N459" s="172" t="str">
        <f t="shared" si="54"/>
        <v/>
      </c>
      <c r="O459" s="172" t="str">
        <f t="shared" si="55"/>
        <v/>
      </c>
    </row>
    <row r="460" spans="11:15">
      <c r="K460" s="171" t="str">
        <f t="shared" si="52"/>
        <v/>
      </c>
      <c r="L460" s="171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1" t="str">
        <f t="shared" si="53"/>
        <v/>
      </c>
      <c r="N460" s="172" t="str">
        <f t="shared" si="54"/>
        <v/>
      </c>
      <c r="O460" s="172" t="str">
        <f t="shared" si="55"/>
        <v/>
      </c>
    </row>
    <row r="461" spans="11:15">
      <c r="K461" s="171" t="str">
        <f t="shared" si="52"/>
        <v/>
      </c>
      <c r="L461" s="171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1" t="str">
        <f t="shared" si="53"/>
        <v/>
      </c>
      <c r="N461" s="172" t="str">
        <f t="shared" si="54"/>
        <v/>
      </c>
      <c r="O461" s="172" t="str">
        <f t="shared" si="55"/>
        <v/>
      </c>
    </row>
    <row r="462" spans="11:15">
      <c r="K462" s="171" t="str">
        <f t="shared" si="52"/>
        <v/>
      </c>
      <c r="L462" s="171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1" t="str">
        <f t="shared" si="53"/>
        <v/>
      </c>
      <c r="N462" s="172" t="str">
        <f t="shared" si="54"/>
        <v/>
      </c>
      <c r="O462" s="172" t="str">
        <f t="shared" si="55"/>
        <v/>
      </c>
    </row>
    <row r="463" spans="11:15">
      <c r="K463" s="171" t="str">
        <f t="shared" si="52"/>
        <v/>
      </c>
      <c r="L463" s="171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1" t="str">
        <f t="shared" si="53"/>
        <v/>
      </c>
      <c r="N463" s="172" t="str">
        <f t="shared" si="54"/>
        <v/>
      </c>
      <c r="O463" s="172" t="str">
        <f t="shared" si="55"/>
        <v/>
      </c>
    </row>
    <row r="464" spans="11:15">
      <c r="K464" s="171" t="str">
        <f t="shared" si="52"/>
        <v/>
      </c>
      <c r="L464" s="171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1" t="str">
        <f t="shared" si="53"/>
        <v/>
      </c>
      <c r="N464" s="172" t="str">
        <f t="shared" si="54"/>
        <v/>
      </c>
      <c r="O464" s="172" t="str">
        <f t="shared" si="55"/>
        <v/>
      </c>
    </row>
    <row r="465" spans="11:15">
      <c r="K465" s="171" t="str">
        <f t="shared" si="52"/>
        <v/>
      </c>
      <c r="L465" s="171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1" t="str">
        <f t="shared" si="53"/>
        <v/>
      </c>
      <c r="N465" s="172" t="str">
        <f t="shared" si="54"/>
        <v/>
      </c>
      <c r="O465" s="172" t="str">
        <f t="shared" si="55"/>
        <v/>
      </c>
    </row>
    <row r="466" spans="11:15">
      <c r="K466" s="171" t="str">
        <f t="shared" si="52"/>
        <v/>
      </c>
      <c r="L466" s="171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1" t="str">
        <f t="shared" si="53"/>
        <v/>
      </c>
      <c r="N466" s="172" t="str">
        <f t="shared" si="54"/>
        <v/>
      </c>
      <c r="O466" s="172" t="str">
        <f t="shared" si="55"/>
        <v/>
      </c>
    </row>
    <row r="467" spans="11:15">
      <c r="K467" s="171" t="str">
        <f t="shared" si="52"/>
        <v/>
      </c>
      <c r="L467" s="171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1" t="str">
        <f t="shared" si="53"/>
        <v/>
      </c>
      <c r="N467" s="172" t="str">
        <f t="shared" si="54"/>
        <v/>
      </c>
      <c r="O467" s="172" t="str">
        <f t="shared" si="55"/>
        <v/>
      </c>
    </row>
    <row r="468" spans="11:15">
      <c r="K468" s="171" t="str">
        <f t="shared" si="52"/>
        <v/>
      </c>
      <c r="L468" s="171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1" t="str">
        <f t="shared" si="53"/>
        <v/>
      </c>
      <c r="N468" s="172" t="str">
        <f t="shared" si="54"/>
        <v/>
      </c>
      <c r="O468" s="172" t="str">
        <f t="shared" si="55"/>
        <v/>
      </c>
    </row>
    <row r="469" spans="11:15">
      <c r="K469" s="171" t="str">
        <f t="shared" si="52"/>
        <v/>
      </c>
      <c r="L469" s="171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1" t="str">
        <f t="shared" si="53"/>
        <v/>
      </c>
      <c r="N469" s="172" t="str">
        <f t="shared" si="54"/>
        <v/>
      </c>
      <c r="O469" s="172" t="str">
        <f t="shared" si="55"/>
        <v/>
      </c>
    </row>
    <row r="470" spans="11:15">
      <c r="K470" s="171" t="str">
        <f t="shared" si="52"/>
        <v/>
      </c>
      <c r="L470" s="171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1" t="str">
        <f t="shared" si="53"/>
        <v/>
      </c>
      <c r="N470" s="172" t="str">
        <f t="shared" si="54"/>
        <v/>
      </c>
      <c r="O470" s="172" t="str">
        <f t="shared" si="55"/>
        <v/>
      </c>
    </row>
    <row r="471" spans="11:15">
      <c r="K471" s="171" t="str">
        <f t="shared" si="52"/>
        <v/>
      </c>
      <c r="L471" s="171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1" t="str">
        <f t="shared" si="53"/>
        <v/>
      </c>
      <c r="N471" s="172" t="str">
        <f t="shared" si="54"/>
        <v/>
      </c>
      <c r="O471" s="172" t="str">
        <f t="shared" si="55"/>
        <v/>
      </c>
    </row>
    <row r="472" spans="11:15">
      <c r="K472" s="171" t="str">
        <f t="shared" si="52"/>
        <v/>
      </c>
      <c r="L472" s="171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1" t="str">
        <f t="shared" si="53"/>
        <v/>
      </c>
      <c r="N472" s="172" t="str">
        <f t="shared" si="54"/>
        <v/>
      </c>
      <c r="O472" s="172" t="str">
        <f t="shared" si="55"/>
        <v/>
      </c>
    </row>
    <row r="473" spans="11:15">
      <c r="K473" s="171" t="str">
        <f t="shared" si="52"/>
        <v/>
      </c>
      <c r="L473" s="171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1" t="str">
        <f t="shared" si="53"/>
        <v/>
      </c>
      <c r="N473" s="172" t="str">
        <f t="shared" si="54"/>
        <v/>
      </c>
      <c r="O473" s="172" t="str">
        <f t="shared" si="55"/>
        <v/>
      </c>
    </row>
    <row r="474" spans="11:15">
      <c r="K474" s="171" t="str">
        <f t="shared" si="52"/>
        <v/>
      </c>
      <c r="L474" s="171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1" t="str">
        <f t="shared" si="53"/>
        <v/>
      </c>
      <c r="N474" s="172" t="str">
        <f t="shared" si="54"/>
        <v/>
      </c>
      <c r="O474" s="172" t="str">
        <f t="shared" si="55"/>
        <v/>
      </c>
    </row>
    <row r="475" spans="11:15">
      <c r="K475" s="171" t="str">
        <f t="shared" si="52"/>
        <v/>
      </c>
      <c r="L475" s="171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1" t="str">
        <f t="shared" si="53"/>
        <v/>
      </c>
      <c r="N475" s="172" t="str">
        <f t="shared" si="54"/>
        <v/>
      </c>
      <c r="O475" s="172" t="str">
        <f t="shared" si="55"/>
        <v/>
      </c>
    </row>
    <row r="476" spans="11:15">
      <c r="K476" s="171" t="str">
        <f t="shared" si="52"/>
        <v/>
      </c>
      <c r="L476" s="171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1" t="str">
        <f t="shared" si="53"/>
        <v/>
      </c>
      <c r="N476" s="172" t="str">
        <f t="shared" si="54"/>
        <v/>
      </c>
      <c r="O476" s="172" t="str">
        <f t="shared" si="55"/>
        <v/>
      </c>
    </row>
    <row r="477" spans="11:15">
      <c r="K477" s="171" t="str">
        <f t="shared" si="52"/>
        <v/>
      </c>
      <c r="L477" s="171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1" t="str">
        <f t="shared" si="53"/>
        <v/>
      </c>
      <c r="N477" s="172" t="str">
        <f t="shared" si="54"/>
        <v/>
      </c>
      <c r="O477" s="172" t="str">
        <f t="shared" si="55"/>
        <v/>
      </c>
    </row>
    <row r="478" spans="11:15">
      <c r="K478" s="171" t="str">
        <f t="shared" si="52"/>
        <v/>
      </c>
      <c r="L478" s="171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1" t="str">
        <f t="shared" si="53"/>
        <v/>
      </c>
      <c r="N478" s="172" t="str">
        <f t="shared" si="54"/>
        <v/>
      </c>
      <c r="O478" s="172" t="str">
        <f t="shared" si="55"/>
        <v/>
      </c>
    </row>
    <row r="479" spans="11:15">
      <c r="K479" s="171" t="str">
        <f t="shared" si="52"/>
        <v/>
      </c>
      <c r="L479" s="171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1" t="str">
        <f t="shared" si="53"/>
        <v/>
      </c>
      <c r="N479" s="172" t="str">
        <f t="shared" si="54"/>
        <v/>
      </c>
      <c r="O479" s="172" t="str">
        <f t="shared" si="55"/>
        <v/>
      </c>
    </row>
    <row r="480" spans="11:15">
      <c r="K480" s="171" t="str">
        <f t="shared" si="52"/>
        <v/>
      </c>
      <c r="L480" s="171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1" t="str">
        <f t="shared" si="53"/>
        <v/>
      </c>
      <c r="N480" s="172" t="str">
        <f t="shared" si="54"/>
        <v/>
      </c>
      <c r="O480" s="172" t="str">
        <f t="shared" si="55"/>
        <v/>
      </c>
    </row>
    <row r="481" spans="11:15">
      <c r="K481" s="171" t="str">
        <f t="shared" si="52"/>
        <v/>
      </c>
      <c r="L481" s="171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1" t="str">
        <f t="shared" si="53"/>
        <v/>
      </c>
      <c r="N481" s="172" t="str">
        <f t="shared" si="54"/>
        <v/>
      </c>
      <c r="O481" s="172" t="str">
        <f t="shared" si="55"/>
        <v/>
      </c>
    </row>
    <row r="482" spans="11:15">
      <c r="K482" s="171" t="str">
        <f t="shared" si="52"/>
        <v/>
      </c>
      <c r="L482" s="171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1" t="str">
        <f t="shared" si="53"/>
        <v/>
      </c>
      <c r="N482" s="172" t="str">
        <f t="shared" si="54"/>
        <v/>
      </c>
      <c r="O482" s="172" t="str">
        <f t="shared" si="55"/>
        <v/>
      </c>
    </row>
    <row r="483" spans="11:15">
      <c r="K483" s="171" t="str">
        <f t="shared" si="52"/>
        <v/>
      </c>
      <c r="L483" s="171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1" t="str">
        <f t="shared" si="53"/>
        <v/>
      </c>
      <c r="N483" s="172" t="str">
        <f t="shared" si="54"/>
        <v/>
      </c>
      <c r="O483" s="172" t="str">
        <f t="shared" si="55"/>
        <v/>
      </c>
    </row>
    <row r="484" spans="11:15">
      <c r="K484" s="171" t="str">
        <f t="shared" si="52"/>
        <v/>
      </c>
      <c r="L484" s="171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1" t="str">
        <f t="shared" si="53"/>
        <v/>
      </c>
      <c r="N484" s="172" t="str">
        <f t="shared" si="54"/>
        <v/>
      </c>
      <c r="O484" s="172" t="str">
        <f t="shared" si="55"/>
        <v/>
      </c>
    </row>
    <row r="485" spans="11:15">
      <c r="K485" s="171" t="str">
        <f t="shared" si="52"/>
        <v/>
      </c>
      <c r="L485" s="171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1" t="str">
        <f t="shared" si="53"/>
        <v/>
      </c>
      <c r="N485" s="172" t="str">
        <f t="shared" si="54"/>
        <v/>
      </c>
      <c r="O485" s="172" t="str">
        <f t="shared" si="55"/>
        <v/>
      </c>
    </row>
    <row r="486" spans="11:15">
      <c r="K486" s="171" t="str">
        <f t="shared" ref="K486:K512" si="56">IF(E486="","",E486)</f>
        <v/>
      </c>
      <c r="L486" s="171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1" t="str">
        <f t="shared" ref="M486:M512" si="57">IF(E486="","",G486)</f>
        <v/>
      </c>
      <c r="N486" s="172" t="str">
        <f t="shared" ref="N486:N512" si="58">IF(E486="","",H486)</f>
        <v/>
      </c>
      <c r="O486" s="172" t="str">
        <f t="shared" ref="O486:O512" si="59">IF(E486="","",I486)</f>
        <v/>
      </c>
    </row>
    <row r="487" spans="11:15">
      <c r="K487" s="171" t="str">
        <f t="shared" si="56"/>
        <v/>
      </c>
      <c r="L487" s="171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1" t="str">
        <f t="shared" si="57"/>
        <v/>
      </c>
      <c r="N487" s="172" t="str">
        <f t="shared" si="58"/>
        <v/>
      </c>
      <c r="O487" s="172" t="str">
        <f t="shared" si="59"/>
        <v/>
      </c>
    </row>
    <row r="488" spans="11:15">
      <c r="K488" s="171" t="str">
        <f t="shared" si="56"/>
        <v/>
      </c>
      <c r="L488" s="171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1" t="str">
        <f t="shared" si="57"/>
        <v/>
      </c>
      <c r="N488" s="172" t="str">
        <f t="shared" si="58"/>
        <v/>
      </c>
      <c r="O488" s="172" t="str">
        <f t="shared" si="59"/>
        <v/>
      </c>
    </row>
    <row r="489" spans="11:15">
      <c r="K489" s="171" t="str">
        <f t="shared" si="56"/>
        <v/>
      </c>
      <c r="L489" s="171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1" t="str">
        <f t="shared" si="57"/>
        <v/>
      </c>
      <c r="N489" s="172" t="str">
        <f t="shared" si="58"/>
        <v/>
      </c>
      <c r="O489" s="172" t="str">
        <f t="shared" si="59"/>
        <v/>
      </c>
    </row>
    <row r="490" spans="11:15">
      <c r="K490" s="171" t="str">
        <f t="shared" si="56"/>
        <v/>
      </c>
      <c r="L490" s="171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1" t="str">
        <f t="shared" si="57"/>
        <v/>
      </c>
      <c r="N490" s="172" t="str">
        <f t="shared" si="58"/>
        <v/>
      </c>
      <c r="O490" s="172" t="str">
        <f t="shared" si="59"/>
        <v/>
      </c>
    </row>
    <row r="491" spans="11:15">
      <c r="K491" s="171" t="str">
        <f t="shared" si="56"/>
        <v/>
      </c>
      <c r="L491" s="171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1" t="str">
        <f t="shared" si="57"/>
        <v/>
      </c>
      <c r="N491" s="172" t="str">
        <f t="shared" si="58"/>
        <v/>
      </c>
      <c r="O491" s="172" t="str">
        <f t="shared" si="59"/>
        <v/>
      </c>
    </row>
    <row r="492" spans="11:15">
      <c r="K492" s="171" t="str">
        <f t="shared" si="56"/>
        <v/>
      </c>
      <c r="L492" s="171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1" t="str">
        <f t="shared" si="57"/>
        <v/>
      </c>
      <c r="N492" s="172" t="str">
        <f t="shared" si="58"/>
        <v/>
      </c>
      <c r="O492" s="172" t="str">
        <f t="shared" si="59"/>
        <v/>
      </c>
    </row>
    <row r="493" spans="11:15">
      <c r="K493" s="171" t="str">
        <f t="shared" si="56"/>
        <v/>
      </c>
      <c r="L493" s="171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1" t="str">
        <f t="shared" si="57"/>
        <v/>
      </c>
      <c r="N493" s="172" t="str">
        <f t="shared" si="58"/>
        <v/>
      </c>
      <c r="O493" s="172" t="str">
        <f t="shared" si="59"/>
        <v/>
      </c>
    </row>
    <row r="494" spans="11:15">
      <c r="K494" s="171" t="str">
        <f t="shared" si="56"/>
        <v/>
      </c>
      <c r="L494" s="171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1" t="str">
        <f t="shared" si="57"/>
        <v/>
      </c>
      <c r="N494" s="172" t="str">
        <f t="shared" si="58"/>
        <v/>
      </c>
      <c r="O494" s="172" t="str">
        <f t="shared" si="59"/>
        <v/>
      </c>
    </row>
    <row r="495" spans="11:15">
      <c r="K495" s="171" t="str">
        <f t="shared" si="56"/>
        <v/>
      </c>
      <c r="L495" s="171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1" t="str">
        <f t="shared" si="57"/>
        <v/>
      </c>
      <c r="N495" s="172" t="str">
        <f t="shared" si="58"/>
        <v/>
      </c>
      <c r="O495" s="172" t="str">
        <f t="shared" si="59"/>
        <v/>
      </c>
    </row>
    <row r="496" spans="11:15">
      <c r="K496" s="171" t="str">
        <f t="shared" si="56"/>
        <v/>
      </c>
      <c r="L496" s="171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1" t="str">
        <f t="shared" si="57"/>
        <v/>
      </c>
      <c r="N496" s="172" t="str">
        <f t="shared" si="58"/>
        <v/>
      </c>
      <c r="O496" s="172" t="str">
        <f t="shared" si="59"/>
        <v/>
      </c>
    </row>
    <row r="497" spans="11:15">
      <c r="K497" s="171" t="str">
        <f t="shared" si="56"/>
        <v/>
      </c>
      <c r="L497" s="171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1" t="str">
        <f t="shared" si="57"/>
        <v/>
      </c>
      <c r="N497" s="172" t="str">
        <f t="shared" si="58"/>
        <v/>
      </c>
      <c r="O497" s="172" t="str">
        <f t="shared" si="59"/>
        <v/>
      </c>
    </row>
    <row r="498" spans="11:15">
      <c r="K498" s="171" t="str">
        <f t="shared" si="56"/>
        <v/>
      </c>
      <c r="L498" s="171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1" t="str">
        <f t="shared" si="57"/>
        <v/>
      </c>
      <c r="N498" s="172" t="str">
        <f t="shared" si="58"/>
        <v/>
      </c>
      <c r="O498" s="172" t="str">
        <f t="shared" si="59"/>
        <v/>
      </c>
    </row>
    <row r="499" spans="11:15">
      <c r="K499" s="171" t="str">
        <f t="shared" si="56"/>
        <v/>
      </c>
      <c r="L499" s="171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1" t="str">
        <f t="shared" si="57"/>
        <v/>
      </c>
      <c r="N499" s="172" t="str">
        <f t="shared" si="58"/>
        <v/>
      </c>
      <c r="O499" s="172" t="str">
        <f t="shared" si="59"/>
        <v/>
      </c>
    </row>
    <row r="500" spans="11:15">
      <c r="K500" s="171" t="str">
        <f t="shared" si="56"/>
        <v/>
      </c>
      <c r="L500" s="171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1" t="str">
        <f t="shared" si="57"/>
        <v/>
      </c>
      <c r="N500" s="172" t="str">
        <f t="shared" si="58"/>
        <v/>
      </c>
      <c r="O500" s="172" t="str">
        <f t="shared" si="59"/>
        <v/>
      </c>
    </row>
    <row r="501" spans="11:15">
      <c r="K501" s="171" t="str">
        <f t="shared" si="56"/>
        <v/>
      </c>
      <c r="L501" s="171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1" t="str">
        <f t="shared" si="57"/>
        <v/>
      </c>
      <c r="N501" s="172" t="str">
        <f t="shared" si="58"/>
        <v/>
      </c>
      <c r="O501" s="172" t="str">
        <f t="shared" si="59"/>
        <v/>
      </c>
    </row>
    <row r="502" spans="11:15">
      <c r="K502" s="171" t="str">
        <f t="shared" si="56"/>
        <v/>
      </c>
      <c r="L502" s="171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1" t="str">
        <f t="shared" si="57"/>
        <v/>
      </c>
      <c r="N502" s="172" t="str">
        <f t="shared" si="58"/>
        <v/>
      </c>
      <c r="O502" s="172" t="str">
        <f t="shared" si="59"/>
        <v/>
      </c>
    </row>
    <row r="503" spans="11:15">
      <c r="K503" s="171" t="str">
        <f t="shared" si="56"/>
        <v/>
      </c>
      <c r="L503" s="171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1" t="str">
        <f t="shared" si="57"/>
        <v/>
      </c>
      <c r="N503" s="172" t="str">
        <f t="shared" si="58"/>
        <v/>
      </c>
      <c r="O503" s="172" t="str">
        <f t="shared" si="59"/>
        <v/>
      </c>
    </row>
    <row r="504" spans="11:15">
      <c r="K504" s="171" t="str">
        <f t="shared" si="56"/>
        <v/>
      </c>
      <c r="L504" s="171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1" t="str">
        <f t="shared" si="57"/>
        <v/>
      </c>
      <c r="N504" s="172" t="str">
        <f t="shared" si="58"/>
        <v/>
      </c>
      <c r="O504" s="172" t="str">
        <f t="shared" si="59"/>
        <v/>
      </c>
    </row>
    <row r="505" spans="11:15">
      <c r="K505" s="171" t="str">
        <f t="shared" si="56"/>
        <v/>
      </c>
      <c r="L505" s="171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1" t="str">
        <f t="shared" si="57"/>
        <v/>
      </c>
      <c r="N505" s="172" t="str">
        <f t="shared" si="58"/>
        <v/>
      </c>
      <c r="O505" s="172" t="str">
        <f t="shared" si="59"/>
        <v/>
      </c>
    </row>
    <row r="506" spans="11:15">
      <c r="K506" s="171" t="str">
        <f t="shared" si="56"/>
        <v/>
      </c>
      <c r="L506" s="171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1" t="str">
        <f t="shared" si="57"/>
        <v/>
      </c>
      <c r="N506" s="172" t="str">
        <f t="shared" si="58"/>
        <v/>
      </c>
      <c r="O506" s="172" t="str">
        <f t="shared" si="59"/>
        <v/>
      </c>
    </row>
    <row r="507" spans="11:15">
      <c r="K507" s="171" t="str">
        <f t="shared" si="56"/>
        <v/>
      </c>
      <c r="L507" s="171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1" t="str">
        <f t="shared" si="57"/>
        <v/>
      </c>
      <c r="N507" s="172" t="str">
        <f t="shared" si="58"/>
        <v/>
      </c>
      <c r="O507" s="172" t="str">
        <f t="shared" si="59"/>
        <v/>
      </c>
    </row>
    <row r="508" spans="11:15">
      <c r="K508" s="171" t="str">
        <f t="shared" si="56"/>
        <v/>
      </c>
      <c r="L508" s="171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1" t="str">
        <f t="shared" si="57"/>
        <v/>
      </c>
      <c r="N508" s="172" t="str">
        <f t="shared" si="58"/>
        <v/>
      </c>
      <c r="O508" s="172" t="str">
        <f t="shared" si="59"/>
        <v/>
      </c>
    </row>
    <row r="509" spans="11:15">
      <c r="K509" s="171" t="str">
        <f t="shared" si="56"/>
        <v/>
      </c>
      <c r="L509" s="171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1" t="str">
        <f t="shared" si="57"/>
        <v/>
      </c>
      <c r="N509" s="172" t="str">
        <f t="shared" si="58"/>
        <v/>
      </c>
      <c r="O509" s="172" t="str">
        <f t="shared" si="59"/>
        <v/>
      </c>
    </row>
    <row r="510" spans="11:15">
      <c r="K510" s="171" t="str">
        <f t="shared" si="56"/>
        <v/>
      </c>
      <c r="L510" s="171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1" t="str">
        <f t="shared" si="57"/>
        <v/>
      </c>
      <c r="N510" s="172" t="str">
        <f t="shared" si="58"/>
        <v/>
      </c>
      <c r="O510" s="172" t="str">
        <f t="shared" si="59"/>
        <v/>
      </c>
    </row>
    <row r="511" spans="11:15">
      <c r="K511" s="171" t="str">
        <f t="shared" si="56"/>
        <v/>
      </c>
      <c r="L511" s="171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1" t="str">
        <f t="shared" si="57"/>
        <v/>
      </c>
      <c r="N511" s="172" t="str">
        <f t="shared" si="58"/>
        <v/>
      </c>
      <c r="O511" s="172" t="str">
        <f t="shared" si="59"/>
        <v/>
      </c>
    </row>
    <row r="512" spans="11:15">
      <c r="K512" s="171" t="str">
        <f t="shared" si="56"/>
        <v/>
      </c>
      <c r="L512" s="171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1" t="str">
        <f t="shared" si="57"/>
        <v/>
      </c>
      <c r="N512" s="172" t="str">
        <f t="shared" si="58"/>
        <v/>
      </c>
      <c r="O512" s="172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5" bestFit="1" customWidth="1"/>
    <col min="4" max="4" width="24.42578125" style="175" bestFit="1" customWidth="1"/>
    <col min="5" max="5" width="24.42578125" style="175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210</v>
      </c>
      <c r="D1" s="7" t="s">
        <v>211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3" t="s">
        <v>220</v>
      </c>
      <c r="C4" s="173" t="s">
        <v>216</v>
      </c>
      <c r="D4" s="173" t="s">
        <v>217</v>
      </c>
      <c r="E4" s="173" t="s">
        <v>218</v>
      </c>
    </row>
    <row r="5" spans="2:5">
      <c r="B5" s="21" t="s">
        <v>254</v>
      </c>
      <c r="C5" s="174">
        <f>IF(B5="","",IF(OR(LEFT(B5,4)="Cash",LEFT(B5,4)="Prov"),0,SUMIFS('Input_APM (Zenith)'!N:N,'Input_APM (Zenith)'!L:L,'Check (Zenith)'!B5,'Input_APM (Zenith)'!M:M,'Check (Zenith)'!$C$1)))</f>
        <v>0</v>
      </c>
      <c r="D5" s="174">
        <f>IF(B5="","",IF(OR(LEFT(B5,4)="Cash",LEFT(B5,4)="Prov"),0,SUMIFS('Input_APM (Zenith)'!N:N,'Input_APM (Zenith)'!L:L,'Check (Zenith)'!B5,'Input_APM (Zenith)'!M:M,'Check (Zenith)'!$D$1)))</f>
        <v>0</v>
      </c>
      <c r="E5" s="174">
        <f>IF(B5="","",C5-D5)</f>
        <v>0</v>
      </c>
    </row>
    <row r="6" spans="2:5">
      <c r="B6" s="21" t="s">
        <v>255</v>
      </c>
      <c r="C6" s="174">
        <f>IF(B6="","",IF(OR(LEFT(B6,4)="Cash",LEFT(B6,4)="Prov"),0,SUMIFS('Input_APM (Zenith)'!N:N,'Input_APM (Zenith)'!L:L,'Check (Zenith)'!B6,'Input_APM (Zenith)'!M:M,'Check (Zenith)'!$C$1)))</f>
        <v>0</v>
      </c>
      <c r="D6" s="174">
        <f>IF(B6="","",IF(OR(LEFT(B6,4)="Cash",LEFT(B6,4)="Prov"),0,SUMIFS('Input_APM (Zenith)'!N:N,'Input_APM (Zenith)'!L:L,'Check (Zenith)'!B6,'Input_APM (Zenith)'!M:M,'Check (Zenith)'!$D$1)))</f>
        <v>0</v>
      </c>
      <c r="E6" s="174">
        <f t="shared" ref="E6:E69" si="0">IF(B6="","",C6-D6)</f>
        <v>0</v>
      </c>
    </row>
    <row r="7" spans="2:5">
      <c r="B7" s="21" t="s">
        <v>256</v>
      </c>
      <c r="C7" s="174">
        <f>IF(B7="","",IF(OR(LEFT(B7,4)="Cash",LEFT(B7,4)="Prov"),0,SUMIFS('Input_APM (Zenith)'!N:N,'Input_APM (Zenith)'!L:L,'Check (Zenith)'!B7,'Input_APM (Zenith)'!M:M,'Check (Zenith)'!$C$1)))</f>
        <v>0</v>
      </c>
      <c r="D7" s="174">
        <f>IF(B7="","",IF(OR(LEFT(B7,4)="Cash",LEFT(B7,4)="Prov"),0,SUMIFS('Input_APM (Zenith)'!N:N,'Input_APM (Zenith)'!L:L,'Check (Zenith)'!B7,'Input_APM (Zenith)'!M:M,'Check (Zenith)'!$D$1)))</f>
        <v>0</v>
      </c>
      <c r="E7" s="174">
        <f t="shared" si="0"/>
        <v>0</v>
      </c>
    </row>
    <row r="8" spans="2:5">
      <c r="B8" s="21" t="s">
        <v>257</v>
      </c>
      <c r="C8" s="174">
        <f>IF(B8="","",IF(OR(LEFT(B8,4)="Cash",LEFT(B8,4)="Prov"),0,SUMIFS('Input_APM (Zenith)'!N:N,'Input_APM (Zenith)'!L:L,'Check (Zenith)'!B8,'Input_APM (Zenith)'!M:M,'Check (Zenith)'!$C$1)))</f>
        <v>0</v>
      </c>
      <c r="D8" s="174">
        <f>IF(B8="","",IF(OR(LEFT(B8,4)="Cash",LEFT(B8,4)="Prov"),0,SUMIFS('Input_APM (Zenith)'!N:N,'Input_APM (Zenith)'!L:L,'Check (Zenith)'!B8,'Input_APM (Zenith)'!M:M,'Check (Zenith)'!$D$1)))</f>
        <v>0</v>
      </c>
      <c r="E8" s="174">
        <f t="shared" si="0"/>
        <v>0</v>
      </c>
    </row>
    <row r="9" spans="2:5">
      <c r="B9" s="21" t="s">
        <v>258</v>
      </c>
      <c r="C9" s="174">
        <f>IF(B9="","",IF(OR(LEFT(B9,4)="Cash",LEFT(B9,4)="Prov"),0,SUMIFS('Input_APM (Zenith)'!N:N,'Input_APM (Zenith)'!L:L,'Check (Zenith)'!B9,'Input_APM (Zenith)'!M:M,'Check (Zenith)'!$C$1)))</f>
        <v>0</v>
      </c>
      <c r="D9" s="174">
        <f>IF(B9="","",IF(OR(LEFT(B9,4)="Cash",LEFT(B9,4)="Prov"),0,SUMIFS('Input_APM (Zenith)'!N:N,'Input_APM (Zenith)'!L:L,'Check (Zenith)'!B9,'Input_APM (Zenith)'!M:M,'Check (Zenith)'!$D$1)))</f>
        <v>0</v>
      </c>
      <c r="E9" s="174">
        <f t="shared" si="0"/>
        <v>0</v>
      </c>
    </row>
    <row r="10" spans="2:5">
      <c r="B10" s="21" t="s">
        <v>223</v>
      </c>
      <c r="C10" s="174">
        <f>IF(B10="","",IF(OR(LEFT(B10,4)="Cash",LEFT(B10,4)="Prov"),0,SUMIFS('Input_APM (Zenith)'!N:N,'Input_APM (Zenith)'!L:L,'Check (Zenith)'!B10,'Input_APM (Zenith)'!M:M,'Check (Zenith)'!$C$1)))</f>
        <v>0</v>
      </c>
      <c r="D10" s="174">
        <f>IF(B10="","",IF(OR(LEFT(B10,4)="Cash",LEFT(B10,4)="Prov"),0,SUMIFS('Input_APM (Zenith)'!N:N,'Input_APM (Zenith)'!L:L,'Check (Zenith)'!B10,'Input_APM (Zenith)'!M:M,'Check (Zenith)'!$D$1)))</f>
        <v>0</v>
      </c>
      <c r="E10" s="174">
        <f t="shared" si="0"/>
        <v>0</v>
      </c>
    </row>
    <row r="11" spans="2:5">
      <c r="B11" s="21" t="s">
        <v>224</v>
      </c>
      <c r="C11" s="174">
        <f>IF(B11="","",IF(OR(LEFT(B11,4)="Cash",LEFT(B11,4)="Prov"),0,SUMIFS('Input_APM (Zenith)'!N:N,'Input_APM (Zenith)'!L:L,'Check (Zenith)'!B11,'Input_APM (Zenith)'!M:M,'Check (Zenith)'!$C$1)))</f>
        <v>0</v>
      </c>
      <c r="D11" s="174">
        <f>IF(B11="","",IF(OR(LEFT(B11,4)="Cash",LEFT(B11,4)="Prov"),0,SUMIFS('Input_APM (Zenith)'!N:N,'Input_APM (Zenith)'!L:L,'Check (Zenith)'!B11,'Input_APM (Zenith)'!M:M,'Check (Zenith)'!$D$1)))</f>
        <v>0</v>
      </c>
      <c r="E11" s="174">
        <f t="shared" si="0"/>
        <v>0</v>
      </c>
    </row>
    <row r="12" spans="2:5">
      <c r="B12" s="21" t="s">
        <v>225</v>
      </c>
      <c r="C12" s="174">
        <f>IF(B12="","",IF(OR(LEFT(B12,4)="Cash",LEFT(B12,4)="Prov"),0,SUMIFS('Input_APM (Zenith)'!N:N,'Input_APM (Zenith)'!L:L,'Check (Zenith)'!B12,'Input_APM (Zenith)'!M:M,'Check (Zenith)'!$C$1)))</f>
        <v>0</v>
      </c>
      <c r="D12" s="174">
        <f>IF(B12="","",IF(OR(LEFT(B12,4)="Cash",LEFT(B12,4)="Prov"),0,SUMIFS('Input_APM (Zenith)'!N:N,'Input_APM (Zenith)'!L:L,'Check (Zenith)'!B12,'Input_APM (Zenith)'!M:M,'Check (Zenith)'!$D$1)))</f>
        <v>0</v>
      </c>
      <c r="E12" s="174">
        <f t="shared" si="0"/>
        <v>0</v>
      </c>
    </row>
    <row r="13" spans="2:5">
      <c r="B13" s="21" t="s">
        <v>226</v>
      </c>
      <c r="C13" s="174">
        <f>IF(B13="","",IF(OR(LEFT(B13,4)="Cash",LEFT(B13,4)="Prov"),0,SUMIFS('Input_APM (Zenith)'!N:N,'Input_APM (Zenith)'!L:L,'Check (Zenith)'!B13,'Input_APM (Zenith)'!M:M,'Check (Zenith)'!$C$1)))</f>
        <v>0</v>
      </c>
      <c r="D13" s="174">
        <f>IF(B13="","",IF(OR(LEFT(B13,4)="Cash",LEFT(B13,4)="Prov"),0,SUMIFS('Input_APM (Zenith)'!N:N,'Input_APM (Zenith)'!L:L,'Check (Zenith)'!B13,'Input_APM (Zenith)'!M:M,'Check (Zenith)'!$D$1)))</f>
        <v>0</v>
      </c>
      <c r="E13" s="174">
        <f t="shared" si="0"/>
        <v>0</v>
      </c>
    </row>
    <row r="14" spans="2:5">
      <c r="B14" s="21" t="s">
        <v>227</v>
      </c>
      <c r="C14" s="174">
        <f>IF(B14="","",IF(OR(LEFT(B14,4)="Cash",LEFT(B14,4)="Prov"),0,SUMIFS('Input_APM (Zenith)'!N:N,'Input_APM (Zenith)'!L:L,'Check (Zenith)'!B14,'Input_APM (Zenith)'!M:M,'Check (Zenith)'!$C$1)))</f>
        <v>0</v>
      </c>
      <c r="D14" s="174">
        <f>IF(B14="","",IF(OR(LEFT(B14,4)="Cash",LEFT(B14,4)="Prov"),0,SUMIFS('Input_APM (Zenith)'!N:N,'Input_APM (Zenith)'!L:L,'Check (Zenith)'!B14,'Input_APM (Zenith)'!M:M,'Check (Zenith)'!$D$1)))</f>
        <v>0</v>
      </c>
      <c r="E14" s="174">
        <f t="shared" si="0"/>
        <v>0</v>
      </c>
    </row>
    <row r="15" spans="2:5">
      <c r="B15" s="21" t="s">
        <v>228</v>
      </c>
      <c r="C15" s="174">
        <f>IF(B15="","",IF(OR(LEFT(B15,4)="Cash",LEFT(B15,4)="Prov"),0,SUMIFS('Input_APM (Zenith)'!N:N,'Input_APM (Zenith)'!L:L,'Check (Zenith)'!B15,'Input_APM (Zenith)'!M:M,'Check (Zenith)'!$C$1)))</f>
        <v>0</v>
      </c>
      <c r="D15" s="174">
        <f>IF(B15="","",IF(OR(LEFT(B15,4)="Cash",LEFT(B15,4)="Prov"),0,SUMIFS('Input_APM (Zenith)'!N:N,'Input_APM (Zenith)'!L:L,'Check (Zenith)'!B15,'Input_APM (Zenith)'!M:M,'Check (Zenith)'!$D$1)))</f>
        <v>0</v>
      </c>
      <c r="E15" s="174">
        <f t="shared" si="0"/>
        <v>0</v>
      </c>
    </row>
    <row r="16" spans="2:5">
      <c r="B16" s="21" t="s">
        <v>229</v>
      </c>
      <c r="C16" s="174">
        <f>IF(B16="","",IF(OR(LEFT(B16,4)="Cash",LEFT(B16,4)="Prov"),0,SUMIFS('Input_APM (Zenith)'!N:N,'Input_APM (Zenith)'!L:L,'Check (Zenith)'!B16,'Input_APM (Zenith)'!M:M,'Check (Zenith)'!$C$1)))</f>
        <v>0</v>
      </c>
      <c r="D16" s="174">
        <f>IF(B16="","",IF(OR(LEFT(B16,4)="Cash",LEFT(B16,4)="Prov"),0,SUMIFS('Input_APM (Zenith)'!N:N,'Input_APM (Zenith)'!L:L,'Check (Zenith)'!B16,'Input_APM (Zenith)'!M:M,'Check (Zenith)'!$D$1)))</f>
        <v>0</v>
      </c>
      <c r="E16" s="174">
        <f t="shared" si="0"/>
        <v>0</v>
      </c>
    </row>
    <row r="17" spans="2:5">
      <c r="B17" s="21" t="s">
        <v>230</v>
      </c>
      <c r="C17" s="174">
        <f>IF(B17="","",IF(OR(LEFT(B17,4)="Cash",LEFT(B17,4)="Prov"),0,SUMIFS('Input_APM (Zenith)'!N:N,'Input_APM (Zenith)'!L:L,'Check (Zenith)'!B17,'Input_APM (Zenith)'!M:M,'Check (Zenith)'!$C$1)))</f>
        <v>0</v>
      </c>
      <c r="D17" s="174">
        <f>IF(B17="","",IF(OR(LEFT(B17,4)="Cash",LEFT(B17,4)="Prov"),0,SUMIFS('Input_APM (Zenith)'!N:N,'Input_APM (Zenith)'!L:L,'Check (Zenith)'!B17,'Input_APM (Zenith)'!M:M,'Check (Zenith)'!$D$1)))</f>
        <v>0</v>
      </c>
      <c r="E17" s="174">
        <f t="shared" si="0"/>
        <v>0</v>
      </c>
    </row>
    <row r="18" spans="2:5">
      <c r="B18" t="s">
        <v>259</v>
      </c>
      <c r="C18" s="174">
        <f>IF(B18="","",IF(OR(LEFT(B18,4)="Cash",LEFT(B18,4)="Prov"),0,SUMIFS('Input_APM (Zenith)'!N:N,'Input_APM (Zenith)'!L:L,'Check (Zenith)'!B18,'Input_APM (Zenith)'!M:M,'Check (Zenith)'!$C$1)))</f>
        <v>0</v>
      </c>
      <c r="D18" s="174">
        <f>IF(B18="","",IF(OR(LEFT(B18,4)="Cash",LEFT(B18,4)="Prov"),0,SUMIFS('Input_APM (Zenith)'!N:N,'Input_APM (Zenith)'!L:L,'Check (Zenith)'!B18,'Input_APM (Zenith)'!M:M,'Check (Zenith)'!$D$1)))</f>
        <v>0</v>
      </c>
      <c r="E18" s="174">
        <f t="shared" si="0"/>
        <v>0</v>
      </c>
    </row>
    <row r="19" spans="2:5">
      <c r="B19" s="21" t="s">
        <v>260</v>
      </c>
      <c r="C19" s="174">
        <f>IF(B19="","",IF(OR(LEFT(B19,4)="Cash",LEFT(B19,4)="Prov"),0,SUMIFS('Input_APM (Zenith)'!N:N,'Input_APM (Zenith)'!L:L,'Check (Zenith)'!B19,'Input_APM (Zenith)'!M:M,'Check (Zenith)'!$C$1)))</f>
        <v>0</v>
      </c>
      <c r="D19" s="174">
        <f>IF(B19="","",IF(OR(LEFT(B19,4)="Cash",LEFT(B19,4)="Prov"),0,SUMIFS('Input_APM (Zenith)'!N:N,'Input_APM (Zenith)'!L:L,'Check (Zenith)'!B19,'Input_APM (Zenith)'!M:M,'Check (Zenith)'!$D$1)))</f>
        <v>0</v>
      </c>
      <c r="E19" s="174">
        <f t="shared" si="0"/>
        <v>0</v>
      </c>
    </row>
    <row r="20" spans="2:5">
      <c r="B20" s="21" t="s">
        <v>179</v>
      </c>
      <c r="C20" s="174">
        <f>IF(B20="","",IF(OR(LEFT(B20,4)="Cash",LEFT(B20,4)="Prov"),0,SUMIFS('Input_APM (Zenith)'!N:N,'Input_APM (Zenith)'!L:L,'Check (Zenith)'!B20,'Input_APM (Zenith)'!M:M,'Check (Zenith)'!$C$1)))</f>
        <v>0</v>
      </c>
      <c r="D20" s="174">
        <f>IF(B20="","",IF(OR(LEFT(B20,4)="Cash",LEFT(B20,4)="Prov"),0,SUMIFS('Input_APM (Zenith)'!N:N,'Input_APM (Zenith)'!L:L,'Check (Zenith)'!B20,'Input_APM (Zenith)'!M:M,'Check (Zenith)'!$D$1)))</f>
        <v>0</v>
      </c>
      <c r="E20" s="174">
        <f t="shared" si="0"/>
        <v>0</v>
      </c>
    </row>
    <row r="21" spans="2:5">
      <c r="B21" s="21" t="s">
        <v>180</v>
      </c>
      <c r="C21" s="174">
        <f>IF(B21="","",IF(OR(LEFT(B21,4)="Cash",LEFT(B21,4)="Prov"),0,SUMIFS('Input_APM (Zenith)'!N:N,'Input_APM (Zenith)'!L:L,'Check (Zenith)'!B21,'Input_APM (Zenith)'!M:M,'Check (Zenith)'!$C$1)))</f>
        <v>0</v>
      </c>
      <c r="D21" s="174">
        <f>IF(B21="","",IF(OR(LEFT(B21,4)="Cash",LEFT(B21,4)="Prov"),0,SUMIFS('Input_APM (Zenith)'!N:N,'Input_APM (Zenith)'!L:L,'Check (Zenith)'!B21,'Input_APM (Zenith)'!M:M,'Check (Zenith)'!$D$1)))</f>
        <v>0</v>
      </c>
      <c r="E21" s="174">
        <f t="shared" si="0"/>
        <v>0</v>
      </c>
    </row>
    <row r="22" spans="2:5">
      <c r="B22" t="s">
        <v>78</v>
      </c>
      <c r="C22" s="174">
        <f>IF(B22="","",IF(OR(LEFT(B22,4)="Cash",LEFT(B22,4)="Prov"),0,SUMIFS('Input_APM (Zenith)'!N:N,'Input_APM (Zenith)'!L:L,'Check (Zenith)'!B22,'Input_APM (Zenith)'!M:M,'Check (Zenith)'!$C$1)))</f>
        <v>0</v>
      </c>
      <c r="D22" s="174">
        <f>IF(B22="","",IF(OR(LEFT(B22,4)="Cash",LEFT(B22,4)="Prov"),0,SUMIFS('Input_APM (Zenith)'!N:N,'Input_APM (Zenith)'!L:L,'Check (Zenith)'!B22,'Input_APM (Zenith)'!M:M,'Check (Zenith)'!$D$1)))</f>
        <v>0</v>
      </c>
      <c r="E22" s="174">
        <f t="shared" si="0"/>
        <v>0</v>
      </c>
    </row>
    <row r="23" spans="2:5">
      <c r="B23" s="21" t="s">
        <v>183</v>
      </c>
      <c r="C23" s="174">
        <f>IF(B23="","",IF(OR(LEFT(B23,4)="Cash",LEFT(B23,4)="Prov"),0,SUMIFS('Input_APM (Zenith)'!N:N,'Input_APM (Zenith)'!L:L,'Check (Zenith)'!B23,'Input_APM (Zenith)'!M:M,'Check (Zenith)'!$C$1)))</f>
        <v>0</v>
      </c>
      <c r="D23" s="174">
        <f>IF(B23="","",IF(OR(LEFT(B23,4)="Cash",LEFT(B23,4)="Prov"),0,SUMIFS('Input_APM (Zenith)'!N:N,'Input_APM (Zenith)'!L:L,'Check (Zenith)'!B23,'Input_APM (Zenith)'!M:M,'Check (Zenith)'!$D$1)))</f>
        <v>0</v>
      </c>
      <c r="E23" s="174">
        <f t="shared" si="0"/>
        <v>0</v>
      </c>
    </row>
    <row r="24" spans="2:5">
      <c r="B24" s="21" t="s">
        <v>181</v>
      </c>
      <c r="C24" s="174">
        <f>IF(B24="","",IF(OR(LEFT(B24,4)="Cash",LEFT(B24,4)="Prov"),0,SUMIFS('Input_APM (Zenith)'!N:N,'Input_APM (Zenith)'!L:L,'Check (Zenith)'!B24,'Input_APM (Zenith)'!M:M,'Check (Zenith)'!$C$1)))</f>
        <v>0</v>
      </c>
      <c r="D24" s="174">
        <f>IF(B24="","",IF(OR(LEFT(B24,4)="Cash",LEFT(B24,4)="Prov"),0,SUMIFS('Input_APM (Zenith)'!N:N,'Input_APM (Zenith)'!L:L,'Check (Zenith)'!B24,'Input_APM (Zenith)'!M:M,'Check (Zenith)'!$D$1)))</f>
        <v>0</v>
      </c>
      <c r="E24" s="174">
        <f t="shared" si="0"/>
        <v>0</v>
      </c>
    </row>
    <row r="25" spans="2:5">
      <c r="B25" s="21" t="s">
        <v>184</v>
      </c>
      <c r="C25" s="174">
        <f>IF(B25="","",IF(OR(LEFT(B25,4)="Cash",LEFT(B25,4)="Prov"),0,SUMIFS('Input_APM (Zenith)'!N:N,'Input_APM (Zenith)'!L:L,'Check (Zenith)'!B25,'Input_APM (Zenith)'!M:M,'Check (Zenith)'!$C$1)))</f>
        <v>0</v>
      </c>
      <c r="D25" s="174">
        <f>IF(B25="","",IF(OR(LEFT(B25,4)="Cash",LEFT(B25,4)="Prov"),0,SUMIFS('Input_APM (Zenith)'!N:N,'Input_APM (Zenith)'!L:L,'Check (Zenith)'!B25,'Input_APM (Zenith)'!M:M,'Check (Zenith)'!$D$1)))</f>
        <v>0</v>
      </c>
      <c r="E25" s="174">
        <f t="shared" si="0"/>
        <v>0</v>
      </c>
    </row>
    <row r="26" spans="2:5">
      <c r="B26" t="s">
        <v>182</v>
      </c>
      <c r="C26" s="174">
        <f>IF(B26="","",IF(OR(LEFT(B26,4)="Cash",LEFT(B26,4)="Prov"),0,SUMIFS('Input_APM (Zenith)'!N:N,'Input_APM (Zenith)'!L:L,'Check (Zenith)'!B26,'Input_APM (Zenith)'!M:M,'Check (Zenith)'!$C$1)))</f>
        <v>0</v>
      </c>
      <c r="D26" s="174">
        <f>IF(B26="","",IF(OR(LEFT(B26,4)="Cash",LEFT(B26,4)="Prov"),0,SUMIFS('Input_APM (Zenith)'!N:N,'Input_APM (Zenith)'!L:L,'Check (Zenith)'!B26,'Input_APM (Zenith)'!M:M,'Check (Zenith)'!$D$1)))</f>
        <v>0</v>
      </c>
      <c r="E26" s="174">
        <f t="shared" si="0"/>
        <v>0</v>
      </c>
    </row>
    <row r="27" spans="2:5">
      <c r="B27" s="21" t="s">
        <v>185</v>
      </c>
      <c r="C27" s="174">
        <f>IF(B27="","",IF(OR(LEFT(B27,4)="Cash",LEFT(B27,4)="Prov"),0,SUMIFS('Input_APM (Zenith)'!N:N,'Input_APM (Zenith)'!L:L,'Check (Zenith)'!B27,'Input_APM (Zenith)'!M:M,'Check (Zenith)'!$C$1)))</f>
        <v>0</v>
      </c>
      <c r="D27" s="174">
        <f>IF(B27="","",IF(OR(LEFT(B27,4)="Cash",LEFT(B27,4)="Prov"),0,SUMIFS('Input_APM (Zenith)'!N:N,'Input_APM (Zenith)'!L:L,'Check (Zenith)'!B27,'Input_APM (Zenith)'!M:M,'Check (Zenith)'!$D$1)))</f>
        <v>0</v>
      </c>
      <c r="E27" s="174">
        <f t="shared" si="0"/>
        <v>0</v>
      </c>
    </row>
    <row r="28" spans="2:5">
      <c r="B28" s="21" t="s">
        <v>186</v>
      </c>
      <c r="C28" s="174">
        <f>IF(B28="","",IF(OR(LEFT(B28,4)="Cash",LEFT(B28,4)="Prov"),0,SUMIFS('Input_APM (Zenith)'!N:N,'Input_APM (Zenith)'!L:L,'Check (Zenith)'!B28,'Input_APM (Zenith)'!M:M,'Check (Zenith)'!$C$1)))</f>
        <v>0</v>
      </c>
      <c r="D28" s="174">
        <f>IF(B28="","",IF(OR(LEFT(B28,4)="Cash",LEFT(B28,4)="Prov"),0,SUMIFS('Input_APM (Zenith)'!N:N,'Input_APM (Zenith)'!L:L,'Check (Zenith)'!B28,'Input_APM (Zenith)'!M:M,'Check (Zenith)'!$D$1)))</f>
        <v>0</v>
      </c>
      <c r="E28" s="174">
        <f t="shared" si="0"/>
        <v>0</v>
      </c>
    </row>
    <row r="29" spans="2:5">
      <c r="B29" t="s">
        <v>232</v>
      </c>
      <c r="C29" s="174">
        <f>IF(B29="","",IF(OR(LEFT(B29,4)="Cash",LEFT(B29,4)="Prov"),0,SUMIFS('Input_APM (Zenith)'!N:N,'Input_APM (Zenith)'!L:L,'Check (Zenith)'!B29,'Input_APM (Zenith)'!M:M,'Check (Zenith)'!$C$1)))</f>
        <v>0</v>
      </c>
      <c r="D29" s="174">
        <f>IF(B29="","",IF(OR(LEFT(B29,4)="Cash",LEFT(B29,4)="Prov"),0,SUMIFS('Input_APM (Zenith)'!N:N,'Input_APM (Zenith)'!L:L,'Check (Zenith)'!B29,'Input_APM (Zenith)'!M:M,'Check (Zenith)'!$D$1)))</f>
        <v>0</v>
      </c>
      <c r="E29" s="174">
        <f t="shared" si="0"/>
        <v>0</v>
      </c>
    </row>
    <row r="30" spans="2:5">
      <c r="B30" t="s">
        <v>261</v>
      </c>
      <c r="C30" s="174">
        <f>IF(B30="","",IF(OR(LEFT(B30,4)="Cash",LEFT(B30,4)="Prov"),0,SUMIFS('Input_APM (Zenith)'!N:N,'Input_APM (Zenith)'!L:L,'Check (Zenith)'!B30,'Input_APM (Zenith)'!M:M,'Check (Zenith)'!$C$1)))</f>
        <v>0</v>
      </c>
      <c r="D30" s="174">
        <f>IF(B30="","",IF(OR(LEFT(B30,4)="Cash",LEFT(B30,4)="Prov"),0,SUMIFS('Input_APM (Zenith)'!N:N,'Input_APM (Zenith)'!L:L,'Check (Zenith)'!B30,'Input_APM (Zenith)'!M:M,'Check (Zenith)'!$D$1)))</f>
        <v>0</v>
      </c>
      <c r="E30" s="174">
        <f t="shared" si="0"/>
        <v>0</v>
      </c>
    </row>
    <row r="31" spans="2:5">
      <c r="B31" t="s">
        <v>139</v>
      </c>
      <c r="C31" s="174">
        <f>IF(B31="","",IF(OR(LEFT(B31,4)="Cash",LEFT(B31,4)="Prov"),0,SUMIFS('Input_APM (Zenith)'!N:N,'Input_APM (Zenith)'!L:L,'Check (Zenith)'!B31,'Input_APM (Zenith)'!M:M,'Check (Zenith)'!$C$1)))</f>
        <v>0</v>
      </c>
      <c r="D31" s="174">
        <f>IF(B31="","",IF(OR(LEFT(B31,4)="Cash",LEFT(B31,4)="Prov"),0,SUMIFS('Input_APM (Zenith)'!N:N,'Input_APM (Zenith)'!L:L,'Check (Zenith)'!B31,'Input_APM (Zenith)'!M:M,'Check (Zenith)'!$D$1)))</f>
        <v>0</v>
      </c>
      <c r="E31" s="174">
        <f t="shared" si="0"/>
        <v>0</v>
      </c>
    </row>
    <row r="32" spans="2:5">
      <c r="B32" t="s">
        <v>178</v>
      </c>
      <c r="C32" s="174">
        <f>IF(B32="","",IF(OR(LEFT(B32,4)="Cash",LEFT(B32,4)="Prov"),0,SUMIFS('Input_APM (Zenith)'!N:N,'Input_APM (Zenith)'!L:L,'Check (Zenith)'!B32,'Input_APM (Zenith)'!M:M,'Check (Zenith)'!$C$1)))</f>
        <v>0</v>
      </c>
      <c r="D32" s="174">
        <f>IF(B32="","",IF(OR(LEFT(B32,4)="Cash",LEFT(B32,4)="Prov"),0,SUMIFS('Input_APM (Zenith)'!N:N,'Input_APM (Zenith)'!L:L,'Check (Zenith)'!B32,'Input_APM (Zenith)'!M:M,'Check (Zenith)'!$D$1)))</f>
        <v>0</v>
      </c>
      <c r="E32" s="174">
        <f t="shared" si="0"/>
        <v>0</v>
      </c>
    </row>
    <row r="33" spans="2:5">
      <c r="B33" t="s">
        <v>34</v>
      </c>
      <c r="C33" s="174">
        <f>IF(B33="","",IF(OR(LEFT(B33,4)="Cash",LEFT(B33,4)="Prov"),0,SUMIFS('Input_APM (Zenith)'!N:N,'Input_APM (Zenith)'!L:L,'Check (Zenith)'!B33,'Input_APM (Zenith)'!M:M,'Check (Zenith)'!$C$1)))</f>
        <v>0</v>
      </c>
      <c r="D33" s="174">
        <f>IF(B33="","",IF(OR(LEFT(B33,4)="Cash",LEFT(B33,4)="Prov"),0,SUMIFS('Input_APM (Zenith)'!N:N,'Input_APM (Zenith)'!L:L,'Check (Zenith)'!B33,'Input_APM (Zenith)'!M:M,'Check (Zenith)'!$D$1)))</f>
        <v>0</v>
      </c>
      <c r="E33" s="174">
        <f t="shared" si="0"/>
        <v>0</v>
      </c>
    </row>
    <row r="34" spans="2:5">
      <c r="B34" t="s">
        <v>29</v>
      </c>
      <c r="C34" s="174">
        <f>IF(B34="","",IF(OR(LEFT(B34,4)="Cash",LEFT(B34,4)="Prov"),0,SUMIFS('Input_APM (Zenith)'!N:N,'Input_APM (Zenith)'!L:L,'Check (Zenith)'!B34,'Input_APM (Zenith)'!M:M,'Check (Zenith)'!$C$1)))</f>
        <v>0</v>
      </c>
      <c r="D34" s="174">
        <f>IF(B34="","",IF(OR(LEFT(B34,4)="Cash",LEFT(B34,4)="Prov"),0,SUMIFS('Input_APM (Zenith)'!N:N,'Input_APM (Zenith)'!L:L,'Check (Zenith)'!B34,'Input_APM (Zenith)'!M:M,'Check (Zenith)'!$D$1)))</f>
        <v>0</v>
      </c>
      <c r="E34" s="174">
        <f t="shared" si="0"/>
        <v>0</v>
      </c>
    </row>
    <row r="35" spans="2:5">
      <c r="B35" t="s">
        <v>206</v>
      </c>
      <c r="C35" s="174">
        <f>IF(B35="","",IF(OR(LEFT(B35,4)="Cash",LEFT(B35,4)="Prov"),0,SUMIFS('Input_APM (Zenith)'!N:N,'Input_APM (Zenith)'!L:L,'Check (Zenith)'!B35,'Input_APM (Zenith)'!M:M,'Check (Zenith)'!$C$1)))</f>
        <v>0</v>
      </c>
      <c r="D35" s="174">
        <f>IF(B35="","",IF(OR(LEFT(B35,4)="Cash",LEFT(B35,4)="Prov"),0,SUMIFS('Input_APM (Zenith)'!N:N,'Input_APM (Zenith)'!L:L,'Check (Zenith)'!B35,'Input_APM (Zenith)'!M:M,'Check (Zenith)'!$D$1)))</f>
        <v>0</v>
      </c>
      <c r="E35" s="174">
        <f t="shared" si="0"/>
        <v>0</v>
      </c>
    </row>
    <row r="36" spans="2:5">
      <c r="B36" t="s">
        <v>207</v>
      </c>
      <c r="C36" s="174">
        <f>IF(B36="","",IF(OR(LEFT(B36,4)="Cash",LEFT(B36,4)="Prov"),0,SUMIFS('Input_APM (Zenith)'!N:N,'Input_APM (Zenith)'!L:L,'Check (Zenith)'!B36,'Input_APM (Zenith)'!M:M,'Check (Zenith)'!$C$1)))</f>
        <v>0</v>
      </c>
      <c r="D36" s="174">
        <f>IF(B36="","",IF(OR(LEFT(B36,4)="Cash",LEFT(B36,4)="Prov"),0,SUMIFS('Input_APM (Zenith)'!N:N,'Input_APM (Zenith)'!L:L,'Check (Zenith)'!B36,'Input_APM (Zenith)'!M:M,'Check (Zenith)'!$D$1)))</f>
        <v>0</v>
      </c>
      <c r="E36" s="174">
        <f t="shared" si="0"/>
        <v>0</v>
      </c>
    </row>
    <row r="37" spans="2:5">
      <c r="B37" t="s">
        <v>208</v>
      </c>
      <c r="C37" s="174">
        <f>IF(B37="","",IF(OR(LEFT(B37,4)="Cash",LEFT(B37,4)="Prov"),0,SUMIFS('Input_APM (Zenith)'!N:N,'Input_APM (Zenith)'!L:L,'Check (Zenith)'!B37,'Input_APM (Zenith)'!M:M,'Check (Zenith)'!$C$1)))</f>
        <v>0</v>
      </c>
      <c r="D37" s="174">
        <f>IF(B37="","",IF(OR(LEFT(B37,4)="Cash",LEFT(B37,4)="Prov"),0,SUMIFS('Input_APM (Zenith)'!N:N,'Input_APM (Zenith)'!L:L,'Check (Zenith)'!B37,'Input_APM (Zenith)'!M:M,'Check (Zenith)'!$D$1)))</f>
        <v>0</v>
      </c>
      <c r="E37" s="174">
        <f t="shared" si="0"/>
        <v>0</v>
      </c>
    </row>
    <row r="38" spans="2:5">
      <c r="B38" t="s">
        <v>209</v>
      </c>
      <c r="C38" s="174">
        <f>IF(B38="","",IF(OR(LEFT(B38,4)="Cash",LEFT(B38,4)="Prov"),0,SUMIFS('Input_APM (Zenith)'!N:N,'Input_APM (Zenith)'!L:L,'Check (Zenith)'!B38,'Input_APM (Zenith)'!M:M,'Check (Zenith)'!$C$1)))</f>
        <v>0</v>
      </c>
      <c r="D38" s="174">
        <f>IF(B38="","",IF(OR(LEFT(B38,4)="Cash",LEFT(B38,4)="Prov"),0,SUMIFS('Input_APM (Zenith)'!N:N,'Input_APM (Zenith)'!L:L,'Check (Zenith)'!B38,'Input_APM (Zenith)'!M:M,'Check (Zenith)'!$D$1)))</f>
        <v>0</v>
      </c>
      <c r="E38" s="174">
        <f t="shared" si="0"/>
        <v>0</v>
      </c>
    </row>
    <row r="39" spans="2:5">
      <c r="B39" t="s">
        <v>38</v>
      </c>
      <c r="C39" s="174">
        <f>IF(B39="","",IF(OR(LEFT(B39,4)="Cash",LEFT(B39,4)="Prov"),0,SUMIFS('Input_APM (Zenith)'!N:N,'Input_APM (Zenith)'!L:L,'Check (Zenith)'!B39,'Input_APM (Zenith)'!M:M,'Check (Zenith)'!$C$1)))</f>
        <v>0</v>
      </c>
      <c r="D39" s="174">
        <f>IF(B39="","",IF(OR(LEFT(B39,4)="Cash",LEFT(B39,4)="Prov"),0,SUMIFS('Input_APM (Zenith)'!N:N,'Input_APM (Zenith)'!L:L,'Check (Zenith)'!B39,'Input_APM (Zenith)'!M:M,'Check (Zenith)'!$D$1)))</f>
        <v>0</v>
      </c>
      <c r="E39" s="174">
        <f t="shared" si="0"/>
        <v>0</v>
      </c>
    </row>
    <row r="40" spans="2:5">
      <c r="B40" t="s">
        <v>79</v>
      </c>
      <c r="C40" s="174">
        <f>IF(B40="","",IF(OR(LEFT(B40,4)="Cash",LEFT(B40,4)="Prov"),0,SUMIFS('Input_APM (Zenith)'!N:N,'Input_APM (Zenith)'!L:L,'Check (Zenith)'!B40,'Input_APM (Zenith)'!M:M,'Check (Zenith)'!$C$1)))</f>
        <v>0</v>
      </c>
      <c r="D40" s="174">
        <f>IF(B40="","",IF(OR(LEFT(B40,4)="Cash",LEFT(B40,4)="Prov"),0,SUMIFS('Input_APM (Zenith)'!N:N,'Input_APM (Zenith)'!L:L,'Check (Zenith)'!B40,'Input_APM (Zenith)'!M:M,'Check (Zenith)'!$D$1)))</f>
        <v>0</v>
      </c>
      <c r="E40" s="174">
        <f t="shared" si="0"/>
        <v>0</v>
      </c>
    </row>
    <row r="41" spans="2:5">
      <c r="B41" t="s">
        <v>233</v>
      </c>
      <c r="C41" s="174">
        <f>IF(B41="","",IF(OR(LEFT(B41,4)="Cash",LEFT(B41,4)="Prov"),0,SUMIFS('Input_APM (Zenith)'!N:N,'Input_APM (Zenith)'!L:L,'Check (Zenith)'!B41,'Input_APM (Zenith)'!M:M,'Check (Zenith)'!$C$1)))</f>
        <v>0</v>
      </c>
      <c r="D41" s="174">
        <f>IF(B41="","",IF(OR(LEFT(B41,4)="Cash",LEFT(B41,4)="Prov"),0,SUMIFS('Input_APM (Zenith)'!N:N,'Input_APM (Zenith)'!L:L,'Check (Zenith)'!B41,'Input_APM (Zenith)'!M:M,'Check (Zenith)'!$D$1)))</f>
        <v>0</v>
      </c>
      <c r="E41" s="174">
        <f t="shared" si="0"/>
        <v>0</v>
      </c>
    </row>
    <row r="42" spans="2:5">
      <c r="B42" t="s">
        <v>262</v>
      </c>
      <c r="C42" s="174">
        <f>IF(B42="","",IF(OR(LEFT(B42,4)="Cash",LEFT(B42,4)="Prov"),0,SUMIFS('Input_APM (Zenith)'!N:N,'Input_APM (Zenith)'!L:L,'Check (Zenith)'!B42,'Input_APM (Zenith)'!M:M,'Check (Zenith)'!$C$1)))</f>
        <v>0</v>
      </c>
      <c r="D42" s="174">
        <f>IF(B42="","",IF(OR(LEFT(B42,4)="Cash",LEFT(B42,4)="Prov"),0,SUMIFS('Input_APM (Zenith)'!N:N,'Input_APM (Zenith)'!L:L,'Check (Zenith)'!B42,'Input_APM (Zenith)'!M:M,'Check (Zenith)'!$D$1)))</f>
        <v>0</v>
      </c>
      <c r="E42" s="174">
        <f t="shared" si="0"/>
        <v>0</v>
      </c>
    </row>
    <row r="43" spans="2:5">
      <c r="B43" t="s">
        <v>234</v>
      </c>
      <c r="C43" s="174">
        <f>IF(B43="","",IF(OR(LEFT(B43,4)="Cash",LEFT(B43,4)="Prov"),0,SUMIFS('Input_APM (Zenith)'!N:N,'Input_APM (Zenith)'!L:L,'Check (Zenith)'!B43,'Input_APM (Zenith)'!M:M,'Check (Zenith)'!$C$1)))</f>
        <v>0</v>
      </c>
      <c r="D43" s="174">
        <f>IF(B43="","",IF(OR(LEFT(B43,4)="Cash",LEFT(B43,4)="Prov"),0,SUMIFS('Input_APM (Zenith)'!N:N,'Input_APM (Zenith)'!L:L,'Check (Zenith)'!B43,'Input_APM (Zenith)'!M:M,'Check (Zenith)'!$D$1)))</f>
        <v>0</v>
      </c>
      <c r="E43" s="174">
        <f t="shared" si="0"/>
        <v>0</v>
      </c>
    </row>
    <row r="44" spans="2:5">
      <c r="B44" t="s">
        <v>263</v>
      </c>
      <c r="C44" s="174">
        <f>IF(B44="","",IF(OR(LEFT(B44,4)="Cash",LEFT(B44,4)="Prov"),0,SUMIFS('Input_APM (Zenith)'!N:N,'Input_APM (Zenith)'!L:L,'Check (Zenith)'!B44,'Input_APM (Zenith)'!M:M,'Check (Zenith)'!$C$1)))</f>
        <v>0</v>
      </c>
      <c r="D44" s="174">
        <f>IF(B44="","",IF(OR(LEFT(B44,4)="Cash",LEFT(B44,4)="Prov"),0,SUMIFS('Input_APM (Zenith)'!N:N,'Input_APM (Zenith)'!L:L,'Check (Zenith)'!B44,'Input_APM (Zenith)'!M:M,'Check (Zenith)'!$D$1)))</f>
        <v>0</v>
      </c>
      <c r="E44" s="174">
        <f t="shared" si="0"/>
        <v>0</v>
      </c>
    </row>
    <row r="45" spans="2:5">
      <c r="B45" t="s">
        <v>235</v>
      </c>
      <c r="C45" s="174">
        <f>IF(B45="","",IF(OR(LEFT(B45,4)="Cash",LEFT(B45,4)="Prov"),0,SUMIFS('Input_APM (Zenith)'!N:N,'Input_APM (Zenith)'!L:L,'Check (Zenith)'!B45,'Input_APM (Zenith)'!M:M,'Check (Zenith)'!$C$1)))</f>
        <v>0</v>
      </c>
      <c r="D45" s="174">
        <f>IF(B45="","",IF(OR(LEFT(B45,4)="Cash",LEFT(B45,4)="Prov"),0,SUMIFS('Input_APM (Zenith)'!N:N,'Input_APM (Zenith)'!L:L,'Check (Zenith)'!B45,'Input_APM (Zenith)'!M:M,'Check (Zenith)'!$D$1)))</f>
        <v>0</v>
      </c>
      <c r="E45" s="174">
        <f t="shared" si="0"/>
        <v>0</v>
      </c>
    </row>
    <row r="46" spans="2:5">
      <c r="B46" t="s">
        <v>82</v>
      </c>
      <c r="C46" s="174">
        <f>IF(B46="","",IF(OR(LEFT(B46,4)="Cash",LEFT(B46,4)="Prov"),0,SUMIFS('Input_APM (Zenith)'!N:N,'Input_APM (Zenith)'!L:L,'Check (Zenith)'!B46,'Input_APM (Zenith)'!M:M,'Check (Zenith)'!$C$1)))</f>
        <v>0</v>
      </c>
      <c r="D46" s="174">
        <f>IF(B46="","",IF(OR(LEFT(B46,4)="Cash",LEFT(B46,4)="Prov"),0,SUMIFS('Input_APM (Zenith)'!N:N,'Input_APM (Zenith)'!L:L,'Check (Zenith)'!B46,'Input_APM (Zenith)'!M:M,'Check (Zenith)'!$D$1)))</f>
        <v>0</v>
      </c>
      <c r="E46" s="174">
        <f t="shared" si="0"/>
        <v>0</v>
      </c>
    </row>
    <row r="47" spans="2:5">
      <c r="B47" t="s">
        <v>264</v>
      </c>
      <c r="C47" s="174">
        <f>IF(B47="","",IF(OR(LEFT(B47,4)="Cash",LEFT(B47,4)="Prov"),0,SUMIFS('Input_APM (Zenith)'!N:N,'Input_APM (Zenith)'!L:L,'Check (Zenith)'!B47,'Input_APM (Zenith)'!M:M,'Check (Zenith)'!$C$1)))</f>
        <v>0</v>
      </c>
      <c r="D47" s="174">
        <f>IF(B47="","",IF(OR(LEFT(B47,4)="Cash",LEFT(B47,4)="Prov"),0,SUMIFS('Input_APM (Zenith)'!N:N,'Input_APM (Zenith)'!L:L,'Check (Zenith)'!B47,'Input_APM (Zenith)'!M:M,'Check (Zenith)'!$D$1)))</f>
        <v>0</v>
      </c>
      <c r="E47" s="174">
        <f t="shared" si="0"/>
        <v>0</v>
      </c>
    </row>
    <row r="48" spans="2:5">
      <c r="B48" t="s">
        <v>3</v>
      </c>
      <c r="C48" s="174">
        <f>IF(B48="","",IF(OR(LEFT(B48,4)="Cash",LEFT(B48,4)="Prov"),0,SUMIFS('Input_APM (Zenith)'!N:N,'Input_APM (Zenith)'!L:L,'Check (Zenith)'!B48,'Input_APM (Zenith)'!M:M,'Check (Zenith)'!$C$1)))</f>
        <v>0</v>
      </c>
      <c r="D48" s="174">
        <f>IF(B48="","",IF(OR(LEFT(B48,4)="Cash",LEFT(B48,4)="Prov"),0,SUMIFS('Input_APM (Zenith)'!N:N,'Input_APM (Zenith)'!L:L,'Check (Zenith)'!B48,'Input_APM (Zenith)'!M:M,'Check (Zenith)'!$D$1)))</f>
        <v>0</v>
      </c>
      <c r="E48" s="174">
        <f t="shared" si="0"/>
        <v>0</v>
      </c>
    </row>
    <row r="49" spans="2:5">
      <c r="B49" t="s">
        <v>236</v>
      </c>
      <c r="C49" s="174">
        <f>IF(B49="","",IF(OR(LEFT(B49,4)="Cash",LEFT(B49,4)="Prov"),0,SUMIFS('Input_APM (Zenith)'!N:N,'Input_APM (Zenith)'!L:L,'Check (Zenith)'!B49,'Input_APM (Zenith)'!M:M,'Check (Zenith)'!$C$1)))</f>
        <v>0</v>
      </c>
      <c r="D49" s="174">
        <f>IF(B49="","",IF(OR(LEFT(B49,4)="Cash",LEFT(B49,4)="Prov"),0,SUMIFS('Input_APM (Zenith)'!N:N,'Input_APM (Zenith)'!L:L,'Check (Zenith)'!B49,'Input_APM (Zenith)'!M:M,'Check (Zenith)'!$D$1)))</f>
        <v>0</v>
      </c>
      <c r="E49" s="174">
        <f t="shared" si="0"/>
        <v>0</v>
      </c>
    </row>
    <row r="50" spans="2:5">
      <c r="B50" t="s">
        <v>43</v>
      </c>
      <c r="C50" s="174">
        <f>IF(B50="","",IF(OR(LEFT(B50,4)="Cash",LEFT(B50,4)="Prov"),0,SUMIFS('Input_APM (Zenith)'!N:N,'Input_APM (Zenith)'!L:L,'Check (Zenith)'!B50,'Input_APM (Zenith)'!M:M,'Check (Zenith)'!$C$1)))</f>
        <v>0</v>
      </c>
      <c r="D50" s="174">
        <f>IF(B50="","",IF(OR(LEFT(B50,4)="Cash",LEFT(B50,4)="Prov"),0,SUMIFS('Input_APM (Zenith)'!N:N,'Input_APM (Zenith)'!L:L,'Check (Zenith)'!B50,'Input_APM (Zenith)'!M:M,'Check (Zenith)'!$D$1)))</f>
        <v>0</v>
      </c>
      <c r="E50" s="174">
        <f t="shared" si="0"/>
        <v>0</v>
      </c>
    </row>
    <row r="51" spans="2:5">
      <c r="B51" t="s">
        <v>237</v>
      </c>
      <c r="C51" s="174">
        <f>IF(B51="","",IF(OR(LEFT(B51,4)="Cash",LEFT(B51,4)="Prov"),0,SUMIFS('Input_APM (Zenith)'!N:N,'Input_APM (Zenith)'!L:L,'Check (Zenith)'!B51,'Input_APM (Zenith)'!M:M,'Check (Zenith)'!$C$1)))</f>
        <v>0</v>
      </c>
      <c r="D51" s="174">
        <f>IF(B51="","",IF(OR(LEFT(B51,4)="Cash",LEFT(B51,4)="Prov"),0,SUMIFS('Input_APM (Zenith)'!N:N,'Input_APM (Zenith)'!L:L,'Check (Zenith)'!B51,'Input_APM (Zenith)'!M:M,'Check (Zenith)'!$D$1)))</f>
        <v>0</v>
      </c>
      <c r="E51" s="174">
        <f t="shared" si="0"/>
        <v>0</v>
      </c>
    </row>
    <row r="52" spans="2:5">
      <c r="B52" t="s">
        <v>238</v>
      </c>
      <c r="C52" s="174">
        <f>IF(B52="","",IF(OR(LEFT(B52,4)="Cash",LEFT(B52,4)="Prov"),0,SUMIFS('Input_APM (Zenith)'!N:N,'Input_APM (Zenith)'!L:L,'Check (Zenith)'!B52,'Input_APM (Zenith)'!M:M,'Check (Zenith)'!$C$1)))</f>
        <v>0</v>
      </c>
      <c r="D52" s="174">
        <f>IF(B52="","",IF(OR(LEFT(B52,4)="Cash",LEFT(B52,4)="Prov"),0,SUMIFS('Input_APM (Zenith)'!N:N,'Input_APM (Zenith)'!L:L,'Check (Zenith)'!B52,'Input_APM (Zenith)'!M:M,'Check (Zenith)'!$D$1)))</f>
        <v>0</v>
      </c>
      <c r="E52" s="174">
        <f t="shared" si="0"/>
        <v>0</v>
      </c>
    </row>
    <row r="53" spans="2:5">
      <c r="B53" t="s">
        <v>44</v>
      </c>
      <c r="C53" s="174">
        <f>IF(B53="","",IF(OR(LEFT(B53,4)="Cash",LEFT(B53,4)="Prov"),0,SUMIFS('Input_APM (Zenith)'!N:N,'Input_APM (Zenith)'!L:L,'Check (Zenith)'!B53,'Input_APM (Zenith)'!M:M,'Check (Zenith)'!$C$1)))</f>
        <v>0</v>
      </c>
      <c r="D53" s="174">
        <f>IF(B53="","",IF(OR(LEFT(B53,4)="Cash",LEFT(B53,4)="Prov"),0,SUMIFS('Input_APM (Zenith)'!N:N,'Input_APM (Zenith)'!L:L,'Check (Zenith)'!B53,'Input_APM (Zenith)'!M:M,'Check (Zenith)'!$D$1)))</f>
        <v>0</v>
      </c>
      <c r="E53" s="174">
        <f t="shared" si="0"/>
        <v>0</v>
      </c>
    </row>
    <row r="54" spans="2:5">
      <c r="B54" t="s">
        <v>35</v>
      </c>
      <c r="C54" s="174">
        <f>IF(B54="","",IF(OR(LEFT(B54,4)="Cash",LEFT(B54,4)="Prov"),0,SUMIFS('Input_APM (Zenith)'!N:N,'Input_APM (Zenith)'!L:L,'Check (Zenith)'!B54,'Input_APM (Zenith)'!M:M,'Check (Zenith)'!$C$1)))</f>
        <v>0</v>
      </c>
      <c r="D54" s="174">
        <f>IF(B54="","",IF(OR(LEFT(B54,4)="Cash",LEFT(B54,4)="Prov"),0,SUMIFS('Input_APM (Zenith)'!N:N,'Input_APM (Zenith)'!L:L,'Check (Zenith)'!B54,'Input_APM (Zenith)'!M:M,'Check (Zenith)'!$D$1)))</f>
        <v>0</v>
      </c>
      <c r="E54" s="174">
        <f t="shared" si="0"/>
        <v>0</v>
      </c>
    </row>
    <row r="55" spans="2:5">
      <c r="B55" t="s">
        <v>239</v>
      </c>
      <c r="C55" s="174" t="str">
        <f>IF(B55="","",IF(OR(LEFT(B55,4)="Cash",LEFT(B55,4)="Prov"),0,SUMIFS('Input_APM (Zenith)'!N:N,'Input_APM (Zenith)'!L:L,'Check (Zenith)'!B55,'Input_APM (Zenith)'!M:M,'Check (Zenith)'!$C$1)))</f>
        <v/>
      </c>
      <c r="D55" s="174" t="str">
        <f>IF(B55="","",IF(OR(LEFT(B55,4)="Cash",LEFT(B55,4)="Prov"),0,SUMIFS('Input_APM (Zenith)'!N:N,'Input_APM (Zenith)'!L:L,'Check (Zenith)'!B55,'Input_APM (Zenith)'!M:M,'Check (Zenith)'!$D$1)))</f>
        <v/>
      </c>
      <c r="E55" s="174" t="str">
        <f t="shared" si="0"/>
        <v/>
      </c>
    </row>
    <row r="56" spans="2:5">
      <c r="C56" s="174" t="str">
        <f>IF(B56="","",IF(OR(LEFT(B56,4)="Cash",LEFT(B56,4)="Prov"),0,SUMIFS('Input_APM (Zenith)'!N:N,'Input_APM (Zenith)'!L:L,'Check (Zenith)'!B56,'Input_APM (Zenith)'!M:M,'Check (Zenith)'!$C$1)))</f>
        <v/>
      </c>
      <c r="D56" s="174" t="str">
        <f>IF(B56="","",IF(OR(LEFT(B56,4)="Cash",LEFT(B56,4)="Prov"),0,SUMIFS('Input_APM (Zenith)'!N:N,'Input_APM (Zenith)'!L:L,'Check (Zenith)'!B56,'Input_APM (Zenith)'!M:M,'Check (Zenith)'!$D$1)))</f>
        <v/>
      </c>
      <c r="E56" s="174" t="str">
        <f t="shared" si="0"/>
        <v/>
      </c>
    </row>
    <row r="57" spans="2:5">
      <c r="C57" s="174" t="str">
        <f>IF(B57="","",IF(OR(LEFT(B57,4)="Cash",LEFT(B57,4)="Prov"),0,SUMIFS('Input_APM (Zenith)'!N:N,'Input_APM (Zenith)'!L:L,'Check (Zenith)'!B57,'Input_APM (Zenith)'!M:M,'Check (Zenith)'!$C$1)))</f>
        <v/>
      </c>
      <c r="D57" s="174" t="str">
        <f>IF(B57="","",IF(OR(LEFT(B57,4)="Cash",LEFT(B57,4)="Prov"),0,SUMIFS('Input_APM (Zenith)'!N:N,'Input_APM (Zenith)'!L:L,'Check (Zenith)'!B57,'Input_APM (Zenith)'!M:M,'Check (Zenith)'!$D$1)))</f>
        <v/>
      </c>
      <c r="E57" s="174" t="str">
        <f t="shared" si="0"/>
        <v/>
      </c>
    </row>
    <row r="58" spans="2:5">
      <c r="C58" s="174" t="str">
        <f>IF(B58="","",IF(OR(LEFT(B58,4)="Cash",LEFT(B58,4)="Prov"),0,SUMIFS('Input_APM (Zenith)'!N:N,'Input_APM (Zenith)'!L:L,'Check (Zenith)'!B58,'Input_APM (Zenith)'!M:M,'Check (Zenith)'!$C$1)))</f>
        <v/>
      </c>
      <c r="D58" s="174" t="str">
        <f>IF(B58="","",IF(OR(LEFT(B58,4)="Cash",LEFT(B58,4)="Prov"),0,SUMIFS('Input_APM (Zenith)'!N:N,'Input_APM (Zenith)'!L:L,'Check (Zenith)'!B58,'Input_APM (Zenith)'!M:M,'Check (Zenith)'!$D$1)))</f>
        <v/>
      </c>
      <c r="E58" s="174" t="str">
        <f t="shared" si="0"/>
        <v/>
      </c>
    </row>
    <row r="59" spans="2:5">
      <c r="C59" s="174" t="str">
        <f>IF(B59="","",IF(OR(LEFT(B59,4)="Cash",LEFT(B59,4)="Prov"),0,SUMIFS('Input_APM (Zenith)'!N:N,'Input_APM (Zenith)'!L:L,'Check (Zenith)'!B59,'Input_APM (Zenith)'!M:M,'Check (Zenith)'!$C$1)))</f>
        <v/>
      </c>
      <c r="D59" s="174" t="str">
        <f>IF(B59="","",IF(OR(LEFT(B59,4)="Cash",LEFT(B59,4)="Prov"),0,SUMIFS('Input_APM (Zenith)'!N:N,'Input_APM (Zenith)'!L:L,'Check (Zenith)'!B59,'Input_APM (Zenith)'!M:M,'Check (Zenith)'!$D$1)))</f>
        <v/>
      </c>
      <c r="E59" s="174" t="str">
        <f t="shared" si="0"/>
        <v/>
      </c>
    </row>
    <row r="60" spans="2:5">
      <c r="C60" s="174" t="str">
        <f>IF(B60="","",IF(OR(LEFT(B60,4)="Cash",LEFT(B60,4)="Prov"),0,SUMIFS('Input_APM (Zenith)'!N:N,'Input_APM (Zenith)'!L:L,'Check (Zenith)'!B60,'Input_APM (Zenith)'!M:M,'Check (Zenith)'!$C$1)))</f>
        <v/>
      </c>
      <c r="D60" s="174" t="str">
        <f>IF(B60="","",IF(OR(LEFT(B60,4)="Cash",LEFT(B60,4)="Prov"),0,SUMIFS('Input_APM (Zenith)'!N:N,'Input_APM (Zenith)'!L:L,'Check (Zenith)'!B60,'Input_APM (Zenith)'!M:M,'Check (Zenith)'!$D$1)))</f>
        <v/>
      </c>
      <c r="E60" s="174" t="str">
        <f t="shared" si="0"/>
        <v/>
      </c>
    </row>
    <row r="61" spans="2:5">
      <c r="C61" s="174" t="str">
        <f>IF(B61="","",IF(OR(LEFT(B61,4)="Cash",LEFT(B61,4)="Prov"),0,SUMIFS('Input_APM (Zenith)'!N:N,'Input_APM (Zenith)'!L:L,'Check (Zenith)'!B61,'Input_APM (Zenith)'!M:M,'Check (Zenith)'!$C$1)))</f>
        <v/>
      </c>
      <c r="D61" s="174" t="str">
        <f>IF(B61="","",IF(OR(LEFT(B61,4)="Cash",LEFT(B61,4)="Prov"),0,SUMIFS('Input_APM (Zenith)'!N:N,'Input_APM (Zenith)'!L:L,'Check (Zenith)'!B61,'Input_APM (Zenith)'!M:M,'Check (Zenith)'!$D$1)))</f>
        <v/>
      </c>
      <c r="E61" s="174" t="str">
        <f t="shared" si="0"/>
        <v/>
      </c>
    </row>
    <row r="62" spans="2:5">
      <c r="C62" s="174" t="str">
        <f>IF(B62="","",IF(OR(LEFT(B62,4)="Cash",LEFT(B62,4)="Prov"),0,SUMIFS('Input_APM (Zenith)'!N:N,'Input_APM (Zenith)'!L:L,'Check (Zenith)'!B62,'Input_APM (Zenith)'!M:M,'Check (Zenith)'!$C$1)))</f>
        <v/>
      </c>
      <c r="D62" s="174" t="str">
        <f>IF(B62="","",IF(OR(LEFT(B62,4)="Cash",LEFT(B62,4)="Prov"),0,SUMIFS('Input_APM (Zenith)'!N:N,'Input_APM (Zenith)'!L:L,'Check (Zenith)'!B62,'Input_APM (Zenith)'!M:M,'Check (Zenith)'!$D$1)))</f>
        <v/>
      </c>
      <c r="E62" s="174" t="str">
        <f t="shared" si="0"/>
        <v/>
      </c>
    </row>
    <row r="63" spans="2:5">
      <c r="C63" s="174" t="str">
        <f>IF(B63="","",IF(OR(LEFT(B63,4)="Cash",LEFT(B63,4)="Prov"),0,SUMIFS('Input_APM (Zenith)'!N:N,'Input_APM (Zenith)'!L:L,'Check (Zenith)'!B63,'Input_APM (Zenith)'!M:M,'Check (Zenith)'!$C$1)))</f>
        <v/>
      </c>
      <c r="D63" s="174" t="str">
        <f>IF(B63="","",IF(OR(LEFT(B63,4)="Cash",LEFT(B63,4)="Prov"),0,SUMIFS('Input_APM (Zenith)'!N:N,'Input_APM (Zenith)'!L:L,'Check (Zenith)'!B63,'Input_APM (Zenith)'!M:M,'Check (Zenith)'!$D$1)))</f>
        <v/>
      </c>
      <c r="E63" s="174" t="str">
        <f t="shared" si="0"/>
        <v/>
      </c>
    </row>
    <row r="64" spans="2:5">
      <c r="C64" s="174" t="str">
        <f>IF(B64="","",IF(OR(LEFT(B64,4)="Cash",LEFT(B64,4)="Prov"),0,SUMIFS('Input_APM (Zenith)'!N:N,'Input_APM (Zenith)'!L:L,'Check (Zenith)'!B64,'Input_APM (Zenith)'!M:M,'Check (Zenith)'!$C$1)))</f>
        <v/>
      </c>
      <c r="D64" s="174" t="str">
        <f>IF(B64="","",IF(OR(LEFT(B64,4)="Cash",LEFT(B64,4)="Prov"),0,SUMIFS('Input_APM (Zenith)'!N:N,'Input_APM (Zenith)'!L:L,'Check (Zenith)'!B64,'Input_APM (Zenith)'!M:M,'Check (Zenith)'!$D$1)))</f>
        <v/>
      </c>
      <c r="E64" s="174" t="str">
        <f t="shared" si="0"/>
        <v/>
      </c>
    </row>
    <row r="65" spans="3:5">
      <c r="C65" s="174" t="str">
        <f>IF(B65="","",IF(OR(LEFT(B65,4)="Cash",LEFT(B65,4)="Prov"),0,SUMIFS('Input_APM (Zenith)'!N:N,'Input_APM (Zenith)'!L:L,'Check (Zenith)'!B65,'Input_APM (Zenith)'!M:M,'Check (Zenith)'!$C$1)))</f>
        <v/>
      </c>
      <c r="D65" s="174" t="str">
        <f>IF(B65="","",IF(OR(LEFT(B65,4)="Cash",LEFT(B65,4)="Prov"),0,SUMIFS('Input_APM (Zenith)'!N:N,'Input_APM (Zenith)'!L:L,'Check (Zenith)'!B65,'Input_APM (Zenith)'!M:M,'Check (Zenith)'!$D$1)))</f>
        <v/>
      </c>
      <c r="E65" s="174" t="str">
        <f t="shared" si="0"/>
        <v/>
      </c>
    </row>
    <row r="66" spans="3:5">
      <c r="C66" s="174" t="str">
        <f>IF(B66="","",IF(OR(LEFT(B66,4)="Cash",LEFT(B66,4)="Prov"),0,SUMIFS('Input_APM (Zenith)'!N:N,'Input_APM (Zenith)'!L:L,'Check (Zenith)'!B66,'Input_APM (Zenith)'!M:M,'Check (Zenith)'!$C$1)))</f>
        <v/>
      </c>
      <c r="D66" s="174" t="str">
        <f>IF(B66="","",IF(OR(LEFT(B66,4)="Cash",LEFT(B66,4)="Prov"),0,SUMIFS('Input_APM (Zenith)'!N:N,'Input_APM (Zenith)'!L:L,'Check (Zenith)'!B66,'Input_APM (Zenith)'!M:M,'Check (Zenith)'!$D$1)))</f>
        <v/>
      </c>
      <c r="E66" s="174" t="str">
        <f t="shared" si="0"/>
        <v/>
      </c>
    </row>
    <row r="67" spans="3:5">
      <c r="C67" s="174" t="str">
        <f>IF(B67="","",IF(OR(LEFT(B67,4)="Cash",LEFT(B67,4)="Prov"),0,SUMIFS('Input_APM (Zenith)'!N:N,'Input_APM (Zenith)'!L:L,'Check (Zenith)'!B67,'Input_APM (Zenith)'!M:M,'Check (Zenith)'!$C$1)))</f>
        <v/>
      </c>
      <c r="D67" s="174" t="str">
        <f>IF(B67="","",IF(OR(LEFT(B67,4)="Cash",LEFT(B67,4)="Prov"),0,SUMIFS('Input_APM (Zenith)'!N:N,'Input_APM (Zenith)'!L:L,'Check (Zenith)'!B67,'Input_APM (Zenith)'!M:M,'Check (Zenith)'!$D$1)))</f>
        <v/>
      </c>
      <c r="E67" s="174" t="str">
        <f t="shared" si="0"/>
        <v/>
      </c>
    </row>
    <row r="68" spans="3:5">
      <c r="C68" s="174" t="str">
        <f>IF(B68="","",IF(OR(LEFT(B68,4)="Cash",LEFT(B68,4)="Prov"),0,SUMIFS('Input_APM (Zenith)'!N:N,'Input_APM (Zenith)'!L:L,'Check (Zenith)'!B68,'Input_APM (Zenith)'!M:M,'Check (Zenith)'!$C$1)))</f>
        <v/>
      </c>
      <c r="D68" s="174" t="str">
        <f>IF(B68="","",IF(OR(LEFT(B68,4)="Cash",LEFT(B68,4)="Prov"),0,SUMIFS('Input_APM (Zenith)'!N:N,'Input_APM (Zenith)'!L:L,'Check (Zenith)'!B68,'Input_APM (Zenith)'!M:M,'Check (Zenith)'!$D$1)))</f>
        <v/>
      </c>
      <c r="E68" s="174" t="str">
        <f t="shared" si="0"/>
        <v/>
      </c>
    </row>
    <row r="69" spans="3:5">
      <c r="C69" s="174" t="str">
        <f>IF(B69="","",IF(OR(LEFT(B69,4)="Cash",LEFT(B69,4)="Prov"),0,SUMIFS('Input_APM (Zenith)'!N:N,'Input_APM (Zenith)'!L:L,'Check (Zenith)'!B69,'Input_APM (Zenith)'!M:M,'Check (Zenith)'!$C$1)))</f>
        <v/>
      </c>
      <c r="D69" s="174" t="str">
        <f>IF(B69="","",IF(OR(LEFT(B69,4)="Cash",LEFT(B69,4)="Prov"),0,SUMIFS('Input_APM (Zenith)'!N:N,'Input_APM (Zenith)'!L:L,'Check (Zenith)'!B69,'Input_APM (Zenith)'!M:M,'Check (Zenith)'!$D$1)))</f>
        <v/>
      </c>
      <c r="E69" s="174" t="str">
        <f t="shared" si="0"/>
        <v/>
      </c>
    </row>
    <row r="70" spans="3:5">
      <c r="C70" s="174" t="str">
        <f>IF(B70="","",IF(OR(LEFT(B70,4)="Cash",LEFT(B70,4)="Prov"),0,SUMIFS('Input_APM (Zenith)'!N:N,'Input_APM (Zenith)'!L:L,'Check (Zenith)'!B70,'Input_APM (Zenith)'!M:M,'Check (Zenith)'!$C$1)))</f>
        <v/>
      </c>
      <c r="D70" s="174" t="str">
        <f>IF(B70="","",IF(OR(LEFT(B70,4)="Cash",LEFT(B70,4)="Prov"),0,SUMIFS('Input_APM (Zenith)'!N:N,'Input_APM (Zenith)'!L:L,'Check (Zenith)'!B70,'Input_APM (Zenith)'!M:M,'Check (Zenith)'!$D$1)))</f>
        <v/>
      </c>
      <c r="E70" s="174" t="str">
        <f t="shared" ref="E70:E81" si="1">IF(B70="","",C70-D70)</f>
        <v/>
      </c>
    </row>
    <row r="71" spans="3:5">
      <c r="C71" s="174" t="str">
        <f>IF(B71="","",IF(OR(LEFT(B71,4)="Cash",LEFT(B71,4)="Prov"),0,SUMIFS('Input_APM (Zenith)'!N:N,'Input_APM (Zenith)'!L:L,'Check (Zenith)'!B71,'Input_APM (Zenith)'!M:M,'Check (Zenith)'!$C$1)))</f>
        <v/>
      </c>
      <c r="D71" s="174" t="str">
        <f>IF(B71="","",IF(OR(LEFT(B71,4)="Cash",LEFT(B71,4)="Prov"),0,SUMIFS('Input_APM (Zenith)'!N:N,'Input_APM (Zenith)'!L:L,'Check (Zenith)'!B71,'Input_APM (Zenith)'!M:M,'Check (Zenith)'!$D$1)))</f>
        <v/>
      </c>
      <c r="E71" s="174" t="str">
        <f t="shared" si="1"/>
        <v/>
      </c>
    </row>
    <row r="72" spans="3:5">
      <c r="C72" s="174" t="str">
        <f>IF(B72="","",IF(OR(LEFT(B72,4)="Cash",LEFT(B72,4)="Prov"),0,SUMIFS('Input_APM (Zenith)'!N:N,'Input_APM (Zenith)'!L:L,'Check (Zenith)'!B72,'Input_APM (Zenith)'!M:M,'Check (Zenith)'!$C$1)))</f>
        <v/>
      </c>
      <c r="D72" s="174" t="str">
        <f>IF(B72="","",IF(OR(LEFT(B72,4)="Cash",LEFT(B72,4)="Prov"),0,SUMIFS('Input_APM (Zenith)'!N:N,'Input_APM (Zenith)'!L:L,'Check (Zenith)'!B72,'Input_APM (Zenith)'!M:M,'Check (Zenith)'!$D$1)))</f>
        <v/>
      </c>
      <c r="E72" s="174" t="str">
        <f t="shared" si="1"/>
        <v/>
      </c>
    </row>
    <row r="73" spans="3:5">
      <c r="C73" s="174" t="str">
        <f>IF(B73="","",IF(OR(LEFT(B73,4)="Cash",LEFT(B73,4)="Prov"),0,SUMIFS('Input_APM (Zenith)'!N:N,'Input_APM (Zenith)'!L:L,'Check (Zenith)'!B73,'Input_APM (Zenith)'!M:M,'Check (Zenith)'!$C$1)))</f>
        <v/>
      </c>
      <c r="D73" s="174" t="str">
        <f>IF(B73="","",IF(OR(LEFT(B73,4)="Cash",LEFT(B73,4)="Prov"),0,SUMIFS('Input_APM (Zenith)'!N:N,'Input_APM (Zenith)'!L:L,'Check (Zenith)'!B73,'Input_APM (Zenith)'!M:M,'Check (Zenith)'!$D$1)))</f>
        <v/>
      </c>
      <c r="E73" s="174" t="str">
        <f t="shared" si="1"/>
        <v/>
      </c>
    </row>
    <row r="74" spans="3:5">
      <c r="C74" s="174" t="str">
        <f>IF(B74="","",IF(OR(LEFT(B74,4)="Cash",LEFT(B74,4)="Prov"),0,SUMIFS('Input_APM (Zenith)'!N:N,'Input_APM (Zenith)'!L:L,'Check (Zenith)'!B74,'Input_APM (Zenith)'!M:M,'Check (Zenith)'!$C$1)))</f>
        <v/>
      </c>
      <c r="D74" s="174" t="str">
        <f>IF(B74="","",IF(OR(LEFT(B74,4)="Cash",LEFT(B74,4)="Prov"),0,SUMIFS('Input_APM (Zenith)'!N:N,'Input_APM (Zenith)'!L:L,'Check (Zenith)'!B74,'Input_APM (Zenith)'!M:M,'Check (Zenith)'!$D$1)))</f>
        <v/>
      </c>
      <c r="E74" s="174" t="str">
        <f t="shared" si="1"/>
        <v/>
      </c>
    </row>
    <row r="75" spans="3:5">
      <c r="C75" s="174" t="str">
        <f>IF(B75="","",IF(OR(LEFT(B75,4)="Cash",LEFT(B75,4)="Prov"),0,SUMIFS('Input_APM (Zenith)'!N:N,'Input_APM (Zenith)'!L:L,'Check (Zenith)'!B75,'Input_APM (Zenith)'!M:M,'Check (Zenith)'!$C$1)))</f>
        <v/>
      </c>
      <c r="D75" s="174" t="str">
        <f>IF(B75="","",IF(OR(LEFT(B75,4)="Cash",LEFT(B75,4)="Prov"),0,SUMIFS('Input_APM (Zenith)'!N:N,'Input_APM (Zenith)'!L:L,'Check (Zenith)'!B75,'Input_APM (Zenith)'!M:M,'Check (Zenith)'!$D$1)))</f>
        <v/>
      </c>
      <c r="E75" s="174" t="str">
        <f t="shared" si="1"/>
        <v/>
      </c>
    </row>
    <row r="76" spans="3:5">
      <c r="C76" s="174" t="str">
        <f>IF(B76="","",IF(OR(LEFT(B76,4)="Cash",LEFT(B76,4)="Prov"),0,SUMIFS('Input_APM (Zenith)'!N:N,'Input_APM (Zenith)'!L:L,'Check (Zenith)'!B76,'Input_APM (Zenith)'!M:M,'Check (Zenith)'!$C$1)))</f>
        <v/>
      </c>
      <c r="D76" s="174" t="str">
        <f>IF(B76="","",IF(OR(LEFT(B76,4)="Cash",LEFT(B76,4)="Prov"),0,SUMIFS('Input_APM (Zenith)'!N:N,'Input_APM (Zenith)'!L:L,'Check (Zenith)'!B76,'Input_APM (Zenith)'!M:M,'Check (Zenith)'!$D$1)))</f>
        <v/>
      </c>
      <c r="E76" s="174" t="str">
        <f t="shared" si="1"/>
        <v/>
      </c>
    </row>
    <row r="77" spans="3:5">
      <c r="C77" s="174" t="str">
        <f>IF(B77="","",IF(OR(LEFT(B77,4)="Cash",LEFT(B77,4)="Prov"),0,SUMIFS('Input_APM (Zenith)'!N:N,'Input_APM (Zenith)'!L:L,'Check (Zenith)'!B77,'Input_APM (Zenith)'!M:M,'Check (Zenith)'!$C$1)))</f>
        <v/>
      </c>
      <c r="D77" s="174" t="str">
        <f>IF(B77="","",IF(OR(LEFT(B77,4)="Cash",LEFT(B77,4)="Prov"),0,SUMIFS('Input_APM (Zenith)'!N:N,'Input_APM (Zenith)'!L:L,'Check (Zenith)'!B77,'Input_APM (Zenith)'!M:M,'Check (Zenith)'!$D$1)))</f>
        <v/>
      </c>
      <c r="E77" s="174" t="str">
        <f t="shared" si="1"/>
        <v/>
      </c>
    </row>
    <row r="78" spans="3:5">
      <c r="C78" s="174" t="str">
        <f>IF(B78="","",IF(OR(LEFT(B78,4)="Cash",LEFT(B78,4)="Prov"),0,SUMIFS('Input_APM (Zenith)'!N:N,'Input_APM (Zenith)'!L:L,'Check (Zenith)'!B78,'Input_APM (Zenith)'!M:M,'Check (Zenith)'!$C$1)))</f>
        <v/>
      </c>
      <c r="D78" s="174" t="str">
        <f>IF(B78="","",IF(OR(LEFT(B78,4)="Cash",LEFT(B78,4)="Prov"),0,SUMIFS('Input_APM (Zenith)'!N:N,'Input_APM (Zenith)'!L:L,'Check (Zenith)'!B78,'Input_APM (Zenith)'!M:M,'Check (Zenith)'!$D$1)))</f>
        <v/>
      </c>
      <c r="E78" s="174" t="str">
        <f t="shared" si="1"/>
        <v/>
      </c>
    </row>
    <row r="79" spans="3:5">
      <c r="C79" s="174" t="str">
        <f>IF(B79="","",IF(OR(LEFT(B79,4)="Cash",LEFT(B79,4)="Prov"),0,SUMIFS('Input_APM (Zenith)'!N:N,'Input_APM (Zenith)'!L:L,'Check (Zenith)'!B79,'Input_APM (Zenith)'!M:M,'Check (Zenith)'!$C$1)))</f>
        <v/>
      </c>
      <c r="D79" s="174" t="str">
        <f>IF(B79="","",IF(OR(LEFT(B79,4)="Cash",LEFT(B79,4)="Prov"),0,SUMIFS('Input_APM (Zenith)'!N:N,'Input_APM (Zenith)'!L:L,'Check (Zenith)'!B79,'Input_APM (Zenith)'!M:M,'Check (Zenith)'!$D$1)))</f>
        <v/>
      </c>
      <c r="E79" s="174" t="str">
        <f t="shared" si="1"/>
        <v/>
      </c>
    </row>
    <row r="80" spans="3:5">
      <c r="C80" s="174" t="str">
        <f>IF(B80="","",IF(OR(LEFT(B80,4)="Cash",LEFT(B80,4)="Prov"),0,SUMIFS('Input_APM (Zenith)'!N:N,'Input_APM (Zenith)'!L:L,'Check (Zenith)'!B80,'Input_APM (Zenith)'!M:M,'Check (Zenith)'!$C$1)))</f>
        <v/>
      </c>
      <c r="D80" s="174" t="str">
        <f>IF(B80="","",IF(OR(LEFT(B80,4)="Cash",LEFT(B80,4)="Prov"),0,SUMIFS('Input_APM (Zenith)'!N:N,'Input_APM (Zenith)'!L:L,'Check (Zenith)'!B80,'Input_APM (Zenith)'!M:M,'Check (Zenith)'!$D$1)))</f>
        <v/>
      </c>
      <c r="E80" s="174" t="str">
        <f t="shared" si="1"/>
        <v/>
      </c>
    </row>
    <row r="81" spans="3:5">
      <c r="C81" s="174" t="str">
        <f>IF(B81="","",IF(OR(LEFT(B81,4)="Cash",LEFT(B81,4)="Prov"),0,SUMIFS('Input_APM (Zenith)'!N:N,'Input_APM (Zenith)'!L:L,'Check (Zenith)'!B81,'Input_APM (Zenith)'!M:M,'Check (Zenith)'!$C$1)))</f>
        <v/>
      </c>
      <c r="D81" s="174" t="str">
        <f>IF(B81="","",IF(OR(LEFT(B81,4)="Cash",LEFT(B81,4)="Prov"),0,SUMIFS('Input_APM (Zenith)'!N:N,'Input_APM (Zenith)'!L:L,'Check (Zenith)'!B81,'Input_APM (Zenith)'!M:M,'Check (Zenith)'!$D$1)))</f>
        <v/>
      </c>
      <c r="E81" s="174" t="str">
        <f t="shared" si="1"/>
        <v/>
      </c>
    </row>
    <row r="82" spans="3:5">
      <c r="C82" s="174" t="str">
        <f>IF(B82="","",IF(OR(LEFT(B82,4)="Cash",LEFT(B82,4)="Prov"),0,SUMIFS('Input_APM (Zenith)'!N:N,'Input_APM (Zenith)'!L:L,'Check (Zenith)'!B82,'Input_APM (Zenith)'!M:M,'Check (Zenith)'!$C$1)))</f>
        <v/>
      </c>
      <c r="D82" s="174" t="str">
        <f>IF(B82="","",IF(OR(LEFT(B82,4)="Cash",LEFT(B82,4)="Prov"),0,SUMIFS('Input_APM (Zenith)'!N:N,'Input_APM (Zenith)'!L:L,'Check (Zenith)'!B82,'Input_APM (Zenith)'!M:M,'Check (Zenith)'!$D$1)))</f>
        <v/>
      </c>
      <c r="E82" s="174" t="str">
        <f t="shared" ref="E82:E145" si="2">IF(B82="","",C82-D82)</f>
        <v/>
      </c>
    </row>
    <row r="83" spans="3:5">
      <c r="C83" s="174" t="str">
        <f>IF(B83="","",IF(OR(LEFT(B83,4)="Cash",LEFT(B83,4)="Prov"),0,SUMIFS('Input_APM (Zenith)'!N:N,'Input_APM (Zenith)'!L:L,'Check (Zenith)'!B83,'Input_APM (Zenith)'!M:M,'Check (Zenith)'!$C$1)))</f>
        <v/>
      </c>
      <c r="D83" s="174" t="str">
        <f>IF(B83="","",IF(OR(LEFT(B83,4)="Cash",LEFT(B83,4)="Prov"),0,SUMIFS('Input_APM (Zenith)'!N:N,'Input_APM (Zenith)'!L:L,'Check (Zenith)'!B83,'Input_APM (Zenith)'!M:M,'Check (Zenith)'!$D$1)))</f>
        <v/>
      </c>
      <c r="E83" s="174" t="str">
        <f t="shared" si="2"/>
        <v/>
      </c>
    </row>
    <row r="84" spans="3:5">
      <c r="C84" s="174" t="str">
        <f>IF(B84="","",IF(OR(LEFT(B84,4)="Cash",LEFT(B84,4)="Prov"),0,SUMIFS('Input_APM (Zenith)'!N:N,'Input_APM (Zenith)'!L:L,'Check (Zenith)'!B84,'Input_APM (Zenith)'!M:M,'Check (Zenith)'!$C$1)))</f>
        <v/>
      </c>
      <c r="D84" s="174" t="str">
        <f>IF(B84="","",IF(OR(LEFT(B84,4)="Cash",LEFT(B84,4)="Prov"),0,SUMIFS('Input_APM (Zenith)'!N:N,'Input_APM (Zenith)'!L:L,'Check (Zenith)'!B84,'Input_APM (Zenith)'!M:M,'Check (Zenith)'!$D$1)))</f>
        <v/>
      </c>
      <c r="E84" s="174" t="str">
        <f t="shared" si="2"/>
        <v/>
      </c>
    </row>
    <row r="85" spans="3:5">
      <c r="C85" s="174" t="str">
        <f>IF(B85="","",IF(OR(LEFT(B85,4)="Cash",LEFT(B85,4)="Prov"),0,SUMIFS('Input_APM (Zenith)'!N:N,'Input_APM (Zenith)'!L:L,'Check (Zenith)'!B85,'Input_APM (Zenith)'!M:M,'Check (Zenith)'!$C$1)))</f>
        <v/>
      </c>
      <c r="D85" s="174" t="str">
        <f>IF(B85="","",IF(OR(LEFT(B85,4)="Cash",LEFT(B85,4)="Prov"),0,SUMIFS('Input_APM (Zenith)'!N:N,'Input_APM (Zenith)'!L:L,'Check (Zenith)'!B85,'Input_APM (Zenith)'!M:M,'Check (Zenith)'!$D$1)))</f>
        <v/>
      </c>
      <c r="E85" s="174" t="str">
        <f t="shared" si="2"/>
        <v/>
      </c>
    </row>
    <row r="86" spans="3:5">
      <c r="C86" s="174" t="str">
        <f>IF(B86="","",IF(OR(LEFT(B86,4)="Cash",LEFT(B86,4)="Prov"),0,SUMIFS('Input_APM (Zenith)'!N:N,'Input_APM (Zenith)'!L:L,'Check (Zenith)'!B86,'Input_APM (Zenith)'!M:M,'Check (Zenith)'!$C$1)))</f>
        <v/>
      </c>
      <c r="D86" s="174" t="str">
        <f>IF(B86="","",IF(OR(LEFT(B86,4)="Cash",LEFT(B86,4)="Prov"),0,SUMIFS('Input_APM (Zenith)'!N:N,'Input_APM (Zenith)'!L:L,'Check (Zenith)'!B86,'Input_APM (Zenith)'!M:M,'Check (Zenith)'!$D$1)))</f>
        <v/>
      </c>
      <c r="E86" s="174" t="str">
        <f t="shared" si="2"/>
        <v/>
      </c>
    </row>
    <row r="87" spans="3:5">
      <c r="C87" s="174" t="str">
        <f>IF(B87="","",IF(OR(LEFT(B87,4)="Cash",LEFT(B87,4)="Prov"),0,SUMIFS('Input_APM (Zenith)'!N:N,'Input_APM (Zenith)'!L:L,'Check (Zenith)'!B87,'Input_APM (Zenith)'!M:M,'Check (Zenith)'!$C$1)))</f>
        <v/>
      </c>
      <c r="D87" s="174" t="str">
        <f>IF(B87="","",IF(OR(LEFT(B87,4)="Cash",LEFT(B87,4)="Prov"),0,SUMIFS('Input_APM (Zenith)'!N:N,'Input_APM (Zenith)'!L:L,'Check (Zenith)'!B87,'Input_APM (Zenith)'!M:M,'Check (Zenith)'!$D$1)))</f>
        <v/>
      </c>
      <c r="E87" s="174" t="str">
        <f t="shared" si="2"/>
        <v/>
      </c>
    </row>
    <row r="88" spans="3:5">
      <c r="C88" s="174" t="str">
        <f>IF(B88="","",IF(OR(LEFT(B88,4)="Cash",LEFT(B88,4)="Prov"),0,SUMIFS('Input_APM (Zenith)'!N:N,'Input_APM (Zenith)'!L:L,'Check (Zenith)'!B88,'Input_APM (Zenith)'!M:M,'Check (Zenith)'!$C$1)))</f>
        <v/>
      </c>
      <c r="D88" s="174" t="str">
        <f>IF(B88="","",IF(OR(LEFT(B88,4)="Cash",LEFT(B88,4)="Prov"),0,SUMIFS('Input_APM (Zenith)'!N:N,'Input_APM (Zenith)'!L:L,'Check (Zenith)'!B88,'Input_APM (Zenith)'!M:M,'Check (Zenith)'!$D$1)))</f>
        <v/>
      </c>
      <c r="E88" s="174" t="str">
        <f t="shared" si="2"/>
        <v/>
      </c>
    </row>
    <row r="89" spans="3:5">
      <c r="C89" s="174" t="str">
        <f>IF(B89="","",IF(OR(LEFT(B89,4)="Cash",LEFT(B89,4)="Prov"),0,SUMIFS('Input_APM (Zenith)'!N:N,'Input_APM (Zenith)'!L:L,'Check (Zenith)'!B89,'Input_APM (Zenith)'!M:M,'Check (Zenith)'!$C$1)))</f>
        <v/>
      </c>
      <c r="D89" s="174" t="str">
        <f>IF(B89="","",IF(OR(LEFT(B89,4)="Cash",LEFT(B89,4)="Prov"),0,SUMIFS('Input_APM (Zenith)'!N:N,'Input_APM (Zenith)'!L:L,'Check (Zenith)'!B89,'Input_APM (Zenith)'!M:M,'Check (Zenith)'!$D$1)))</f>
        <v/>
      </c>
      <c r="E89" s="174" t="str">
        <f t="shared" si="2"/>
        <v/>
      </c>
    </row>
    <row r="90" spans="3:5">
      <c r="C90" s="174" t="str">
        <f>IF(B90="","",IF(OR(LEFT(B90,4)="Cash",LEFT(B90,4)="Prov"),0,SUMIFS('Input_APM (Zenith)'!N:N,'Input_APM (Zenith)'!L:L,'Check (Zenith)'!B90,'Input_APM (Zenith)'!M:M,'Check (Zenith)'!$C$1)))</f>
        <v/>
      </c>
      <c r="D90" s="174" t="str">
        <f>IF(B90="","",IF(OR(LEFT(B90,4)="Cash",LEFT(B90,4)="Prov"),0,SUMIFS('Input_APM (Zenith)'!N:N,'Input_APM (Zenith)'!L:L,'Check (Zenith)'!B90,'Input_APM (Zenith)'!M:M,'Check (Zenith)'!$D$1)))</f>
        <v/>
      </c>
      <c r="E90" s="174" t="str">
        <f t="shared" si="2"/>
        <v/>
      </c>
    </row>
    <row r="91" spans="3:5">
      <c r="C91" s="174" t="str">
        <f>IF(B91="","",IF(OR(LEFT(B91,4)="Cash",LEFT(B91,4)="Prov"),0,SUMIFS('Input_APM (Zenith)'!N:N,'Input_APM (Zenith)'!L:L,'Check (Zenith)'!B91,'Input_APM (Zenith)'!M:M,'Check (Zenith)'!$C$1)))</f>
        <v/>
      </c>
      <c r="D91" s="174" t="str">
        <f>IF(B91="","",IF(OR(LEFT(B91,4)="Cash",LEFT(B91,4)="Prov"),0,SUMIFS('Input_APM (Zenith)'!N:N,'Input_APM (Zenith)'!L:L,'Check (Zenith)'!B91,'Input_APM (Zenith)'!M:M,'Check (Zenith)'!$D$1)))</f>
        <v/>
      </c>
      <c r="E91" s="174" t="str">
        <f t="shared" si="2"/>
        <v/>
      </c>
    </row>
    <row r="92" spans="3:5">
      <c r="C92" s="174" t="str">
        <f>IF(B92="","",IF(OR(LEFT(B92,4)="Cash",LEFT(B92,4)="Prov"),0,SUMIFS('Input_APM (Zenith)'!N:N,'Input_APM (Zenith)'!L:L,'Check (Zenith)'!B92,'Input_APM (Zenith)'!M:M,'Check (Zenith)'!$C$1)))</f>
        <v/>
      </c>
      <c r="D92" s="174" t="str">
        <f>IF(B92="","",IF(OR(LEFT(B92,4)="Cash",LEFT(B92,4)="Prov"),0,SUMIFS('Input_APM (Zenith)'!N:N,'Input_APM (Zenith)'!L:L,'Check (Zenith)'!B92,'Input_APM (Zenith)'!M:M,'Check (Zenith)'!$D$1)))</f>
        <v/>
      </c>
      <c r="E92" s="174" t="str">
        <f t="shared" si="2"/>
        <v/>
      </c>
    </row>
    <row r="93" spans="3:5">
      <c r="C93" s="174" t="str">
        <f>IF(B93="","",IF(OR(LEFT(B93,4)="Cash",LEFT(B93,4)="Prov"),0,SUMIFS('Input_APM (Zenith)'!N:N,'Input_APM (Zenith)'!L:L,'Check (Zenith)'!B93,'Input_APM (Zenith)'!M:M,'Check (Zenith)'!$C$1)))</f>
        <v/>
      </c>
      <c r="D93" s="174" t="str">
        <f>IF(B93="","",IF(OR(LEFT(B93,4)="Cash",LEFT(B93,4)="Prov"),0,SUMIFS('Input_APM (Zenith)'!N:N,'Input_APM (Zenith)'!L:L,'Check (Zenith)'!B93,'Input_APM (Zenith)'!M:M,'Check (Zenith)'!$D$1)))</f>
        <v/>
      </c>
      <c r="E93" s="174" t="str">
        <f t="shared" si="2"/>
        <v/>
      </c>
    </row>
    <row r="94" spans="3:5">
      <c r="C94" s="174" t="str">
        <f>IF(B94="","",IF(OR(LEFT(B94,4)="Cash",LEFT(B94,4)="Prov"),0,SUMIFS('Input_APM (Zenith)'!N:N,'Input_APM (Zenith)'!L:L,'Check (Zenith)'!B94,'Input_APM (Zenith)'!M:M,'Check (Zenith)'!$C$1)))</f>
        <v/>
      </c>
      <c r="D94" s="174" t="str">
        <f>IF(B94="","",IF(OR(LEFT(B94,4)="Cash",LEFT(B94,4)="Prov"),0,SUMIFS('Input_APM (Zenith)'!N:N,'Input_APM (Zenith)'!L:L,'Check (Zenith)'!B94,'Input_APM (Zenith)'!M:M,'Check (Zenith)'!$D$1)))</f>
        <v/>
      </c>
      <c r="E94" s="174" t="str">
        <f t="shared" si="2"/>
        <v/>
      </c>
    </row>
    <row r="95" spans="3:5">
      <c r="C95" s="174" t="str">
        <f>IF(B95="","",IF(OR(LEFT(B95,4)="Cash",LEFT(B95,4)="Prov"),0,SUMIFS('Input_APM (Zenith)'!N:N,'Input_APM (Zenith)'!L:L,'Check (Zenith)'!B95,'Input_APM (Zenith)'!M:M,'Check (Zenith)'!$C$1)))</f>
        <v/>
      </c>
      <c r="D95" s="174" t="str">
        <f>IF(B95="","",IF(OR(LEFT(B95,4)="Cash",LEFT(B95,4)="Prov"),0,SUMIFS('Input_APM (Zenith)'!N:N,'Input_APM (Zenith)'!L:L,'Check (Zenith)'!B95,'Input_APM (Zenith)'!M:M,'Check (Zenith)'!$D$1)))</f>
        <v/>
      </c>
      <c r="E95" s="174" t="str">
        <f t="shared" si="2"/>
        <v/>
      </c>
    </row>
    <row r="96" spans="3:5">
      <c r="C96" s="174" t="str">
        <f>IF(B96="","",IF(OR(LEFT(B96,4)="Cash",LEFT(B96,4)="Prov"),0,SUMIFS('Input_APM (Zenith)'!N:N,'Input_APM (Zenith)'!L:L,'Check (Zenith)'!B96,'Input_APM (Zenith)'!M:M,'Check (Zenith)'!$C$1)))</f>
        <v/>
      </c>
      <c r="D96" s="174" t="str">
        <f>IF(B96="","",IF(OR(LEFT(B96,4)="Cash",LEFT(B96,4)="Prov"),0,SUMIFS('Input_APM (Zenith)'!N:N,'Input_APM (Zenith)'!L:L,'Check (Zenith)'!B96,'Input_APM (Zenith)'!M:M,'Check (Zenith)'!$D$1)))</f>
        <v/>
      </c>
      <c r="E96" s="174" t="str">
        <f t="shared" si="2"/>
        <v/>
      </c>
    </row>
    <row r="97" spans="3:5">
      <c r="C97" s="174" t="str">
        <f>IF(B97="","",IF(OR(LEFT(B97,4)="Cash",LEFT(B97,4)="Prov"),0,SUMIFS('Input_APM (Zenith)'!N:N,'Input_APM (Zenith)'!L:L,'Check (Zenith)'!B97,'Input_APM (Zenith)'!M:M,'Check (Zenith)'!$C$1)))</f>
        <v/>
      </c>
      <c r="D97" s="174" t="str">
        <f>IF(B97="","",IF(OR(LEFT(B97,4)="Cash",LEFT(B97,4)="Prov"),0,SUMIFS('Input_APM (Zenith)'!N:N,'Input_APM (Zenith)'!L:L,'Check (Zenith)'!B97,'Input_APM (Zenith)'!M:M,'Check (Zenith)'!$D$1)))</f>
        <v/>
      </c>
      <c r="E97" s="174" t="str">
        <f t="shared" si="2"/>
        <v/>
      </c>
    </row>
    <row r="98" spans="3:5">
      <c r="C98" s="174" t="str">
        <f>IF(B98="","",IF(OR(LEFT(B98,4)="Cash",LEFT(B98,4)="Prov"),0,SUMIFS('Input_APM (Zenith)'!N:N,'Input_APM (Zenith)'!L:L,'Check (Zenith)'!B98,'Input_APM (Zenith)'!M:M,'Check (Zenith)'!$C$1)))</f>
        <v/>
      </c>
      <c r="D98" s="174" t="str">
        <f>IF(B98="","",IF(OR(LEFT(B98,4)="Cash",LEFT(B98,4)="Prov"),0,SUMIFS('Input_APM (Zenith)'!N:N,'Input_APM (Zenith)'!L:L,'Check (Zenith)'!B98,'Input_APM (Zenith)'!M:M,'Check (Zenith)'!$D$1)))</f>
        <v/>
      </c>
      <c r="E98" s="174" t="str">
        <f t="shared" si="2"/>
        <v/>
      </c>
    </row>
    <row r="99" spans="3:5">
      <c r="C99" s="174" t="str">
        <f>IF(B99="","",IF(OR(LEFT(B99,4)="Cash",LEFT(B99,4)="Prov"),0,SUMIFS('Input_APM (Zenith)'!N:N,'Input_APM (Zenith)'!L:L,'Check (Zenith)'!B99,'Input_APM (Zenith)'!M:M,'Check (Zenith)'!$C$1)))</f>
        <v/>
      </c>
      <c r="D99" s="174" t="str">
        <f>IF(B99="","",IF(OR(LEFT(B99,4)="Cash",LEFT(B99,4)="Prov"),0,SUMIFS('Input_APM (Zenith)'!N:N,'Input_APM (Zenith)'!L:L,'Check (Zenith)'!B99,'Input_APM (Zenith)'!M:M,'Check (Zenith)'!$D$1)))</f>
        <v/>
      </c>
      <c r="E99" s="174" t="str">
        <f t="shared" si="2"/>
        <v/>
      </c>
    </row>
    <row r="100" spans="3:5">
      <c r="C100" s="174" t="str">
        <f>IF(B100="","",IF(OR(LEFT(B100,4)="Cash",LEFT(B100,4)="Prov"),0,SUMIFS('Input_APM (Zenith)'!N:N,'Input_APM (Zenith)'!L:L,'Check (Zenith)'!B100,'Input_APM (Zenith)'!M:M,'Check (Zenith)'!$C$1)))</f>
        <v/>
      </c>
      <c r="D100" s="174" t="str">
        <f>IF(B100="","",IF(OR(LEFT(B100,4)="Cash",LEFT(B100,4)="Prov"),0,SUMIFS('Input_APM (Zenith)'!N:N,'Input_APM (Zenith)'!L:L,'Check (Zenith)'!B100,'Input_APM (Zenith)'!M:M,'Check (Zenith)'!$D$1)))</f>
        <v/>
      </c>
      <c r="E100" s="174" t="str">
        <f t="shared" si="2"/>
        <v/>
      </c>
    </row>
    <row r="101" spans="3:5">
      <c r="C101" s="174" t="str">
        <f>IF(B101="","",IF(OR(LEFT(B101,4)="Cash",LEFT(B101,4)="Prov"),0,SUMIFS('Input_APM (Zenith)'!N:N,'Input_APM (Zenith)'!L:L,'Check (Zenith)'!B101,'Input_APM (Zenith)'!M:M,'Check (Zenith)'!$C$1)))</f>
        <v/>
      </c>
      <c r="D101" s="174" t="str">
        <f>IF(B101="","",IF(OR(LEFT(B101,4)="Cash",LEFT(B101,4)="Prov"),0,SUMIFS('Input_APM (Zenith)'!N:N,'Input_APM (Zenith)'!L:L,'Check (Zenith)'!B101,'Input_APM (Zenith)'!M:M,'Check (Zenith)'!$D$1)))</f>
        <v/>
      </c>
      <c r="E101" s="174" t="str">
        <f t="shared" si="2"/>
        <v/>
      </c>
    </row>
    <row r="102" spans="3:5">
      <c r="C102" s="174" t="str">
        <f>IF(B102="","",IF(OR(LEFT(B102,4)="Cash",LEFT(B102,4)="Prov"),0,SUMIFS('Input_APM (Zenith)'!N:N,'Input_APM (Zenith)'!L:L,'Check (Zenith)'!B102,'Input_APM (Zenith)'!M:M,'Check (Zenith)'!$C$1)))</f>
        <v/>
      </c>
      <c r="D102" s="174" t="str">
        <f>IF(B102="","",IF(OR(LEFT(B102,4)="Cash",LEFT(B102,4)="Prov"),0,SUMIFS('Input_APM (Zenith)'!N:N,'Input_APM (Zenith)'!L:L,'Check (Zenith)'!B102,'Input_APM (Zenith)'!M:M,'Check (Zenith)'!$D$1)))</f>
        <v/>
      </c>
      <c r="E102" s="174" t="str">
        <f t="shared" si="2"/>
        <v/>
      </c>
    </row>
    <row r="103" spans="3:5">
      <c r="C103" s="174" t="str">
        <f>IF(B103="","",IF(OR(LEFT(B103,4)="Cash",LEFT(B103,4)="Prov"),0,SUMIFS('Input_APM (Zenith)'!N:N,'Input_APM (Zenith)'!L:L,'Check (Zenith)'!B103,'Input_APM (Zenith)'!M:M,'Check (Zenith)'!$C$1)))</f>
        <v/>
      </c>
      <c r="D103" s="174" t="str">
        <f>IF(B103="","",IF(OR(LEFT(B103,4)="Cash",LEFT(B103,4)="Prov"),0,SUMIFS('Input_APM (Zenith)'!N:N,'Input_APM (Zenith)'!L:L,'Check (Zenith)'!B103,'Input_APM (Zenith)'!M:M,'Check (Zenith)'!$D$1)))</f>
        <v/>
      </c>
      <c r="E103" s="174" t="str">
        <f t="shared" si="2"/>
        <v/>
      </c>
    </row>
    <row r="104" spans="3:5">
      <c r="C104" s="174" t="str">
        <f>IF(B104="","",IF(OR(LEFT(B104,4)="Cash",LEFT(B104,4)="Prov"),0,SUMIFS('Input_APM (Zenith)'!N:N,'Input_APM (Zenith)'!L:L,'Check (Zenith)'!B104,'Input_APM (Zenith)'!M:M,'Check (Zenith)'!$C$1)))</f>
        <v/>
      </c>
      <c r="D104" s="174" t="str">
        <f>IF(B104="","",IF(OR(LEFT(B104,4)="Cash",LEFT(B104,4)="Prov"),0,SUMIFS('Input_APM (Zenith)'!N:N,'Input_APM (Zenith)'!L:L,'Check (Zenith)'!B104,'Input_APM (Zenith)'!M:M,'Check (Zenith)'!$D$1)))</f>
        <v/>
      </c>
      <c r="E104" s="174" t="str">
        <f t="shared" si="2"/>
        <v/>
      </c>
    </row>
    <row r="105" spans="3:5">
      <c r="C105" s="174" t="str">
        <f>IF(B105="","",IF(OR(LEFT(B105,4)="Cash",LEFT(B105,4)="Prov"),0,SUMIFS('Input_APM (Zenith)'!N:N,'Input_APM (Zenith)'!L:L,'Check (Zenith)'!B105,'Input_APM (Zenith)'!M:M,'Check (Zenith)'!$C$1)))</f>
        <v/>
      </c>
      <c r="D105" s="174" t="str">
        <f>IF(B105="","",IF(OR(LEFT(B105,4)="Cash",LEFT(B105,4)="Prov"),0,SUMIFS('Input_APM (Zenith)'!N:N,'Input_APM (Zenith)'!L:L,'Check (Zenith)'!B105,'Input_APM (Zenith)'!M:M,'Check (Zenith)'!$D$1)))</f>
        <v/>
      </c>
      <c r="E105" s="174" t="str">
        <f t="shared" si="2"/>
        <v/>
      </c>
    </row>
    <row r="106" spans="3:5">
      <c r="C106" s="174" t="str">
        <f>IF(B106="","",IF(OR(LEFT(B106,4)="Cash",LEFT(B106,4)="Prov"),0,SUMIFS('Input_APM (Zenith)'!N:N,'Input_APM (Zenith)'!L:L,'Check (Zenith)'!B106,'Input_APM (Zenith)'!M:M,'Check (Zenith)'!$C$1)))</f>
        <v/>
      </c>
      <c r="D106" s="174" t="str">
        <f>IF(B106="","",IF(OR(LEFT(B106,4)="Cash",LEFT(B106,4)="Prov"),0,SUMIFS('Input_APM (Zenith)'!N:N,'Input_APM (Zenith)'!L:L,'Check (Zenith)'!B106,'Input_APM (Zenith)'!M:M,'Check (Zenith)'!$D$1)))</f>
        <v/>
      </c>
      <c r="E106" s="174" t="str">
        <f t="shared" si="2"/>
        <v/>
      </c>
    </row>
    <row r="107" spans="3:5">
      <c r="C107" s="174" t="str">
        <f>IF(B107="","",IF(OR(LEFT(B107,4)="Cash",LEFT(B107,4)="Prov"),0,SUMIFS('Input_APM (Zenith)'!N:N,'Input_APM (Zenith)'!L:L,'Check (Zenith)'!B107,'Input_APM (Zenith)'!M:M,'Check (Zenith)'!$C$1)))</f>
        <v/>
      </c>
      <c r="D107" s="174" t="str">
        <f>IF(B107="","",IF(OR(LEFT(B107,4)="Cash",LEFT(B107,4)="Prov"),0,SUMIFS('Input_APM (Zenith)'!N:N,'Input_APM (Zenith)'!L:L,'Check (Zenith)'!B107,'Input_APM (Zenith)'!M:M,'Check (Zenith)'!$D$1)))</f>
        <v/>
      </c>
      <c r="E107" s="174" t="str">
        <f t="shared" si="2"/>
        <v/>
      </c>
    </row>
    <row r="108" spans="3:5">
      <c r="C108" s="174" t="str">
        <f>IF(B108="","",IF(OR(LEFT(B108,4)="Cash",LEFT(B108,4)="Prov"),0,SUMIFS('Input_APM (Zenith)'!N:N,'Input_APM (Zenith)'!L:L,'Check (Zenith)'!B108,'Input_APM (Zenith)'!M:M,'Check (Zenith)'!$C$1)))</f>
        <v/>
      </c>
      <c r="D108" s="174" t="str">
        <f>IF(B108="","",IF(OR(LEFT(B108,4)="Cash",LEFT(B108,4)="Prov"),0,SUMIFS('Input_APM (Zenith)'!N:N,'Input_APM (Zenith)'!L:L,'Check (Zenith)'!B108,'Input_APM (Zenith)'!M:M,'Check (Zenith)'!$D$1)))</f>
        <v/>
      </c>
      <c r="E108" s="174" t="str">
        <f t="shared" si="2"/>
        <v/>
      </c>
    </row>
    <row r="109" spans="3:5">
      <c r="C109" s="174" t="str">
        <f>IF(B109="","",IF(OR(LEFT(B109,4)="Cash",LEFT(B109,4)="Prov"),0,SUMIFS('Input_APM (Zenith)'!N:N,'Input_APM (Zenith)'!L:L,'Check (Zenith)'!B109,'Input_APM (Zenith)'!M:M,'Check (Zenith)'!$C$1)))</f>
        <v/>
      </c>
      <c r="D109" s="174" t="str">
        <f>IF(B109="","",IF(OR(LEFT(B109,4)="Cash",LEFT(B109,4)="Prov"),0,SUMIFS('Input_APM (Zenith)'!N:N,'Input_APM (Zenith)'!L:L,'Check (Zenith)'!B109,'Input_APM (Zenith)'!M:M,'Check (Zenith)'!$D$1)))</f>
        <v/>
      </c>
      <c r="E109" s="174" t="str">
        <f t="shared" si="2"/>
        <v/>
      </c>
    </row>
    <row r="110" spans="3:5">
      <c r="C110" s="174" t="str">
        <f>IF(B110="","",IF(OR(LEFT(B110,4)="Cash",LEFT(B110,4)="Prov"),0,SUMIFS('Input_APM (Zenith)'!N:N,'Input_APM (Zenith)'!L:L,'Check (Zenith)'!B110,'Input_APM (Zenith)'!M:M,'Check (Zenith)'!$C$1)))</f>
        <v/>
      </c>
      <c r="D110" s="174" t="str">
        <f>IF(B110="","",IF(OR(LEFT(B110,4)="Cash",LEFT(B110,4)="Prov"),0,SUMIFS('Input_APM (Zenith)'!N:N,'Input_APM (Zenith)'!L:L,'Check (Zenith)'!B110,'Input_APM (Zenith)'!M:M,'Check (Zenith)'!$D$1)))</f>
        <v/>
      </c>
      <c r="E110" s="174" t="str">
        <f t="shared" si="2"/>
        <v/>
      </c>
    </row>
    <row r="111" spans="3:5">
      <c r="C111" s="174" t="str">
        <f>IF(B111="","",IF(OR(LEFT(B111,4)="Cash",LEFT(B111,4)="Prov"),0,SUMIFS('Input_APM (Zenith)'!N:N,'Input_APM (Zenith)'!L:L,'Check (Zenith)'!B111,'Input_APM (Zenith)'!M:M,'Check (Zenith)'!$C$1)))</f>
        <v/>
      </c>
      <c r="D111" s="174" t="str">
        <f>IF(B111="","",IF(OR(LEFT(B111,4)="Cash",LEFT(B111,4)="Prov"),0,SUMIFS('Input_APM (Zenith)'!N:N,'Input_APM (Zenith)'!L:L,'Check (Zenith)'!B111,'Input_APM (Zenith)'!M:M,'Check (Zenith)'!$D$1)))</f>
        <v/>
      </c>
      <c r="E111" s="174" t="str">
        <f t="shared" si="2"/>
        <v/>
      </c>
    </row>
    <row r="112" spans="3:5">
      <c r="C112" s="174" t="str">
        <f>IF(B112="","",IF(OR(LEFT(B112,4)="Cash",LEFT(B112,4)="Prov"),0,SUMIFS('Input_APM (Zenith)'!N:N,'Input_APM (Zenith)'!L:L,'Check (Zenith)'!B112,'Input_APM (Zenith)'!M:M,'Check (Zenith)'!$C$1)))</f>
        <v/>
      </c>
      <c r="D112" s="174" t="str">
        <f>IF(B112="","",IF(OR(LEFT(B112,4)="Cash",LEFT(B112,4)="Prov"),0,SUMIFS('Input_APM (Zenith)'!N:N,'Input_APM (Zenith)'!L:L,'Check (Zenith)'!B112,'Input_APM (Zenith)'!M:M,'Check (Zenith)'!$D$1)))</f>
        <v/>
      </c>
      <c r="E112" s="174" t="str">
        <f t="shared" si="2"/>
        <v/>
      </c>
    </row>
    <row r="113" spans="3:5">
      <c r="C113" s="174" t="str">
        <f>IF(B113="","",IF(OR(LEFT(B113,4)="Cash",LEFT(B113,4)="Prov"),0,SUMIFS('Input_APM (Zenith)'!N:N,'Input_APM (Zenith)'!L:L,'Check (Zenith)'!B113,'Input_APM (Zenith)'!M:M,'Check (Zenith)'!$C$1)))</f>
        <v/>
      </c>
      <c r="D113" s="174" t="str">
        <f>IF(B113="","",IF(OR(LEFT(B113,4)="Cash",LEFT(B113,4)="Prov"),0,SUMIFS('Input_APM (Zenith)'!N:N,'Input_APM (Zenith)'!L:L,'Check (Zenith)'!B113,'Input_APM (Zenith)'!M:M,'Check (Zenith)'!$D$1)))</f>
        <v/>
      </c>
      <c r="E113" s="174" t="str">
        <f t="shared" si="2"/>
        <v/>
      </c>
    </row>
    <row r="114" spans="3:5">
      <c r="C114" s="174" t="str">
        <f>IF(B114="","",IF(OR(LEFT(B114,4)="Cash",LEFT(B114,4)="Prov"),0,SUMIFS('Input_APM (Zenith)'!N:N,'Input_APM (Zenith)'!L:L,'Check (Zenith)'!B114,'Input_APM (Zenith)'!M:M,'Check (Zenith)'!$C$1)))</f>
        <v/>
      </c>
      <c r="D114" s="174" t="str">
        <f>IF(B114="","",IF(OR(LEFT(B114,4)="Cash",LEFT(B114,4)="Prov"),0,SUMIFS('Input_APM (Zenith)'!N:N,'Input_APM (Zenith)'!L:L,'Check (Zenith)'!B114,'Input_APM (Zenith)'!M:M,'Check (Zenith)'!$D$1)))</f>
        <v/>
      </c>
      <c r="E114" s="174" t="str">
        <f t="shared" si="2"/>
        <v/>
      </c>
    </row>
    <row r="115" spans="3:5">
      <c r="C115" s="174" t="str">
        <f>IF(B115="","",IF(OR(LEFT(B115,4)="Cash",LEFT(B115,4)="Prov"),0,SUMIFS('Input_APM (Zenith)'!N:N,'Input_APM (Zenith)'!L:L,'Check (Zenith)'!B115,'Input_APM (Zenith)'!M:M,'Check (Zenith)'!$C$1)))</f>
        <v/>
      </c>
      <c r="D115" s="174" t="str">
        <f>IF(B115="","",IF(OR(LEFT(B115,4)="Cash",LEFT(B115,4)="Prov"),0,SUMIFS('Input_APM (Zenith)'!N:N,'Input_APM (Zenith)'!L:L,'Check (Zenith)'!B115,'Input_APM (Zenith)'!M:M,'Check (Zenith)'!$D$1)))</f>
        <v/>
      </c>
      <c r="E115" s="174" t="str">
        <f t="shared" si="2"/>
        <v/>
      </c>
    </row>
    <row r="116" spans="3:5">
      <c r="C116" s="174" t="str">
        <f>IF(B116="","",IF(OR(LEFT(B116,4)="Cash",LEFT(B116,4)="Prov"),0,SUMIFS('Input_APM (Zenith)'!N:N,'Input_APM (Zenith)'!L:L,'Check (Zenith)'!B116,'Input_APM (Zenith)'!M:M,'Check (Zenith)'!$C$1)))</f>
        <v/>
      </c>
      <c r="D116" s="174" t="str">
        <f>IF(B116="","",IF(OR(LEFT(B116,4)="Cash",LEFT(B116,4)="Prov"),0,SUMIFS('Input_APM (Zenith)'!N:N,'Input_APM (Zenith)'!L:L,'Check (Zenith)'!B116,'Input_APM (Zenith)'!M:M,'Check (Zenith)'!$D$1)))</f>
        <v/>
      </c>
      <c r="E116" s="174" t="str">
        <f t="shared" si="2"/>
        <v/>
      </c>
    </row>
    <row r="117" spans="3:5">
      <c r="C117" s="174" t="str">
        <f>IF(B117="","",IF(OR(LEFT(B117,4)="Cash",LEFT(B117,4)="Prov"),0,SUMIFS('Input_APM (Zenith)'!N:N,'Input_APM (Zenith)'!L:L,'Check (Zenith)'!B117,'Input_APM (Zenith)'!M:M,'Check (Zenith)'!$C$1)))</f>
        <v/>
      </c>
      <c r="D117" s="174" t="str">
        <f>IF(B117="","",IF(OR(LEFT(B117,4)="Cash",LEFT(B117,4)="Prov"),0,SUMIFS('Input_APM (Zenith)'!N:N,'Input_APM (Zenith)'!L:L,'Check (Zenith)'!B117,'Input_APM (Zenith)'!M:M,'Check (Zenith)'!$D$1)))</f>
        <v/>
      </c>
      <c r="E117" s="174" t="str">
        <f t="shared" si="2"/>
        <v/>
      </c>
    </row>
    <row r="118" spans="3:5">
      <c r="C118" s="174" t="str">
        <f>IF(B118="","",IF(OR(LEFT(B118,4)="Cash",LEFT(B118,4)="Prov"),0,SUMIFS('Input_APM (Zenith)'!N:N,'Input_APM (Zenith)'!L:L,'Check (Zenith)'!B118,'Input_APM (Zenith)'!M:M,'Check (Zenith)'!$C$1)))</f>
        <v/>
      </c>
      <c r="D118" s="174" t="str">
        <f>IF(B118="","",IF(OR(LEFT(B118,4)="Cash",LEFT(B118,4)="Prov"),0,SUMIFS('Input_APM (Zenith)'!N:N,'Input_APM (Zenith)'!L:L,'Check (Zenith)'!B118,'Input_APM (Zenith)'!M:M,'Check (Zenith)'!$D$1)))</f>
        <v/>
      </c>
      <c r="E118" s="174" t="str">
        <f t="shared" si="2"/>
        <v/>
      </c>
    </row>
    <row r="119" spans="3:5">
      <c r="C119" s="174" t="str">
        <f>IF(B119="","",IF(OR(LEFT(B119,4)="Cash",LEFT(B119,4)="Prov"),0,SUMIFS('Input_APM (Zenith)'!N:N,'Input_APM (Zenith)'!L:L,'Check (Zenith)'!B119,'Input_APM (Zenith)'!M:M,'Check (Zenith)'!$C$1)))</f>
        <v/>
      </c>
      <c r="D119" s="174" t="str">
        <f>IF(B119="","",IF(OR(LEFT(B119,4)="Cash",LEFT(B119,4)="Prov"),0,SUMIFS('Input_APM (Zenith)'!N:N,'Input_APM (Zenith)'!L:L,'Check (Zenith)'!B119,'Input_APM (Zenith)'!M:M,'Check (Zenith)'!$D$1)))</f>
        <v/>
      </c>
      <c r="E119" s="174" t="str">
        <f t="shared" si="2"/>
        <v/>
      </c>
    </row>
    <row r="120" spans="3:5">
      <c r="C120" s="174" t="str">
        <f>IF(B120="","",IF(OR(LEFT(B120,4)="Cash",LEFT(B120,4)="Prov"),0,SUMIFS('Input_APM (Zenith)'!N:N,'Input_APM (Zenith)'!L:L,'Check (Zenith)'!B120,'Input_APM (Zenith)'!M:M,'Check (Zenith)'!$C$1)))</f>
        <v/>
      </c>
      <c r="D120" s="174" t="str">
        <f>IF(B120="","",IF(OR(LEFT(B120,4)="Cash",LEFT(B120,4)="Prov"),0,SUMIFS('Input_APM (Zenith)'!N:N,'Input_APM (Zenith)'!L:L,'Check (Zenith)'!B120,'Input_APM (Zenith)'!M:M,'Check (Zenith)'!$D$1)))</f>
        <v/>
      </c>
      <c r="E120" s="174" t="str">
        <f t="shared" si="2"/>
        <v/>
      </c>
    </row>
    <row r="121" spans="3:5">
      <c r="C121" s="174" t="str">
        <f>IF(B121="","",IF(OR(LEFT(B121,4)="Cash",LEFT(B121,4)="Prov"),0,SUMIFS('Input_APM (Zenith)'!N:N,'Input_APM (Zenith)'!L:L,'Check (Zenith)'!B121,'Input_APM (Zenith)'!M:M,'Check (Zenith)'!$C$1)))</f>
        <v/>
      </c>
      <c r="D121" s="174" t="str">
        <f>IF(B121="","",IF(OR(LEFT(B121,4)="Cash",LEFT(B121,4)="Prov"),0,SUMIFS('Input_APM (Zenith)'!N:N,'Input_APM (Zenith)'!L:L,'Check (Zenith)'!B121,'Input_APM (Zenith)'!M:M,'Check (Zenith)'!$D$1)))</f>
        <v/>
      </c>
      <c r="E121" s="174" t="str">
        <f t="shared" si="2"/>
        <v/>
      </c>
    </row>
    <row r="122" spans="3:5">
      <c r="C122" s="174" t="str">
        <f>IF(B122="","",IF(OR(LEFT(B122,4)="Cash",LEFT(B122,4)="Prov"),0,SUMIFS('Input_APM (Zenith)'!N:N,'Input_APM (Zenith)'!L:L,'Check (Zenith)'!B122,'Input_APM (Zenith)'!M:M,'Check (Zenith)'!$C$1)))</f>
        <v/>
      </c>
      <c r="D122" s="174" t="str">
        <f>IF(B122="","",IF(OR(LEFT(B122,4)="Cash",LEFT(B122,4)="Prov"),0,SUMIFS('Input_APM (Zenith)'!N:N,'Input_APM (Zenith)'!L:L,'Check (Zenith)'!B122,'Input_APM (Zenith)'!M:M,'Check (Zenith)'!$D$1)))</f>
        <v/>
      </c>
      <c r="E122" s="174" t="str">
        <f t="shared" si="2"/>
        <v/>
      </c>
    </row>
    <row r="123" spans="3:5">
      <c r="C123" s="174" t="str">
        <f>IF(B123="","",IF(OR(LEFT(B123,4)="Cash",LEFT(B123,4)="Prov"),0,SUMIFS('Input_APM (Zenith)'!N:N,'Input_APM (Zenith)'!L:L,'Check (Zenith)'!B123,'Input_APM (Zenith)'!M:M,'Check (Zenith)'!$C$1)))</f>
        <v/>
      </c>
      <c r="D123" s="174" t="str">
        <f>IF(B123="","",IF(OR(LEFT(B123,4)="Cash",LEFT(B123,4)="Prov"),0,SUMIFS('Input_APM (Zenith)'!N:N,'Input_APM (Zenith)'!L:L,'Check (Zenith)'!B123,'Input_APM (Zenith)'!M:M,'Check (Zenith)'!$D$1)))</f>
        <v/>
      </c>
      <c r="E123" s="174" t="str">
        <f t="shared" si="2"/>
        <v/>
      </c>
    </row>
    <row r="124" spans="3:5">
      <c r="C124" s="174" t="str">
        <f>IF(B124="","",IF(OR(LEFT(B124,4)="Cash",LEFT(B124,4)="Prov"),0,SUMIFS('Input_APM (Zenith)'!N:N,'Input_APM (Zenith)'!L:L,'Check (Zenith)'!B124,'Input_APM (Zenith)'!M:M,'Check (Zenith)'!$C$1)))</f>
        <v/>
      </c>
      <c r="D124" s="174" t="str">
        <f>IF(B124="","",IF(OR(LEFT(B124,4)="Cash",LEFT(B124,4)="Prov"),0,SUMIFS('Input_APM (Zenith)'!N:N,'Input_APM (Zenith)'!L:L,'Check (Zenith)'!B124,'Input_APM (Zenith)'!M:M,'Check (Zenith)'!$D$1)))</f>
        <v/>
      </c>
      <c r="E124" s="174" t="str">
        <f t="shared" si="2"/>
        <v/>
      </c>
    </row>
    <row r="125" spans="3:5">
      <c r="C125" s="174" t="str">
        <f>IF(B125="","",IF(OR(LEFT(B125,4)="Cash",LEFT(B125,4)="Prov"),0,SUMIFS('Input_APM (Zenith)'!N:N,'Input_APM (Zenith)'!L:L,'Check (Zenith)'!B125,'Input_APM (Zenith)'!M:M,'Check (Zenith)'!$C$1)))</f>
        <v/>
      </c>
      <c r="D125" s="174" t="str">
        <f>IF(B125="","",IF(OR(LEFT(B125,4)="Cash",LEFT(B125,4)="Prov"),0,SUMIFS('Input_APM (Zenith)'!N:N,'Input_APM (Zenith)'!L:L,'Check (Zenith)'!B125,'Input_APM (Zenith)'!M:M,'Check (Zenith)'!$D$1)))</f>
        <v/>
      </c>
      <c r="E125" s="174" t="str">
        <f t="shared" si="2"/>
        <v/>
      </c>
    </row>
    <row r="126" spans="3:5">
      <c r="C126" s="174" t="str">
        <f>IF(B126="","",IF(OR(LEFT(B126,4)="Cash",LEFT(B126,4)="Prov"),0,SUMIFS('Input_APM (Zenith)'!N:N,'Input_APM (Zenith)'!L:L,'Check (Zenith)'!B126,'Input_APM (Zenith)'!M:M,'Check (Zenith)'!$C$1)))</f>
        <v/>
      </c>
      <c r="D126" s="174" t="str">
        <f>IF(B126="","",IF(OR(LEFT(B126,4)="Cash",LEFT(B126,4)="Prov"),0,SUMIFS('Input_APM (Zenith)'!N:N,'Input_APM (Zenith)'!L:L,'Check (Zenith)'!B126,'Input_APM (Zenith)'!M:M,'Check (Zenith)'!$D$1)))</f>
        <v/>
      </c>
      <c r="E126" s="174" t="str">
        <f t="shared" si="2"/>
        <v/>
      </c>
    </row>
    <row r="127" spans="3:5">
      <c r="C127" s="174" t="str">
        <f>IF(B127="","",IF(OR(LEFT(B127,4)="Cash",LEFT(B127,4)="Prov"),0,SUMIFS('Input_APM (Zenith)'!N:N,'Input_APM (Zenith)'!L:L,'Check (Zenith)'!B127,'Input_APM (Zenith)'!M:M,'Check (Zenith)'!$C$1)))</f>
        <v/>
      </c>
      <c r="D127" s="174" t="str">
        <f>IF(B127="","",IF(OR(LEFT(B127,4)="Cash",LEFT(B127,4)="Prov"),0,SUMIFS('Input_APM (Zenith)'!N:N,'Input_APM (Zenith)'!L:L,'Check (Zenith)'!B127,'Input_APM (Zenith)'!M:M,'Check (Zenith)'!$D$1)))</f>
        <v/>
      </c>
      <c r="E127" s="174" t="str">
        <f t="shared" si="2"/>
        <v/>
      </c>
    </row>
    <row r="128" spans="3:5">
      <c r="C128" s="174" t="str">
        <f>IF(B128="","",IF(OR(LEFT(B128,4)="Cash",LEFT(B128,4)="Prov"),0,SUMIFS('Input_APM (Zenith)'!N:N,'Input_APM (Zenith)'!L:L,'Check (Zenith)'!B128,'Input_APM (Zenith)'!M:M,'Check (Zenith)'!$C$1)))</f>
        <v/>
      </c>
      <c r="D128" s="174" t="str">
        <f>IF(B128="","",IF(OR(LEFT(B128,4)="Cash",LEFT(B128,4)="Prov"),0,SUMIFS('Input_APM (Zenith)'!N:N,'Input_APM (Zenith)'!L:L,'Check (Zenith)'!B128,'Input_APM (Zenith)'!M:M,'Check (Zenith)'!$D$1)))</f>
        <v/>
      </c>
      <c r="E128" s="174" t="str">
        <f t="shared" si="2"/>
        <v/>
      </c>
    </row>
    <row r="129" spans="3:5">
      <c r="C129" s="174" t="str">
        <f>IF(B129="","",IF(OR(LEFT(B129,4)="Cash",LEFT(B129,4)="Prov"),0,SUMIFS('Input_APM (Zenith)'!N:N,'Input_APM (Zenith)'!L:L,'Check (Zenith)'!B129,'Input_APM (Zenith)'!M:M,'Check (Zenith)'!$C$1)))</f>
        <v/>
      </c>
      <c r="D129" s="174" t="str">
        <f>IF(B129="","",IF(OR(LEFT(B129,4)="Cash",LEFT(B129,4)="Prov"),0,SUMIFS('Input_APM (Zenith)'!N:N,'Input_APM (Zenith)'!L:L,'Check (Zenith)'!B129,'Input_APM (Zenith)'!M:M,'Check (Zenith)'!$D$1)))</f>
        <v/>
      </c>
      <c r="E129" s="174" t="str">
        <f t="shared" si="2"/>
        <v/>
      </c>
    </row>
    <row r="130" spans="3:5">
      <c r="C130" s="174" t="str">
        <f>IF(B130="","",IF(OR(LEFT(B130,4)="Cash",LEFT(B130,4)="Prov"),0,SUMIFS('Input_APM (Zenith)'!N:N,'Input_APM (Zenith)'!L:L,'Check (Zenith)'!B130,'Input_APM (Zenith)'!M:M,'Check (Zenith)'!$C$1)))</f>
        <v/>
      </c>
      <c r="D130" s="174" t="str">
        <f>IF(B130="","",IF(OR(LEFT(B130,4)="Cash",LEFT(B130,4)="Prov"),0,SUMIFS('Input_APM (Zenith)'!N:N,'Input_APM (Zenith)'!L:L,'Check (Zenith)'!B130,'Input_APM (Zenith)'!M:M,'Check (Zenith)'!$D$1)))</f>
        <v/>
      </c>
      <c r="E130" s="174" t="str">
        <f t="shared" si="2"/>
        <v/>
      </c>
    </row>
    <row r="131" spans="3:5">
      <c r="C131" s="174" t="str">
        <f>IF(B131="","",IF(OR(LEFT(B131,4)="Cash",LEFT(B131,4)="Prov"),0,SUMIFS('Input_APM (Zenith)'!N:N,'Input_APM (Zenith)'!L:L,'Check (Zenith)'!B131,'Input_APM (Zenith)'!M:M,'Check (Zenith)'!$C$1)))</f>
        <v/>
      </c>
      <c r="D131" s="174" t="str">
        <f>IF(B131="","",IF(OR(LEFT(B131,4)="Cash",LEFT(B131,4)="Prov"),0,SUMIFS('Input_APM (Zenith)'!N:N,'Input_APM (Zenith)'!L:L,'Check (Zenith)'!B131,'Input_APM (Zenith)'!M:M,'Check (Zenith)'!$D$1)))</f>
        <v/>
      </c>
      <c r="E131" s="174" t="str">
        <f t="shared" si="2"/>
        <v/>
      </c>
    </row>
    <row r="132" spans="3:5">
      <c r="C132" s="174" t="str">
        <f>IF(B132="","",IF(OR(LEFT(B132,4)="Cash",LEFT(B132,4)="Prov"),0,SUMIFS('Input_APM (Zenith)'!N:N,'Input_APM (Zenith)'!L:L,'Check (Zenith)'!B132,'Input_APM (Zenith)'!M:M,'Check (Zenith)'!$C$1)))</f>
        <v/>
      </c>
      <c r="D132" s="174" t="str">
        <f>IF(B132="","",IF(OR(LEFT(B132,4)="Cash",LEFT(B132,4)="Prov"),0,SUMIFS('Input_APM (Zenith)'!N:N,'Input_APM (Zenith)'!L:L,'Check (Zenith)'!B132,'Input_APM (Zenith)'!M:M,'Check (Zenith)'!$D$1)))</f>
        <v/>
      </c>
      <c r="E132" s="174" t="str">
        <f t="shared" si="2"/>
        <v/>
      </c>
    </row>
    <row r="133" spans="3:5">
      <c r="C133" s="174" t="str">
        <f>IF(B133="","",IF(OR(LEFT(B133,4)="Cash",LEFT(B133,4)="Prov"),0,SUMIFS('Input_APM (Zenith)'!N:N,'Input_APM (Zenith)'!L:L,'Check (Zenith)'!B133,'Input_APM (Zenith)'!M:M,'Check (Zenith)'!$C$1)))</f>
        <v/>
      </c>
      <c r="D133" s="174" t="str">
        <f>IF(B133="","",IF(OR(LEFT(B133,4)="Cash",LEFT(B133,4)="Prov"),0,SUMIFS('Input_APM (Zenith)'!N:N,'Input_APM (Zenith)'!L:L,'Check (Zenith)'!B133,'Input_APM (Zenith)'!M:M,'Check (Zenith)'!$D$1)))</f>
        <v/>
      </c>
      <c r="E133" s="174" t="str">
        <f t="shared" si="2"/>
        <v/>
      </c>
    </row>
    <row r="134" spans="3:5">
      <c r="C134" s="174" t="str">
        <f>IF(B134="","",IF(OR(LEFT(B134,4)="Cash",LEFT(B134,4)="Prov"),0,SUMIFS('Input_APM (Zenith)'!N:N,'Input_APM (Zenith)'!L:L,'Check (Zenith)'!B134,'Input_APM (Zenith)'!M:M,'Check (Zenith)'!$C$1)))</f>
        <v/>
      </c>
      <c r="D134" s="174" t="str">
        <f>IF(B134="","",IF(OR(LEFT(B134,4)="Cash",LEFT(B134,4)="Prov"),0,SUMIFS('Input_APM (Zenith)'!N:N,'Input_APM (Zenith)'!L:L,'Check (Zenith)'!B134,'Input_APM (Zenith)'!M:M,'Check (Zenith)'!$D$1)))</f>
        <v/>
      </c>
      <c r="E134" s="174" t="str">
        <f t="shared" si="2"/>
        <v/>
      </c>
    </row>
    <row r="135" spans="3:5">
      <c r="C135" s="174" t="str">
        <f>IF(B135="","",IF(OR(LEFT(B135,4)="Cash",LEFT(B135,4)="Prov"),0,SUMIFS('Input_APM (Zenith)'!N:N,'Input_APM (Zenith)'!L:L,'Check (Zenith)'!B135,'Input_APM (Zenith)'!M:M,'Check (Zenith)'!$C$1)))</f>
        <v/>
      </c>
      <c r="D135" s="174" t="str">
        <f>IF(B135="","",IF(OR(LEFT(B135,4)="Cash",LEFT(B135,4)="Prov"),0,SUMIFS('Input_APM (Zenith)'!N:N,'Input_APM (Zenith)'!L:L,'Check (Zenith)'!B135,'Input_APM (Zenith)'!M:M,'Check (Zenith)'!$D$1)))</f>
        <v/>
      </c>
      <c r="E135" s="174" t="str">
        <f t="shared" si="2"/>
        <v/>
      </c>
    </row>
    <row r="136" spans="3:5">
      <c r="C136" s="174" t="str">
        <f>IF(B136="","",IF(OR(LEFT(B136,4)="Cash",LEFT(B136,4)="Prov"),0,SUMIFS('Input_APM (Zenith)'!N:N,'Input_APM (Zenith)'!L:L,'Check (Zenith)'!B136,'Input_APM (Zenith)'!M:M,'Check (Zenith)'!$C$1)))</f>
        <v/>
      </c>
      <c r="D136" s="174" t="str">
        <f>IF(B136="","",IF(OR(LEFT(B136,4)="Cash",LEFT(B136,4)="Prov"),0,SUMIFS('Input_APM (Zenith)'!N:N,'Input_APM (Zenith)'!L:L,'Check (Zenith)'!B136,'Input_APM (Zenith)'!M:M,'Check (Zenith)'!$D$1)))</f>
        <v/>
      </c>
      <c r="E136" s="174" t="str">
        <f t="shared" si="2"/>
        <v/>
      </c>
    </row>
    <row r="137" spans="3:5">
      <c r="C137" s="174" t="str">
        <f>IF(B137="","",IF(OR(LEFT(B137,4)="Cash",LEFT(B137,4)="Prov"),0,SUMIFS('Input_APM (Zenith)'!N:N,'Input_APM (Zenith)'!L:L,'Check (Zenith)'!B137,'Input_APM (Zenith)'!M:M,'Check (Zenith)'!$C$1)))</f>
        <v/>
      </c>
      <c r="D137" s="174" t="str">
        <f>IF(B137="","",IF(OR(LEFT(B137,4)="Cash",LEFT(B137,4)="Prov"),0,SUMIFS('Input_APM (Zenith)'!N:N,'Input_APM (Zenith)'!L:L,'Check (Zenith)'!B137,'Input_APM (Zenith)'!M:M,'Check (Zenith)'!$D$1)))</f>
        <v/>
      </c>
      <c r="E137" s="174" t="str">
        <f t="shared" si="2"/>
        <v/>
      </c>
    </row>
    <row r="138" spans="3:5">
      <c r="C138" s="174" t="str">
        <f>IF(B138="","",IF(OR(LEFT(B138,4)="Cash",LEFT(B138,4)="Prov"),0,SUMIFS('Input_APM (Zenith)'!N:N,'Input_APM (Zenith)'!L:L,'Check (Zenith)'!B138,'Input_APM (Zenith)'!M:M,'Check (Zenith)'!$C$1)))</f>
        <v/>
      </c>
      <c r="D138" s="174" t="str">
        <f>IF(B138="","",IF(OR(LEFT(B138,4)="Cash",LEFT(B138,4)="Prov"),0,SUMIFS('Input_APM (Zenith)'!N:N,'Input_APM (Zenith)'!L:L,'Check (Zenith)'!B138,'Input_APM (Zenith)'!M:M,'Check (Zenith)'!$D$1)))</f>
        <v/>
      </c>
      <c r="E138" s="174" t="str">
        <f t="shared" si="2"/>
        <v/>
      </c>
    </row>
    <row r="139" spans="3:5">
      <c r="C139" s="174" t="str">
        <f>IF(B139="","",IF(OR(LEFT(B139,4)="Cash",LEFT(B139,4)="Prov"),0,SUMIFS('Input_APM (Zenith)'!N:N,'Input_APM (Zenith)'!L:L,'Check (Zenith)'!B139,'Input_APM (Zenith)'!M:M,'Check (Zenith)'!$C$1)))</f>
        <v/>
      </c>
      <c r="D139" s="174" t="str">
        <f>IF(B139="","",IF(OR(LEFT(B139,4)="Cash",LEFT(B139,4)="Prov"),0,SUMIFS('Input_APM (Zenith)'!N:N,'Input_APM (Zenith)'!L:L,'Check (Zenith)'!B139,'Input_APM (Zenith)'!M:M,'Check (Zenith)'!$D$1)))</f>
        <v/>
      </c>
      <c r="E139" s="174" t="str">
        <f t="shared" si="2"/>
        <v/>
      </c>
    </row>
    <row r="140" spans="3:5">
      <c r="C140" s="174" t="str">
        <f>IF(B140="","",IF(OR(LEFT(B140,4)="Cash",LEFT(B140,4)="Prov"),0,SUMIFS('Input_APM (Zenith)'!N:N,'Input_APM (Zenith)'!L:L,'Check (Zenith)'!B140,'Input_APM (Zenith)'!M:M,'Check (Zenith)'!$C$1)))</f>
        <v/>
      </c>
      <c r="D140" s="174" t="str">
        <f>IF(B140="","",IF(OR(LEFT(B140,4)="Cash",LEFT(B140,4)="Prov"),0,SUMIFS('Input_APM (Zenith)'!N:N,'Input_APM (Zenith)'!L:L,'Check (Zenith)'!B140,'Input_APM (Zenith)'!M:M,'Check (Zenith)'!$D$1)))</f>
        <v/>
      </c>
      <c r="E140" s="174" t="str">
        <f t="shared" si="2"/>
        <v/>
      </c>
    </row>
    <row r="141" spans="3:5">
      <c r="C141" s="174" t="str">
        <f>IF(B141="","",IF(OR(LEFT(B141,4)="Cash",LEFT(B141,4)="Prov"),0,SUMIFS('Input_APM (Zenith)'!N:N,'Input_APM (Zenith)'!L:L,'Check (Zenith)'!B141,'Input_APM (Zenith)'!M:M,'Check (Zenith)'!$C$1)))</f>
        <v/>
      </c>
      <c r="D141" s="174" t="str">
        <f>IF(B141="","",IF(OR(LEFT(B141,4)="Cash",LEFT(B141,4)="Prov"),0,SUMIFS('Input_APM (Zenith)'!N:N,'Input_APM (Zenith)'!L:L,'Check (Zenith)'!B141,'Input_APM (Zenith)'!M:M,'Check (Zenith)'!$D$1)))</f>
        <v/>
      </c>
      <c r="E141" s="174" t="str">
        <f t="shared" si="2"/>
        <v/>
      </c>
    </row>
    <row r="142" spans="3:5">
      <c r="C142" s="174" t="str">
        <f>IF(B142="","",IF(OR(LEFT(B142,4)="Cash",LEFT(B142,4)="Prov"),0,SUMIFS('Input_APM (Zenith)'!N:N,'Input_APM (Zenith)'!L:L,'Check (Zenith)'!B142,'Input_APM (Zenith)'!M:M,'Check (Zenith)'!$C$1)))</f>
        <v/>
      </c>
      <c r="D142" s="174" t="str">
        <f>IF(B142="","",IF(OR(LEFT(B142,4)="Cash",LEFT(B142,4)="Prov"),0,SUMIFS('Input_APM (Zenith)'!N:N,'Input_APM (Zenith)'!L:L,'Check (Zenith)'!B142,'Input_APM (Zenith)'!M:M,'Check (Zenith)'!$D$1)))</f>
        <v/>
      </c>
      <c r="E142" s="174" t="str">
        <f t="shared" si="2"/>
        <v/>
      </c>
    </row>
    <row r="143" spans="3:5">
      <c r="C143" s="174" t="str">
        <f>IF(B143="","",IF(OR(LEFT(B143,4)="Cash",LEFT(B143,4)="Prov"),0,SUMIFS('Input_APM (Zenith)'!N:N,'Input_APM (Zenith)'!L:L,'Check (Zenith)'!B143,'Input_APM (Zenith)'!M:M,'Check (Zenith)'!$C$1)))</f>
        <v/>
      </c>
      <c r="D143" s="174" t="str">
        <f>IF(B143="","",IF(OR(LEFT(B143,4)="Cash",LEFT(B143,4)="Prov"),0,SUMIFS('Input_APM (Zenith)'!N:N,'Input_APM (Zenith)'!L:L,'Check (Zenith)'!B143,'Input_APM (Zenith)'!M:M,'Check (Zenith)'!$D$1)))</f>
        <v/>
      </c>
      <c r="E143" s="174" t="str">
        <f t="shared" si="2"/>
        <v/>
      </c>
    </row>
    <row r="144" spans="3:5">
      <c r="C144" s="174" t="str">
        <f>IF(B144="","",IF(OR(LEFT(B144,4)="Cash",LEFT(B144,4)="Prov"),0,SUMIFS('Input_APM (Zenith)'!N:N,'Input_APM (Zenith)'!L:L,'Check (Zenith)'!B144,'Input_APM (Zenith)'!M:M,'Check (Zenith)'!$C$1)))</f>
        <v/>
      </c>
      <c r="D144" s="174" t="str">
        <f>IF(B144="","",IF(OR(LEFT(B144,4)="Cash",LEFT(B144,4)="Prov"),0,SUMIFS('Input_APM (Zenith)'!N:N,'Input_APM (Zenith)'!L:L,'Check (Zenith)'!B144,'Input_APM (Zenith)'!M:M,'Check (Zenith)'!$D$1)))</f>
        <v/>
      </c>
      <c r="E144" s="174" t="str">
        <f t="shared" si="2"/>
        <v/>
      </c>
    </row>
    <row r="145" spans="3:5">
      <c r="C145" s="174" t="str">
        <f>IF(B145="","",IF(OR(LEFT(B145,4)="Cash",LEFT(B145,4)="Prov"),0,SUMIFS('Input_APM (Zenith)'!N:N,'Input_APM (Zenith)'!L:L,'Check (Zenith)'!B145,'Input_APM (Zenith)'!M:M,'Check (Zenith)'!$C$1)))</f>
        <v/>
      </c>
      <c r="D145" s="174" t="str">
        <f>IF(B145="","",IF(OR(LEFT(B145,4)="Cash",LEFT(B145,4)="Prov"),0,SUMIFS('Input_APM (Zenith)'!N:N,'Input_APM (Zenith)'!L:L,'Check (Zenith)'!B145,'Input_APM (Zenith)'!M:M,'Check (Zenith)'!$D$1)))</f>
        <v/>
      </c>
      <c r="E145" s="174" t="str">
        <f t="shared" si="2"/>
        <v/>
      </c>
    </row>
    <row r="146" spans="3:5">
      <c r="C146" s="174" t="str">
        <f>IF(B146="","",IF(OR(LEFT(B146,4)="Cash",LEFT(B146,4)="Prov"),0,SUMIFS('Input_APM (Zenith)'!N:N,'Input_APM (Zenith)'!L:L,'Check (Zenith)'!B146,'Input_APM (Zenith)'!M:M,'Check (Zenith)'!$C$1)))</f>
        <v/>
      </c>
      <c r="D146" s="174" t="str">
        <f>IF(B146="","",IF(OR(LEFT(B146,4)="Cash",LEFT(B146,4)="Prov"),0,SUMIFS('Input_APM (Zenith)'!N:N,'Input_APM (Zenith)'!L:L,'Check (Zenith)'!B146,'Input_APM (Zenith)'!M:M,'Check (Zenith)'!$D$1)))</f>
        <v/>
      </c>
      <c r="E146" s="174" t="str">
        <f t="shared" ref="E146:E151" si="3">IF(B146="","",C146-D146)</f>
        <v/>
      </c>
    </row>
    <row r="147" spans="3:5">
      <c r="C147" s="174" t="str">
        <f>IF(B147="","",IF(OR(LEFT(B147,4)="Cash",LEFT(B147,4)="Prov"),0,SUMIFS('Input_APM (Zenith)'!N:N,'Input_APM (Zenith)'!L:L,'Check (Zenith)'!B147,'Input_APM (Zenith)'!M:M,'Check (Zenith)'!$C$1)))</f>
        <v/>
      </c>
      <c r="D147" s="174" t="str">
        <f>IF(B147="","",IF(OR(LEFT(B147,4)="Cash",LEFT(B147,4)="Prov"),0,SUMIFS('Input_APM (Zenith)'!N:N,'Input_APM (Zenith)'!L:L,'Check (Zenith)'!B147,'Input_APM (Zenith)'!M:M,'Check (Zenith)'!$D$1)))</f>
        <v/>
      </c>
      <c r="E147" s="174" t="str">
        <f t="shared" si="3"/>
        <v/>
      </c>
    </row>
    <row r="148" spans="3:5">
      <c r="C148" s="174" t="str">
        <f>IF(B148="","",IF(OR(LEFT(B148,4)="Cash",LEFT(B148,4)="Prov"),0,SUMIFS('Input_APM (Zenith)'!N:N,'Input_APM (Zenith)'!L:L,'Check (Zenith)'!B148,'Input_APM (Zenith)'!M:M,'Check (Zenith)'!$C$1)))</f>
        <v/>
      </c>
      <c r="D148" s="174" t="str">
        <f>IF(B148="","",IF(OR(LEFT(B148,4)="Cash",LEFT(B148,4)="Prov"),0,SUMIFS('Input_APM (Zenith)'!N:N,'Input_APM (Zenith)'!L:L,'Check (Zenith)'!B148,'Input_APM (Zenith)'!M:M,'Check (Zenith)'!$D$1)))</f>
        <v/>
      </c>
      <c r="E148" s="174" t="str">
        <f t="shared" si="3"/>
        <v/>
      </c>
    </row>
    <row r="149" spans="3:5">
      <c r="C149" s="174" t="str">
        <f>IF(B149="","",IF(OR(LEFT(B149,4)="Cash",LEFT(B149,4)="Prov"),0,SUMIFS('Input_APM (Zenith)'!N:N,'Input_APM (Zenith)'!L:L,'Check (Zenith)'!B149,'Input_APM (Zenith)'!M:M,'Check (Zenith)'!$C$1)))</f>
        <v/>
      </c>
      <c r="D149" s="174" t="str">
        <f>IF(B149="","",IF(OR(LEFT(B149,4)="Cash",LEFT(B149,4)="Prov"),0,SUMIFS('Input_APM (Zenith)'!N:N,'Input_APM (Zenith)'!L:L,'Check (Zenith)'!B149,'Input_APM (Zenith)'!M:M,'Check (Zenith)'!$D$1)))</f>
        <v/>
      </c>
      <c r="E149" s="174" t="str">
        <f t="shared" si="3"/>
        <v/>
      </c>
    </row>
    <row r="150" spans="3:5">
      <c r="C150" s="174" t="str">
        <f>IF(B150="","",IF(OR(LEFT(B150,4)="Cash",LEFT(B150,4)="Prov"),0,SUMIFS('Input_APM (Zenith)'!N:N,'Input_APM (Zenith)'!L:L,'Check (Zenith)'!B150,'Input_APM (Zenith)'!M:M,'Check (Zenith)'!$C$1)))</f>
        <v/>
      </c>
      <c r="D150" s="174" t="str">
        <f>IF(B150="","",IF(OR(LEFT(B150,4)="Cash",LEFT(B150,4)="Prov"),0,SUMIFS('Input_APM (Zenith)'!N:N,'Input_APM (Zenith)'!L:L,'Check (Zenith)'!B150,'Input_APM (Zenith)'!M:M,'Check (Zenith)'!$D$1)))</f>
        <v/>
      </c>
      <c r="E150" s="174" t="str">
        <f t="shared" si="3"/>
        <v/>
      </c>
    </row>
    <row r="151" spans="3:5">
      <c r="C151" s="174" t="str">
        <f>IF(B151="","",IF(OR(LEFT(B151,4)="Cash",LEFT(B151,4)="Prov"),0,SUMIFS('Input_APM (Zenith)'!N:N,'Input_APM (Zenith)'!L:L,'Check (Zenith)'!B151,'Input_APM (Zenith)'!M:M,'Check (Zenith)'!$C$1)))</f>
        <v/>
      </c>
      <c r="D151" s="174" t="str">
        <f>IF(B151="","",IF(OR(LEFT(B151,4)="Cash",LEFT(B151,4)="Prov"),0,SUMIFS('Input_APM (Zenith)'!N:N,'Input_APM (Zenith)'!L:L,'Check (Zenith)'!B151,'Input_APM (Zenith)'!M:M,'Check (Zenith)'!$D$1)))</f>
        <v/>
      </c>
      <c r="E151" s="174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2"/>
      <c r="B1" s="163" t="s">
        <v>265</v>
      </c>
      <c r="C1" s="164" t="s">
        <v>266</v>
      </c>
    </row>
    <row r="2" spans="1:7">
      <c r="A2" s="165" t="s">
        <v>267</v>
      </c>
      <c r="B2" s="166">
        <f ca="1">TODAY()+C2</f>
        <v>46062</v>
      </c>
      <c r="C2" s="167">
        <v>0</v>
      </c>
    </row>
    <row r="3" spans="1:7">
      <c r="A3" s="165" t="s">
        <v>268</v>
      </c>
      <c r="B3" s="191">
        <f ca="1">B2-1</f>
        <v>46061</v>
      </c>
      <c r="C3" s="168" t="s">
        <v>269</v>
      </c>
      <c r="F3" s="21" t="s">
        <v>270</v>
      </c>
      <c r="G3" s="21" t="s">
        <v>271</v>
      </c>
    </row>
    <row r="4" spans="1:7">
      <c r="A4" s="181" t="s">
        <v>272</v>
      </c>
      <c r="B4" s="183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Daniel\BooksOverviewResume08Feb2026</v>
      </c>
      <c r="C4" s="183" t="s">
        <v>269</v>
      </c>
      <c r="F4" s="21" t="s">
        <v>273</v>
      </c>
      <c r="G4" s="21" t="s">
        <v>273</v>
      </c>
    </row>
    <row r="5" spans="1:7">
      <c r="A5" s="182" t="s">
        <v>274</v>
      </c>
      <c r="B5" s="169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Daniel\BooksOverviewResume08Feb2026_zenith</v>
      </c>
      <c r="C5" s="169" t="s">
        <v>269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275</v>
      </c>
      <c r="G7" s="21" t="s">
        <v>276</v>
      </c>
    </row>
    <row r="8" spans="1:7">
      <c r="F8" s="21" t="s">
        <v>277</v>
      </c>
      <c r="G8" s="21" t="s">
        <v>276</v>
      </c>
    </row>
    <row r="9" spans="1:7">
      <c r="F9" s="21" t="s">
        <v>278</v>
      </c>
      <c r="G9" s="21" t="s">
        <v>276</v>
      </c>
    </row>
    <row r="10" spans="1:7">
      <c r="F10" t="s">
        <v>802</v>
      </c>
      <c r="G10" t="s">
        <v>439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280</v>
      </c>
      <c r="G13" s="21" t="s">
        <v>281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282</v>
      </c>
      <c r="G17" s="21" t="s">
        <v>282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70" t="s">
        <v>532</v>
      </c>
      <c r="G22" s="281" t="s">
        <v>529</v>
      </c>
    </row>
    <row r="23" spans="6:7">
      <c r="F23" s="170" t="s">
        <v>532</v>
      </c>
      <c r="G23" s="281" t="s">
        <v>529</v>
      </c>
    </row>
    <row r="24" spans="6:7">
      <c r="F24" s="170" t="s">
        <v>539</v>
      </c>
      <c r="G24" s="281" t="s">
        <v>529</v>
      </c>
    </row>
    <row r="25" spans="6:7">
      <c r="F25" s="170" t="s">
        <v>539</v>
      </c>
      <c r="G25" s="281" t="s">
        <v>529</v>
      </c>
    </row>
    <row r="26" spans="6:7">
      <c r="F26" s="170" t="s">
        <v>542</v>
      </c>
      <c r="G26" s="281" t="s">
        <v>529</v>
      </c>
    </row>
    <row r="27" spans="6:7">
      <c r="F27" s="170" t="s">
        <v>542</v>
      </c>
      <c r="G27" s="281" t="s">
        <v>529</v>
      </c>
    </row>
    <row r="28" spans="6:7">
      <c r="F28" s="170" t="s">
        <v>545</v>
      </c>
      <c r="G28" s="281" t="s">
        <v>529</v>
      </c>
    </row>
    <row r="29" spans="6:7">
      <c r="F29" s="170" t="s">
        <v>545</v>
      </c>
      <c r="G29" s="281" t="s">
        <v>529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557</v>
      </c>
      <c r="G34" s="21" t="s">
        <v>420</v>
      </c>
    </row>
    <row r="35" spans="6:7">
      <c r="F35" s="290" t="s">
        <v>556</v>
      </c>
      <c r="G35" s="134" t="s">
        <v>553</v>
      </c>
    </row>
    <row r="36" spans="6:7">
      <c r="F36" s="290" t="s">
        <v>555</v>
      </c>
      <c r="G36" s="21" t="s">
        <v>554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>
      <c r="F39" s="21" t="s">
        <v>558</v>
      </c>
      <c r="G39" s="21" t="s">
        <v>2</v>
      </c>
    </row>
    <row r="40" spans="6:7">
      <c r="F40" t="s">
        <v>78</v>
      </c>
      <c r="G40" s="21" t="s">
        <v>807</v>
      </c>
    </row>
    <row r="41" spans="6:7">
      <c r="F41" s="21" t="s">
        <v>284</v>
      </c>
      <c r="G41" s="21" t="s">
        <v>285</v>
      </c>
    </row>
    <row r="42" spans="6:7">
      <c r="F42" s="21" t="s">
        <v>286</v>
      </c>
      <c r="G42" s="21" t="s">
        <v>287</v>
      </c>
    </row>
    <row r="43" spans="6:7">
      <c r="F43" s="21" t="s">
        <v>288</v>
      </c>
      <c r="G43" s="21" t="s">
        <v>287</v>
      </c>
    </row>
    <row r="44" spans="6:7">
      <c r="F44" s="21" t="s">
        <v>289</v>
      </c>
      <c r="G44" s="21" t="s">
        <v>289</v>
      </c>
    </row>
    <row r="45" spans="6:7">
      <c r="F45" s="21" t="s">
        <v>290</v>
      </c>
      <c r="G45" s="21" t="s">
        <v>290</v>
      </c>
    </row>
    <row r="46" spans="6:7">
      <c r="F46" s="21" t="s">
        <v>252</v>
      </c>
      <c r="G46" s="21" t="s">
        <v>29</v>
      </c>
    </row>
    <row r="47" spans="6:7">
      <c r="F47" s="21" t="s">
        <v>291</v>
      </c>
      <c r="G47" s="21" t="s">
        <v>281</v>
      </c>
    </row>
    <row r="48" spans="6:7">
      <c r="F48" s="21" t="s">
        <v>292</v>
      </c>
      <c r="G48" s="21" t="s">
        <v>86</v>
      </c>
    </row>
    <row r="49" spans="6:7">
      <c r="F49" s="21" t="s">
        <v>293</v>
      </c>
      <c r="G49" s="21" t="s">
        <v>86</v>
      </c>
    </row>
    <row r="50" spans="6:7">
      <c r="F50" s="21" t="s">
        <v>580</v>
      </c>
      <c r="G50" s="21" t="s">
        <v>581</v>
      </c>
    </row>
    <row r="51" spans="6:7">
      <c r="F51" s="21" t="s">
        <v>520</v>
      </c>
      <c r="G51" s="21" t="s">
        <v>519</v>
      </c>
    </row>
    <row r="52" spans="6:7">
      <c r="F52" s="21" t="s">
        <v>283</v>
      </c>
      <c r="G52" s="21" t="s">
        <v>2</v>
      </c>
    </row>
    <row r="53" spans="6:7">
      <c r="F53" s="170" t="s">
        <v>543</v>
      </c>
      <c r="G53" s="281" t="s">
        <v>528</v>
      </c>
    </row>
    <row r="54" spans="6:7">
      <c r="F54" s="170" t="s">
        <v>543</v>
      </c>
      <c r="G54" s="281" t="s">
        <v>528</v>
      </c>
    </row>
    <row r="55" spans="6:7">
      <c r="F55" s="170" t="s">
        <v>540</v>
      </c>
      <c r="G55" s="281" t="s">
        <v>528</v>
      </c>
    </row>
    <row r="56" spans="6:7">
      <c r="F56" s="170" t="s">
        <v>540</v>
      </c>
      <c r="G56" s="281" t="s">
        <v>528</v>
      </c>
    </row>
    <row r="57" spans="6:7">
      <c r="F57" s="170" t="s">
        <v>544</v>
      </c>
      <c r="G57" s="281" t="s">
        <v>528</v>
      </c>
    </row>
    <row r="58" spans="6:7">
      <c r="F58" s="170" t="s">
        <v>544</v>
      </c>
      <c r="G58" s="281" t="s">
        <v>528</v>
      </c>
    </row>
    <row r="59" spans="6:7">
      <c r="F59" s="170" t="s">
        <v>546</v>
      </c>
      <c r="G59" s="281" t="s">
        <v>528</v>
      </c>
    </row>
    <row r="60" spans="6:7">
      <c r="F60" s="170" t="s">
        <v>546</v>
      </c>
      <c r="G60" s="281" t="s">
        <v>528</v>
      </c>
    </row>
    <row r="61" spans="6:7">
      <c r="F61" s="21" t="s">
        <v>526</v>
      </c>
      <c r="G61" s="21" t="s">
        <v>519</v>
      </c>
    </row>
    <row r="62" spans="6:7">
      <c r="F62" s="21" t="s">
        <v>295</v>
      </c>
      <c r="G62" s="21" t="s">
        <v>296</v>
      </c>
    </row>
    <row r="63" spans="6:7">
      <c r="F63" s="21" t="s">
        <v>297</v>
      </c>
      <c r="G63" s="21" t="s">
        <v>298</v>
      </c>
    </row>
    <row r="64" spans="6:7">
      <c r="F64" s="21" t="s">
        <v>295</v>
      </c>
      <c r="G64" s="21" t="s">
        <v>296</v>
      </c>
    </row>
    <row r="65" spans="6:7">
      <c r="F65" s="21" t="s">
        <v>299</v>
      </c>
      <c r="G65" s="21" t="s">
        <v>296</v>
      </c>
    </row>
    <row r="66" spans="6:7">
      <c r="F66" s="21" t="s">
        <v>297</v>
      </c>
      <c r="G66" s="21" t="s">
        <v>298</v>
      </c>
    </row>
    <row r="67" spans="6:7">
      <c r="F67" s="21" t="s">
        <v>300</v>
      </c>
      <c r="G67" s="21" t="s">
        <v>298</v>
      </c>
    </row>
    <row r="68" spans="6:7">
      <c r="F68" s="21" t="s">
        <v>300</v>
      </c>
      <c r="G68" s="21" t="s">
        <v>298</v>
      </c>
    </row>
    <row r="69" spans="6:7">
      <c r="F69" s="21" t="s">
        <v>301</v>
      </c>
      <c r="G69" s="21"/>
    </row>
    <row r="70" spans="6:7">
      <c r="F70" s="21" t="s">
        <v>301</v>
      </c>
      <c r="G70" s="21"/>
    </row>
    <row r="71" spans="6:7">
      <c r="F71" s="21" t="s">
        <v>302</v>
      </c>
      <c r="G71" s="21" t="s">
        <v>303</v>
      </c>
    </row>
    <row r="72" spans="6:7">
      <c r="F72" s="21" t="s">
        <v>302</v>
      </c>
      <c r="G72" s="21" t="s">
        <v>303</v>
      </c>
    </row>
    <row r="73" spans="6:7">
      <c r="F73" s="21" t="s">
        <v>304</v>
      </c>
      <c r="G73" s="21" t="s">
        <v>294</v>
      </c>
    </row>
    <row r="74" spans="6:7">
      <c r="F74" s="21" t="s">
        <v>304</v>
      </c>
      <c r="G74" s="21" t="s">
        <v>294</v>
      </c>
    </row>
    <row r="75" spans="6:7">
      <c r="F75" s="21" t="s">
        <v>305</v>
      </c>
      <c r="G75" s="21" t="s">
        <v>306</v>
      </c>
    </row>
    <row r="76" spans="6:7">
      <c r="F76" s="21" t="s">
        <v>305</v>
      </c>
      <c r="G76" s="21" t="s">
        <v>306</v>
      </c>
    </row>
    <row r="77" spans="6:7">
      <c r="F77" s="21" t="s">
        <v>307</v>
      </c>
      <c r="G77" s="21" t="s">
        <v>306</v>
      </c>
    </row>
    <row r="78" spans="6:7">
      <c r="F78" s="21" t="s">
        <v>307</v>
      </c>
      <c r="G78" s="21" t="s">
        <v>306</v>
      </c>
    </row>
    <row r="79" spans="6:7">
      <c r="F79" s="21" t="s">
        <v>295</v>
      </c>
      <c r="G79" s="21" t="s">
        <v>296</v>
      </c>
    </row>
    <row r="80" spans="6:7">
      <c r="F80" s="21" t="s">
        <v>295</v>
      </c>
      <c r="G80" s="21" t="s">
        <v>298</v>
      </c>
    </row>
    <row r="81" spans="6:7">
      <c r="F81" s="21" t="s">
        <v>299</v>
      </c>
      <c r="G81" s="21" t="s">
        <v>296</v>
      </c>
    </row>
    <row r="82" spans="6:7">
      <c r="F82" s="21" t="s">
        <v>299</v>
      </c>
      <c r="G82" s="21" t="s">
        <v>298</v>
      </c>
    </row>
    <row r="83" spans="6:7">
      <c r="F83" s="21" t="s">
        <v>297</v>
      </c>
      <c r="G83" s="21" t="s">
        <v>298</v>
      </c>
    </row>
    <row r="84" spans="6:7">
      <c r="F84" s="21" t="s">
        <v>297</v>
      </c>
      <c r="G84" s="21" t="s">
        <v>298</v>
      </c>
    </row>
    <row r="85" spans="6:7">
      <c r="F85" s="21" t="s">
        <v>300</v>
      </c>
      <c r="G85" s="21" t="s">
        <v>298</v>
      </c>
    </row>
    <row r="86" spans="6:7">
      <c r="F86" s="21" t="s">
        <v>300</v>
      </c>
      <c r="G86" s="21" t="s">
        <v>298</v>
      </c>
    </row>
    <row r="87" spans="6:7">
      <c r="F87" s="21" t="s">
        <v>305</v>
      </c>
      <c r="G87" s="21" t="s">
        <v>306</v>
      </c>
    </row>
    <row r="88" spans="6:7">
      <c r="F88" s="21" t="s">
        <v>305</v>
      </c>
      <c r="G88" s="21" t="s">
        <v>306</v>
      </c>
    </row>
    <row r="89" spans="6:7">
      <c r="F89" s="21" t="s">
        <v>307</v>
      </c>
      <c r="G89" s="21" t="s">
        <v>306</v>
      </c>
    </row>
    <row r="90" spans="6:7">
      <c r="F90" s="21" t="s">
        <v>307</v>
      </c>
      <c r="G90" s="21" t="s">
        <v>306</v>
      </c>
    </row>
    <row r="91" spans="6:7">
      <c r="F91" s="21" t="s">
        <v>295</v>
      </c>
      <c r="G91" s="21" t="s">
        <v>306</v>
      </c>
    </row>
    <row r="92" spans="6:7">
      <c r="F92" s="21" t="s">
        <v>308</v>
      </c>
      <c r="G92" s="21" t="s">
        <v>306</v>
      </c>
    </row>
    <row r="93" spans="6:7">
      <c r="F93" s="21" t="s">
        <v>309</v>
      </c>
      <c r="G93" s="21" t="s">
        <v>306</v>
      </c>
    </row>
    <row r="94" spans="6:7">
      <c r="F94" s="21" t="s">
        <v>249</v>
      </c>
      <c r="G94" s="21" t="s">
        <v>2</v>
      </c>
    </row>
    <row r="95" spans="6:7">
      <c r="F95" s="21" t="s">
        <v>249</v>
      </c>
      <c r="G95" s="21" t="s">
        <v>2</v>
      </c>
    </row>
    <row r="96" spans="6:7">
      <c r="F96" s="21" t="s">
        <v>310</v>
      </c>
      <c r="G96" s="21" t="s">
        <v>311</v>
      </c>
    </row>
    <row r="97" spans="6:7">
      <c r="F97" s="21" t="s">
        <v>312</v>
      </c>
      <c r="G97" s="21" t="s">
        <v>313</v>
      </c>
    </row>
    <row r="98" spans="6:7">
      <c r="F98" s="21" t="s">
        <v>807</v>
      </c>
      <c r="G98" s="21" t="s">
        <v>807</v>
      </c>
    </row>
    <row r="99" spans="6:7">
      <c r="F99" s="21" t="s">
        <v>140</v>
      </c>
      <c r="G99" s="21" t="s">
        <v>314</v>
      </c>
    </row>
    <row r="100" spans="6:7">
      <c r="F100" s="21" t="s">
        <v>315</v>
      </c>
      <c r="G100" s="21" t="s">
        <v>316</v>
      </c>
    </row>
    <row r="101" spans="6:7">
      <c r="F101" s="21" t="s">
        <v>255</v>
      </c>
      <c r="G101" s="21" t="s">
        <v>255</v>
      </c>
    </row>
    <row r="102" spans="6:7">
      <c r="F102" s="21" t="s">
        <v>257</v>
      </c>
      <c r="G102" s="21" t="s">
        <v>257</v>
      </c>
    </row>
    <row r="103" spans="6:7">
      <c r="F103" s="21" t="s">
        <v>243</v>
      </c>
      <c r="G103" s="21" t="s">
        <v>202</v>
      </c>
    </row>
    <row r="104" spans="6:7">
      <c r="F104" s="21" t="s">
        <v>532</v>
      </c>
      <c r="G104" s="21" t="s">
        <v>529</v>
      </c>
    </row>
    <row r="105" spans="6:7">
      <c r="F105" s="21" t="s">
        <v>355</v>
      </c>
      <c r="G105" s="21" t="s">
        <v>276</v>
      </c>
    </row>
    <row r="106" spans="6:7">
      <c r="F106" s="21" t="s">
        <v>355</v>
      </c>
      <c r="G106" s="21" t="s">
        <v>276</v>
      </c>
    </row>
    <row r="107" spans="6:7">
      <c r="F107" s="21" t="s">
        <v>405</v>
      </c>
      <c r="G107" s="21" t="s">
        <v>395</v>
      </c>
    </row>
    <row r="108" spans="6:7">
      <c r="F108" s="21" t="s">
        <v>405</v>
      </c>
      <c r="G108" s="21" t="s">
        <v>395</v>
      </c>
    </row>
    <row r="109" spans="6:7">
      <c r="F109" s="21" t="s">
        <v>406</v>
      </c>
      <c r="G109" s="21" t="s">
        <v>356</v>
      </c>
    </row>
    <row r="110" spans="6:7">
      <c r="F110" s="21" t="s">
        <v>433</v>
      </c>
      <c r="G110" s="21" t="s">
        <v>429</v>
      </c>
    </row>
    <row r="111" spans="6:7">
      <c r="F111" s="21" t="s">
        <v>434</v>
      </c>
      <c r="G111" s="21" t="s">
        <v>428</v>
      </c>
    </row>
    <row r="112" spans="6:7">
      <c r="F112" s="21" t="s">
        <v>531</v>
      </c>
      <c r="G112" s="21" t="s">
        <v>530</v>
      </c>
    </row>
    <row r="113" spans="6:7">
      <c r="F113" s="21" t="s">
        <v>444</v>
      </c>
      <c r="G113" s="21" t="s">
        <v>440</v>
      </c>
    </row>
    <row r="114" spans="6:7">
      <c r="F114" s="21" t="s">
        <v>444</v>
      </c>
      <c r="G114" s="21" t="s">
        <v>440</v>
      </c>
    </row>
    <row r="115" spans="6:7">
      <c r="F115" s="21" t="s">
        <v>445</v>
      </c>
      <c r="G115" s="21" t="s">
        <v>440</v>
      </c>
    </row>
    <row r="116" spans="6:7">
      <c r="F116" s="21" t="s">
        <v>445</v>
      </c>
      <c r="G116" s="21" t="s">
        <v>440</v>
      </c>
    </row>
    <row r="117" spans="6:7">
      <c r="F117" s="21" t="s">
        <v>443</v>
      </c>
      <c r="G117" s="21" t="s">
        <v>439</v>
      </c>
    </row>
    <row r="118" spans="6:7">
      <c r="F118" s="21" t="s">
        <v>443</v>
      </c>
      <c r="G118" s="21" t="s">
        <v>439</v>
      </c>
    </row>
    <row r="119" spans="6:7">
      <c r="F119" s="21" t="s">
        <v>436</v>
      </c>
      <c r="G119" s="21" t="s">
        <v>422</v>
      </c>
    </row>
    <row r="120" spans="6:7">
      <c r="F120" s="21" t="s">
        <v>436</v>
      </c>
      <c r="G120" s="21" t="s">
        <v>422</v>
      </c>
    </row>
    <row r="121" spans="6:7">
      <c r="F121" s="21" t="s">
        <v>446</v>
      </c>
      <c r="G121" s="21" t="s">
        <v>422</v>
      </c>
    </row>
    <row r="122" spans="6:7">
      <c r="F122" s="21" t="s">
        <v>446</v>
      </c>
      <c r="G122" s="21" t="s">
        <v>422</v>
      </c>
    </row>
    <row r="123" spans="6:7">
      <c r="F123" s="21" t="s">
        <v>438</v>
      </c>
      <c r="G123" s="21" t="s">
        <v>442</v>
      </c>
    </row>
    <row r="124" spans="6:7">
      <c r="F124" s="21" t="s">
        <v>454</v>
      </c>
      <c r="G124" s="21" t="s">
        <v>422</v>
      </c>
    </row>
    <row r="125" spans="6:7">
      <c r="F125" s="21" t="s">
        <v>454</v>
      </c>
      <c r="G125" s="21" t="s">
        <v>422</v>
      </c>
    </row>
    <row r="126" spans="6:7">
      <c r="F126" s="21" t="s">
        <v>533</v>
      </c>
      <c r="G126" s="21" t="s">
        <v>528</v>
      </c>
    </row>
    <row r="127" spans="6:7">
      <c r="F127" s="21" t="s">
        <v>540</v>
      </c>
      <c r="G127" s="21" t="s">
        <v>528</v>
      </c>
    </row>
    <row r="128" spans="6:7">
      <c r="F128" s="21" t="s">
        <v>539</v>
      </c>
      <c r="G128" s="21" t="s">
        <v>529</v>
      </c>
    </row>
    <row r="129" spans="6:7">
      <c r="F129" s="21" t="s">
        <v>541</v>
      </c>
      <c r="G129" s="21" t="s">
        <v>527</v>
      </c>
    </row>
    <row r="130" spans="6:7">
      <c r="F130" s="21" t="s">
        <v>537</v>
      </c>
      <c r="G130" s="21" t="s">
        <v>439</v>
      </c>
    </row>
    <row r="131" spans="6:7">
      <c r="F131" s="21" t="s">
        <v>538</v>
      </c>
      <c r="G131" s="21" t="s">
        <v>439</v>
      </c>
    </row>
    <row r="132" spans="6:7">
      <c r="F132" s="21" t="s">
        <v>535</v>
      </c>
      <c r="G132" s="21" t="s">
        <v>420</v>
      </c>
    </row>
    <row r="133" spans="6:7">
      <c r="F133" s="21" t="s">
        <v>536</v>
      </c>
      <c r="G133" s="21" t="s">
        <v>534</v>
      </c>
    </row>
    <row r="134" spans="6:7">
      <c r="F134" s="21" t="s">
        <v>543</v>
      </c>
      <c r="G134" s="21" t="s">
        <v>528</v>
      </c>
    </row>
    <row r="135" spans="6:7">
      <c r="F135" s="21" t="s">
        <v>544</v>
      </c>
      <c r="G135" s="21" t="s">
        <v>528</v>
      </c>
    </row>
    <row r="136" spans="6:7">
      <c r="F136" s="21" t="s">
        <v>542</v>
      </c>
      <c r="G136" s="21" t="s">
        <v>529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321</v>
      </c>
      <c r="D1" t="s">
        <v>322</v>
      </c>
      <c r="E1" t="s">
        <v>113</v>
      </c>
      <c r="G1" s="3"/>
    </row>
    <row r="2" spans="2:8">
      <c r="B2" t="s">
        <v>323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323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324</v>
      </c>
      <c r="C4" s="3"/>
      <c r="D4" s="3">
        <v>75000</v>
      </c>
      <c r="E4" s="3">
        <v>75000</v>
      </c>
      <c r="G4" s="3"/>
    </row>
    <row r="5" spans="2:8">
      <c r="B5" t="s">
        <v>325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326</v>
      </c>
      <c r="D9" s="3">
        <v>-14000000</v>
      </c>
      <c r="E9" s="1">
        <v>73.75</v>
      </c>
      <c r="F9" t="s">
        <v>327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328</v>
      </c>
      <c r="D10" s="3">
        <v>14000000</v>
      </c>
      <c r="E10" s="1">
        <v>65</v>
      </c>
      <c r="F10" t="s">
        <v>327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326</v>
      </c>
      <c r="D11" s="3">
        <v>-11000000</v>
      </c>
      <c r="E11" s="1">
        <v>74.099999999999994</v>
      </c>
      <c r="F11" t="s">
        <v>329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328</v>
      </c>
      <c r="D12" s="3">
        <v>11000000</v>
      </c>
      <c r="E12" s="1">
        <v>64</v>
      </c>
      <c r="F12" t="s">
        <v>329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326</v>
      </c>
      <c r="D13" s="3">
        <v>40000000</v>
      </c>
      <c r="E13" s="1">
        <v>72.8</v>
      </c>
      <c r="F13" t="s">
        <v>327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326</v>
      </c>
      <c r="D14" s="3">
        <v>30000000</v>
      </c>
      <c r="E14" s="1">
        <v>72.48</v>
      </c>
      <c r="F14" t="s">
        <v>329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191</v>
      </c>
      <c r="C17" t="s">
        <v>326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192</v>
      </c>
      <c r="C18" t="s">
        <v>326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192</v>
      </c>
      <c r="C19" t="s">
        <v>326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191</v>
      </c>
      <c r="C23" t="s">
        <v>328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330</v>
      </c>
      <c r="C26" t="s">
        <v>331</v>
      </c>
      <c r="D26" t="s">
        <v>332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330</v>
      </c>
      <c r="C33" t="s">
        <v>331</v>
      </c>
      <c r="D33" t="s">
        <v>332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330</v>
      </c>
      <c r="C40" s="58" t="s">
        <v>331</v>
      </c>
      <c r="D40" s="58" t="s">
        <v>332</v>
      </c>
      <c r="E40" s="58" t="s">
        <v>1015</v>
      </c>
    </row>
    <row r="41" spans="2:9">
      <c r="B41" s="58">
        <v>1</v>
      </c>
      <c r="C41" s="14">
        <v>4510</v>
      </c>
      <c r="D41" s="8">
        <v>10000000</v>
      </c>
      <c r="E41" s="206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9">
        <f>C45/C41*D41</f>
        <v>13303769.401330376</v>
      </c>
    </row>
    <row r="50" spans="1:10">
      <c r="I50" s="92" cm="1">
        <f t="array" ref="I50">_xll.BDP("cny Curncy","LAST_PRICE")</f>
        <v>6.9234999999999998</v>
      </c>
    </row>
    <row r="51" spans="1:10">
      <c r="F51" s="79" t="s">
        <v>1005</v>
      </c>
      <c r="G51" s="79" t="s">
        <v>1006</v>
      </c>
      <c r="H51" s="79" t="str">
        <f>F51</f>
        <v>YEST</v>
      </c>
      <c r="I51" s="79" t="str">
        <f>G51</f>
        <v>TODAY</v>
      </c>
      <c r="J51" t="s">
        <v>979</v>
      </c>
    </row>
    <row r="52" spans="1:10">
      <c r="A52" s="360" t="s">
        <v>602</v>
      </c>
      <c r="B52" s="361">
        <v>46101</v>
      </c>
      <c r="C52" s="360">
        <v>276451</v>
      </c>
      <c r="D52" s="360" t="s">
        <v>604</v>
      </c>
      <c r="E52" s="360" t="s">
        <v>817</v>
      </c>
      <c r="F52" s="367">
        <f>Precificação!N2</f>
        <v>8.56</v>
      </c>
      <c r="G52" s="206">
        <v>10.45</v>
      </c>
      <c r="H52" s="197">
        <f>$C52*F52/$I$50</f>
        <v>341795.41561349033</v>
      </c>
      <c r="I52" s="197">
        <f>$C52*G52/$I$50</f>
        <v>417261.92677114176</v>
      </c>
      <c r="J52" s="197">
        <f>I52-H52</f>
        <v>75466.511157651432</v>
      </c>
    </row>
    <row r="53" spans="1:10">
      <c r="A53" s="360" t="s">
        <v>602</v>
      </c>
      <c r="B53" s="361">
        <v>46101</v>
      </c>
      <c r="C53" s="360">
        <v>276451</v>
      </c>
      <c r="D53" s="360" t="s">
        <v>604</v>
      </c>
      <c r="E53" s="360" t="s">
        <v>818</v>
      </c>
      <c r="F53" s="367">
        <f>Precificação!N3</f>
        <v>1.38</v>
      </c>
      <c r="G53" s="206">
        <v>2.35</v>
      </c>
      <c r="H53" s="197">
        <f>$C53*F53/$I$50</f>
        <v>55102.531956380437</v>
      </c>
      <c r="I53" s="197">
        <f>$C53*G53/$I$50</f>
        <v>93834.021809778293</v>
      </c>
      <c r="J53" s="197">
        <f>I53-H53</f>
        <v>38731.489853397856</v>
      </c>
    </row>
    <row r="54" spans="1:10">
      <c r="E54" s="206">
        <f>E53-E52</f>
        <v>15</v>
      </c>
      <c r="F54" s="206">
        <f>F52-F53</f>
        <v>7.1800000000000006</v>
      </c>
      <c r="G54" s="206">
        <f>G52-G53</f>
        <v>8.1</v>
      </c>
      <c r="H54" s="336">
        <f>H52-H53</f>
        <v>286692.88365710992</v>
      </c>
      <c r="I54" s="336">
        <f>I52-I53</f>
        <v>323427.90496136347</v>
      </c>
      <c r="J54" s="336">
        <f>J52-J53</f>
        <v>36735.021304253576</v>
      </c>
    </row>
    <row r="55" spans="1:10">
      <c r="I55" t="s">
        <v>980</v>
      </c>
      <c r="J55" s="206">
        <f>J54/'Master P&amp;L'!AD7*10000</f>
        <v>0.15330761867381706</v>
      </c>
    </row>
    <row r="58" spans="1:10">
      <c r="B58" s="5"/>
      <c r="D58" s="5"/>
    </row>
    <row r="61" spans="1:10">
      <c r="B61" t="s">
        <v>1016</v>
      </c>
    </row>
    <row r="62" spans="1:10">
      <c r="C62" t="s">
        <v>153</v>
      </c>
      <c r="D62" t="s">
        <v>154</v>
      </c>
    </row>
    <row r="63" spans="1:10">
      <c r="B63" t="s">
        <v>1018</v>
      </c>
      <c r="C63">
        <v>99.21</v>
      </c>
      <c r="D63">
        <v>99.06</v>
      </c>
    </row>
    <row r="64" spans="1:10">
      <c r="B64" t="s">
        <v>1020</v>
      </c>
      <c r="C64" s="42">
        <v>0.05</v>
      </c>
      <c r="D64" s="42">
        <v>4.9799999999999997E-2</v>
      </c>
    </row>
    <row r="65" spans="2:6">
      <c r="B65" t="s">
        <v>1019</v>
      </c>
      <c r="C65" s="42">
        <v>4.2299999999999997E-2</v>
      </c>
      <c r="D65" s="42">
        <v>4.2299999999999997E-2</v>
      </c>
    </row>
    <row r="66" spans="2:6">
      <c r="B66" t="s">
        <v>1017</v>
      </c>
      <c r="C66">
        <v>77</v>
      </c>
      <c r="D66">
        <v>75</v>
      </c>
    </row>
    <row r="67" spans="2:6">
      <c r="B67" t="s">
        <v>1026</v>
      </c>
      <c r="C67" s="197">
        <f>(C66/10000)*C70</f>
        <v>77000</v>
      </c>
      <c r="F67" s="206">
        <f>C67/'Master P&amp;L'!$AD$7*10000</f>
        <v>0.32134693866414177</v>
      </c>
    </row>
    <row r="69" spans="2:6">
      <c r="B69" t="s">
        <v>1021</v>
      </c>
    </row>
    <row r="70" spans="2:6">
      <c r="B70" t="s">
        <v>332</v>
      </c>
      <c r="C70" s="197">
        <v>10000000</v>
      </c>
    </row>
    <row r="71" spans="2:6">
      <c r="B71" t="s">
        <v>331</v>
      </c>
      <c r="C71" s="197">
        <v>7630</v>
      </c>
      <c r="F71" t="s">
        <v>980</v>
      </c>
    </row>
    <row r="72" spans="2:6">
      <c r="B72" t="s">
        <v>1017</v>
      </c>
      <c r="C72" s="197">
        <f>(D72-$C$66)*$C$71</f>
        <v>-53410</v>
      </c>
      <c r="D72">
        <v>70</v>
      </c>
      <c r="E72" t="s">
        <v>1024</v>
      </c>
      <c r="F72" s="206">
        <f>C72/'Master P&amp;L'!$AD$7*10000</f>
        <v>-0.22289792200067285</v>
      </c>
    </row>
    <row r="73" spans="2:6">
      <c r="B73" t="s">
        <v>1017</v>
      </c>
      <c r="C73" s="197">
        <f>(D73-$C$66)*$C$71</f>
        <v>61040</v>
      </c>
      <c r="D73">
        <v>85</v>
      </c>
      <c r="E73" t="s">
        <v>1025</v>
      </c>
      <c r="F73" s="206">
        <f>C73/'Master P&amp;L'!$AD$7*10000</f>
        <v>0.25474048228648327</v>
      </c>
    </row>
    <row r="76" spans="2:6">
      <c r="B76" t="s">
        <v>1022</v>
      </c>
    </row>
    <row r="77" spans="2:6">
      <c r="B77" t="s">
        <v>1023</v>
      </c>
    </row>
  </sheetData>
  <conditionalFormatting sqref="F52:F53">
    <cfRule type="cellIs" dxfId="41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7" t="s">
        <v>346</v>
      </c>
      <c r="B1" s="257" t="s">
        <v>241</v>
      </c>
      <c r="C1" s="257" t="s">
        <v>347</v>
      </c>
      <c r="D1" s="257" t="s">
        <v>118</v>
      </c>
      <c r="E1" s="257" t="s">
        <v>96</v>
      </c>
      <c r="F1" s="257" t="s">
        <v>317</v>
      </c>
      <c r="G1" t="s">
        <v>364</v>
      </c>
      <c r="R1" t="s">
        <v>352</v>
      </c>
      <c r="S1" t="s">
        <v>362</v>
      </c>
      <c r="T1" t="s">
        <v>363</v>
      </c>
      <c r="U1" t="s">
        <v>372</v>
      </c>
      <c r="V1" t="s">
        <v>353</v>
      </c>
      <c r="W1" t="s">
        <v>317</v>
      </c>
    </row>
    <row r="2" spans="1:23">
      <c r="A2" s="258">
        <v>45840</v>
      </c>
      <c r="B2" s="259" t="s">
        <v>210</v>
      </c>
      <c r="C2" s="259" t="s">
        <v>253</v>
      </c>
      <c r="D2" s="259" t="s">
        <v>412</v>
      </c>
      <c r="E2" s="260">
        <v>-2009465</v>
      </c>
      <c r="F2" s="259">
        <v>-1.78</v>
      </c>
      <c r="G2" s="19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8">
        <f>IF(R2="","",IF(LEN(R2)&gt;9,SUMIFS(Options!$AZ$3:$AZ$28,Options!$B$3:$B$28,'Check result'!R2),SUMIFS('Master P&amp;L'!$AE$11:$AE$88,'Master P&amp;L'!$B$11:$B$88,'Check result'!R2)))</f>
        <v>0</v>
      </c>
      <c r="U2" s="198">
        <f>T2/2</f>
        <v>0</v>
      </c>
      <c r="V2" s="197">
        <f>+S2-U2</f>
        <v>-2009465</v>
      </c>
      <c r="W2">
        <f>+V2/G2*10000</f>
        <v>-1.7800000000000002</v>
      </c>
    </row>
    <row r="3" spans="1:23">
      <c r="A3" s="258">
        <v>45840</v>
      </c>
      <c r="B3" s="259" t="s">
        <v>210</v>
      </c>
      <c r="C3" s="259" t="s">
        <v>253</v>
      </c>
      <c r="D3" s="259" t="s">
        <v>505</v>
      </c>
      <c r="E3" s="260">
        <v>-754078</v>
      </c>
      <c r="F3" s="259">
        <v>-0.67</v>
      </c>
      <c r="G3" s="19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8">
        <f>IF(R3="","",IF(LEN(R3)&gt;9,SUMIFS(Options!$AZ$3:$AZ$28,Options!$B$3:$B$28,'Check result'!R3),SUMIFS('Master P&amp;L'!$AE$11:$AE$88,'Master P&amp;L'!$B$11:$B$88,'Check result'!R3)))</f>
        <v>0</v>
      </c>
      <c r="U3" s="198">
        <f t="shared" ref="U3:U66" si="3">T3/2</f>
        <v>0</v>
      </c>
      <c r="V3" s="197">
        <f t="shared" ref="V3:V66" si="4">+S3-U3</f>
        <v>-754078</v>
      </c>
      <c r="W3">
        <f t="shared" ref="W3:W66" si="5">+V3/G3*10000</f>
        <v>-0.67</v>
      </c>
    </row>
    <row r="4" spans="1:23">
      <c r="A4" s="258">
        <v>45840</v>
      </c>
      <c r="B4" s="259" t="s">
        <v>210</v>
      </c>
      <c r="C4" s="259" t="s">
        <v>246</v>
      </c>
      <c r="D4" s="259" t="s">
        <v>481</v>
      </c>
      <c r="E4" s="260">
        <v>-662125</v>
      </c>
      <c r="F4" s="259">
        <v>-0.59</v>
      </c>
      <c r="G4" s="19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8">
        <f>IF(R4="","",IF(LEN(R4)&gt;9,SUMIFS(Options!$AZ$3:$AZ$28,Options!$B$3:$B$28,'Check result'!R4),SUMIFS('Master P&amp;L'!$AE$11:$AE$88,'Master P&amp;L'!$B$11:$B$88,'Check result'!R4)))</f>
        <v>0</v>
      </c>
      <c r="U4" s="198">
        <f t="shared" si="3"/>
        <v>0</v>
      </c>
      <c r="V4" s="197">
        <f t="shared" si="4"/>
        <v>-662125</v>
      </c>
      <c r="W4">
        <f t="shared" si="5"/>
        <v>-0.59</v>
      </c>
    </row>
    <row r="5" spans="1:23">
      <c r="A5" s="258">
        <v>45840</v>
      </c>
      <c r="B5" s="259" t="s">
        <v>210</v>
      </c>
      <c r="C5" s="259" t="s">
        <v>246</v>
      </c>
      <c r="D5" s="259" t="s">
        <v>417</v>
      </c>
      <c r="E5" s="260">
        <v>-621079</v>
      </c>
      <c r="F5" s="259">
        <v>-0.55000000000000004</v>
      </c>
      <c r="G5" s="19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8">
        <f>IF(R5="","",IF(LEN(R5)&gt;9,SUMIFS(Options!$AZ$3:$AZ$28,Options!$B$3:$B$28,'Check result'!R5),SUMIFS('Master P&amp;L'!$AE$11:$AE$88,'Master P&amp;L'!$B$11:$B$88,'Check result'!R5)))</f>
        <v>0</v>
      </c>
      <c r="U5" s="198">
        <f t="shared" si="3"/>
        <v>0</v>
      </c>
      <c r="V5" s="197">
        <f t="shared" si="4"/>
        <v>-621079</v>
      </c>
      <c r="W5">
        <f t="shared" si="5"/>
        <v>-0.55000000000000004</v>
      </c>
    </row>
    <row r="6" spans="1:23">
      <c r="A6" s="258">
        <v>45840</v>
      </c>
      <c r="B6" s="259" t="s">
        <v>210</v>
      </c>
      <c r="C6" s="259" t="s">
        <v>8</v>
      </c>
      <c r="D6" s="259" t="s">
        <v>360</v>
      </c>
      <c r="E6" s="260">
        <v>-396008</v>
      </c>
      <c r="F6" s="259">
        <v>-0.35</v>
      </c>
      <c r="G6" s="197">
        <f t="shared" si="0"/>
        <v>11314514285.714287</v>
      </c>
      <c r="R6" t="str">
        <f t="shared" si="1"/>
        <v>TTE</v>
      </c>
      <c r="S6">
        <f t="shared" si="2"/>
        <v>-396008</v>
      </c>
      <c r="T6" s="198">
        <f>IF(R6="","",IF(LEN(R6)&gt;9,SUMIFS(Options!$AZ$3:$AZ$28,Options!$B$3:$B$28,'Check result'!R6),SUMIFS('Master P&amp;L'!$AE$11:$AE$88,'Master P&amp;L'!$B$11:$B$88,'Check result'!R6)))</f>
        <v>0</v>
      </c>
      <c r="U6" s="198">
        <f t="shared" si="3"/>
        <v>0</v>
      </c>
      <c r="V6" s="197">
        <f t="shared" si="4"/>
        <v>-396008</v>
      </c>
      <c r="W6">
        <f t="shared" si="5"/>
        <v>-0.35</v>
      </c>
    </row>
    <row r="7" spans="1:23">
      <c r="A7" s="258">
        <v>45840</v>
      </c>
      <c r="B7" s="259" t="s">
        <v>210</v>
      </c>
      <c r="C7" s="259" t="s">
        <v>246</v>
      </c>
      <c r="D7" s="259" t="s">
        <v>400</v>
      </c>
      <c r="E7" s="260">
        <v>-380764</v>
      </c>
      <c r="F7" s="259">
        <v>-0.34</v>
      </c>
      <c r="G7" s="19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8">
        <f>IF(R7="","",IF(LEN(R7)&gt;9,SUMIFS(Options!$AZ$3:$AZ$28,Options!$B$3:$B$28,'Check result'!R7),SUMIFS('Master P&amp;L'!$AE$11:$AE$88,'Master P&amp;L'!$B$11:$B$88,'Check result'!R7)))</f>
        <v>0</v>
      </c>
      <c r="U7" s="198">
        <f t="shared" si="3"/>
        <v>0</v>
      </c>
      <c r="V7" s="197">
        <f t="shared" si="4"/>
        <v>-380764</v>
      </c>
      <c r="W7">
        <f t="shared" si="5"/>
        <v>-0.34</v>
      </c>
    </row>
    <row r="8" spans="1:23">
      <c r="A8" s="258">
        <v>45840</v>
      </c>
      <c r="B8" s="259" t="s">
        <v>210</v>
      </c>
      <c r="C8" s="259" t="s">
        <v>8</v>
      </c>
      <c r="D8" s="259" t="s">
        <v>44</v>
      </c>
      <c r="E8" s="260">
        <v>-347251</v>
      </c>
      <c r="F8" s="259">
        <v>-0.31</v>
      </c>
      <c r="G8" s="197">
        <f t="shared" si="0"/>
        <v>11201645161.290323</v>
      </c>
      <c r="R8" t="str">
        <f t="shared" si="1"/>
        <v>TSM</v>
      </c>
      <c r="S8">
        <f t="shared" si="2"/>
        <v>-347251</v>
      </c>
      <c r="T8" s="198">
        <f>IF(R8="","",IF(LEN(R8)&gt;9,SUMIFS(Options!$AZ$3:$AZ$28,Options!$B$3:$B$28,'Check result'!R8),SUMIFS('Master P&amp;L'!$AE$11:$AE$88,'Master P&amp;L'!$B$11:$B$88,'Check result'!R8)))</f>
        <v>0</v>
      </c>
      <c r="U8" s="198">
        <f t="shared" si="3"/>
        <v>0</v>
      </c>
      <c r="V8" s="197">
        <f t="shared" si="4"/>
        <v>-347251</v>
      </c>
      <c r="W8">
        <f t="shared" si="5"/>
        <v>-0.31</v>
      </c>
    </row>
    <row r="9" spans="1:23">
      <c r="A9" s="258">
        <v>45840</v>
      </c>
      <c r="B9" s="259" t="s">
        <v>210</v>
      </c>
      <c r="C9" s="259" t="s">
        <v>244</v>
      </c>
      <c r="D9" s="259" t="s">
        <v>418</v>
      </c>
      <c r="E9" s="260">
        <v>-317791</v>
      </c>
      <c r="F9" s="259">
        <v>-0.28000000000000003</v>
      </c>
      <c r="G9" s="197">
        <f t="shared" si="0"/>
        <v>11349678571.42857</v>
      </c>
      <c r="R9" t="str">
        <f t="shared" si="1"/>
        <v>HOOD</v>
      </c>
      <c r="S9">
        <f t="shared" si="2"/>
        <v>-317791</v>
      </c>
      <c r="T9" s="198">
        <f>IF(R9="","",IF(LEN(R9)&gt;9,SUMIFS(Options!$AZ$3:$AZ$28,Options!$B$3:$B$28,'Check result'!R9),SUMIFS('Master P&amp;L'!$AE$11:$AE$88,'Master P&amp;L'!$B$11:$B$88,'Check result'!R9)))</f>
        <v>0</v>
      </c>
      <c r="U9" s="198">
        <f t="shared" si="3"/>
        <v>0</v>
      </c>
      <c r="V9" s="197">
        <f t="shared" si="4"/>
        <v>-317791</v>
      </c>
      <c r="W9">
        <f t="shared" si="5"/>
        <v>-0.28000000000000003</v>
      </c>
    </row>
    <row r="10" spans="1:23">
      <c r="A10" s="258">
        <v>45840</v>
      </c>
      <c r="B10" s="259" t="s">
        <v>210</v>
      </c>
      <c r="C10" s="259" t="s">
        <v>250</v>
      </c>
      <c r="D10" s="259" t="s">
        <v>507</v>
      </c>
      <c r="E10" s="260">
        <v>-203405</v>
      </c>
      <c r="F10" s="259">
        <v>-0.18</v>
      </c>
      <c r="G10" s="19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8">
        <f>IF(R10="","",IF(LEN(R10)&gt;9,SUMIFS(Options!$AZ$3:$AZ$28,Options!$B$3:$B$28,'Check result'!R10),SUMIFS('Master P&amp;L'!$AE$11:$AE$88,'Master P&amp;L'!$B$11:$B$88,'Check result'!R10)))</f>
        <v>0</v>
      </c>
      <c r="U10" s="198">
        <f t="shared" si="3"/>
        <v>0</v>
      </c>
      <c r="V10" s="197">
        <f t="shared" si="4"/>
        <v>-203405</v>
      </c>
      <c r="W10">
        <f t="shared" si="5"/>
        <v>-0.18</v>
      </c>
    </row>
    <row r="11" spans="1:23">
      <c r="A11" s="258">
        <v>45840</v>
      </c>
      <c r="B11" s="259" t="s">
        <v>210</v>
      </c>
      <c r="C11" s="259" t="s">
        <v>250</v>
      </c>
      <c r="D11" s="259" t="s">
        <v>387</v>
      </c>
      <c r="E11" s="260">
        <v>-189723</v>
      </c>
      <c r="F11" s="259">
        <v>-0.17</v>
      </c>
      <c r="G11" s="19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8">
        <f>IF(R11="","",IF(LEN(R11)&gt;9,SUMIFS(Options!$AZ$3:$AZ$28,Options!$B$3:$B$28,'Check result'!R11),SUMIFS('Master P&amp;L'!$AE$11:$AE$88,'Master P&amp;L'!$B$11:$B$88,'Check result'!R11)))</f>
        <v>0</v>
      </c>
      <c r="U11" s="198">
        <f t="shared" si="3"/>
        <v>0</v>
      </c>
      <c r="V11" s="197">
        <f t="shared" si="4"/>
        <v>-189723</v>
      </c>
      <c r="W11">
        <f t="shared" si="5"/>
        <v>-0.17000000000000004</v>
      </c>
    </row>
    <row r="12" spans="1:23">
      <c r="A12" s="258">
        <v>45840</v>
      </c>
      <c r="B12" s="259" t="s">
        <v>210</v>
      </c>
      <c r="C12" s="259" t="s">
        <v>244</v>
      </c>
      <c r="D12" s="259" t="s">
        <v>252</v>
      </c>
      <c r="E12" s="260">
        <v>-179126</v>
      </c>
      <c r="F12" s="259">
        <v>-0.16</v>
      </c>
      <c r="G12" s="197">
        <f t="shared" si="0"/>
        <v>11195375000</v>
      </c>
      <c r="R12" t="str">
        <f t="shared" si="1"/>
        <v>META US</v>
      </c>
      <c r="S12">
        <f t="shared" si="2"/>
        <v>-179126</v>
      </c>
      <c r="T12" s="198">
        <f>IF(R12="","",IF(LEN(R12)&gt;9,SUMIFS(Options!$AZ$3:$AZ$28,Options!$B$3:$B$28,'Check result'!R12),SUMIFS('Master P&amp;L'!$AE$11:$AE$88,'Master P&amp;L'!$B$11:$B$88,'Check result'!R12)))</f>
        <v>0</v>
      </c>
      <c r="U12" s="198">
        <f t="shared" si="3"/>
        <v>0</v>
      </c>
      <c r="V12" s="197">
        <f t="shared" si="4"/>
        <v>-179126</v>
      </c>
      <c r="W12">
        <f t="shared" si="5"/>
        <v>-0.16</v>
      </c>
    </row>
    <row r="13" spans="1:23">
      <c r="A13" s="258">
        <v>45840</v>
      </c>
      <c r="B13" s="259" t="s">
        <v>210</v>
      </c>
      <c r="C13" s="259" t="s">
        <v>250</v>
      </c>
      <c r="D13" s="259" t="s">
        <v>402</v>
      </c>
      <c r="E13" s="260">
        <v>-173338</v>
      </c>
      <c r="F13" s="259">
        <v>-0.15</v>
      </c>
      <c r="G13" s="19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8">
        <f>IF(R13="","",IF(LEN(R13)&gt;9,SUMIFS(Options!$AZ$3:$AZ$28,Options!$B$3:$B$28,'Check result'!R13),SUMIFS('Master P&amp;L'!$AE$11:$AE$88,'Master P&amp;L'!$B$11:$B$88,'Check result'!R13)))</f>
        <v>0</v>
      </c>
      <c r="U13" s="198">
        <f t="shared" si="3"/>
        <v>0</v>
      </c>
      <c r="V13" s="197">
        <f t="shared" si="4"/>
        <v>-173338</v>
      </c>
      <c r="W13">
        <f t="shared" si="5"/>
        <v>-0.15</v>
      </c>
    </row>
    <row r="14" spans="1:23">
      <c r="A14" s="258">
        <v>45840</v>
      </c>
      <c r="B14" s="259" t="s">
        <v>210</v>
      </c>
      <c r="C14" s="259" t="s">
        <v>250</v>
      </c>
      <c r="D14" s="259" t="s">
        <v>465</v>
      </c>
      <c r="E14" s="260">
        <v>-172999</v>
      </c>
      <c r="F14" s="259">
        <v>-0.15</v>
      </c>
      <c r="G14" s="19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8">
        <f>IF(R14="","",IF(LEN(R14)&gt;9,SUMIFS(Options!$AZ$3:$AZ$28,Options!$B$3:$B$28,'Check result'!R14),SUMIFS('Master P&amp;L'!$AE$11:$AE$88,'Master P&amp;L'!$B$11:$B$88,'Check result'!R14)))</f>
        <v>0</v>
      </c>
      <c r="U14" s="198">
        <f t="shared" si="3"/>
        <v>0</v>
      </c>
      <c r="V14" s="197">
        <f t="shared" si="4"/>
        <v>-172999</v>
      </c>
      <c r="W14">
        <f t="shared" si="5"/>
        <v>-0.15</v>
      </c>
    </row>
    <row r="15" spans="1:23">
      <c r="A15" s="258">
        <v>45840</v>
      </c>
      <c r="B15" s="259" t="s">
        <v>210</v>
      </c>
      <c r="C15" s="259" t="s">
        <v>250</v>
      </c>
      <c r="D15" s="259" t="s">
        <v>493</v>
      </c>
      <c r="E15" s="260">
        <v>-164934</v>
      </c>
      <c r="F15" s="259">
        <v>-0.15</v>
      </c>
      <c r="G15" s="19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8">
        <f>IF(R15="","",IF(LEN(R15)&gt;9,SUMIFS(Options!$AZ$3:$AZ$28,Options!$B$3:$B$28,'Check result'!R15),SUMIFS('Master P&amp;L'!$AE$11:$AE$88,'Master P&amp;L'!$B$11:$B$88,'Check result'!R15)))</f>
        <v>0</v>
      </c>
      <c r="U15" s="198">
        <f t="shared" si="3"/>
        <v>0</v>
      </c>
      <c r="V15" s="197">
        <f t="shared" si="4"/>
        <v>-164934</v>
      </c>
      <c r="W15">
        <f t="shared" si="5"/>
        <v>-0.15</v>
      </c>
    </row>
    <row r="16" spans="1:23">
      <c r="A16" s="258">
        <v>45840</v>
      </c>
      <c r="B16" s="259" t="s">
        <v>210</v>
      </c>
      <c r="C16" s="259" t="s">
        <v>246</v>
      </c>
      <c r="D16" s="259" t="s">
        <v>489</v>
      </c>
      <c r="E16" s="260">
        <v>-161071</v>
      </c>
      <c r="F16" s="259">
        <v>-0.14000000000000001</v>
      </c>
      <c r="G16" s="19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8">
        <f>IF(R16="","",IF(LEN(R16)&gt;9,SUMIFS(Options!$AZ$3:$AZ$28,Options!$B$3:$B$28,'Check result'!R16),SUMIFS('Master P&amp;L'!$AE$11:$AE$88,'Master P&amp;L'!$B$11:$B$88,'Check result'!R16)))</f>
        <v>0</v>
      </c>
      <c r="U16" s="198">
        <f t="shared" si="3"/>
        <v>0</v>
      </c>
      <c r="V16" s="197">
        <f t="shared" si="4"/>
        <v>-161071</v>
      </c>
      <c r="W16">
        <f t="shared" si="5"/>
        <v>-0.14000000000000004</v>
      </c>
    </row>
    <row r="17" spans="1:23">
      <c r="A17" s="258">
        <v>45840</v>
      </c>
      <c r="B17" s="259" t="s">
        <v>210</v>
      </c>
      <c r="C17" s="259" t="s">
        <v>244</v>
      </c>
      <c r="D17" s="259" t="s">
        <v>38</v>
      </c>
      <c r="E17" s="260">
        <v>-159060</v>
      </c>
      <c r="F17" s="259">
        <v>-0.14000000000000001</v>
      </c>
      <c r="G17" s="197">
        <f t="shared" si="0"/>
        <v>11361428571.42857</v>
      </c>
      <c r="R17" t="str">
        <f t="shared" si="1"/>
        <v>MSFT</v>
      </c>
      <c r="S17">
        <f t="shared" si="2"/>
        <v>-159060</v>
      </c>
      <c r="T17" s="198">
        <f>IF(R17="","",IF(LEN(R17)&gt;9,SUMIFS(Options!$AZ$3:$AZ$28,Options!$B$3:$B$28,'Check result'!R17),SUMIFS('Master P&amp;L'!$AE$11:$AE$88,'Master P&amp;L'!$B$11:$B$88,'Check result'!R17)))</f>
        <v>0</v>
      </c>
      <c r="U17" s="198">
        <f t="shared" si="3"/>
        <v>0</v>
      </c>
      <c r="V17" s="197">
        <f t="shared" si="4"/>
        <v>-159060</v>
      </c>
      <c r="W17">
        <f t="shared" si="5"/>
        <v>-0.14000000000000001</v>
      </c>
    </row>
    <row r="18" spans="1:23">
      <c r="A18" s="258">
        <v>45840</v>
      </c>
      <c r="B18" s="259" t="s">
        <v>210</v>
      </c>
      <c r="C18" s="259" t="s">
        <v>246</v>
      </c>
      <c r="D18" s="259" t="s">
        <v>398</v>
      </c>
      <c r="E18" s="260">
        <v>-150729</v>
      </c>
      <c r="F18" s="259">
        <v>-0.13</v>
      </c>
      <c r="G18" s="19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8">
        <f>IF(R18="","",IF(LEN(R18)&gt;9,SUMIFS(Options!$AZ$3:$AZ$28,Options!$B$3:$B$28,'Check result'!R18),SUMIFS('Master P&amp;L'!$AE$11:$AE$88,'Master P&amp;L'!$B$11:$B$88,'Check result'!R18)))</f>
        <v>0</v>
      </c>
      <c r="U18" s="198">
        <f t="shared" si="3"/>
        <v>0</v>
      </c>
      <c r="V18" s="197">
        <f t="shared" si="4"/>
        <v>-150729</v>
      </c>
      <c r="W18">
        <f t="shared" si="5"/>
        <v>-0.13000000000000003</v>
      </c>
    </row>
    <row r="19" spans="1:23">
      <c r="A19" s="258">
        <v>45840</v>
      </c>
      <c r="B19" s="259" t="s">
        <v>210</v>
      </c>
      <c r="C19" s="259" t="s">
        <v>244</v>
      </c>
      <c r="D19" s="259" t="s">
        <v>28</v>
      </c>
      <c r="E19" s="260">
        <v>-140779</v>
      </c>
      <c r="F19" s="259">
        <v>-0.12</v>
      </c>
      <c r="G19" s="197">
        <f t="shared" si="0"/>
        <v>11731583333.333334</v>
      </c>
      <c r="R19" t="str">
        <f t="shared" si="1"/>
        <v>COIN</v>
      </c>
      <c r="S19">
        <f t="shared" si="2"/>
        <v>-140779</v>
      </c>
      <c r="T19" s="198">
        <f>IF(R19="","",IF(LEN(R19)&gt;9,SUMIFS(Options!$AZ$3:$AZ$28,Options!$B$3:$B$28,'Check result'!R19),SUMIFS('Master P&amp;L'!$AE$11:$AE$88,'Master P&amp;L'!$B$11:$B$88,'Check result'!R19)))</f>
        <v>0</v>
      </c>
      <c r="U19" s="198">
        <f t="shared" si="3"/>
        <v>0</v>
      </c>
      <c r="V19" s="197">
        <f t="shared" si="4"/>
        <v>-140779</v>
      </c>
      <c r="W19">
        <f t="shared" si="5"/>
        <v>-0.11999999999999998</v>
      </c>
    </row>
    <row r="20" spans="1:23">
      <c r="A20" s="258">
        <v>45840</v>
      </c>
      <c r="B20" s="259" t="s">
        <v>210</v>
      </c>
      <c r="C20" s="259" t="s">
        <v>250</v>
      </c>
      <c r="D20" s="259" t="s">
        <v>414</v>
      </c>
      <c r="E20" s="260">
        <v>-128119</v>
      </c>
      <c r="F20" s="259">
        <v>-0.11</v>
      </c>
      <c r="G20" s="19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8">
        <f>IF(R20="","",IF(LEN(R20)&gt;9,SUMIFS(Options!$AZ$3:$AZ$28,Options!$B$3:$B$28,'Check result'!R20),SUMIFS('Master P&amp;L'!$AE$11:$AE$88,'Master P&amp;L'!$B$11:$B$88,'Check result'!R20)))</f>
        <v>0</v>
      </c>
      <c r="U20" s="198">
        <f t="shared" si="3"/>
        <v>0</v>
      </c>
      <c r="V20" s="197">
        <f t="shared" si="4"/>
        <v>-128119</v>
      </c>
      <c r="W20">
        <f t="shared" si="5"/>
        <v>-0.11</v>
      </c>
    </row>
    <row r="21" spans="1:23">
      <c r="A21" s="258">
        <v>45840</v>
      </c>
      <c r="B21" s="259" t="s">
        <v>210</v>
      </c>
      <c r="C21" s="259" t="s">
        <v>250</v>
      </c>
      <c r="D21" s="259" t="s">
        <v>416</v>
      </c>
      <c r="E21" s="260">
        <v>-127659</v>
      </c>
      <c r="F21" s="259">
        <v>-0.11</v>
      </c>
      <c r="G21" s="19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8">
        <f>IF(R21="","",IF(LEN(R21)&gt;9,SUMIFS(Options!$AZ$3:$AZ$28,Options!$B$3:$B$28,'Check result'!R21),SUMIFS('Master P&amp;L'!$AE$11:$AE$88,'Master P&amp;L'!$B$11:$B$88,'Check result'!R21)))</f>
        <v>0</v>
      </c>
      <c r="U21" s="198">
        <f t="shared" si="3"/>
        <v>0</v>
      </c>
      <c r="V21" s="197">
        <f t="shared" si="4"/>
        <v>-127659</v>
      </c>
      <c r="W21">
        <f t="shared" si="5"/>
        <v>-0.11</v>
      </c>
    </row>
    <row r="22" spans="1:23">
      <c r="A22" s="258">
        <v>45840</v>
      </c>
      <c r="B22" s="259" t="s">
        <v>210</v>
      </c>
      <c r="C22" s="259" t="s">
        <v>250</v>
      </c>
      <c r="D22" s="259" t="s">
        <v>499</v>
      </c>
      <c r="E22" s="260">
        <v>-123172</v>
      </c>
      <c r="F22" s="259">
        <v>-0.11</v>
      </c>
      <c r="G22" s="19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8">
        <f>IF(R22="","",IF(LEN(R22)&gt;9,SUMIFS(Options!$AZ$3:$AZ$28,Options!$B$3:$B$28,'Check result'!R22),SUMIFS('Master P&amp;L'!$AE$11:$AE$88,'Master P&amp;L'!$B$11:$B$88,'Check result'!R22)))</f>
        <v>0</v>
      </c>
      <c r="U22" s="198">
        <f t="shared" si="3"/>
        <v>0</v>
      </c>
      <c r="V22" s="197">
        <f t="shared" si="4"/>
        <v>-123172</v>
      </c>
      <c r="W22">
        <f t="shared" si="5"/>
        <v>-0.11</v>
      </c>
    </row>
    <row r="23" spans="1:23">
      <c r="A23" s="258">
        <v>45840</v>
      </c>
      <c r="B23" s="259" t="s">
        <v>210</v>
      </c>
      <c r="C23" s="259" t="s">
        <v>246</v>
      </c>
      <c r="D23" s="259" t="s">
        <v>370</v>
      </c>
      <c r="E23" s="260">
        <v>-114511</v>
      </c>
      <c r="F23" s="259">
        <v>-0.1</v>
      </c>
      <c r="G23" s="19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8">
        <f>IF(R23="","",IF(LEN(R23)&gt;9,SUMIFS(Options!$AZ$3:$AZ$28,Options!$B$3:$B$28,'Check result'!R23),SUMIFS('Master P&amp;L'!$AE$11:$AE$88,'Master P&amp;L'!$B$11:$B$88,'Check result'!R23)))</f>
        <v>0</v>
      </c>
      <c r="U23" s="198">
        <f t="shared" si="3"/>
        <v>0</v>
      </c>
      <c r="V23" s="197">
        <f t="shared" si="4"/>
        <v>-114511</v>
      </c>
      <c r="W23">
        <f t="shared" si="5"/>
        <v>-0.1</v>
      </c>
    </row>
    <row r="24" spans="1:23">
      <c r="A24" s="258">
        <v>45840</v>
      </c>
      <c r="B24" s="259" t="s">
        <v>210</v>
      </c>
      <c r="C24" s="259" t="s">
        <v>247</v>
      </c>
      <c r="D24" s="259" t="s">
        <v>320</v>
      </c>
      <c r="E24" s="260">
        <v>-104979</v>
      </c>
      <c r="F24" s="259">
        <v>-0.09</v>
      </c>
      <c r="G24" s="197">
        <f t="shared" si="0"/>
        <v>11664333333.333334</v>
      </c>
      <c r="R24" t="str">
        <f t="shared" si="1"/>
        <v>XRT</v>
      </c>
      <c r="S24">
        <f t="shared" si="2"/>
        <v>-104979</v>
      </c>
      <c r="T24" s="198">
        <f>IF(R24="","",IF(LEN(R24)&gt;9,SUMIFS(Options!$AZ$3:$AZ$28,Options!$B$3:$B$28,'Check result'!R24),SUMIFS('Master P&amp;L'!$AE$11:$AE$88,'Master P&amp;L'!$B$11:$B$88,'Check result'!R24)))</f>
        <v>0</v>
      </c>
      <c r="U24" s="198">
        <f t="shared" si="3"/>
        <v>0</v>
      </c>
      <c r="V24" s="197">
        <f t="shared" si="4"/>
        <v>-104979</v>
      </c>
      <c r="W24">
        <f t="shared" si="5"/>
        <v>-0.09</v>
      </c>
    </row>
    <row r="25" spans="1:23">
      <c r="A25" s="258">
        <v>45840</v>
      </c>
      <c r="B25" s="259" t="s">
        <v>210</v>
      </c>
      <c r="C25" s="259" t="s">
        <v>250</v>
      </c>
      <c r="D25" s="259" t="s">
        <v>491</v>
      </c>
      <c r="E25" s="260">
        <v>-103084</v>
      </c>
      <c r="F25" s="259">
        <v>-0.09</v>
      </c>
      <c r="G25" s="19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8">
        <f>IF(R25="","",IF(LEN(R25)&gt;9,SUMIFS(Options!$AZ$3:$AZ$28,Options!$B$3:$B$28,'Check result'!R25),SUMIFS('Master P&amp;L'!$AE$11:$AE$88,'Master P&amp;L'!$B$11:$B$88,'Check result'!R25)))</f>
        <v>0</v>
      </c>
      <c r="U25" s="198">
        <f t="shared" si="3"/>
        <v>0</v>
      </c>
      <c r="V25" s="197">
        <f t="shared" si="4"/>
        <v>-103084</v>
      </c>
      <c r="W25">
        <f t="shared" si="5"/>
        <v>-0.09</v>
      </c>
    </row>
    <row r="26" spans="1:23">
      <c r="A26" s="258">
        <v>45840</v>
      </c>
      <c r="B26" s="259" t="s">
        <v>210</v>
      </c>
      <c r="C26" s="259" t="s">
        <v>244</v>
      </c>
      <c r="D26" s="259" t="s">
        <v>76</v>
      </c>
      <c r="E26" s="260">
        <v>-99741</v>
      </c>
      <c r="F26" s="259">
        <v>-0.09</v>
      </c>
      <c r="G26" s="197">
        <f t="shared" si="0"/>
        <v>11082333333.333334</v>
      </c>
      <c r="R26" t="str">
        <f t="shared" si="1"/>
        <v>BKNG</v>
      </c>
      <c r="S26">
        <f t="shared" si="2"/>
        <v>-99741</v>
      </c>
      <c r="T26" s="198">
        <f>IF(R26="","",IF(LEN(R26)&gt;9,SUMIFS(Options!$AZ$3:$AZ$28,Options!$B$3:$B$28,'Check result'!R26),SUMIFS('Master P&amp;L'!$AE$11:$AE$88,'Master P&amp;L'!$B$11:$B$88,'Check result'!R26)))</f>
        <v>0</v>
      </c>
      <c r="U26" s="198">
        <f t="shared" si="3"/>
        <v>0</v>
      </c>
      <c r="V26" s="197">
        <f t="shared" si="4"/>
        <v>-99741</v>
      </c>
      <c r="W26">
        <f t="shared" si="5"/>
        <v>-0.09</v>
      </c>
    </row>
    <row r="27" spans="1:23">
      <c r="A27" s="258">
        <v>45840</v>
      </c>
      <c r="B27" s="259" t="s">
        <v>210</v>
      </c>
      <c r="C27" s="259" t="s">
        <v>246</v>
      </c>
      <c r="D27" s="259" t="s">
        <v>503</v>
      </c>
      <c r="E27" s="260">
        <v>-92037</v>
      </c>
      <c r="F27" s="259">
        <v>-0.08</v>
      </c>
      <c r="G27" s="19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8">
        <f>IF(R27="","",IF(LEN(R27)&gt;9,SUMIFS(Options!$AZ$3:$AZ$28,Options!$B$3:$B$28,'Check result'!R27),SUMIFS('Master P&amp;L'!$AE$11:$AE$88,'Master P&amp;L'!$B$11:$B$88,'Check result'!R27)))</f>
        <v>0</v>
      </c>
      <c r="U27" s="198">
        <f t="shared" si="3"/>
        <v>0</v>
      </c>
      <c r="V27" s="197">
        <f t="shared" si="4"/>
        <v>-92037</v>
      </c>
      <c r="W27">
        <f t="shared" si="5"/>
        <v>-0.08</v>
      </c>
    </row>
    <row r="28" spans="1:23">
      <c r="A28" s="258">
        <v>45840</v>
      </c>
      <c r="B28" s="259" t="s">
        <v>210</v>
      </c>
      <c r="C28" s="259" t="s">
        <v>246</v>
      </c>
      <c r="D28" s="259" t="s">
        <v>490</v>
      </c>
      <c r="E28" s="260">
        <v>-73586</v>
      </c>
      <c r="F28" s="259">
        <v>-7.0000000000000007E-2</v>
      </c>
      <c r="G28" s="19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8">
        <f>IF(R28="","",IF(LEN(R28)&gt;9,SUMIFS(Options!$AZ$3:$AZ$28,Options!$B$3:$B$28,'Check result'!R28),SUMIFS('Master P&amp;L'!$AE$11:$AE$88,'Master P&amp;L'!$B$11:$B$88,'Check result'!R28)))</f>
        <v>0</v>
      </c>
      <c r="U28" s="198">
        <f t="shared" si="3"/>
        <v>0</v>
      </c>
      <c r="V28" s="197">
        <f t="shared" si="4"/>
        <v>-73586</v>
      </c>
      <c r="W28">
        <f t="shared" si="5"/>
        <v>-7.0000000000000007E-2</v>
      </c>
    </row>
    <row r="29" spans="1:23">
      <c r="A29" s="258">
        <v>45840</v>
      </c>
      <c r="B29" s="259" t="s">
        <v>210</v>
      </c>
      <c r="C29" s="259" t="s">
        <v>250</v>
      </c>
      <c r="D29" s="259" t="s">
        <v>449</v>
      </c>
      <c r="E29" s="260">
        <v>-71135</v>
      </c>
      <c r="F29" s="259">
        <v>-0.06</v>
      </c>
      <c r="G29" s="19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8">
        <f>IF(R29="","",IF(LEN(R29)&gt;9,SUMIFS(Options!$AZ$3:$AZ$28,Options!$B$3:$B$28,'Check result'!R29),SUMIFS('Master P&amp;L'!$AE$11:$AE$88,'Master P&amp;L'!$B$11:$B$88,'Check result'!R29)))</f>
        <v>0</v>
      </c>
      <c r="U29" s="198">
        <f t="shared" si="3"/>
        <v>0</v>
      </c>
      <c r="V29" s="197">
        <f t="shared" si="4"/>
        <v>-71135</v>
      </c>
      <c r="W29">
        <f t="shared" si="5"/>
        <v>-5.9999999999999991E-2</v>
      </c>
    </row>
    <row r="30" spans="1:23">
      <c r="A30" s="258">
        <v>45840</v>
      </c>
      <c r="B30" s="259" t="s">
        <v>210</v>
      </c>
      <c r="C30" s="259" t="s">
        <v>246</v>
      </c>
      <c r="D30" s="259" t="s">
        <v>510</v>
      </c>
      <c r="E30" s="260">
        <v>-70821</v>
      </c>
      <c r="F30" s="259">
        <v>-0.06</v>
      </c>
      <c r="G30" s="197">
        <f t="shared" si="0"/>
        <v>11803500000</v>
      </c>
      <c r="R30" t="str">
        <f t="shared" si="1"/>
        <v>MU US 08/15/25 C135</v>
      </c>
      <c r="S30">
        <f t="shared" si="2"/>
        <v>-70821</v>
      </c>
      <c r="T30" s="198">
        <f>IF(R30="","",IF(LEN(R30)&gt;9,SUMIFS(Options!$AZ$3:$AZ$28,Options!$B$3:$B$28,'Check result'!R30),SUMIFS('Master P&amp;L'!$AE$11:$AE$88,'Master P&amp;L'!$B$11:$B$88,'Check result'!R30)))</f>
        <v>0</v>
      </c>
      <c r="U30" s="198">
        <f t="shared" si="3"/>
        <v>0</v>
      </c>
      <c r="V30" s="197">
        <f t="shared" si="4"/>
        <v>-70821</v>
      </c>
      <c r="W30">
        <f t="shared" si="5"/>
        <v>-6.0000000000000005E-2</v>
      </c>
    </row>
    <row r="31" spans="1:23">
      <c r="A31" s="258">
        <v>45840</v>
      </c>
      <c r="B31" s="259" t="s">
        <v>210</v>
      </c>
      <c r="C31" s="259" t="s">
        <v>246</v>
      </c>
      <c r="D31" s="259" t="s">
        <v>419</v>
      </c>
      <c r="E31" s="260">
        <v>-69837</v>
      </c>
      <c r="F31" s="259">
        <v>-0.06</v>
      </c>
      <c r="G31" s="19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8">
        <f>IF(R31="","",IF(LEN(R31)&gt;9,SUMIFS(Options!$AZ$3:$AZ$28,Options!$B$3:$B$28,'Check result'!R31),SUMIFS('Master P&amp;L'!$AE$11:$AE$88,'Master P&amp;L'!$B$11:$B$88,'Check result'!R31)))</f>
        <v>0</v>
      </c>
      <c r="U31" s="198">
        <f t="shared" si="3"/>
        <v>0</v>
      </c>
      <c r="V31" s="197">
        <f t="shared" si="4"/>
        <v>-69837</v>
      </c>
      <c r="W31">
        <f t="shared" si="5"/>
        <v>-6.0000000000000005E-2</v>
      </c>
    </row>
    <row r="32" spans="1:23">
      <c r="A32" s="258">
        <v>45840</v>
      </c>
      <c r="B32" s="259" t="s">
        <v>210</v>
      </c>
      <c r="C32" s="259" t="s">
        <v>250</v>
      </c>
      <c r="D32" s="259" t="s">
        <v>466</v>
      </c>
      <c r="E32" s="260">
        <v>-68578</v>
      </c>
      <c r="F32" s="259">
        <v>-0.06</v>
      </c>
      <c r="G32" s="19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8">
        <f>IF(R32="","",IF(LEN(R32)&gt;9,SUMIFS(Options!$AZ$3:$AZ$28,Options!$B$3:$B$28,'Check result'!R32),SUMIFS('Master P&amp;L'!$AE$11:$AE$88,'Master P&amp;L'!$B$11:$B$88,'Check result'!R32)))</f>
        <v>0</v>
      </c>
      <c r="U32" s="198">
        <f t="shared" si="3"/>
        <v>0</v>
      </c>
      <c r="V32" s="197">
        <f t="shared" si="4"/>
        <v>-68578</v>
      </c>
      <c r="W32">
        <f t="shared" si="5"/>
        <v>-5.9999999999999991E-2</v>
      </c>
    </row>
    <row r="33" spans="1:23">
      <c r="A33" s="258">
        <v>45840</v>
      </c>
      <c r="B33" s="259" t="s">
        <v>210</v>
      </c>
      <c r="C33" s="259" t="s">
        <v>244</v>
      </c>
      <c r="D33" s="259" t="s">
        <v>233</v>
      </c>
      <c r="E33" s="260">
        <v>-63399</v>
      </c>
      <c r="F33" s="259">
        <v>-0.06</v>
      </c>
      <c r="G33" s="197">
        <f t="shared" si="0"/>
        <v>10566500000</v>
      </c>
      <c r="R33" t="str">
        <f t="shared" si="1"/>
        <v>NTGR</v>
      </c>
      <c r="S33">
        <f t="shared" si="2"/>
        <v>-63399</v>
      </c>
      <c r="T33" s="198">
        <f>IF(R33="","",IF(LEN(R33)&gt;9,SUMIFS(Options!$AZ$3:$AZ$28,Options!$B$3:$B$28,'Check result'!R33),SUMIFS('Master P&amp;L'!$AE$11:$AE$88,'Master P&amp;L'!$B$11:$B$88,'Check result'!R33)))</f>
        <v>0</v>
      </c>
      <c r="U33" s="198">
        <f t="shared" si="3"/>
        <v>0</v>
      </c>
      <c r="V33" s="197">
        <f t="shared" si="4"/>
        <v>-63399</v>
      </c>
      <c r="W33">
        <f t="shared" si="5"/>
        <v>-6.0000000000000005E-2</v>
      </c>
    </row>
    <row r="34" spans="1:23">
      <c r="A34" s="258">
        <v>45840</v>
      </c>
      <c r="B34" s="259" t="s">
        <v>210</v>
      </c>
      <c r="C34" s="259" t="s">
        <v>250</v>
      </c>
      <c r="D34" s="259" t="s">
        <v>456</v>
      </c>
      <c r="E34" s="260">
        <v>-58329</v>
      </c>
      <c r="F34" s="259">
        <v>-0.05</v>
      </c>
      <c r="G34" s="197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8">
        <f>IF(R34="","",IF(LEN(R34)&gt;9,SUMIFS(Options!$AZ$3:$AZ$28,Options!$B$3:$B$28,'Check result'!R34),SUMIFS('Master P&amp;L'!$AE$11:$AE$88,'Master P&amp;L'!$B$11:$B$88,'Check result'!R34)))</f>
        <v>0</v>
      </c>
      <c r="U34" s="198">
        <f t="shared" si="3"/>
        <v>0</v>
      </c>
      <c r="V34" s="197">
        <f t="shared" si="4"/>
        <v>-58329</v>
      </c>
      <c r="W34">
        <f t="shared" si="5"/>
        <v>-0.05</v>
      </c>
    </row>
    <row r="35" spans="1:23">
      <c r="A35" s="258">
        <v>45840</v>
      </c>
      <c r="B35" s="259" t="s">
        <v>210</v>
      </c>
      <c r="C35" s="259" t="s">
        <v>244</v>
      </c>
      <c r="D35" s="259" t="s">
        <v>27</v>
      </c>
      <c r="E35" s="260">
        <v>-56191</v>
      </c>
      <c r="F35" s="259">
        <v>-0.05</v>
      </c>
      <c r="G35" s="197">
        <f t="shared" si="0"/>
        <v>11238200000</v>
      </c>
      <c r="R35" t="str">
        <f t="shared" si="1"/>
        <v>AAPL</v>
      </c>
      <c r="S35">
        <f t="shared" si="2"/>
        <v>-56191</v>
      </c>
      <c r="T35" s="198">
        <f>IF(R35="","",IF(LEN(R35)&gt;9,SUMIFS(Options!$AZ$3:$AZ$28,Options!$B$3:$B$28,'Check result'!R35),SUMIFS('Master P&amp;L'!$AE$11:$AE$88,'Master P&amp;L'!$B$11:$B$88,'Check result'!R35)))</f>
        <v>0</v>
      </c>
      <c r="U35" s="198">
        <f t="shared" si="3"/>
        <v>0</v>
      </c>
      <c r="V35" s="197">
        <f t="shared" si="4"/>
        <v>-56191</v>
      </c>
      <c r="W35">
        <f t="shared" si="5"/>
        <v>-0.05</v>
      </c>
    </row>
    <row r="36" spans="1:23">
      <c r="A36" s="258">
        <v>45840</v>
      </c>
      <c r="B36" s="259" t="s">
        <v>210</v>
      </c>
      <c r="C36" s="259" t="s">
        <v>251</v>
      </c>
      <c r="D36" s="259" t="s">
        <v>232</v>
      </c>
      <c r="E36" s="260">
        <v>-55901</v>
      </c>
      <c r="F36" s="259">
        <v>-0.05</v>
      </c>
      <c r="G36" s="19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8">
        <f>IF(R36="","",IF(LEN(R36)&gt;9,SUMIFS(Options!$AZ$3:$AZ$28,Options!$B$3:$B$28,'Check result'!R36),SUMIFS('Master P&amp;L'!$AE$11:$AE$88,'Master P&amp;L'!$B$11:$B$88,'Check result'!R36)))</f>
        <v>0</v>
      </c>
      <c r="U36" s="198">
        <f t="shared" si="3"/>
        <v>0</v>
      </c>
      <c r="V36" s="197">
        <f t="shared" si="4"/>
        <v>-55901</v>
      </c>
      <c r="W36">
        <f t="shared" si="5"/>
        <v>-0.05</v>
      </c>
    </row>
    <row r="37" spans="1:23">
      <c r="A37" s="258">
        <v>45840</v>
      </c>
      <c r="B37" s="259" t="s">
        <v>210</v>
      </c>
      <c r="C37" s="259" t="s">
        <v>250</v>
      </c>
      <c r="D37" s="259" t="s">
        <v>501</v>
      </c>
      <c r="E37" s="260">
        <v>-53690</v>
      </c>
      <c r="F37" s="259">
        <v>-0.05</v>
      </c>
      <c r="G37" s="197">
        <f t="shared" si="0"/>
        <v>10738000000</v>
      </c>
      <c r="R37" t="str">
        <f t="shared" si="1"/>
        <v>EWT US 09/19/25 P57</v>
      </c>
      <c r="S37">
        <f t="shared" si="2"/>
        <v>-53690</v>
      </c>
      <c r="T37" s="198">
        <f>IF(R37="","",IF(LEN(R37)&gt;9,SUMIFS(Options!$AZ$3:$AZ$28,Options!$B$3:$B$28,'Check result'!R37),SUMIFS('Master P&amp;L'!$AE$11:$AE$88,'Master P&amp;L'!$B$11:$B$88,'Check result'!R37)))</f>
        <v>0</v>
      </c>
      <c r="U37" s="198">
        <f t="shared" si="3"/>
        <v>0</v>
      </c>
      <c r="V37" s="197">
        <f t="shared" si="4"/>
        <v>-53690</v>
      </c>
      <c r="W37">
        <f t="shared" si="5"/>
        <v>-0.05</v>
      </c>
    </row>
    <row r="38" spans="1:23">
      <c r="A38" s="258">
        <v>45840</v>
      </c>
      <c r="B38" s="259" t="s">
        <v>210</v>
      </c>
      <c r="C38" s="259" t="s">
        <v>250</v>
      </c>
      <c r="D38" s="259" t="s">
        <v>496</v>
      </c>
      <c r="E38" s="260">
        <v>-51969</v>
      </c>
      <c r="F38" s="259">
        <v>-0.05</v>
      </c>
      <c r="G38" s="197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8">
        <f>IF(R38="","",IF(LEN(R38)&gt;9,SUMIFS(Options!$AZ$3:$AZ$28,Options!$B$3:$B$28,'Check result'!R38),SUMIFS('Master P&amp;L'!$AE$11:$AE$88,'Master P&amp;L'!$B$11:$B$88,'Check result'!R38)))</f>
        <v>0</v>
      </c>
      <c r="U38" s="198">
        <f t="shared" si="3"/>
        <v>0</v>
      </c>
      <c r="V38" s="197">
        <f t="shared" si="4"/>
        <v>-51969</v>
      </c>
      <c r="W38">
        <f t="shared" si="5"/>
        <v>-0.05</v>
      </c>
    </row>
    <row r="39" spans="1:23">
      <c r="A39" s="258">
        <v>45840</v>
      </c>
      <c r="B39" s="259" t="s">
        <v>210</v>
      </c>
      <c r="C39" s="259" t="s">
        <v>250</v>
      </c>
      <c r="D39" s="259" t="s">
        <v>494</v>
      </c>
      <c r="E39" s="260">
        <v>-50505</v>
      </c>
      <c r="F39" s="259">
        <v>-0.04</v>
      </c>
      <c r="G39" s="197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8">
        <f>IF(R39="","",IF(LEN(R39)&gt;9,SUMIFS(Options!$AZ$3:$AZ$28,Options!$B$3:$B$28,'Check result'!R39),SUMIFS('Master P&amp;L'!$AE$11:$AE$88,'Master P&amp;L'!$B$11:$B$88,'Check result'!R39)))</f>
        <v>0</v>
      </c>
      <c r="U39" s="198">
        <f t="shared" si="3"/>
        <v>0</v>
      </c>
      <c r="V39" s="197">
        <f t="shared" si="4"/>
        <v>-50505</v>
      </c>
      <c r="W39">
        <f t="shared" si="5"/>
        <v>-0.04</v>
      </c>
    </row>
    <row r="40" spans="1:23">
      <c r="A40" s="258">
        <v>45840</v>
      </c>
      <c r="B40" s="259" t="s">
        <v>210</v>
      </c>
      <c r="C40" s="259" t="s">
        <v>250</v>
      </c>
      <c r="D40" s="259" t="s">
        <v>393</v>
      </c>
      <c r="E40" s="260">
        <v>-47699</v>
      </c>
      <c r="F40" s="259">
        <v>-0.04</v>
      </c>
      <c r="G40" s="197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8">
        <f>IF(R40="","",IF(LEN(R40)&gt;9,SUMIFS(Options!$AZ$3:$AZ$28,Options!$B$3:$B$28,'Check result'!R40),SUMIFS('Master P&amp;L'!$AE$11:$AE$88,'Master P&amp;L'!$B$11:$B$88,'Check result'!R40)))</f>
        <v>0</v>
      </c>
      <c r="U40" s="198">
        <f t="shared" si="3"/>
        <v>0</v>
      </c>
      <c r="V40" s="197">
        <f t="shared" si="4"/>
        <v>-47699</v>
      </c>
      <c r="W40">
        <f t="shared" si="5"/>
        <v>-0.04</v>
      </c>
    </row>
    <row r="41" spans="1:23">
      <c r="A41" s="258">
        <v>45840</v>
      </c>
      <c r="B41" s="259" t="s">
        <v>210</v>
      </c>
      <c r="C41" s="259" t="s">
        <v>8</v>
      </c>
      <c r="D41" s="259" t="s">
        <v>40</v>
      </c>
      <c r="E41" s="260">
        <v>-46605</v>
      </c>
      <c r="F41" s="259">
        <v>-0.04</v>
      </c>
      <c r="G41" s="197">
        <f t="shared" si="0"/>
        <v>11651250000</v>
      </c>
      <c r="R41" t="str">
        <f t="shared" si="1"/>
        <v>LYSDY</v>
      </c>
      <c r="S41">
        <f t="shared" si="2"/>
        <v>-46605</v>
      </c>
      <c r="T41" s="198">
        <f>IF(R41="","",IF(LEN(R41)&gt;9,SUMIFS(Options!$AZ$3:$AZ$28,Options!$B$3:$B$28,'Check result'!R41),SUMIFS('Master P&amp;L'!$AE$11:$AE$88,'Master P&amp;L'!$B$11:$B$88,'Check result'!R41)))</f>
        <v>0</v>
      </c>
      <c r="U41" s="198">
        <f t="shared" si="3"/>
        <v>0</v>
      </c>
      <c r="V41" s="197">
        <f t="shared" si="4"/>
        <v>-46605</v>
      </c>
      <c r="W41">
        <f t="shared" si="5"/>
        <v>-0.04</v>
      </c>
    </row>
    <row r="42" spans="1:23">
      <c r="A42" s="258">
        <v>45840</v>
      </c>
      <c r="B42" s="259" t="s">
        <v>210</v>
      </c>
      <c r="C42" s="259" t="s">
        <v>8</v>
      </c>
      <c r="D42" s="259" t="s">
        <v>359</v>
      </c>
      <c r="E42" s="260">
        <v>-41345</v>
      </c>
      <c r="F42" s="259">
        <v>-0.04</v>
      </c>
      <c r="G42" s="197">
        <f t="shared" si="0"/>
        <v>10336250000</v>
      </c>
      <c r="R42" t="str">
        <f t="shared" si="1"/>
        <v>SHEL</v>
      </c>
      <c r="S42">
        <f t="shared" si="2"/>
        <v>-41345</v>
      </c>
      <c r="T42" s="198">
        <f>IF(R42="","",IF(LEN(R42)&gt;9,SUMIFS(Options!$AZ$3:$AZ$28,Options!$B$3:$B$28,'Check result'!R42),SUMIFS('Master P&amp;L'!$AE$11:$AE$88,'Master P&amp;L'!$B$11:$B$88,'Check result'!R42)))</f>
        <v>0</v>
      </c>
      <c r="U42" s="198">
        <f t="shared" si="3"/>
        <v>0</v>
      </c>
      <c r="V42" s="197">
        <f t="shared" si="4"/>
        <v>-41345</v>
      </c>
      <c r="W42">
        <f t="shared" si="5"/>
        <v>-0.04</v>
      </c>
    </row>
    <row r="43" spans="1:23">
      <c r="A43" s="258">
        <v>45840</v>
      </c>
      <c r="B43" s="259" t="s">
        <v>210</v>
      </c>
      <c r="C43" s="259" t="s">
        <v>247</v>
      </c>
      <c r="D43" s="259" t="s">
        <v>3</v>
      </c>
      <c r="E43" s="260">
        <v>-39567</v>
      </c>
      <c r="F43" s="259">
        <v>-0.03</v>
      </c>
      <c r="G43" s="197">
        <f t="shared" si="0"/>
        <v>13189000000</v>
      </c>
      <c r="R43" t="str">
        <f t="shared" si="1"/>
        <v>RSP</v>
      </c>
      <c r="S43">
        <f t="shared" si="2"/>
        <v>-39567</v>
      </c>
      <c r="T43" s="198">
        <f>IF(R43="","",IF(LEN(R43)&gt;9,SUMIFS(Options!$AZ$3:$AZ$28,Options!$B$3:$B$28,'Check result'!R43),SUMIFS('Master P&amp;L'!$AE$11:$AE$88,'Master P&amp;L'!$B$11:$B$88,'Check result'!R43)))</f>
        <v>0</v>
      </c>
      <c r="U43" s="198">
        <f t="shared" si="3"/>
        <v>0</v>
      </c>
      <c r="V43" s="197">
        <f t="shared" si="4"/>
        <v>-39567</v>
      </c>
      <c r="W43">
        <f t="shared" si="5"/>
        <v>-3.0000000000000002E-2</v>
      </c>
    </row>
    <row r="44" spans="1:23">
      <c r="A44" s="258">
        <v>45840</v>
      </c>
      <c r="B44" s="259" t="s">
        <v>210</v>
      </c>
      <c r="C44" s="259" t="s">
        <v>247</v>
      </c>
      <c r="D44" s="259" t="s">
        <v>37</v>
      </c>
      <c r="E44" s="260">
        <v>-37821</v>
      </c>
      <c r="F44" s="259">
        <v>-0.03</v>
      </c>
      <c r="G44" s="197">
        <f t="shared" si="0"/>
        <v>12607000000</v>
      </c>
      <c r="R44" t="str">
        <f t="shared" si="1"/>
        <v>IGV</v>
      </c>
      <c r="S44">
        <f t="shared" si="2"/>
        <v>-37821</v>
      </c>
      <c r="T44" s="198">
        <f>IF(R44="","",IF(LEN(R44)&gt;9,SUMIFS(Options!$AZ$3:$AZ$28,Options!$B$3:$B$28,'Check result'!R44),SUMIFS('Master P&amp;L'!$AE$11:$AE$88,'Master P&amp;L'!$B$11:$B$88,'Check result'!R44)))</f>
        <v>0</v>
      </c>
      <c r="U44" s="198">
        <f t="shared" si="3"/>
        <v>0</v>
      </c>
      <c r="V44" s="197">
        <f t="shared" si="4"/>
        <v>-37821</v>
      </c>
      <c r="W44">
        <f t="shared" si="5"/>
        <v>-3.0000000000000002E-2</v>
      </c>
    </row>
    <row r="45" spans="1:23">
      <c r="A45" s="258">
        <v>45840</v>
      </c>
      <c r="B45" s="259" t="s">
        <v>210</v>
      </c>
      <c r="C45" s="259" t="s">
        <v>247</v>
      </c>
      <c r="D45" s="259" t="s">
        <v>365</v>
      </c>
      <c r="E45" s="260">
        <v>-32666</v>
      </c>
      <c r="F45" s="259">
        <v>-0.03</v>
      </c>
      <c r="G45" s="197">
        <f t="shared" si="0"/>
        <v>10888666666.666668</v>
      </c>
      <c r="R45" t="str">
        <f t="shared" si="1"/>
        <v>XHB</v>
      </c>
      <c r="S45">
        <f t="shared" si="2"/>
        <v>-32666</v>
      </c>
      <c r="T45" s="198">
        <f>IF(R45="","",IF(LEN(R45)&gt;9,SUMIFS(Options!$AZ$3:$AZ$28,Options!$B$3:$B$28,'Check result'!R45),SUMIFS('Master P&amp;L'!$AE$11:$AE$88,'Master P&amp;L'!$B$11:$B$88,'Check result'!R45)))</f>
        <v>0</v>
      </c>
      <c r="U45" s="198">
        <f t="shared" si="3"/>
        <v>0</v>
      </c>
      <c r="V45" s="197">
        <f t="shared" si="4"/>
        <v>-32666</v>
      </c>
      <c r="W45">
        <f t="shared" si="5"/>
        <v>-2.9999999999999995E-2</v>
      </c>
    </row>
    <row r="46" spans="1:23">
      <c r="A46" s="258">
        <v>45840</v>
      </c>
      <c r="B46" s="259" t="s">
        <v>210</v>
      </c>
      <c r="C46" s="259" t="s">
        <v>250</v>
      </c>
      <c r="D46" s="259" t="s">
        <v>473</v>
      </c>
      <c r="E46" s="260">
        <v>-32490</v>
      </c>
      <c r="F46" s="259">
        <v>-0.03</v>
      </c>
      <c r="G46" s="19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8">
        <f>IF(R46="","",IF(LEN(R46)&gt;9,SUMIFS(Options!$AZ$3:$AZ$28,Options!$B$3:$B$28,'Check result'!R46),SUMIFS('Master P&amp;L'!$AE$11:$AE$88,'Master P&amp;L'!$B$11:$B$88,'Check result'!R46)))</f>
        <v>0</v>
      </c>
      <c r="U46" s="198">
        <f t="shared" si="3"/>
        <v>0</v>
      </c>
      <c r="V46" s="197">
        <f t="shared" si="4"/>
        <v>-32490</v>
      </c>
      <c r="W46">
        <f t="shared" si="5"/>
        <v>-3.0000000000000002E-2</v>
      </c>
    </row>
    <row r="47" spans="1:23">
      <c r="A47" s="258">
        <v>45840</v>
      </c>
      <c r="B47" s="259" t="s">
        <v>210</v>
      </c>
      <c r="C47" s="259" t="s">
        <v>247</v>
      </c>
      <c r="D47" s="259" t="s">
        <v>369</v>
      </c>
      <c r="E47" s="260">
        <v>-29155</v>
      </c>
      <c r="F47" s="259">
        <v>-0.03</v>
      </c>
      <c r="G47" s="197">
        <f t="shared" si="0"/>
        <v>9718333333.333334</v>
      </c>
      <c r="R47" t="str">
        <f t="shared" si="1"/>
        <v>ITB</v>
      </c>
      <c r="S47">
        <f t="shared" si="2"/>
        <v>-29155</v>
      </c>
      <c r="T47" s="198">
        <f>IF(R47="","",IF(LEN(R47)&gt;9,SUMIFS(Options!$AZ$3:$AZ$28,Options!$B$3:$B$28,'Check result'!R47),SUMIFS('Master P&amp;L'!$AE$11:$AE$88,'Master P&amp;L'!$B$11:$B$88,'Check result'!R47)))</f>
        <v>0</v>
      </c>
      <c r="U47" s="198">
        <f t="shared" si="3"/>
        <v>0</v>
      </c>
      <c r="V47" s="197">
        <f t="shared" si="4"/>
        <v>-29155</v>
      </c>
      <c r="W47">
        <f t="shared" si="5"/>
        <v>-2.9999999999999995E-2</v>
      </c>
    </row>
    <row r="48" spans="1:23">
      <c r="A48" s="258">
        <v>45840</v>
      </c>
      <c r="B48" s="259" t="s">
        <v>210</v>
      </c>
      <c r="C48" s="259" t="s">
        <v>247</v>
      </c>
      <c r="D48" s="259" t="s">
        <v>19</v>
      </c>
      <c r="E48" s="260">
        <v>-27555</v>
      </c>
      <c r="F48" s="259">
        <v>-0.02</v>
      </c>
      <c r="G48" s="197">
        <f t="shared" si="0"/>
        <v>13777500000</v>
      </c>
      <c r="R48" t="str">
        <f t="shared" si="1"/>
        <v>KRE</v>
      </c>
      <c r="S48">
        <f t="shared" si="2"/>
        <v>-27555</v>
      </c>
      <c r="T48" s="198">
        <f>IF(R48="","",IF(LEN(R48)&gt;9,SUMIFS(Options!$AZ$3:$AZ$28,Options!$B$3:$B$28,'Check result'!R48),SUMIFS('Master P&amp;L'!$AE$11:$AE$88,'Master P&amp;L'!$B$11:$B$88,'Check result'!R48)))</f>
        <v>0</v>
      </c>
      <c r="U48" s="198">
        <f t="shared" si="3"/>
        <v>0</v>
      </c>
      <c r="V48" s="197">
        <f t="shared" si="4"/>
        <v>-27555</v>
      </c>
      <c r="W48">
        <f t="shared" si="5"/>
        <v>-0.02</v>
      </c>
    </row>
    <row r="49" spans="1:23">
      <c r="A49" s="258">
        <v>45840</v>
      </c>
      <c r="B49" s="259" t="s">
        <v>210</v>
      </c>
      <c r="C49" s="259" t="s">
        <v>250</v>
      </c>
      <c r="D49" s="259" t="s">
        <v>388</v>
      </c>
      <c r="E49" s="260">
        <v>-22013</v>
      </c>
      <c r="F49" s="259">
        <v>-0.02</v>
      </c>
      <c r="G49" s="197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8">
        <f>IF(R49="","",IF(LEN(R49)&gt;9,SUMIFS(Options!$AZ$3:$AZ$28,Options!$B$3:$B$28,'Check result'!R49),SUMIFS('Master P&amp;L'!$AE$11:$AE$88,'Master P&amp;L'!$B$11:$B$88,'Check result'!R49)))</f>
        <v>0</v>
      </c>
      <c r="U49" s="198">
        <f t="shared" si="3"/>
        <v>0</v>
      </c>
      <c r="V49" s="197">
        <f t="shared" si="4"/>
        <v>-22013</v>
      </c>
      <c r="W49">
        <f t="shared" si="5"/>
        <v>-0.02</v>
      </c>
    </row>
    <row r="50" spans="1:23">
      <c r="A50" s="258">
        <v>45840</v>
      </c>
      <c r="B50" s="259" t="s">
        <v>210</v>
      </c>
      <c r="C50" s="259" t="s">
        <v>247</v>
      </c>
      <c r="D50" s="259" t="s">
        <v>4</v>
      </c>
      <c r="E50" s="260">
        <v>-18023</v>
      </c>
      <c r="F50" s="259">
        <v>-0.02</v>
      </c>
      <c r="G50" s="197">
        <f t="shared" si="0"/>
        <v>9011500000</v>
      </c>
      <c r="R50" t="str">
        <f t="shared" si="1"/>
        <v>XLP</v>
      </c>
      <c r="S50">
        <f t="shared" si="2"/>
        <v>-18023</v>
      </c>
      <c r="T50" s="198">
        <f>IF(R50="","",IF(LEN(R50)&gt;9,SUMIFS(Options!$AZ$3:$AZ$28,Options!$B$3:$B$28,'Check result'!R50),SUMIFS('Master P&amp;L'!$AE$11:$AE$88,'Master P&amp;L'!$B$11:$B$88,'Check result'!R50)))</f>
        <v>0</v>
      </c>
      <c r="U50" s="198">
        <f t="shared" si="3"/>
        <v>0</v>
      </c>
      <c r="V50" s="197">
        <f t="shared" si="4"/>
        <v>-18023</v>
      </c>
      <c r="W50">
        <f t="shared" si="5"/>
        <v>-0.02</v>
      </c>
    </row>
    <row r="51" spans="1:23">
      <c r="A51" s="258">
        <v>45840</v>
      </c>
      <c r="B51" s="259" t="s">
        <v>210</v>
      </c>
      <c r="C51" s="259" t="s">
        <v>344</v>
      </c>
      <c r="D51" s="259" t="s">
        <v>406</v>
      </c>
      <c r="E51" s="260">
        <v>-17992</v>
      </c>
      <c r="F51" s="259">
        <v>-0.02</v>
      </c>
      <c r="G51" s="19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8">
        <f>IF(R51="","",IF(LEN(R51)&gt;9,SUMIFS(Options!$AZ$3:$AZ$28,Options!$B$3:$B$28,'Check result'!R51),SUMIFS('Master P&amp;L'!$AE$11:$AE$88,'Master P&amp;L'!$B$11:$B$88,'Check result'!R51)))</f>
        <v>0</v>
      </c>
      <c r="U51" s="198">
        <f t="shared" si="3"/>
        <v>0</v>
      </c>
      <c r="V51" s="197">
        <f t="shared" si="4"/>
        <v>-17992</v>
      </c>
      <c r="W51">
        <f t="shared" si="5"/>
        <v>-0.02</v>
      </c>
    </row>
    <row r="52" spans="1:23">
      <c r="A52" s="258">
        <v>45840</v>
      </c>
      <c r="B52" s="259" t="s">
        <v>210</v>
      </c>
      <c r="C52" s="259" t="s">
        <v>250</v>
      </c>
      <c r="D52" s="259" t="s">
        <v>186</v>
      </c>
      <c r="E52" s="260">
        <v>-17250</v>
      </c>
      <c r="F52" s="259">
        <v>-0.02</v>
      </c>
      <c r="G52" s="197">
        <f t="shared" si="0"/>
        <v>8625000000</v>
      </c>
      <c r="R52" t="str">
        <f t="shared" si="1"/>
        <v>GDX US 07/18/25 C55</v>
      </c>
      <c r="S52">
        <f t="shared" si="2"/>
        <v>-17250</v>
      </c>
      <c r="T52" s="198">
        <f>IF(R52="","",IF(LEN(R52)&gt;9,SUMIFS(Options!$AZ$3:$AZ$28,Options!$B$3:$B$28,'Check result'!R52),SUMIFS('Master P&amp;L'!$AE$11:$AE$88,'Master P&amp;L'!$B$11:$B$88,'Check result'!R52)))</f>
        <v>0</v>
      </c>
      <c r="U52" s="198">
        <f t="shared" si="3"/>
        <v>0</v>
      </c>
      <c r="V52" s="197">
        <f t="shared" si="4"/>
        <v>-17250</v>
      </c>
      <c r="W52">
        <f t="shared" si="5"/>
        <v>-0.02</v>
      </c>
    </row>
    <row r="53" spans="1:23">
      <c r="A53" s="258">
        <v>45840</v>
      </c>
      <c r="B53" s="259" t="s">
        <v>210</v>
      </c>
      <c r="C53" s="259" t="s">
        <v>244</v>
      </c>
      <c r="D53" s="259" t="s">
        <v>30</v>
      </c>
      <c r="E53" s="260">
        <v>-16945</v>
      </c>
      <c r="F53" s="259">
        <v>-0.01</v>
      </c>
      <c r="G53" s="197">
        <f t="shared" si="0"/>
        <v>16945000000</v>
      </c>
      <c r="R53" t="str">
        <f t="shared" si="1"/>
        <v>TTWO</v>
      </c>
      <c r="S53">
        <f t="shared" si="2"/>
        <v>-16945</v>
      </c>
      <c r="T53" s="198">
        <f>IF(R53="","",IF(LEN(R53)&gt;9,SUMIFS(Options!$AZ$3:$AZ$28,Options!$B$3:$B$28,'Check result'!R53),SUMIFS('Master P&amp;L'!$AE$11:$AE$88,'Master P&amp;L'!$B$11:$B$88,'Check result'!R53)))</f>
        <v>0</v>
      </c>
      <c r="U53" s="198">
        <f t="shared" si="3"/>
        <v>0</v>
      </c>
      <c r="V53" s="197">
        <f t="shared" si="4"/>
        <v>-16945</v>
      </c>
      <c r="W53">
        <f t="shared" si="5"/>
        <v>-0.01</v>
      </c>
    </row>
    <row r="54" spans="1:23">
      <c r="A54" s="258">
        <v>45840</v>
      </c>
      <c r="B54" s="259" t="s">
        <v>210</v>
      </c>
      <c r="C54" s="259" t="s">
        <v>246</v>
      </c>
      <c r="D54" s="259" t="s">
        <v>482</v>
      </c>
      <c r="E54" s="260">
        <v>-16069</v>
      </c>
      <c r="F54" s="259">
        <v>-0.01</v>
      </c>
      <c r="G54" s="197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8">
        <f>IF(R54="","",IF(LEN(R54)&gt;9,SUMIFS(Options!$AZ$3:$AZ$28,Options!$B$3:$B$28,'Check result'!R54),SUMIFS('Master P&amp;L'!$AE$11:$AE$88,'Master P&amp;L'!$B$11:$B$88,'Check result'!R54)))</f>
        <v>0</v>
      </c>
      <c r="U54" s="198">
        <f t="shared" si="3"/>
        <v>0</v>
      </c>
      <c r="V54" s="197">
        <f t="shared" si="4"/>
        <v>-16069</v>
      </c>
      <c r="W54">
        <f t="shared" si="5"/>
        <v>-0.01</v>
      </c>
    </row>
    <row r="55" spans="1:23">
      <c r="A55" s="258">
        <v>45840</v>
      </c>
      <c r="B55" s="259" t="s">
        <v>210</v>
      </c>
      <c r="C55" s="259" t="s">
        <v>246</v>
      </c>
      <c r="D55" s="259" t="s">
        <v>390</v>
      </c>
      <c r="E55" s="260">
        <v>-13837</v>
      </c>
      <c r="F55" s="259">
        <v>-0.01</v>
      </c>
      <c r="G55" s="19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8">
        <f>IF(R55="","",IF(LEN(R55)&gt;9,SUMIFS(Options!$AZ$3:$AZ$28,Options!$B$3:$B$28,'Check result'!R55),SUMIFS('Master P&amp;L'!$AE$11:$AE$88,'Master P&amp;L'!$B$11:$B$88,'Check result'!R55)))</f>
        <v>0</v>
      </c>
      <c r="U55" s="198">
        <f t="shared" si="3"/>
        <v>0</v>
      </c>
      <c r="V55" s="197">
        <f t="shared" si="4"/>
        <v>-13837</v>
      </c>
      <c r="W55">
        <f t="shared" si="5"/>
        <v>-0.01</v>
      </c>
    </row>
    <row r="56" spans="1:23">
      <c r="A56" s="258">
        <v>45840</v>
      </c>
      <c r="B56" s="259" t="s">
        <v>210</v>
      </c>
      <c r="C56" s="259" t="s">
        <v>247</v>
      </c>
      <c r="D56" s="259" t="s">
        <v>341</v>
      </c>
      <c r="E56" s="260">
        <v>-11755</v>
      </c>
      <c r="F56" s="259">
        <v>-0.01</v>
      </c>
      <c r="G56" s="197">
        <f t="shared" si="0"/>
        <v>11755000000</v>
      </c>
      <c r="R56" t="str">
        <f t="shared" si="1"/>
        <v>EWT</v>
      </c>
      <c r="S56">
        <f t="shared" si="2"/>
        <v>-11755</v>
      </c>
      <c r="T56" s="198">
        <f>IF(R56="","",IF(LEN(R56)&gt;9,SUMIFS(Options!$AZ$3:$AZ$28,Options!$B$3:$B$28,'Check result'!R56),SUMIFS('Master P&amp;L'!$AE$11:$AE$88,'Master P&amp;L'!$B$11:$B$88,'Check result'!R56)))</f>
        <v>0</v>
      </c>
      <c r="U56" s="198">
        <f t="shared" si="3"/>
        <v>0</v>
      </c>
      <c r="V56" s="197">
        <f t="shared" si="4"/>
        <v>-11755</v>
      </c>
      <c r="W56">
        <f t="shared" si="5"/>
        <v>-0.01</v>
      </c>
    </row>
    <row r="57" spans="1:23">
      <c r="A57" s="258">
        <v>45840</v>
      </c>
      <c r="B57" s="259" t="s">
        <v>210</v>
      </c>
      <c r="C57" s="259" t="s">
        <v>246</v>
      </c>
      <c r="D57" s="259" t="s">
        <v>511</v>
      </c>
      <c r="E57" s="260">
        <v>-11370</v>
      </c>
      <c r="F57" s="259">
        <v>-0.01</v>
      </c>
      <c r="G57" s="197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8">
        <f>IF(R57="","",IF(LEN(R57)&gt;9,SUMIFS(Options!$AZ$3:$AZ$28,Options!$B$3:$B$28,'Check result'!R57),SUMIFS('Master P&amp;L'!$AE$11:$AE$88,'Master P&amp;L'!$B$11:$B$88,'Check result'!R57)))</f>
        <v>0</v>
      </c>
      <c r="U57" s="198">
        <f t="shared" si="3"/>
        <v>0</v>
      </c>
      <c r="V57" s="197">
        <f t="shared" si="4"/>
        <v>-11370</v>
      </c>
      <c r="W57">
        <f t="shared" si="5"/>
        <v>-0.01</v>
      </c>
    </row>
    <row r="58" spans="1:23">
      <c r="A58" s="258">
        <v>45840</v>
      </c>
      <c r="B58" s="259" t="s">
        <v>210</v>
      </c>
      <c r="C58" s="259" t="s">
        <v>250</v>
      </c>
      <c r="D58" s="259" t="s">
        <v>403</v>
      </c>
      <c r="E58" s="260">
        <v>-10288</v>
      </c>
      <c r="F58" s="259">
        <v>-0.01</v>
      </c>
      <c r="G58" s="19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8">
        <f>IF(R58="","",IF(LEN(R58)&gt;9,SUMIFS(Options!$AZ$3:$AZ$28,Options!$B$3:$B$28,'Check result'!R58),SUMIFS('Master P&amp;L'!$AE$11:$AE$88,'Master P&amp;L'!$B$11:$B$88,'Check result'!R58)))</f>
        <v>0</v>
      </c>
      <c r="U58" s="198">
        <f t="shared" si="3"/>
        <v>0</v>
      </c>
      <c r="V58" s="197">
        <f t="shared" si="4"/>
        <v>-10288</v>
      </c>
      <c r="W58">
        <f t="shared" si="5"/>
        <v>-0.01</v>
      </c>
    </row>
    <row r="59" spans="1:23">
      <c r="A59" s="258">
        <v>45840</v>
      </c>
      <c r="B59" s="259" t="s">
        <v>210</v>
      </c>
      <c r="C59" s="259" t="s">
        <v>246</v>
      </c>
      <c r="D59" s="259" t="s">
        <v>485</v>
      </c>
      <c r="E59" s="260">
        <v>-10085</v>
      </c>
      <c r="F59" s="259">
        <v>-0.01</v>
      </c>
      <c r="G59" s="19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8">
        <f>IF(R59="","",IF(LEN(R59)&gt;9,SUMIFS(Options!$AZ$3:$AZ$28,Options!$B$3:$B$28,'Check result'!R59),SUMIFS('Master P&amp;L'!$AE$11:$AE$88,'Master P&amp;L'!$B$11:$B$88,'Check result'!R59)))</f>
        <v>0</v>
      </c>
      <c r="U59" s="198">
        <f t="shared" si="3"/>
        <v>0</v>
      </c>
      <c r="V59" s="197">
        <f t="shared" si="4"/>
        <v>-10085</v>
      </c>
      <c r="W59">
        <f t="shared" si="5"/>
        <v>-0.01</v>
      </c>
    </row>
    <row r="60" spans="1:23">
      <c r="A60" s="258">
        <v>45840</v>
      </c>
      <c r="B60" s="259" t="s">
        <v>210</v>
      </c>
      <c r="C60" s="259" t="s">
        <v>246</v>
      </c>
      <c r="D60" s="259" t="s">
        <v>377</v>
      </c>
      <c r="E60" s="260">
        <v>-9651</v>
      </c>
      <c r="F60" s="259">
        <v>-0.01</v>
      </c>
      <c r="G60" s="197">
        <f t="shared" si="0"/>
        <v>9651000000</v>
      </c>
      <c r="R60" t="str">
        <f t="shared" si="1"/>
        <v>UBER US 07/18/25 C90</v>
      </c>
      <c r="S60">
        <f t="shared" si="2"/>
        <v>-9651</v>
      </c>
      <c r="T60" s="198">
        <f>IF(R60="","",IF(LEN(R60)&gt;9,SUMIFS(Options!$AZ$3:$AZ$28,Options!$B$3:$B$28,'Check result'!R60),SUMIFS('Master P&amp;L'!$AE$11:$AE$88,'Master P&amp;L'!$B$11:$B$88,'Check result'!R60)))</f>
        <v>0</v>
      </c>
      <c r="U60" s="198">
        <f t="shared" si="3"/>
        <v>0</v>
      </c>
      <c r="V60" s="197">
        <f t="shared" si="4"/>
        <v>-9651</v>
      </c>
      <c r="W60">
        <f t="shared" si="5"/>
        <v>-0.01</v>
      </c>
    </row>
    <row r="61" spans="1:23">
      <c r="A61" s="258">
        <v>45840</v>
      </c>
      <c r="B61" s="259" t="s">
        <v>210</v>
      </c>
      <c r="C61" s="259" t="s">
        <v>244</v>
      </c>
      <c r="D61" s="259" t="s">
        <v>34</v>
      </c>
      <c r="E61" s="260">
        <v>-9135</v>
      </c>
      <c r="F61" s="259">
        <v>-0.01</v>
      </c>
      <c r="G61" s="197">
        <f t="shared" si="0"/>
        <v>9135000000</v>
      </c>
      <c r="R61" t="str">
        <f t="shared" si="1"/>
        <v>MA</v>
      </c>
      <c r="S61">
        <f t="shared" si="2"/>
        <v>-9135</v>
      </c>
      <c r="T61" s="198">
        <f>IF(R61="","",IF(LEN(R61)&gt;9,SUMIFS(Options!$AZ$3:$AZ$28,Options!$B$3:$B$28,'Check result'!R61),SUMIFS('Master P&amp;L'!$AE$11:$AE$88,'Master P&amp;L'!$B$11:$B$88,'Check result'!R61)))</f>
        <v>0</v>
      </c>
      <c r="U61" s="198">
        <f t="shared" si="3"/>
        <v>0</v>
      </c>
      <c r="V61" s="197">
        <f t="shared" si="4"/>
        <v>-9135</v>
      </c>
      <c r="W61">
        <f t="shared" si="5"/>
        <v>-0.01</v>
      </c>
    </row>
    <row r="62" spans="1:23">
      <c r="A62" s="258">
        <v>45840</v>
      </c>
      <c r="B62" s="259" t="s">
        <v>210</v>
      </c>
      <c r="C62" s="259" t="s">
        <v>338</v>
      </c>
      <c r="D62" s="259" t="s">
        <v>450</v>
      </c>
      <c r="E62" s="260">
        <v>-8852</v>
      </c>
      <c r="F62" s="259">
        <v>-0.01</v>
      </c>
      <c r="G62" s="197">
        <f t="shared" si="0"/>
        <v>8852000000</v>
      </c>
      <c r="R62" t="str">
        <f t="shared" si="1"/>
        <v>CHINAGOV 06/20/30</v>
      </c>
      <c r="S62">
        <f t="shared" si="2"/>
        <v>-8852</v>
      </c>
      <c r="T62" s="198">
        <f>IF(R62="","",IF(LEN(R62)&gt;9,SUMIFS(Options!$AZ$3:$AZ$28,Options!$B$3:$B$28,'Check result'!R62),SUMIFS('Master P&amp;L'!$AE$11:$AE$88,'Master P&amp;L'!$B$11:$B$88,'Check result'!R62)))</f>
        <v>0</v>
      </c>
      <c r="U62" s="198">
        <f t="shared" si="3"/>
        <v>0</v>
      </c>
      <c r="V62" s="197">
        <f t="shared" si="4"/>
        <v>-8852</v>
      </c>
      <c r="W62">
        <f t="shared" si="5"/>
        <v>-0.01</v>
      </c>
    </row>
    <row r="63" spans="1:23">
      <c r="A63" s="258">
        <v>45840</v>
      </c>
      <c r="B63" s="259" t="s">
        <v>210</v>
      </c>
      <c r="C63" s="259" t="s">
        <v>253</v>
      </c>
      <c r="D63" s="259" t="s">
        <v>368</v>
      </c>
      <c r="E63" s="260">
        <v>-8458</v>
      </c>
      <c r="F63" s="259">
        <v>-0.01</v>
      </c>
      <c r="G63" s="197">
        <f t="shared" si="0"/>
        <v>8458000000</v>
      </c>
      <c r="R63" t="str">
        <f t="shared" si="1"/>
        <v>TEVA US 07/18/25 C19</v>
      </c>
      <c r="S63">
        <f t="shared" si="2"/>
        <v>-8458</v>
      </c>
      <c r="T63" s="198">
        <f>IF(R63="","",IF(LEN(R63)&gt;9,SUMIFS(Options!$AZ$3:$AZ$28,Options!$B$3:$B$28,'Check result'!R63),SUMIFS('Master P&amp;L'!$AE$11:$AE$88,'Master P&amp;L'!$B$11:$B$88,'Check result'!R63)))</f>
        <v>0</v>
      </c>
      <c r="U63" s="198">
        <f t="shared" si="3"/>
        <v>0</v>
      </c>
      <c r="V63" s="197">
        <f t="shared" si="4"/>
        <v>-8458</v>
      </c>
      <c r="W63">
        <f t="shared" si="5"/>
        <v>-0.01</v>
      </c>
    </row>
    <row r="64" spans="1:23">
      <c r="A64" s="258">
        <v>45840</v>
      </c>
      <c r="B64" s="259" t="s">
        <v>210</v>
      </c>
      <c r="C64" s="259" t="s">
        <v>246</v>
      </c>
      <c r="D64" s="259" t="s">
        <v>384</v>
      </c>
      <c r="E64" s="260">
        <v>-8344</v>
      </c>
      <c r="F64" s="259">
        <v>-0.01</v>
      </c>
      <c r="G64" s="197">
        <f t="shared" si="0"/>
        <v>8344000000</v>
      </c>
      <c r="R64" t="str">
        <f t="shared" si="1"/>
        <v>MSFT US 07/18/25 P455</v>
      </c>
      <c r="S64">
        <f t="shared" si="2"/>
        <v>-8344</v>
      </c>
      <c r="T64" s="198">
        <f>IF(R64="","",IF(LEN(R64)&gt;9,SUMIFS(Options!$AZ$3:$AZ$28,Options!$B$3:$B$28,'Check result'!R64),SUMIFS('Master P&amp;L'!$AE$11:$AE$88,'Master P&amp;L'!$B$11:$B$88,'Check result'!R64)))</f>
        <v>0</v>
      </c>
      <c r="U64" s="198">
        <f t="shared" si="3"/>
        <v>0</v>
      </c>
      <c r="V64" s="197">
        <f t="shared" si="4"/>
        <v>-8344</v>
      </c>
      <c r="W64">
        <f t="shared" si="5"/>
        <v>-0.01</v>
      </c>
    </row>
    <row r="65" spans="1:23">
      <c r="A65" s="258">
        <v>45840</v>
      </c>
      <c r="B65" s="259" t="s">
        <v>210</v>
      </c>
      <c r="C65" s="259" t="s">
        <v>250</v>
      </c>
      <c r="D65" s="259" t="s">
        <v>408</v>
      </c>
      <c r="E65" s="260">
        <v>-7523</v>
      </c>
      <c r="F65" s="259">
        <v>-0.01</v>
      </c>
      <c r="G65" s="197">
        <f t="shared" si="0"/>
        <v>7523000000</v>
      </c>
      <c r="R65" t="str">
        <f t="shared" si="1"/>
        <v>XLF US 07/18/25 P48</v>
      </c>
      <c r="S65">
        <f t="shared" si="2"/>
        <v>-7523</v>
      </c>
      <c r="T65" s="198">
        <f>IF(R65="","",IF(LEN(R65)&gt;9,SUMIFS(Options!$AZ$3:$AZ$28,Options!$B$3:$B$28,'Check result'!R65),SUMIFS('Master P&amp;L'!$AE$11:$AE$88,'Master P&amp;L'!$B$11:$B$88,'Check result'!R65)))</f>
        <v>0</v>
      </c>
      <c r="U65" s="198">
        <f t="shared" si="3"/>
        <v>0</v>
      </c>
      <c r="V65" s="197">
        <f t="shared" si="4"/>
        <v>-7523</v>
      </c>
      <c r="W65">
        <f t="shared" si="5"/>
        <v>-0.01</v>
      </c>
    </row>
    <row r="66" spans="1:23">
      <c r="A66" s="258">
        <v>45840</v>
      </c>
      <c r="B66" s="259" t="s">
        <v>210</v>
      </c>
      <c r="C66" s="259" t="s">
        <v>246</v>
      </c>
      <c r="D66" s="259" t="s">
        <v>423</v>
      </c>
      <c r="E66" s="260">
        <v>-6029</v>
      </c>
      <c r="F66" s="259">
        <v>-0.01</v>
      </c>
      <c r="G66" s="197">
        <f t="shared" si="0"/>
        <v>6029000000</v>
      </c>
      <c r="R66" t="str">
        <f t="shared" si="1"/>
        <v>MSFT US 07/18/25 P465</v>
      </c>
      <c r="S66">
        <f t="shared" si="2"/>
        <v>-6029</v>
      </c>
      <c r="T66" s="198">
        <f>IF(R66="","",IF(LEN(R66)&gt;9,SUMIFS(Options!$AZ$3:$AZ$28,Options!$B$3:$B$28,'Check result'!R66),SUMIFS('Master P&amp;L'!$AE$11:$AE$88,'Master P&amp;L'!$B$11:$B$88,'Check result'!R66)))</f>
        <v>0</v>
      </c>
      <c r="U66" s="198">
        <f t="shared" si="3"/>
        <v>0</v>
      </c>
      <c r="V66" s="197">
        <f t="shared" si="4"/>
        <v>-6029</v>
      </c>
      <c r="W66">
        <f t="shared" si="5"/>
        <v>-0.01</v>
      </c>
    </row>
    <row r="67" spans="1:23">
      <c r="A67" s="258">
        <v>45840</v>
      </c>
      <c r="B67" s="259" t="s">
        <v>210</v>
      </c>
      <c r="C67" s="259" t="s">
        <v>250</v>
      </c>
      <c r="D67" s="259" t="s">
        <v>451</v>
      </c>
      <c r="E67" s="260">
        <v>-6029</v>
      </c>
      <c r="F67" s="259">
        <v>-0.01</v>
      </c>
      <c r="G67" s="19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8">
        <f>IF(R67="","",IF(LEN(R67)&gt;9,SUMIFS(Options!$AZ$3:$AZ$28,Options!$B$3:$B$28,'Check result'!R67),SUMIFS('Master P&amp;L'!$AE$11:$AE$88,'Master P&amp;L'!$B$11:$B$88,'Check result'!R67)))</f>
        <v>0</v>
      </c>
      <c r="U67" s="198">
        <f t="shared" ref="U67:U112" si="9">T67/2</f>
        <v>0</v>
      </c>
      <c r="V67" s="197">
        <f t="shared" ref="V67:V112" si="10">+S67-U67</f>
        <v>-6029</v>
      </c>
      <c r="W67">
        <f t="shared" ref="W67:W112" si="11">+V67/G67*10000</f>
        <v>-0.01</v>
      </c>
    </row>
    <row r="68" spans="1:23">
      <c r="A68" s="258">
        <v>45840</v>
      </c>
      <c r="B68" s="259" t="s">
        <v>210</v>
      </c>
      <c r="C68" s="259" t="s">
        <v>246</v>
      </c>
      <c r="D68" s="259" t="s">
        <v>178</v>
      </c>
      <c r="E68" s="260">
        <v>-5618</v>
      </c>
      <c r="F68" s="259">
        <v>0</v>
      </c>
      <c r="G68" s="19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8">
        <f>IF(R68="","",IF(LEN(R68)&gt;9,SUMIFS(Options!$AZ$3:$AZ$28,Options!$B$3:$B$28,'Check result'!R68),SUMIFS('Master P&amp;L'!$AE$11:$AE$88,'Master P&amp;L'!$B$11:$B$88,'Check result'!R68)))</f>
        <v>0</v>
      </c>
      <c r="U68" s="198">
        <f t="shared" si="9"/>
        <v>0</v>
      </c>
      <c r="V68" s="197">
        <f t="shared" si="10"/>
        <v>-5618</v>
      </c>
      <c r="W68" t="e">
        <f t="shared" si="11"/>
        <v>#DIV/0!</v>
      </c>
    </row>
    <row r="69" spans="1:23">
      <c r="A69" s="258">
        <v>45840</v>
      </c>
      <c r="B69" s="259" t="s">
        <v>210</v>
      </c>
      <c r="C69" s="259" t="s">
        <v>246</v>
      </c>
      <c r="D69" s="259" t="s">
        <v>470</v>
      </c>
      <c r="E69" s="260">
        <v>-5612</v>
      </c>
      <c r="F69" s="259">
        <v>0</v>
      </c>
      <c r="G69" s="19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8">
        <f>IF(R69="","",IF(LEN(R69)&gt;9,SUMIFS(Options!$AZ$3:$AZ$28,Options!$B$3:$B$28,'Check result'!R69),SUMIFS('Master P&amp;L'!$AE$11:$AE$88,'Master P&amp;L'!$B$11:$B$88,'Check result'!R69)))</f>
        <v>0</v>
      </c>
      <c r="U69" s="198">
        <f t="shared" si="9"/>
        <v>0</v>
      </c>
      <c r="V69" s="197">
        <f t="shared" si="10"/>
        <v>-5612</v>
      </c>
      <c r="W69" t="e">
        <f t="shared" si="11"/>
        <v>#DIV/0!</v>
      </c>
    </row>
    <row r="70" spans="1:23">
      <c r="A70" s="258">
        <v>45840</v>
      </c>
      <c r="B70" s="259" t="s">
        <v>210</v>
      </c>
      <c r="C70" s="259" t="s">
        <v>246</v>
      </c>
      <c r="D70" s="259" t="s">
        <v>475</v>
      </c>
      <c r="E70" s="260">
        <v>-3475</v>
      </c>
      <c r="F70" s="259">
        <v>0</v>
      </c>
      <c r="G70" s="197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8">
        <f>IF(R70="","",IF(LEN(R70)&gt;9,SUMIFS(Options!$AZ$3:$AZ$28,Options!$B$3:$B$28,'Check result'!R70),SUMIFS('Master P&amp;L'!$AE$11:$AE$88,'Master P&amp;L'!$B$11:$B$88,'Check result'!R70)))</f>
        <v>0</v>
      </c>
      <c r="U70" s="198">
        <f t="shared" si="9"/>
        <v>0</v>
      </c>
      <c r="V70" s="197">
        <f t="shared" si="10"/>
        <v>-3475</v>
      </c>
      <c r="W70" t="e">
        <f t="shared" si="11"/>
        <v>#DIV/0!</v>
      </c>
    </row>
    <row r="71" spans="1:23">
      <c r="A71" s="258">
        <v>45840</v>
      </c>
      <c r="B71" s="259" t="s">
        <v>210</v>
      </c>
      <c r="C71" s="259" t="s">
        <v>244</v>
      </c>
      <c r="D71" s="259" t="s">
        <v>478</v>
      </c>
      <c r="E71" s="260">
        <v>-2977</v>
      </c>
      <c r="F71" s="259">
        <v>0</v>
      </c>
      <c r="G71" s="197" t="e">
        <f t="shared" si="6"/>
        <v>#DIV/0!</v>
      </c>
      <c r="R71" t="str">
        <f t="shared" si="7"/>
        <v>KKR</v>
      </c>
      <c r="S71">
        <f t="shared" si="8"/>
        <v>-2977</v>
      </c>
      <c r="T71" s="198">
        <f>IF(R71="","",IF(LEN(R71)&gt;9,SUMIFS(Options!$AZ$3:$AZ$28,Options!$B$3:$B$28,'Check result'!R71),SUMIFS('Master P&amp;L'!$AE$11:$AE$88,'Master P&amp;L'!$B$11:$B$88,'Check result'!R71)))</f>
        <v>0</v>
      </c>
      <c r="U71" s="198">
        <f t="shared" si="9"/>
        <v>0</v>
      </c>
      <c r="V71" s="197">
        <f t="shared" si="10"/>
        <v>-2977</v>
      </c>
      <c r="W71" t="e">
        <f t="shared" si="11"/>
        <v>#DIV/0!</v>
      </c>
    </row>
    <row r="72" spans="1:23">
      <c r="A72" s="258">
        <v>45840</v>
      </c>
      <c r="B72" s="259" t="s">
        <v>210</v>
      </c>
      <c r="C72" s="259" t="s">
        <v>246</v>
      </c>
      <c r="D72" s="259" t="s">
        <v>430</v>
      </c>
      <c r="E72" s="260">
        <v>-2451</v>
      </c>
      <c r="F72" s="259">
        <v>0</v>
      </c>
      <c r="G72" s="197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8">
        <f>IF(R72="","",IF(LEN(R72)&gt;9,SUMIFS(Options!$AZ$3:$AZ$28,Options!$B$3:$B$28,'Check result'!R72),SUMIFS('Master P&amp;L'!$AE$11:$AE$88,'Master P&amp;L'!$B$11:$B$88,'Check result'!R72)))</f>
        <v>0</v>
      </c>
      <c r="U72" s="198">
        <f t="shared" si="9"/>
        <v>0</v>
      </c>
      <c r="V72" s="197">
        <f t="shared" si="10"/>
        <v>-2451</v>
      </c>
      <c r="W72" t="e">
        <f t="shared" si="11"/>
        <v>#DIV/0!</v>
      </c>
    </row>
    <row r="73" spans="1:23">
      <c r="A73" s="258">
        <v>45840</v>
      </c>
      <c r="B73" s="259" t="s">
        <v>210</v>
      </c>
      <c r="C73" s="259" t="s">
        <v>246</v>
      </c>
      <c r="D73" s="259" t="s">
        <v>426</v>
      </c>
      <c r="E73" s="260">
        <v>-2120</v>
      </c>
      <c r="F73" s="259">
        <v>0</v>
      </c>
      <c r="G73" s="19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8">
        <f>IF(R73="","",IF(LEN(R73)&gt;9,SUMIFS(Options!$AZ$3:$AZ$28,Options!$B$3:$B$28,'Check result'!R73),SUMIFS('Master P&amp;L'!$AE$11:$AE$88,'Master P&amp;L'!$B$11:$B$88,'Check result'!R73)))</f>
        <v>0</v>
      </c>
      <c r="U73" s="198">
        <f t="shared" si="9"/>
        <v>0</v>
      </c>
      <c r="V73" s="197">
        <f t="shared" si="10"/>
        <v>-2120</v>
      </c>
      <c r="W73" t="e">
        <f t="shared" si="11"/>
        <v>#DIV/0!</v>
      </c>
    </row>
    <row r="74" spans="1:23">
      <c r="A74" s="258">
        <v>45840</v>
      </c>
      <c r="B74" s="259" t="s">
        <v>210</v>
      </c>
      <c r="C74" s="259" t="s">
        <v>250</v>
      </c>
      <c r="D74" s="259" t="s">
        <v>472</v>
      </c>
      <c r="E74" s="260">
        <v>-1937</v>
      </c>
      <c r="F74" s="259">
        <v>0</v>
      </c>
      <c r="G74" s="197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8">
        <f>IF(R74="","",IF(LEN(R74)&gt;9,SUMIFS(Options!$AZ$3:$AZ$28,Options!$B$3:$B$28,'Check result'!R74),SUMIFS('Master P&amp;L'!$AE$11:$AE$88,'Master P&amp;L'!$B$11:$B$88,'Check result'!R74)))</f>
        <v>0</v>
      </c>
      <c r="U74" s="198">
        <f t="shared" si="9"/>
        <v>0</v>
      </c>
      <c r="V74" s="197">
        <f t="shared" si="10"/>
        <v>-1937</v>
      </c>
      <c r="W74" t="e">
        <f t="shared" si="11"/>
        <v>#DIV/0!</v>
      </c>
    </row>
    <row r="75" spans="1:23">
      <c r="A75" s="258">
        <v>45840</v>
      </c>
      <c r="B75" s="259" t="s">
        <v>210</v>
      </c>
      <c r="C75" s="259" t="s">
        <v>246</v>
      </c>
      <c r="D75" s="259" t="s">
        <v>512</v>
      </c>
      <c r="E75" s="260">
        <v>-1895</v>
      </c>
      <c r="F75" s="259">
        <v>0</v>
      </c>
      <c r="G75" s="19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8">
        <f>IF(R75="","",IF(LEN(R75)&gt;9,SUMIFS(Options!$AZ$3:$AZ$28,Options!$B$3:$B$28,'Check result'!R75),SUMIFS('Master P&amp;L'!$AE$11:$AE$88,'Master P&amp;L'!$B$11:$B$88,'Check result'!R75)))</f>
        <v>0</v>
      </c>
      <c r="U75" s="198">
        <f t="shared" si="9"/>
        <v>0</v>
      </c>
      <c r="V75" s="197">
        <f t="shared" si="10"/>
        <v>-1895</v>
      </c>
      <c r="W75" t="e">
        <f t="shared" si="11"/>
        <v>#DIV/0!</v>
      </c>
    </row>
    <row r="76" spans="1:23">
      <c r="A76" s="258">
        <v>45840</v>
      </c>
      <c r="B76" s="259" t="s">
        <v>210</v>
      </c>
      <c r="C76" s="259" t="s">
        <v>250</v>
      </c>
      <c r="D76" s="259" t="s">
        <v>467</v>
      </c>
      <c r="E76" s="260">
        <v>-1518</v>
      </c>
      <c r="F76" s="259">
        <v>0</v>
      </c>
      <c r="G76" s="19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8">
        <f>IF(R76="","",IF(LEN(R76)&gt;9,SUMIFS(Options!$AZ$3:$AZ$28,Options!$B$3:$B$28,'Check result'!R76),SUMIFS('Master P&amp;L'!$AE$11:$AE$88,'Master P&amp;L'!$B$11:$B$88,'Check result'!R76)))</f>
        <v>0</v>
      </c>
      <c r="U76" s="198">
        <f t="shared" si="9"/>
        <v>0</v>
      </c>
      <c r="V76" s="197">
        <f t="shared" si="10"/>
        <v>-1518</v>
      </c>
      <c r="W76" t="e">
        <f t="shared" si="11"/>
        <v>#DIV/0!</v>
      </c>
    </row>
    <row r="77" spans="1:23">
      <c r="A77" s="258">
        <v>45840</v>
      </c>
      <c r="B77" s="259" t="s">
        <v>210</v>
      </c>
      <c r="C77" s="259" t="s">
        <v>246</v>
      </c>
      <c r="D77" s="259" t="s">
        <v>461</v>
      </c>
      <c r="E77" s="259">
        <v>-640</v>
      </c>
      <c r="F77" s="259">
        <v>0</v>
      </c>
      <c r="G77" s="197" t="e">
        <f t="shared" si="6"/>
        <v>#DIV/0!</v>
      </c>
      <c r="R77" t="str">
        <f t="shared" si="7"/>
        <v>V US 07/11/25 P335</v>
      </c>
      <c r="S77">
        <f t="shared" si="8"/>
        <v>-640</v>
      </c>
      <c r="T77" s="198">
        <f>IF(R77="","",IF(LEN(R77)&gt;9,SUMIFS(Options!$AZ$3:$AZ$28,Options!$B$3:$B$28,'Check result'!R77),SUMIFS('Master P&amp;L'!$AE$11:$AE$88,'Master P&amp;L'!$B$11:$B$88,'Check result'!R77)))</f>
        <v>0</v>
      </c>
      <c r="U77" s="198">
        <f t="shared" si="9"/>
        <v>0</v>
      </c>
      <c r="V77" s="197">
        <f t="shared" si="10"/>
        <v>-640</v>
      </c>
      <c r="W77" t="e">
        <f t="shared" si="11"/>
        <v>#DIV/0!</v>
      </c>
    </row>
    <row r="78" spans="1:23">
      <c r="A78" s="258">
        <v>45840</v>
      </c>
      <c r="B78" s="259" t="s">
        <v>210</v>
      </c>
      <c r="C78" s="259" t="s">
        <v>253</v>
      </c>
      <c r="D78" s="259" t="s">
        <v>383</v>
      </c>
      <c r="E78" s="259">
        <v>-530</v>
      </c>
      <c r="F78" s="259">
        <v>0</v>
      </c>
      <c r="G78" s="197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8">
        <f>IF(R78="","",IF(LEN(R78)&gt;9,SUMIFS(Options!$AZ$3:$AZ$28,Options!$B$3:$B$28,'Check result'!R78),SUMIFS('Master P&amp;L'!$AE$11:$AE$88,'Master P&amp;L'!$B$11:$B$88,'Check result'!R78)))</f>
        <v>0</v>
      </c>
      <c r="U78" s="198">
        <f t="shared" si="9"/>
        <v>0</v>
      </c>
      <c r="V78" s="197">
        <f t="shared" si="10"/>
        <v>-530</v>
      </c>
      <c r="W78" t="e">
        <f t="shared" si="11"/>
        <v>#DIV/0!</v>
      </c>
    </row>
    <row r="79" spans="1:23">
      <c r="A79" s="258">
        <v>45840</v>
      </c>
      <c r="B79" s="259" t="s">
        <v>210</v>
      </c>
      <c r="C79" s="259" t="s">
        <v>248</v>
      </c>
      <c r="D79" s="259" t="s">
        <v>224</v>
      </c>
      <c r="E79" s="259">
        <v>-417</v>
      </c>
      <c r="F79" s="259">
        <v>0</v>
      </c>
      <c r="G79" s="197" t="e">
        <f t="shared" si="6"/>
        <v>#DIV/0!</v>
      </c>
      <c r="R79" t="str">
        <f t="shared" si="7"/>
        <v>Cash CHF</v>
      </c>
      <c r="S79">
        <f t="shared" si="8"/>
        <v>-417</v>
      </c>
      <c r="T79" s="198">
        <f>IF(R79="","",IF(LEN(R79)&gt;9,SUMIFS(Options!$AZ$3:$AZ$28,Options!$B$3:$B$28,'Check result'!R79),SUMIFS('Master P&amp;L'!$AE$11:$AE$88,'Master P&amp;L'!$B$11:$B$88,'Check result'!R79)))</f>
        <v>0</v>
      </c>
      <c r="U79" s="198">
        <f t="shared" si="9"/>
        <v>0</v>
      </c>
      <c r="V79" s="197">
        <f t="shared" si="10"/>
        <v>-417</v>
      </c>
      <c r="W79" t="e">
        <f t="shared" si="11"/>
        <v>#DIV/0!</v>
      </c>
    </row>
    <row r="80" spans="1:23">
      <c r="A80" s="258">
        <v>45840</v>
      </c>
      <c r="B80" s="259" t="s">
        <v>210</v>
      </c>
      <c r="C80" s="259" t="s">
        <v>246</v>
      </c>
      <c r="D80" s="259" t="s">
        <v>396</v>
      </c>
      <c r="E80" s="259">
        <v>-255</v>
      </c>
      <c r="F80" s="259">
        <v>0</v>
      </c>
      <c r="G80" s="19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8">
        <f>IF(R80="","",IF(LEN(R80)&gt;9,SUMIFS(Options!$AZ$3:$AZ$28,Options!$B$3:$B$28,'Check result'!R80),SUMIFS('Master P&amp;L'!$AE$11:$AE$88,'Master P&amp;L'!$B$11:$B$88,'Check result'!R80)))</f>
        <v>0</v>
      </c>
      <c r="U80" s="198">
        <f t="shared" si="9"/>
        <v>0</v>
      </c>
      <c r="V80" s="197">
        <f t="shared" si="10"/>
        <v>-255</v>
      </c>
      <c r="W80" t="e">
        <f t="shared" si="11"/>
        <v>#DIV/0!</v>
      </c>
    </row>
    <row r="81" spans="1:23">
      <c r="A81" s="258">
        <v>45840</v>
      </c>
      <c r="B81" s="259" t="s">
        <v>210</v>
      </c>
      <c r="C81" s="259" t="s">
        <v>248</v>
      </c>
      <c r="D81" s="259" t="s">
        <v>223</v>
      </c>
      <c r="E81" s="259">
        <v>0</v>
      </c>
      <c r="F81" s="259">
        <v>0</v>
      </c>
      <c r="G81" s="197" t="e">
        <f t="shared" si="6"/>
        <v>#DIV/0!</v>
      </c>
      <c r="R81" t="str">
        <f t="shared" si="7"/>
        <v>Cash CAD</v>
      </c>
      <c r="S81">
        <f t="shared" si="8"/>
        <v>0</v>
      </c>
      <c r="T81" s="198">
        <f>IF(R81="","",IF(LEN(R81)&gt;9,SUMIFS(Options!$AZ$3:$AZ$28,Options!$B$3:$B$28,'Check result'!R81),SUMIFS('Master P&amp;L'!$AE$11:$AE$88,'Master P&amp;L'!$B$11:$B$88,'Check result'!R81)))</f>
        <v>0</v>
      </c>
      <c r="U81" s="198">
        <f t="shared" si="9"/>
        <v>0</v>
      </c>
      <c r="V81" s="197">
        <f t="shared" si="10"/>
        <v>0</v>
      </c>
      <c r="W81" t="e">
        <f t="shared" si="11"/>
        <v>#DIV/0!</v>
      </c>
    </row>
    <row r="82" spans="1:23">
      <c r="A82" s="258">
        <v>45840</v>
      </c>
      <c r="B82" s="259" t="s">
        <v>210</v>
      </c>
      <c r="C82" s="259" t="s">
        <v>246</v>
      </c>
      <c r="D82" s="259" t="s">
        <v>497</v>
      </c>
      <c r="E82" s="259">
        <v>0</v>
      </c>
      <c r="F82" s="259">
        <v>0</v>
      </c>
      <c r="G82" s="197" t="e">
        <f t="shared" si="6"/>
        <v>#DIV/0!</v>
      </c>
      <c r="R82" t="str">
        <f t="shared" si="7"/>
        <v>MU US 07/03/25 C140</v>
      </c>
      <c r="S82">
        <f t="shared" si="8"/>
        <v>0</v>
      </c>
      <c r="T82" s="198">
        <f>IF(R82="","",IF(LEN(R82)&gt;9,SUMIFS(Options!$AZ$3:$AZ$28,Options!$B$3:$B$28,'Check result'!R82),SUMIFS('Master P&amp;L'!$AE$11:$AE$88,'Master P&amp;L'!$B$11:$B$88,'Check result'!R82)))</f>
        <v>0</v>
      </c>
      <c r="U82" s="198">
        <f t="shared" si="9"/>
        <v>0</v>
      </c>
      <c r="V82" s="197">
        <f t="shared" si="10"/>
        <v>0</v>
      </c>
      <c r="W82" t="e">
        <f t="shared" si="11"/>
        <v>#DIV/0!</v>
      </c>
    </row>
    <row r="83" spans="1:23">
      <c r="A83" s="258">
        <v>45840</v>
      </c>
      <c r="B83" s="259" t="s">
        <v>210</v>
      </c>
      <c r="C83" s="259" t="s">
        <v>245</v>
      </c>
      <c r="D83" s="259" t="s">
        <v>455</v>
      </c>
      <c r="E83" s="259">
        <v>0</v>
      </c>
      <c r="F83" s="259">
        <v>0</v>
      </c>
      <c r="G83" s="197" t="e">
        <f t="shared" si="6"/>
        <v>#DIV/0!</v>
      </c>
      <c r="R83" t="str">
        <f t="shared" si="7"/>
        <v>TTE DIVIDEND_</v>
      </c>
      <c r="S83">
        <f t="shared" si="8"/>
        <v>0</v>
      </c>
      <c r="T83" s="198">
        <f>IF(R83="","",IF(LEN(R83)&gt;9,SUMIFS(Options!$AZ$3:$AZ$28,Options!$B$3:$B$28,'Check result'!R83),SUMIFS('Master P&amp;L'!$AE$11:$AE$88,'Master P&amp;L'!$B$11:$B$88,'Check result'!R83)))</f>
        <v>0</v>
      </c>
      <c r="U83" s="198">
        <f t="shared" si="9"/>
        <v>0</v>
      </c>
      <c r="V83" s="197">
        <f t="shared" si="10"/>
        <v>0</v>
      </c>
      <c r="W83" t="e">
        <f t="shared" si="11"/>
        <v>#DIV/0!</v>
      </c>
    </row>
    <row r="84" spans="1:23">
      <c r="A84" s="258">
        <v>45840</v>
      </c>
      <c r="B84" s="259" t="s">
        <v>210</v>
      </c>
      <c r="C84" s="259" t="s">
        <v>245</v>
      </c>
      <c r="D84" s="259" t="s">
        <v>435</v>
      </c>
      <c r="E84" s="259">
        <v>0</v>
      </c>
      <c r="F84" s="259">
        <v>0</v>
      </c>
      <c r="G84" s="197" t="e">
        <f t="shared" si="6"/>
        <v>#DIV/0!</v>
      </c>
      <c r="R84" t="str">
        <f t="shared" si="7"/>
        <v>NVDA DIVIDEND_</v>
      </c>
      <c r="S84">
        <f t="shared" si="8"/>
        <v>0</v>
      </c>
      <c r="T84" s="198">
        <f>IF(R84="","",IF(LEN(R84)&gt;9,SUMIFS(Options!$AZ$3:$AZ$28,Options!$B$3:$B$28,'Check result'!R84),SUMIFS('Master P&amp;L'!$AE$11:$AE$88,'Master P&amp;L'!$B$11:$B$88,'Check result'!R84)))</f>
        <v>0</v>
      </c>
      <c r="U84" s="198">
        <f t="shared" si="9"/>
        <v>0</v>
      </c>
      <c r="V84" s="197">
        <f t="shared" si="10"/>
        <v>0</v>
      </c>
      <c r="W84" t="e">
        <f t="shared" si="11"/>
        <v>#DIV/0!</v>
      </c>
    </row>
    <row r="85" spans="1:23">
      <c r="A85" s="258">
        <v>45840</v>
      </c>
      <c r="B85" s="259" t="s">
        <v>210</v>
      </c>
      <c r="C85" s="259" t="s">
        <v>245</v>
      </c>
      <c r="D85" s="259" t="s">
        <v>437</v>
      </c>
      <c r="E85" s="259">
        <v>0</v>
      </c>
      <c r="F85" s="259">
        <v>0</v>
      </c>
      <c r="G85" s="197" t="e">
        <f t="shared" si="6"/>
        <v>#DIV/0!</v>
      </c>
      <c r="R85" t="str">
        <f t="shared" si="7"/>
        <v>TSM DIVIDEND_</v>
      </c>
      <c r="S85">
        <f t="shared" si="8"/>
        <v>0</v>
      </c>
      <c r="T85" s="198">
        <f>IF(R85="","",IF(LEN(R85)&gt;9,SUMIFS(Options!$AZ$3:$AZ$28,Options!$B$3:$B$28,'Check result'!R85),SUMIFS('Master P&amp;L'!$AE$11:$AE$88,'Master P&amp;L'!$B$11:$B$88,'Check result'!R85)))</f>
        <v>0</v>
      </c>
      <c r="U85" s="198">
        <f t="shared" si="9"/>
        <v>0</v>
      </c>
      <c r="V85" s="197">
        <f t="shared" si="10"/>
        <v>0</v>
      </c>
      <c r="W85" t="e">
        <f t="shared" si="11"/>
        <v>#DIV/0!</v>
      </c>
    </row>
    <row r="86" spans="1:23">
      <c r="A86" s="258">
        <v>45840</v>
      </c>
      <c r="B86" s="259" t="s">
        <v>210</v>
      </c>
      <c r="C86" s="259" t="s">
        <v>245</v>
      </c>
      <c r="D86" s="259" t="s">
        <v>508</v>
      </c>
      <c r="E86" s="259">
        <v>0</v>
      </c>
      <c r="F86" s="259">
        <v>0</v>
      </c>
      <c r="G86" s="197" t="e">
        <f t="shared" si="6"/>
        <v>#DIV/0!</v>
      </c>
      <c r="R86" t="str">
        <f t="shared" si="7"/>
        <v>COPX DIVIDEND_</v>
      </c>
      <c r="S86">
        <f t="shared" si="8"/>
        <v>0</v>
      </c>
      <c r="T86" s="198">
        <f>IF(R86="","",IF(LEN(R86)&gt;9,SUMIFS(Options!$AZ$3:$AZ$28,Options!$B$3:$B$28,'Check result'!R86),SUMIFS('Master P&amp;L'!$AE$11:$AE$88,'Master P&amp;L'!$B$11:$B$88,'Check result'!R86)))</f>
        <v>0</v>
      </c>
      <c r="U86" s="198">
        <f t="shared" si="9"/>
        <v>0</v>
      </c>
      <c r="V86" s="197">
        <f t="shared" si="10"/>
        <v>0</v>
      </c>
      <c r="W86" t="e">
        <f t="shared" si="11"/>
        <v>#DIV/0!</v>
      </c>
    </row>
    <row r="87" spans="1:23">
      <c r="A87" s="258">
        <v>45840</v>
      </c>
      <c r="B87" s="259" t="s">
        <v>210</v>
      </c>
      <c r="C87" s="259" t="s">
        <v>245</v>
      </c>
      <c r="D87" s="259" t="s">
        <v>263</v>
      </c>
      <c r="E87" s="259">
        <v>0</v>
      </c>
      <c r="F87" s="259">
        <v>0</v>
      </c>
      <c r="G87" s="19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8">
        <f>IF(R87="","",IF(LEN(R87)&gt;9,SUMIFS(Options!$AZ$3:$AZ$28,Options!$B$3:$B$28,'Check result'!R87),SUMIFS('Master P&amp;L'!$AE$11:$AE$88,'Master P&amp;L'!$B$11:$B$88,'Check result'!R87)))</f>
        <v>0</v>
      </c>
      <c r="U87" s="198">
        <f t="shared" si="9"/>
        <v>0</v>
      </c>
      <c r="V87" s="197">
        <f t="shared" si="10"/>
        <v>0</v>
      </c>
      <c r="W87" t="e">
        <f t="shared" si="11"/>
        <v>#DIV/0!</v>
      </c>
    </row>
    <row r="88" spans="1:23">
      <c r="A88" s="258">
        <v>45840</v>
      </c>
      <c r="B88" s="259" t="s">
        <v>210</v>
      </c>
      <c r="C88" s="259" t="s">
        <v>245</v>
      </c>
      <c r="D88" s="259" t="s">
        <v>513</v>
      </c>
      <c r="E88" s="259">
        <v>0</v>
      </c>
      <c r="F88" s="259">
        <v>0</v>
      </c>
      <c r="G88" s="19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8">
        <f>IF(R88="","",IF(LEN(R88)&gt;9,SUMIFS(Options!$AZ$3:$AZ$28,Options!$B$3:$B$28,'Check result'!R88),SUMIFS('Master P&amp;L'!$AE$11:$AE$88,'Master P&amp;L'!$B$11:$B$88,'Check result'!R88)))</f>
        <v>0</v>
      </c>
      <c r="U88" s="198">
        <f t="shared" si="9"/>
        <v>0</v>
      </c>
      <c r="V88" s="197">
        <f t="shared" si="10"/>
        <v>0</v>
      </c>
      <c r="W88" t="e">
        <f t="shared" si="11"/>
        <v>#DIV/0!</v>
      </c>
    </row>
    <row r="89" spans="1:23">
      <c r="A89" s="258">
        <v>45840</v>
      </c>
      <c r="B89" s="259" t="s">
        <v>210</v>
      </c>
      <c r="C89" s="259" t="s">
        <v>245</v>
      </c>
      <c r="D89" s="259" t="s">
        <v>264</v>
      </c>
      <c r="E89" s="259">
        <v>0</v>
      </c>
      <c r="F89" s="259">
        <v>0</v>
      </c>
      <c r="G89" s="197" t="e">
        <f t="shared" si="6"/>
        <v>#DIV/0!</v>
      </c>
      <c r="R89" t="str">
        <f>D89</f>
        <v>QQQ DIVIDEND_</v>
      </c>
      <c r="S89">
        <f t="shared" si="8"/>
        <v>0</v>
      </c>
      <c r="T89" s="198">
        <f>IF(R89="","",IF(LEN(R89)&gt;9,SUMIFS(Options!$AZ$3:$AZ$28,Options!$B$3:$B$28,'Check result'!R89),SUMIFS('Master P&amp;L'!$AE$11:$AE$88,'Master P&amp;L'!$B$11:$B$88,'Check result'!R89)))</f>
        <v>0</v>
      </c>
      <c r="U89" s="198">
        <f t="shared" si="9"/>
        <v>0</v>
      </c>
      <c r="V89" s="197">
        <f t="shared" si="10"/>
        <v>0</v>
      </c>
      <c r="W89" t="e">
        <f t="shared" si="11"/>
        <v>#DIV/0!</v>
      </c>
    </row>
    <row r="90" spans="1:23">
      <c r="A90" s="258">
        <v>45840</v>
      </c>
      <c r="B90" s="259" t="s">
        <v>210</v>
      </c>
      <c r="C90" s="259" t="s">
        <v>245</v>
      </c>
      <c r="D90" s="259" t="s">
        <v>453</v>
      </c>
      <c r="E90" s="259">
        <v>0</v>
      </c>
      <c r="F90" s="259">
        <v>0</v>
      </c>
      <c r="G90" s="19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8">
        <f>IF(R90="","",IF(LEN(R90)&gt;9,SUMIFS(Options!$AZ$3:$AZ$28,Options!$B$3:$B$28,'Check result'!R90),SUMIFS('Master P&amp;L'!$AE$11:$AE$88,'Master P&amp;L'!$B$11:$B$88,'Check result'!R90)))</f>
        <v>0</v>
      </c>
      <c r="U90" s="198">
        <f t="shared" si="9"/>
        <v>0</v>
      </c>
      <c r="V90" s="197">
        <f t="shared" si="10"/>
        <v>0</v>
      </c>
      <c r="W90" t="e">
        <f t="shared" si="11"/>
        <v>#DIV/0!</v>
      </c>
    </row>
    <row r="91" spans="1:23">
      <c r="A91" s="258">
        <v>45840</v>
      </c>
      <c r="B91" s="259" t="s">
        <v>210</v>
      </c>
      <c r="C91" s="259" t="s">
        <v>245</v>
      </c>
      <c r="D91" s="259" t="s">
        <v>234</v>
      </c>
      <c r="E91" s="259">
        <v>0</v>
      </c>
      <c r="F91" s="259">
        <v>0</v>
      </c>
      <c r="G91" s="197" t="e">
        <f t="shared" si="6"/>
        <v>#DIV/0!</v>
      </c>
      <c r="R91" t="str">
        <f t="shared" si="12"/>
        <v>Provision ETF USD_</v>
      </c>
      <c r="S91">
        <f t="shared" si="8"/>
        <v>0</v>
      </c>
      <c r="T91" s="198">
        <f>IF(R91="","",IF(LEN(R91)&gt;9,SUMIFS(Options!$AZ$3:$AZ$28,Options!$B$3:$B$28,'Check result'!R91),SUMIFS('Master P&amp;L'!$AE$11:$AE$88,'Master P&amp;L'!$B$11:$B$88,'Check result'!R91)))</f>
        <v>0</v>
      </c>
      <c r="U91" s="198">
        <f t="shared" si="9"/>
        <v>0</v>
      </c>
      <c r="V91" s="197">
        <f t="shared" si="10"/>
        <v>0</v>
      </c>
      <c r="W91" t="e">
        <f t="shared" si="11"/>
        <v>#DIV/0!</v>
      </c>
    </row>
    <row r="92" spans="1:23">
      <c r="A92" s="258">
        <v>45840</v>
      </c>
      <c r="B92" s="259" t="s">
        <v>210</v>
      </c>
      <c r="C92" s="259" t="s">
        <v>245</v>
      </c>
      <c r="D92" s="259" t="s">
        <v>235</v>
      </c>
      <c r="E92" s="259">
        <v>0</v>
      </c>
      <c r="F92" s="259">
        <v>0</v>
      </c>
      <c r="G92" s="19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8">
        <f>IF(R92="","",IF(LEN(R92)&gt;9,SUMIFS(Options!$AZ$3:$AZ$28,Options!$B$3:$B$28,'Check result'!R92),SUMIFS('Master P&amp;L'!$AE$11:$AE$88,'Master P&amp;L'!$B$11:$B$88,'Check result'!R92)))</f>
        <v>0</v>
      </c>
      <c r="U92" s="198">
        <f t="shared" si="9"/>
        <v>0</v>
      </c>
      <c r="V92" s="197">
        <f t="shared" si="10"/>
        <v>0</v>
      </c>
      <c r="W92" t="e">
        <f t="shared" si="11"/>
        <v>#DIV/0!</v>
      </c>
    </row>
    <row r="93" spans="1:23">
      <c r="A93" s="258">
        <v>45840</v>
      </c>
      <c r="B93" s="259" t="s">
        <v>210</v>
      </c>
      <c r="C93" s="259" t="s">
        <v>245</v>
      </c>
      <c r="D93" s="259" t="s">
        <v>348</v>
      </c>
      <c r="E93" s="259">
        <v>0</v>
      </c>
      <c r="F93" s="259">
        <v>0</v>
      </c>
      <c r="G93" s="197" t="e">
        <f t="shared" si="6"/>
        <v>#DIV/0!</v>
      </c>
      <c r="R93" t="str">
        <f t="shared" si="12"/>
        <v>Provision NYSE USD_</v>
      </c>
      <c r="S93">
        <f t="shared" si="8"/>
        <v>0</v>
      </c>
      <c r="T93" s="198">
        <f>IF(R93="","",IF(LEN(R93)&gt;9,SUMIFS(Options!$AZ$3:$AZ$28,Options!$B$3:$B$28,'Check result'!R93),SUMIFS('Master P&amp;L'!$AE$11:$AE$88,'Master P&amp;L'!$B$11:$B$88,'Check result'!R93)))</f>
        <v>0</v>
      </c>
      <c r="U93" s="198">
        <f t="shared" si="9"/>
        <v>0</v>
      </c>
      <c r="V93" s="197">
        <f t="shared" si="10"/>
        <v>0</v>
      </c>
      <c r="W93" t="e">
        <f t="shared" si="11"/>
        <v>#DIV/0!</v>
      </c>
    </row>
    <row r="94" spans="1:23">
      <c r="A94" s="258">
        <v>45840</v>
      </c>
      <c r="B94" s="259" t="s">
        <v>210</v>
      </c>
      <c r="C94" s="259" t="s">
        <v>250</v>
      </c>
      <c r="D94" s="259" t="s">
        <v>476</v>
      </c>
      <c r="E94" s="259">
        <v>0</v>
      </c>
      <c r="F94" s="259">
        <v>0</v>
      </c>
      <c r="G94" s="197" t="e">
        <f t="shared" si="6"/>
        <v>#DIV/0!</v>
      </c>
      <c r="R94" t="str">
        <f t="shared" si="12"/>
        <v>XLF US 07/18/25 C53.5</v>
      </c>
      <c r="S94">
        <f t="shared" si="8"/>
        <v>0</v>
      </c>
      <c r="T94" s="198">
        <f>IF(R94="","",IF(LEN(R94)&gt;9,SUMIFS(Options!$AZ$3:$AZ$28,Options!$B$3:$B$28,'Check result'!R94),SUMIFS('Master P&amp;L'!$AE$11:$AE$88,'Master P&amp;L'!$B$11:$B$88,'Check result'!R94)))</f>
        <v>0</v>
      </c>
      <c r="U94" s="198">
        <f t="shared" si="9"/>
        <v>0</v>
      </c>
      <c r="V94" s="197">
        <f t="shared" si="10"/>
        <v>0</v>
      </c>
      <c r="W94" t="e">
        <f t="shared" si="11"/>
        <v>#DIV/0!</v>
      </c>
    </row>
    <row r="95" spans="1:23">
      <c r="A95" s="258">
        <v>45840</v>
      </c>
      <c r="B95" s="259" t="s">
        <v>210</v>
      </c>
      <c r="C95" s="259" t="s">
        <v>248</v>
      </c>
      <c r="D95" s="259" t="s">
        <v>228</v>
      </c>
      <c r="E95" s="259">
        <v>0</v>
      </c>
      <c r="F95" s="259">
        <v>0</v>
      </c>
      <c r="G95" s="197" t="e">
        <f t="shared" si="6"/>
        <v>#DIV/0!</v>
      </c>
      <c r="R95" t="str">
        <f t="shared" si="12"/>
        <v>Cash HKD</v>
      </c>
      <c r="S95">
        <f t="shared" si="8"/>
        <v>0</v>
      </c>
      <c r="T95" s="198">
        <f>IF(R95="","",IF(LEN(R95)&gt;9,SUMIFS(Options!$AZ$3:$AZ$28,Options!$B$3:$B$28,'Check result'!R95),SUMIFS('Master P&amp;L'!$AE$11:$AE$88,'Master P&amp;L'!$B$11:$B$88,'Check result'!R95)))</f>
        <v>0</v>
      </c>
      <c r="U95" s="198">
        <f t="shared" si="9"/>
        <v>0</v>
      </c>
      <c r="V95" s="197">
        <f t="shared" si="10"/>
        <v>0</v>
      </c>
      <c r="W95" t="e">
        <f t="shared" si="11"/>
        <v>#DIV/0!</v>
      </c>
    </row>
    <row r="96" spans="1:23">
      <c r="A96" s="258">
        <v>45840</v>
      </c>
      <c r="B96" s="259" t="s">
        <v>210</v>
      </c>
      <c r="C96" s="259" t="s">
        <v>248</v>
      </c>
      <c r="D96" s="259" t="s">
        <v>230</v>
      </c>
      <c r="E96" s="259">
        <v>0</v>
      </c>
      <c r="F96" s="259">
        <v>0</v>
      </c>
      <c r="G96" s="197" t="e">
        <f t="shared" si="6"/>
        <v>#DIV/0!</v>
      </c>
      <c r="R96" t="str">
        <f t="shared" si="12"/>
        <v>Cash USD</v>
      </c>
      <c r="S96">
        <f t="shared" si="8"/>
        <v>0</v>
      </c>
      <c r="T96" s="198">
        <f>IF(R96="","",IF(LEN(R96)&gt;9,SUMIFS(Options!$AZ$3:$AZ$28,Options!$B$3:$B$28,'Check result'!R96),SUMIFS('Master P&amp;L'!$AE$11:$AE$88,'Master P&amp;L'!$B$11:$B$88,'Check result'!R96)))</f>
        <v>0</v>
      </c>
      <c r="U96" s="198">
        <f t="shared" si="9"/>
        <v>0</v>
      </c>
      <c r="V96" s="197">
        <f t="shared" si="10"/>
        <v>0</v>
      </c>
      <c r="W96" t="e">
        <f t="shared" si="11"/>
        <v>#DIV/0!</v>
      </c>
    </row>
    <row r="97" spans="1:23">
      <c r="A97" s="258">
        <v>45840</v>
      </c>
      <c r="B97" s="259" t="s">
        <v>349</v>
      </c>
      <c r="C97" s="259" t="s">
        <v>350</v>
      </c>
      <c r="D97" s="259" t="s">
        <v>351</v>
      </c>
      <c r="E97" s="259">
        <v>0</v>
      </c>
      <c r="F97" s="259">
        <v>0</v>
      </c>
      <c r="G97" s="197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8">
        <f>IF(R97="","",IF(LEN(R97)&gt;9,SUMIFS(Options!$AZ$3:$AZ$28,Options!$B$3:$B$28,'Check result'!R97),SUMIFS('Master P&amp;L'!$AE$11:$AE$88,'Master P&amp;L'!$B$11:$B$88,'Check result'!R97)))</f>
        <v>0</v>
      </c>
      <c r="U97" s="198">
        <f t="shared" si="9"/>
        <v>0</v>
      </c>
      <c r="V97" s="197">
        <f t="shared" si="10"/>
        <v>0</v>
      </c>
      <c r="W97" t="e">
        <f t="shared" si="11"/>
        <v>#DIV/0!</v>
      </c>
    </row>
    <row r="98" spans="1:23">
      <c r="A98" s="258">
        <v>45840</v>
      </c>
      <c r="B98" s="259" t="s">
        <v>210</v>
      </c>
      <c r="C98" s="259" t="s">
        <v>248</v>
      </c>
      <c r="D98" s="259" t="s">
        <v>229</v>
      </c>
      <c r="E98" s="259">
        <v>0</v>
      </c>
      <c r="F98" s="259">
        <v>0</v>
      </c>
      <c r="G98" s="197" t="e">
        <f t="shared" si="6"/>
        <v>#DIV/0!</v>
      </c>
      <c r="R98" t="str">
        <f t="shared" si="12"/>
        <v>Cash KRW</v>
      </c>
      <c r="S98">
        <f t="shared" si="8"/>
        <v>0</v>
      </c>
      <c r="T98" s="198">
        <f>IF(R98="","",IF(LEN(R98)&gt;9,SUMIFS(Options!$AZ$3:$AZ$28,Options!$B$3:$B$28,'Check result'!R98),SUMIFS('Master P&amp;L'!$AE$11:$AE$88,'Master P&amp;L'!$B$11:$B$88,'Check result'!R98)))</f>
        <v>0</v>
      </c>
      <c r="U98" s="198">
        <f t="shared" si="9"/>
        <v>0</v>
      </c>
      <c r="V98" s="197">
        <f t="shared" si="10"/>
        <v>0</v>
      </c>
      <c r="W98" t="e">
        <f t="shared" si="11"/>
        <v>#DIV/0!</v>
      </c>
    </row>
    <row r="99" spans="1:23">
      <c r="A99" s="258">
        <v>45840</v>
      </c>
      <c r="B99" s="259" t="s">
        <v>210</v>
      </c>
      <c r="C99" s="259" t="s">
        <v>248</v>
      </c>
      <c r="D99" s="259" t="s">
        <v>225</v>
      </c>
      <c r="E99" s="259">
        <v>0</v>
      </c>
      <c r="F99" s="259">
        <v>0</v>
      </c>
      <c r="G99" s="197" t="e">
        <f t="shared" si="6"/>
        <v>#DIV/0!</v>
      </c>
      <c r="R99" t="str">
        <f t="shared" si="12"/>
        <v>Cash CNH</v>
      </c>
      <c r="S99">
        <f t="shared" si="8"/>
        <v>0</v>
      </c>
      <c r="T99" s="198">
        <f>IF(R99="","",IF(LEN(R99)&gt;9,SUMIFS(Options!$AZ$3:$AZ$28,Options!$B$3:$B$28,'Check result'!R99),SUMIFS('Master P&amp;L'!$AE$11:$AE$88,'Master P&amp;L'!$B$11:$B$88,'Check result'!R99)))</f>
        <v>0</v>
      </c>
      <c r="U99" s="198">
        <f t="shared" si="9"/>
        <v>0</v>
      </c>
      <c r="V99" s="197">
        <f t="shared" si="10"/>
        <v>0</v>
      </c>
      <c r="W99" t="e">
        <f t="shared" si="11"/>
        <v>#DIV/0!</v>
      </c>
    </row>
    <row r="100" spans="1:23">
      <c r="A100" s="258">
        <v>45840</v>
      </c>
      <c r="B100" s="259" t="s">
        <v>210</v>
      </c>
      <c r="C100" s="259" t="s">
        <v>248</v>
      </c>
      <c r="D100" s="259" t="s">
        <v>227</v>
      </c>
      <c r="E100" s="259">
        <v>0</v>
      </c>
      <c r="F100" s="259">
        <v>0</v>
      </c>
      <c r="G100" s="197" t="e">
        <f t="shared" si="6"/>
        <v>#DIV/0!</v>
      </c>
      <c r="R100" t="str">
        <f t="shared" si="12"/>
        <v>Cash GBP</v>
      </c>
      <c r="S100">
        <f t="shared" si="8"/>
        <v>0</v>
      </c>
      <c r="T100" s="198">
        <f>IF(R100="","",IF(LEN(R100)&gt;9,SUMIFS(Options!$AZ$3:$AZ$28,Options!$B$3:$B$28,'Check result'!R100),SUMIFS('Master P&amp;L'!$AE$11:$AE$88,'Master P&amp;L'!$B$11:$B$88,'Check result'!R100)))</f>
        <v>0</v>
      </c>
      <c r="U100" s="198">
        <f t="shared" si="9"/>
        <v>0</v>
      </c>
      <c r="V100" s="197">
        <f t="shared" si="10"/>
        <v>0</v>
      </c>
      <c r="W100" t="e">
        <f t="shared" si="11"/>
        <v>#DIV/0!</v>
      </c>
    </row>
    <row r="101" spans="1:23">
      <c r="A101" s="258">
        <v>45840</v>
      </c>
      <c r="B101" s="259" t="s">
        <v>210</v>
      </c>
      <c r="C101" s="259" t="s">
        <v>246</v>
      </c>
      <c r="D101" s="259" t="s">
        <v>498</v>
      </c>
      <c r="E101" s="259">
        <v>11</v>
      </c>
      <c r="F101" s="259">
        <v>0</v>
      </c>
      <c r="G101" s="19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8">
        <f>IF(R101="","",IF(LEN(R101)&gt;9,SUMIFS(Options!$AZ$3:$AZ$28,Options!$B$3:$B$28,'Check result'!R101),SUMIFS('Master P&amp;L'!$AE$11:$AE$88,'Master P&amp;L'!$B$11:$B$88,'Check result'!R101)))</f>
        <v>0</v>
      </c>
      <c r="U101" s="198">
        <f t="shared" si="9"/>
        <v>0</v>
      </c>
      <c r="V101" s="197">
        <f t="shared" si="10"/>
        <v>11</v>
      </c>
      <c r="W101" t="e">
        <f t="shared" si="11"/>
        <v>#DIV/0!</v>
      </c>
    </row>
    <row r="102" spans="1:23">
      <c r="A102" s="258">
        <v>45840</v>
      </c>
      <c r="B102" s="259" t="s">
        <v>210</v>
      </c>
      <c r="C102" s="259" t="s">
        <v>246</v>
      </c>
      <c r="D102" s="259" t="s">
        <v>462</v>
      </c>
      <c r="E102" s="259">
        <v>160</v>
      </c>
      <c r="F102" s="259">
        <v>0</v>
      </c>
      <c r="G102" s="19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8">
        <f>IF(R102="","",IF(LEN(R102)&gt;9,SUMIFS(Options!$AZ$3:$AZ$28,Options!$B$3:$B$28,'Check result'!R102),SUMIFS('Master P&amp;L'!$AE$11:$AE$88,'Master P&amp;L'!$B$11:$B$88,'Check result'!R102)))</f>
        <v>0</v>
      </c>
      <c r="U102" s="198">
        <f t="shared" si="9"/>
        <v>0</v>
      </c>
      <c r="V102" s="197">
        <f t="shared" si="10"/>
        <v>160</v>
      </c>
      <c r="W102" t="e">
        <f t="shared" si="11"/>
        <v>#DIV/0!</v>
      </c>
    </row>
    <row r="103" spans="1:23">
      <c r="A103" s="258">
        <v>45840</v>
      </c>
      <c r="B103" s="259" t="s">
        <v>210</v>
      </c>
      <c r="C103" s="259" t="s">
        <v>248</v>
      </c>
      <c r="D103" s="259" t="s">
        <v>226</v>
      </c>
      <c r="E103" s="259">
        <v>462</v>
      </c>
      <c r="F103" s="259">
        <v>0</v>
      </c>
      <c r="G103" s="197" t="e">
        <f t="shared" si="6"/>
        <v>#DIV/0!</v>
      </c>
      <c r="R103" t="str">
        <f t="shared" si="12"/>
        <v>Cash EUR</v>
      </c>
      <c r="S103">
        <f t="shared" si="8"/>
        <v>462</v>
      </c>
      <c r="T103" s="198">
        <f>IF(R103="","",IF(LEN(R103)&gt;9,SUMIFS(Options!$AZ$3:$AZ$28,Options!$B$3:$B$28,'Check result'!R103),SUMIFS('Master P&amp;L'!$AE$11:$AE$88,'Master P&amp;L'!$B$11:$B$88,'Check result'!R103)))</f>
        <v>0</v>
      </c>
      <c r="U103" s="198">
        <f t="shared" si="9"/>
        <v>0</v>
      </c>
      <c r="V103" s="197">
        <f t="shared" si="10"/>
        <v>462</v>
      </c>
      <c r="W103" t="e">
        <f t="shared" si="11"/>
        <v>#DIV/0!</v>
      </c>
    </row>
    <row r="104" spans="1:23">
      <c r="A104" s="258">
        <v>45840</v>
      </c>
      <c r="B104" s="259" t="s">
        <v>210</v>
      </c>
      <c r="C104" s="259" t="s">
        <v>250</v>
      </c>
      <c r="D104" s="259" t="s">
        <v>468</v>
      </c>
      <c r="E104" s="259">
        <v>759</v>
      </c>
      <c r="F104" s="259">
        <v>0</v>
      </c>
      <c r="G104" s="19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8">
        <f>IF(R104="","",IF(LEN(R104)&gt;9,SUMIFS(Options!$AZ$3:$AZ$28,Options!$B$3:$B$28,'Check result'!R104),SUMIFS('Master P&amp;L'!$AE$11:$AE$88,'Master P&amp;L'!$B$11:$B$88,'Check result'!R104)))</f>
        <v>0</v>
      </c>
      <c r="U104" s="198">
        <f t="shared" si="9"/>
        <v>0</v>
      </c>
      <c r="V104" s="197">
        <f t="shared" si="10"/>
        <v>759</v>
      </c>
      <c r="W104" t="e">
        <f t="shared" si="11"/>
        <v>#DIV/0!</v>
      </c>
    </row>
    <row r="105" spans="1:23">
      <c r="A105" s="258">
        <v>45840</v>
      </c>
      <c r="B105" s="259" t="s">
        <v>210</v>
      </c>
      <c r="C105" s="259" t="s">
        <v>244</v>
      </c>
      <c r="D105" s="259" t="s">
        <v>77</v>
      </c>
      <c r="E105" s="259">
        <v>787</v>
      </c>
      <c r="F105" s="259">
        <v>0</v>
      </c>
      <c r="G105" s="197" t="e">
        <f t="shared" si="6"/>
        <v>#DIV/0!</v>
      </c>
      <c r="R105" t="str">
        <f t="shared" si="12"/>
        <v>ABNB</v>
      </c>
      <c r="S105">
        <f t="shared" si="8"/>
        <v>787</v>
      </c>
      <c r="T105" s="198">
        <f>IF(R105="","",IF(LEN(R105)&gt;9,SUMIFS(Options!$AZ$3:$AZ$28,Options!$B$3:$B$28,'Check result'!R105),SUMIFS('Master P&amp;L'!$AE$11:$AE$88,'Master P&amp;L'!$B$11:$B$88,'Check result'!R105)))</f>
        <v>0</v>
      </c>
      <c r="U105" s="198">
        <f t="shared" si="9"/>
        <v>0</v>
      </c>
      <c r="V105" s="197">
        <f t="shared" si="10"/>
        <v>787</v>
      </c>
      <c r="W105" t="e">
        <f t="shared" si="11"/>
        <v>#DIV/0!</v>
      </c>
    </row>
    <row r="106" spans="1:23">
      <c r="A106" s="258">
        <v>45840</v>
      </c>
      <c r="B106" s="259" t="s">
        <v>210</v>
      </c>
      <c r="C106" s="259" t="s">
        <v>246</v>
      </c>
      <c r="D106" s="259" t="s">
        <v>486</v>
      </c>
      <c r="E106" s="260">
        <v>1513</v>
      </c>
      <c r="F106" s="259">
        <v>0</v>
      </c>
      <c r="G106" s="19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8">
        <f>IF(R106="","",IF(LEN(R106)&gt;9,SUMIFS(Options!$AZ$3:$AZ$28,Options!$B$3:$B$28,'Check result'!R106),SUMIFS('Master P&amp;L'!$AE$11:$AE$88,'Master P&amp;L'!$B$11:$B$88,'Check result'!R106)))</f>
        <v>0</v>
      </c>
      <c r="U106" s="198">
        <f t="shared" si="9"/>
        <v>0</v>
      </c>
      <c r="V106" s="197">
        <f t="shared" si="10"/>
        <v>1513</v>
      </c>
      <c r="W106" t="e">
        <f t="shared" si="11"/>
        <v>#DIV/0!</v>
      </c>
    </row>
    <row r="107" spans="1:23">
      <c r="A107" s="258">
        <v>45840</v>
      </c>
      <c r="B107" s="259" t="s">
        <v>210</v>
      </c>
      <c r="C107" s="259" t="s">
        <v>244</v>
      </c>
      <c r="D107" s="259" t="s">
        <v>31</v>
      </c>
      <c r="E107" s="260">
        <v>1726</v>
      </c>
      <c r="F107" s="259">
        <v>0</v>
      </c>
      <c r="G107" s="197" t="e">
        <f t="shared" si="6"/>
        <v>#DIV/0!</v>
      </c>
      <c r="R107" t="str">
        <f t="shared" si="12"/>
        <v>UBER</v>
      </c>
      <c r="S107">
        <f t="shared" si="8"/>
        <v>1726</v>
      </c>
      <c r="T107" s="198">
        <f>IF(R107="","",IF(LEN(R107)&gt;9,SUMIFS(Options!$AZ$3:$AZ$28,Options!$B$3:$B$28,'Check result'!R107),SUMIFS('Master P&amp;L'!$AE$11:$AE$88,'Master P&amp;L'!$B$11:$B$88,'Check result'!R107)))</f>
        <v>0</v>
      </c>
      <c r="U107" s="198">
        <f t="shared" si="9"/>
        <v>0</v>
      </c>
      <c r="V107" s="197">
        <f t="shared" si="10"/>
        <v>1726</v>
      </c>
      <c r="W107" t="e">
        <f t="shared" si="11"/>
        <v>#DIV/0!</v>
      </c>
    </row>
    <row r="108" spans="1:23">
      <c r="A108" s="258">
        <v>45840</v>
      </c>
      <c r="B108" s="259" t="s">
        <v>210</v>
      </c>
      <c r="C108" s="259" t="s">
        <v>250</v>
      </c>
      <c r="D108" s="259" t="s">
        <v>407</v>
      </c>
      <c r="E108" s="260">
        <v>2508</v>
      </c>
      <c r="F108" s="259">
        <v>0</v>
      </c>
      <c r="G108" s="19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8">
        <f>IF(R108="","",IF(LEN(R108)&gt;9,SUMIFS(Options!$AZ$3:$AZ$28,Options!$B$3:$B$28,'Check result'!R108),SUMIFS('Master P&amp;L'!$AE$11:$AE$88,'Master P&amp;L'!$B$11:$B$88,'Check result'!R108)))</f>
        <v>0</v>
      </c>
      <c r="U108" s="198">
        <f t="shared" si="9"/>
        <v>0</v>
      </c>
      <c r="V108" s="197">
        <f t="shared" si="10"/>
        <v>2508</v>
      </c>
      <c r="W108" t="e">
        <f t="shared" si="11"/>
        <v>#DIV/0!</v>
      </c>
    </row>
    <row r="109" spans="1:23">
      <c r="A109" s="258">
        <v>45840</v>
      </c>
      <c r="B109" s="259" t="s">
        <v>210</v>
      </c>
      <c r="C109" s="259" t="s">
        <v>246</v>
      </c>
      <c r="D109" s="259" t="s">
        <v>371</v>
      </c>
      <c r="E109" s="260">
        <v>2521</v>
      </c>
      <c r="F109" s="259">
        <v>0</v>
      </c>
      <c r="G109" s="19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8">
        <f>IF(R109="","",IF(LEN(R109)&gt;9,SUMIFS(Options!$AZ$3:$AZ$28,Options!$B$3:$B$28,'Check result'!R109),SUMIFS('Master P&amp;L'!$AE$11:$AE$88,'Master P&amp;L'!$B$11:$B$88,'Check result'!R109)))</f>
        <v>0</v>
      </c>
      <c r="U109" s="198">
        <f t="shared" si="9"/>
        <v>0</v>
      </c>
      <c r="V109" s="197">
        <f t="shared" si="10"/>
        <v>2521</v>
      </c>
      <c r="W109" t="e">
        <f t="shared" si="11"/>
        <v>#DIV/0!</v>
      </c>
    </row>
    <row r="110" spans="1:23">
      <c r="A110" s="258">
        <v>45840</v>
      </c>
      <c r="B110" s="259" t="s">
        <v>210</v>
      </c>
      <c r="C110" s="259" t="s">
        <v>250</v>
      </c>
      <c r="D110" s="259" t="s">
        <v>404</v>
      </c>
      <c r="E110" s="260">
        <v>2806</v>
      </c>
      <c r="F110" s="259">
        <v>0</v>
      </c>
      <c r="G110" s="19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8">
        <f>IF(R110="","",IF(LEN(R110)&gt;9,SUMIFS(Options!$AZ$3:$AZ$28,Options!$B$3:$B$28,'Check result'!R110),SUMIFS('Master P&amp;L'!$AE$11:$AE$88,'Master P&amp;L'!$B$11:$B$88,'Check result'!R110)))</f>
        <v>0</v>
      </c>
      <c r="U110" s="198">
        <f t="shared" si="9"/>
        <v>0</v>
      </c>
      <c r="V110" s="197">
        <f t="shared" si="10"/>
        <v>2806</v>
      </c>
      <c r="W110" t="e">
        <f t="shared" si="11"/>
        <v>#DIV/0!</v>
      </c>
    </row>
    <row r="111" spans="1:23">
      <c r="A111" s="258">
        <v>45840</v>
      </c>
      <c r="B111" s="259" t="s">
        <v>210</v>
      </c>
      <c r="C111" s="259" t="s">
        <v>246</v>
      </c>
      <c r="D111" s="259" t="s">
        <v>391</v>
      </c>
      <c r="E111" s="260">
        <v>4403</v>
      </c>
      <c r="F111" s="259">
        <v>0</v>
      </c>
      <c r="G111" s="19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8">
        <f>IF(R111="","",IF(LEN(R111)&gt;9,SUMIFS(Options!$AZ$3:$AZ$28,Options!$B$3:$B$28,'Check result'!R111),SUMIFS('Master P&amp;L'!$AE$11:$AE$88,'Master P&amp;L'!$B$11:$B$88,'Check result'!R111)))</f>
        <v>0</v>
      </c>
      <c r="U111" s="198">
        <f t="shared" si="9"/>
        <v>0</v>
      </c>
      <c r="V111" s="197">
        <f t="shared" si="10"/>
        <v>4403</v>
      </c>
      <c r="W111" t="e">
        <f t="shared" si="11"/>
        <v>#DIV/0!</v>
      </c>
    </row>
    <row r="112" spans="1:23">
      <c r="A112" s="258">
        <v>45840</v>
      </c>
      <c r="B112" s="259" t="s">
        <v>210</v>
      </c>
      <c r="C112" s="259" t="s">
        <v>246</v>
      </c>
      <c r="D112" s="259" t="s">
        <v>424</v>
      </c>
      <c r="E112" s="260">
        <v>7108</v>
      </c>
      <c r="F112" s="259">
        <v>0.01</v>
      </c>
      <c r="G112" s="19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8">
        <f>IF(R112="","",IF(LEN(R112)&gt;9,SUMIFS(Options!$AZ$3:$AZ$28,Options!$B$3:$B$28,'Check result'!R112),SUMIFS('Master P&amp;L'!$AE$11:$AE$88,'Master P&amp;L'!$B$11:$B$88,'Check result'!R112)))</f>
        <v>0</v>
      </c>
      <c r="U112" s="198">
        <f t="shared" si="9"/>
        <v>0</v>
      </c>
      <c r="V112" s="197">
        <f t="shared" si="10"/>
        <v>7108</v>
      </c>
      <c r="W112">
        <f t="shared" si="11"/>
        <v>0.01</v>
      </c>
    </row>
    <row r="113" spans="1:23">
      <c r="A113" s="258">
        <v>45840</v>
      </c>
      <c r="B113" s="259" t="s">
        <v>210</v>
      </c>
      <c r="C113" s="259" t="s">
        <v>246</v>
      </c>
      <c r="D113" s="259" t="s">
        <v>469</v>
      </c>
      <c r="E113" s="260">
        <v>10288</v>
      </c>
      <c r="F113" s="259">
        <v>0.01</v>
      </c>
      <c r="G113" s="19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8">
        <f>IF(R113="","",IF(LEN(R113)&gt;9,SUMIFS(Options!$AZ$3:$AZ$28,Options!$B$3:$B$28,'Check result'!R113),SUMIFS('Master P&amp;L'!$AE$11:$AE$88,'Master P&amp;L'!$B$11:$B$88,'Check result'!R113)))</f>
        <v>0</v>
      </c>
      <c r="U113" s="198">
        <f t="shared" ref="U113:U165" si="15">T113/2</f>
        <v>0</v>
      </c>
      <c r="V113" s="197">
        <f t="shared" ref="V113:V165" si="16">+S113-U113</f>
        <v>10288</v>
      </c>
      <c r="W113">
        <f t="shared" ref="W113:W165" si="17">+V113/G113*10000</f>
        <v>0.01</v>
      </c>
    </row>
    <row r="114" spans="1:23">
      <c r="A114" s="258">
        <v>45840</v>
      </c>
      <c r="B114" s="259" t="s">
        <v>210</v>
      </c>
      <c r="C114" s="259" t="s">
        <v>246</v>
      </c>
      <c r="D114" s="259" t="s">
        <v>394</v>
      </c>
      <c r="E114" s="260">
        <v>10410</v>
      </c>
      <c r="F114" s="259">
        <v>0.01</v>
      </c>
      <c r="G114" s="19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8">
        <f>IF(R114="","",IF(LEN(R114)&gt;9,SUMIFS(Options!$AZ$3:$AZ$28,Options!$B$3:$B$28,'Check result'!R114),SUMIFS('Master P&amp;L'!$AE$11:$AE$88,'Master P&amp;L'!$B$11:$B$88,'Check result'!R114)))</f>
        <v>0</v>
      </c>
      <c r="U114" s="198">
        <f t="shared" si="15"/>
        <v>0</v>
      </c>
      <c r="V114" s="197">
        <f t="shared" si="16"/>
        <v>10410</v>
      </c>
      <c r="W114">
        <f t="shared" si="17"/>
        <v>0.01</v>
      </c>
    </row>
    <row r="115" spans="1:23">
      <c r="A115" s="258">
        <v>45840</v>
      </c>
      <c r="B115" s="259" t="s">
        <v>210</v>
      </c>
      <c r="C115" s="259" t="s">
        <v>250</v>
      </c>
      <c r="D115" s="259" t="s">
        <v>389</v>
      </c>
      <c r="E115" s="260">
        <v>11950</v>
      </c>
      <c r="F115" s="259">
        <v>0.01</v>
      </c>
      <c r="G115" s="19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8">
        <f>IF(R115="","",IF(LEN(R115)&gt;9,SUMIFS(Options!$AZ$3:$AZ$28,Options!$B$3:$B$28,'Check result'!R115),SUMIFS('Master P&amp;L'!$AE$11:$AE$88,'Master P&amp;L'!$B$11:$B$88,'Check result'!R115)))</f>
        <v>0</v>
      </c>
      <c r="U115" s="198">
        <f t="shared" si="15"/>
        <v>0</v>
      </c>
      <c r="V115" s="197">
        <f t="shared" si="16"/>
        <v>11950</v>
      </c>
      <c r="W115">
        <f t="shared" si="17"/>
        <v>0.01</v>
      </c>
    </row>
    <row r="116" spans="1:23">
      <c r="A116" s="258">
        <v>45840</v>
      </c>
      <c r="B116" s="259" t="s">
        <v>210</v>
      </c>
      <c r="C116" s="259" t="s">
        <v>246</v>
      </c>
      <c r="D116" s="259" t="s">
        <v>471</v>
      </c>
      <c r="E116" s="260">
        <v>13284</v>
      </c>
      <c r="F116" s="259">
        <v>0.01</v>
      </c>
      <c r="G116" s="19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8">
        <f>IF(R116="","",IF(LEN(R116)&gt;9,SUMIFS(Options!$AZ$3:$AZ$28,Options!$B$3:$B$28,'Check result'!R116),SUMIFS('Master P&amp;L'!$AE$11:$AE$88,'Master P&amp;L'!$B$11:$B$88,'Check result'!R116)))</f>
        <v>0</v>
      </c>
      <c r="U116" s="198">
        <f t="shared" si="15"/>
        <v>0</v>
      </c>
      <c r="V116" s="197">
        <f t="shared" si="16"/>
        <v>13284</v>
      </c>
      <c r="W116">
        <f t="shared" si="17"/>
        <v>0.01</v>
      </c>
    </row>
    <row r="117" spans="1:23">
      <c r="A117" s="258">
        <v>45840</v>
      </c>
      <c r="B117" s="259" t="s">
        <v>210</v>
      </c>
      <c r="C117" s="259" t="s">
        <v>247</v>
      </c>
      <c r="D117" s="259" t="s">
        <v>43</v>
      </c>
      <c r="E117" s="260">
        <v>15275</v>
      </c>
      <c r="F117" s="259">
        <v>0.01</v>
      </c>
      <c r="G117" s="197">
        <f t="shared" si="6"/>
        <v>15275000000</v>
      </c>
      <c r="R117" t="str">
        <f t="shared" si="13"/>
        <v>SOXX</v>
      </c>
      <c r="S117">
        <f t="shared" si="14"/>
        <v>15275</v>
      </c>
      <c r="T117" s="198">
        <f>IF(R117="","",IF(LEN(R117)&gt;9,SUMIFS(Options!$AZ$3:$AZ$28,Options!$B$3:$B$28,'Check result'!R117),SUMIFS('Master P&amp;L'!$AE$11:$AE$88,'Master P&amp;L'!$B$11:$B$88,'Check result'!R117)))</f>
        <v>0</v>
      </c>
      <c r="U117" s="198">
        <f t="shared" si="15"/>
        <v>0</v>
      </c>
      <c r="V117" s="197">
        <f t="shared" si="16"/>
        <v>15275</v>
      </c>
      <c r="W117">
        <f t="shared" si="17"/>
        <v>0.01</v>
      </c>
    </row>
    <row r="118" spans="1:23">
      <c r="A118" s="258">
        <v>45840</v>
      </c>
      <c r="B118" s="259" t="s">
        <v>210</v>
      </c>
      <c r="C118" s="259" t="s">
        <v>246</v>
      </c>
      <c r="D118" s="259" t="s">
        <v>483</v>
      </c>
      <c r="E118" s="260">
        <v>15290</v>
      </c>
      <c r="F118" s="259">
        <v>0.01</v>
      </c>
      <c r="G118" s="19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8">
        <f>IF(R118="","",IF(LEN(R118)&gt;9,SUMIFS(Options!$AZ$3:$AZ$28,Options!$B$3:$B$28,'Check result'!R118),SUMIFS('Master P&amp;L'!$AE$11:$AE$88,'Master P&amp;L'!$B$11:$B$88,'Check result'!R118)))</f>
        <v>0</v>
      </c>
      <c r="U118" s="198">
        <f t="shared" si="15"/>
        <v>0</v>
      </c>
      <c r="V118" s="197">
        <f t="shared" si="16"/>
        <v>15290</v>
      </c>
      <c r="W118">
        <f t="shared" si="17"/>
        <v>0.01</v>
      </c>
    </row>
    <row r="119" spans="1:23">
      <c r="A119" s="258">
        <v>45840</v>
      </c>
      <c r="B119" s="259" t="s">
        <v>210</v>
      </c>
      <c r="C119" s="259" t="s">
        <v>246</v>
      </c>
      <c r="D119" s="259" t="s">
        <v>425</v>
      </c>
      <c r="E119" s="260">
        <v>16211</v>
      </c>
      <c r="F119" s="259">
        <v>0.01</v>
      </c>
      <c r="G119" s="19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8">
        <f>IF(R119="","",IF(LEN(R119)&gt;9,SUMIFS(Options!$AZ$3:$AZ$28,Options!$B$3:$B$28,'Check result'!R119),SUMIFS('Master P&amp;L'!$AE$11:$AE$88,'Master P&amp;L'!$B$11:$B$88,'Check result'!R119)))</f>
        <v>0</v>
      </c>
      <c r="U119" s="198">
        <f t="shared" si="15"/>
        <v>0</v>
      </c>
      <c r="V119" s="197">
        <f t="shared" si="16"/>
        <v>16211</v>
      </c>
      <c r="W119">
        <f t="shared" si="17"/>
        <v>0.01</v>
      </c>
    </row>
    <row r="120" spans="1:23">
      <c r="A120" s="258">
        <v>45840</v>
      </c>
      <c r="B120" s="259" t="s">
        <v>210</v>
      </c>
      <c r="C120" s="259" t="s">
        <v>247</v>
      </c>
      <c r="D120" s="259" t="s">
        <v>432</v>
      </c>
      <c r="E120" s="260">
        <v>16359</v>
      </c>
      <c r="F120" s="259">
        <v>0.01</v>
      </c>
      <c r="G120" s="197">
        <f t="shared" si="6"/>
        <v>16359000000</v>
      </c>
      <c r="R120" t="str">
        <f t="shared" si="13"/>
        <v>EWY</v>
      </c>
      <c r="S120">
        <f t="shared" si="14"/>
        <v>16359</v>
      </c>
      <c r="T120" s="198">
        <f>IF(R120="","",IF(LEN(R120)&gt;9,SUMIFS(Options!$AZ$3:$AZ$28,Options!$B$3:$B$28,'Check result'!R120),SUMIFS('Master P&amp;L'!$AE$11:$AE$88,'Master P&amp;L'!$B$11:$B$88,'Check result'!R120)))</f>
        <v>0</v>
      </c>
      <c r="U120" s="198">
        <f t="shared" si="15"/>
        <v>0</v>
      </c>
      <c r="V120" s="197">
        <f t="shared" si="16"/>
        <v>16359</v>
      </c>
      <c r="W120">
        <f t="shared" si="17"/>
        <v>0.01</v>
      </c>
    </row>
    <row r="121" spans="1:23">
      <c r="A121" s="258">
        <v>45840</v>
      </c>
      <c r="B121" s="259" t="s">
        <v>210</v>
      </c>
      <c r="C121" s="259" t="s">
        <v>250</v>
      </c>
      <c r="D121" s="259" t="s">
        <v>500</v>
      </c>
      <c r="E121" s="260">
        <v>19031</v>
      </c>
      <c r="F121" s="259">
        <v>0.02</v>
      </c>
      <c r="G121" s="19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8">
        <f>IF(R121="","",IF(LEN(R121)&gt;9,SUMIFS(Options!$AZ$3:$AZ$28,Options!$B$3:$B$28,'Check result'!R121),SUMIFS('Master P&amp;L'!$AE$11:$AE$88,'Master P&amp;L'!$B$11:$B$88,'Check result'!R121)))</f>
        <v>0</v>
      </c>
      <c r="U121" s="198">
        <f t="shared" si="15"/>
        <v>0</v>
      </c>
      <c r="V121" s="197">
        <f t="shared" si="16"/>
        <v>19031</v>
      </c>
      <c r="W121">
        <f t="shared" si="17"/>
        <v>0.02</v>
      </c>
    </row>
    <row r="122" spans="1:23">
      <c r="A122" s="258">
        <v>45840</v>
      </c>
      <c r="B122" s="259" t="s">
        <v>210</v>
      </c>
      <c r="C122" s="259" t="s">
        <v>250</v>
      </c>
      <c r="D122" s="259" t="s">
        <v>464</v>
      </c>
      <c r="E122" s="260">
        <v>21895</v>
      </c>
      <c r="F122" s="259">
        <v>0.02</v>
      </c>
      <c r="G122" s="19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8">
        <f>IF(R122="","",IF(LEN(R122)&gt;9,SUMIFS(Options!$AZ$3:$AZ$28,Options!$B$3:$B$28,'Check result'!R122),SUMIFS('Master P&amp;L'!$AE$11:$AE$88,'Master P&amp;L'!$B$11:$B$88,'Check result'!R122)))</f>
        <v>0</v>
      </c>
      <c r="U122" s="198">
        <f t="shared" si="15"/>
        <v>0</v>
      </c>
      <c r="V122" s="197">
        <f t="shared" si="16"/>
        <v>21895</v>
      </c>
      <c r="W122">
        <f t="shared" si="17"/>
        <v>0.02</v>
      </c>
    </row>
    <row r="123" spans="1:23">
      <c r="A123" s="258">
        <v>45840</v>
      </c>
      <c r="B123" s="259" t="s">
        <v>210</v>
      </c>
      <c r="C123" s="259" t="s">
        <v>244</v>
      </c>
      <c r="D123" s="259" t="s">
        <v>319</v>
      </c>
      <c r="E123" s="260">
        <v>22327</v>
      </c>
      <c r="F123" s="259">
        <v>0.02</v>
      </c>
      <c r="G123" s="197">
        <f t="shared" si="6"/>
        <v>11163500000</v>
      </c>
      <c r="R123" t="str">
        <f t="shared" si="13"/>
        <v>ACN</v>
      </c>
      <c r="S123">
        <f t="shared" si="14"/>
        <v>22327</v>
      </c>
      <c r="T123" s="198">
        <f>IF(R123="","",IF(LEN(R123)&gt;9,SUMIFS(Options!$AZ$3:$AZ$28,Options!$B$3:$B$28,'Check result'!R123),SUMIFS('Master P&amp;L'!$AE$11:$AE$88,'Master P&amp;L'!$B$11:$B$88,'Check result'!R123)))</f>
        <v>0</v>
      </c>
      <c r="U123" s="198">
        <f t="shared" si="15"/>
        <v>0</v>
      </c>
      <c r="V123" s="197">
        <f t="shared" si="16"/>
        <v>22327</v>
      </c>
      <c r="W123">
        <f t="shared" si="17"/>
        <v>0.02</v>
      </c>
    </row>
    <row r="124" spans="1:23">
      <c r="A124" s="258">
        <v>45840</v>
      </c>
      <c r="B124" s="259" t="s">
        <v>210</v>
      </c>
      <c r="C124" s="259" t="s">
        <v>246</v>
      </c>
      <c r="D124" s="259" t="s">
        <v>484</v>
      </c>
      <c r="E124" s="260">
        <v>24209</v>
      </c>
      <c r="F124" s="259">
        <v>0.02</v>
      </c>
      <c r="G124" s="19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8">
        <f>IF(R124="","",IF(LEN(R124)&gt;9,SUMIFS(Options!$AZ$3:$AZ$28,Options!$B$3:$B$28,'Check result'!R124),SUMIFS('Master P&amp;L'!$AE$11:$AE$88,'Master P&amp;L'!$B$11:$B$88,'Check result'!R124)))</f>
        <v>0</v>
      </c>
      <c r="U124" s="198">
        <f t="shared" si="15"/>
        <v>0</v>
      </c>
      <c r="V124" s="197">
        <f t="shared" si="16"/>
        <v>24209</v>
      </c>
      <c r="W124">
        <f t="shared" si="17"/>
        <v>0.02</v>
      </c>
    </row>
    <row r="125" spans="1:23">
      <c r="A125" s="258">
        <v>45840</v>
      </c>
      <c r="B125" s="259" t="s">
        <v>210</v>
      </c>
      <c r="C125" s="259" t="s">
        <v>244</v>
      </c>
      <c r="D125" s="259" t="s">
        <v>35</v>
      </c>
      <c r="E125" s="260">
        <v>25173</v>
      </c>
      <c r="F125" s="259">
        <v>0.02</v>
      </c>
      <c r="G125" s="197">
        <f t="shared" si="6"/>
        <v>12586500000</v>
      </c>
      <c r="R125" t="str">
        <f t="shared" si="13"/>
        <v>V</v>
      </c>
      <c r="S125">
        <f t="shared" si="14"/>
        <v>25173</v>
      </c>
      <c r="T125" s="198">
        <f>IF(R125="","",IF(LEN(R125)&gt;9,SUMIFS(Options!$AZ$3:$AZ$28,Options!$B$3:$B$28,'Check result'!R125),SUMIFS('Master P&amp;L'!$AE$11:$AE$88,'Master P&amp;L'!$B$11:$B$88,'Check result'!R125)))</f>
        <v>0</v>
      </c>
      <c r="U125" s="198">
        <f t="shared" si="15"/>
        <v>0</v>
      </c>
      <c r="V125" s="197">
        <f t="shared" si="16"/>
        <v>25173</v>
      </c>
      <c r="W125">
        <f t="shared" si="17"/>
        <v>0.02</v>
      </c>
    </row>
    <row r="126" spans="1:23">
      <c r="A126" s="258">
        <v>45840</v>
      </c>
      <c r="B126" s="259" t="s">
        <v>210</v>
      </c>
      <c r="C126" s="259" t="s">
        <v>244</v>
      </c>
      <c r="D126" s="259" t="s">
        <v>421</v>
      </c>
      <c r="E126" s="260">
        <v>28939</v>
      </c>
      <c r="F126" s="259">
        <v>0.03</v>
      </c>
      <c r="G126" s="197">
        <f t="shared" si="6"/>
        <v>9646333333.333334</v>
      </c>
      <c r="R126" t="str">
        <f t="shared" si="13"/>
        <v>CPNG</v>
      </c>
      <c r="S126">
        <f t="shared" si="14"/>
        <v>28939</v>
      </c>
      <c r="T126" s="198">
        <f>IF(R126="","",IF(LEN(R126)&gt;9,SUMIFS(Options!$AZ$3:$AZ$28,Options!$B$3:$B$28,'Check result'!R126),SUMIFS('Master P&amp;L'!$AE$11:$AE$88,'Master P&amp;L'!$B$11:$B$88,'Check result'!R126)))</f>
        <v>0</v>
      </c>
      <c r="U126" s="198">
        <f t="shared" si="15"/>
        <v>0</v>
      </c>
      <c r="V126" s="197">
        <f t="shared" si="16"/>
        <v>28939</v>
      </c>
      <c r="W126">
        <f t="shared" si="17"/>
        <v>2.9999999999999995E-2</v>
      </c>
    </row>
    <row r="127" spans="1:23">
      <c r="A127" s="258">
        <v>45840</v>
      </c>
      <c r="B127" s="259" t="s">
        <v>210</v>
      </c>
      <c r="C127" s="259" t="s">
        <v>247</v>
      </c>
      <c r="D127" s="259" t="s">
        <v>373</v>
      </c>
      <c r="E127" s="260">
        <v>29919</v>
      </c>
      <c r="F127" s="259">
        <v>0.03</v>
      </c>
      <c r="G127" s="197">
        <f t="shared" si="6"/>
        <v>9973000000</v>
      </c>
      <c r="R127" t="str">
        <f t="shared" si="13"/>
        <v>GLD</v>
      </c>
      <c r="S127">
        <f t="shared" si="14"/>
        <v>29919</v>
      </c>
      <c r="T127" s="198">
        <f>IF(R127="","",IF(LEN(R127)&gt;9,SUMIFS(Options!$AZ$3:$AZ$28,Options!$B$3:$B$28,'Check result'!R127),SUMIFS('Master P&amp;L'!$AE$11:$AE$88,'Master P&amp;L'!$B$11:$B$88,'Check result'!R127)))</f>
        <v>0</v>
      </c>
      <c r="U127" s="198">
        <f t="shared" si="15"/>
        <v>0</v>
      </c>
      <c r="V127" s="197">
        <f t="shared" si="16"/>
        <v>29919</v>
      </c>
      <c r="W127">
        <f t="shared" si="17"/>
        <v>3.0000000000000002E-2</v>
      </c>
    </row>
    <row r="128" spans="1:23">
      <c r="A128" s="258">
        <v>45840</v>
      </c>
      <c r="B128" s="259" t="s">
        <v>210</v>
      </c>
      <c r="C128" s="259" t="s">
        <v>250</v>
      </c>
      <c r="D128" s="259" t="s">
        <v>441</v>
      </c>
      <c r="E128" s="260">
        <v>31799</v>
      </c>
      <c r="F128" s="259">
        <v>0.03</v>
      </c>
      <c r="G128" s="19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8">
        <f>IF(R128="","",IF(LEN(R128)&gt;9,SUMIFS(Options!$AZ$3:$AZ$28,Options!$B$3:$B$28,'Check result'!R128),SUMIFS('Master P&amp;L'!$AE$11:$AE$88,'Master P&amp;L'!$B$11:$B$88,'Check result'!R128)))</f>
        <v>0</v>
      </c>
      <c r="U128" s="198">
        <f t="shared" si="15"/>
        <v>0</v>
      </c>
      <c r="V128" s="197">
        <f t="shared" si="16"/>
        <v>31799</v>
      </c>
      <c r="W128">
        <f t="shared" si="17"/>
        <v>2.9999999999999995E-2</v>
      </c>
    </row>
    <row r="129" spans="1:23">
      <c r="A129" s="258">
        <v>45840</v>
      </c>
      <c r="B129" s="259" t="s">
        <v>210</v>
      </c>
      <c r="C129" s="259" t="s">
        <v>250</v>
      </c>
      <c r="D129" s="259" t="s">
        <v>495</v>
      </c>
      <c r="E129" s="260">
        <v>32144</v>
      </c>
      <c r="F129" s="259">
        <v>0.03</v>
      </c>
      <c r="G129" s="19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8">
        <f>IF(R129="","",IF(LEN(R129)&gt;9,SUMIFS(Options!$AZ$3:$AZ$28,Options!$B$3:$B$28,'Check result'!R129),SUMIFS('Master P&amp;L'!$AE$11:$AE$88,'Master P&amp;L'!$B$11:$B$88,'Check result'!R129)))</f>
        <v>0</v>
      </c>
      <c r="U129" s="198">
        <f t="shared" si="15"/>
        <v>0</v>
      </c>
      <c r="V129" s="197">
        <f t="shared" si="16"/>
        <v>32144</v>
      </c>
      <c r="W129">
        <f t="shared" si="17"/>
        <v>2.9999999999999995E-2</v>
      </c>
    </row>
    <row r="130" spans="1:23">
      <c r="A130" s="258">
        <v>45840</v>
      </c>
      <c r="B130" s="259" t="s">
        <v>210</v>
      </c>
      <c r="C130" s="259" t="s">
        <v>250</v>
      </c>
      <c r="D130" s="259" t="s">
        <v>457</v>
      </c>
      <c r="E130" s="260">
        <v>32258</v>
      </c>
      <c r="F130" s="259">
        <v>0.03</v>
      </c>
      <c r="G130" s="19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8">
        <f>IF(R130="","",IF(LEN(R130)&gt;9,SUMIFS(Options!$AZ$3:$AZ$28,Options!$B$3:$B$28,'Check result'!R130),SUMIFS('Master P&amp;L'!$AE$11:$AE$88,'Master P&amp;L'!$B$11:$B$88,'Check result'!R130)))</f>
        <v>0</v>
      </c>
      <c r="U130" s="198">
        <f t="shared" si="15"/>
        <v>0</v>
      </c>
      <c r="V130" s="197">
        <f t="shared" si="16"/>
        <v>32258</v>
      </c>
      <c r="W130">
        <f t="shared" si="17"/>
        <v>2.9999999999999995E-2</v>
      </c>
    </row>
    <row r="131" spans="1:23">
      <c r="A131" s="258">
        <v>45840</v>
      </c>
      <c r="B131" s="259" t="s">
        <v>210</v>
      </c>
      <c r="C131" s="259" t="s">
        <v>244</v>
      </c>
      <c r="D131" s="259" t="s">
        <v>33</v>
      </c>
      <c r="E131" s="260">
        <v>32799</v>
      </c>
      <c r="F131" s="259">
        <v>0.03</v>
      </c>
      <c r="G131" s="19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8">
        <f>IF(R131="","",IF(LEN(R131)&gt;9,SUMIFS(Options!$AZ$3:$AZ$28,Options!$B$3:$B$28,'Check result'!R131),SUMIFS('Master P&amp;L'!$AE$11:$AE$88,'Master P&amp;L'!$B$11:$B$88,'Check result'!R131)))</f>
        <v>0</v>
      </c>
      <c r="U131" s="198">
        <f t="shared" si="15"/>
        <v>0</v>
      </c>
      <c r="V131" s="197">
        <f t="shared" si="16"/>
        <v>32799</v>
      </c>
      <c r="W131">
        <f t="shared" si="17"/>
        <v>3.0000000000000002E-2</v>
      </c>
    </row>
    <row r="132" spans="1:23">
      <c r="A132" s="258">
        <v>45840</v>
      </c>
      <c r="B132" s="259" t="s">
        <v>210</v>
      </c>
      <c r="C132" s="259" t="s">
        <v>246</v>
      </c>
      <c r="D132" s="259" t="s">
        <v>378</v>
      </c>
      <c r="E132" s="260">
        <v>34180</v>
      </c>
      <c r="F132" s="259">
        <v>0.03</v>
      </c>
      <c r="G132" s="19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8">
        <f>IF(R132="","",IF(LEN(R132)&gt;9,SUMIFS(Options!$AZ$3:$AZ$28,Options!$B$3:$B$28,'Check result'!R132),SUMIFS('Master P&amp;L'!$AE$11:$AE$88,'Master P&amp;L'!$B$11:$B$88,'Check result'!R132)))</f>
        <v>0</v>
      </c>
      <c r="U132" s="198">
        <f t="shared" si="15"/>
        <v>0</v>
      </c>
      <c r="V132" s="197">
        <f t="shared" si="16"/>
        <v>34180</v>
      </c>
      <c r="W132">
        <f t="shared" si="17"/>
        <v>2.9999999999999995E-2</v>
      </c>
    </row>
    <row r="133" spans="1:23">
      <c r="A133" s="258">
        <v>45840</v>
      </c>
      <c r="B133" s="259" t="s">
        <v>210</v>
      </c>
      <c r="C133" s="259" t="s">
        <v>246</v>
      </c>
      <c r="D133" s="259" t="s">
        <v>474</v>
      </c>
      <c r="E133" s="260">
        <v>36549</v>
      </c>
      <c r="F133" s="259">
        <v>0.03</v>
      </c>
      <c r="G133" s="19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8">
        <f>IF(R133="","",IF(LEN(R133)&gt;9,SUMIFS(Options!$AZ$3:$AZ$28,Options!$B$3:$B$28,'Check result'!R133),SUMIFS('Master P&amp;L'!$AE$11:$AE$88,'Master P&amp;L'!$B$11:$B$88,'Check result'!R133)))</f>
        <v>0</v>
      </c>
      <c r="U133" s="198">
        <f t="shared" si="15"/>
        <v>0</v>
      </c>
      <c r="V133" s="197">
        <f t="shared" si="16"/>
        <v>36549</v>
      </c>
      <c r="W133">
        <f t="shared" si="17"/>
        <v>3.0000000000000002E-2</v>
      </c>
    </row>
    <row r="134" spans="1:23">
      <c r="A134" s="258">
        <v>45840</v>
      </c>
      <c r="B134" s="259" t="s">
        <v>210</v>
      </c>
      <c r="C134" s="259" t="s">
        <v>8</v>
      </c>
      <c r="D134" s="259" t="s">
        <v>366</v>
      </c>
      <c r="E134" s="260">
        <v>42081</v>
      </c>
      <c r="F134" s="259">
        <v>0.04</v>
      </c>
      <c r="G134" s="197">
        <f t="shared" si="18"/>
        <v>10520250000</v>
      </c>
      <c r="R134" t="str">
        <f t="shared" si="13"/>
        <v>TEVA</v>
      </c>
      <c r="S134">
        <f t="shared" si="14"/>
        <v>42081</v>
      </c>
      <c r="T134" s="198">
        <f>IF(R134="","",IF(LEN(R134)&gt;9,SUMIFS(Options!$AZ$3:$AZ$28,Options!$B$3:$B$28,'Check result'!R134),SUMIFS('Master P&amp;L'!$AE$11:$AE$88,'Master P&amp;L'!$B$11:$B$88,'Check result'!R134)))</f>
        <v>0</v>
      </c>
      <c r="U134" s="198">
        <f t="shared" si="15"/>
        <v>0</v>
      </c>
      <c r="V134" s="197">
        <f t="shared" si="16"/>
        <v>42081</v>
      </c>
      <c r="W134">
        <f t="shared" si="17"/>
        <v>0.04</v>
      </c>
    </row>
    <row r="135" spans="1:23">
      <c r="A135" s="258">
        <v>45840</v>
      </c>
      <c r="B135" s="259" t="s">
        <v>210</v>
      </c>
      <c r="C135" s="259" t="s">
        <v>250</v>
      </c>
      <c r="D135" s="259" t="s">
        <v>492</v>
      </c>
      <c r="E135" s="260">
        <v>42819</v>
      </c>
      <c r="F135" s="259">
        <v>0.04</v>
      </c>
      <c r="G135" s="19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8">
        <f>IF(R135="","",IF(LEN(R135)&gt;9,SUMIFS(Options!$AZ$3:$AZ$28,Options!$B$3:$B$28,'Check result'!R135),SUMIFS('Master P&amp;L'!$AE$11:$AE$88,'Master P&amp;L'!$B$11:$B$88,'Check result'!R135)))</f>
        <v>0</v>
      </c>
      <c r="U135" s="198">
        <f t="shared" si="15"/>
        <v>0</v>
      </c>
      <c r="V135" s="197">
        <f t="shared" si="16"/>
        <v>42819</v>
      </c>
      <c r="W135">
        <f t="shared" si="17"/>
        <v>0.04</v>
      </c>
    </row>
    <row r="136" spans="1:23">
      <c r="A136" s="258">
        <v>45840</v>
      </c>
      <c r="B136" s="259" t="s">
        <v>210</v>
      </c>
      <c r="C136" s="259" t="s">
        <v>244</v>
      </c>
      <c r="D136" s="259" t="s">
        <v>431</v>
      </c>
      <c r="E136" s="260">
        <v>45078</v>
      </c>
      <c r="F136" s="259">
        <v>0.04</v>
      </c>
      <c r="G136" s="197">
        <f t="shared" si="18"/>
        <v>11269500000</v>
      </c>
      <c r="R136" t="str">
        <f t="shared" si="13"/>
        <v>WDAY</v>
      </c>
      <c r="S136">
        <f t="shared" si="14"/>
        <v>45078</v>
      </c>
      <c r="T136" s="198">
        <f>IF(R136="","",IF(LEN(R136)&gt;9,SUMIFS(Options!$AZ$3:$AZ$28,Options!$B$3:$B$28,'Check result'!R136),SUMIFS('Master P&amp;L'!$AE$11:$AE$88,'Master P&amp;L'!$B$11:$B$88,'Check result'!R136)))</f>
        <v>0</v>
      </c>
      <c r="U136" s="198">
        <f t="shared" si="15"/>
        <v>0</v>
      </c>
      <c r="V136" s="197">
        <f t="shared" si="16"/>
        <v>45078</v>
      </c>
      <c r="W136">
        <f t="shared" si="17"/>
        <v>0.04</v>
      </c>
    </row>
    <row r="137" spans="1:23">
      <c r="A137" s="258">
        <v>45840</v>
      </c>
      <c r="B137" s="259" t="s">
        <v>210</v>
      </c>
      <c r="C137" s="259" t="s">
        <v>246</v>
      </c>
      <c r="D137" s="259" t="s">
        <v>447</v>
      </c>
      <c r="E137" s="260">
        <v>46113</v>
      </c>
      <c r="F137" s="259">
        <v>0.04</v>
      </c>
      <c r="G137" s="19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8">
        <f>IF(R137="","",IF(LEN(R137)&gt;9,SUMIFS(Options!$AZ$3:$AZ$28,Options!$B$3:$B$28,'Check result'!R137),SUMIFS('Master P&amp;L'!$AE$11:$AE$88,'Master P&amp;L'!$B$11:$B$88,'Check result'!R137)))</f>
        <v>0</v>
      </c>
      <c r="U137" s="198">
        <f t="shared" si="15"/>
        <v>0</v>
      </c>
      <c r="V137" s="197">
        <f t="shared" si="16"/>
        <v>46113</v>
      </c>
      <c r="W137">
        <f t="shared" si="17"/>
        <v>0.04</v>
      </c>
    </row>
    <row r="138" spans="1:23">
      <c r="A138" s="258">
        <v>45840</v>
      </c>
      <c r="B138" s="259" t="s">
        <v>210</v>
      </c>
      <c r="C138" s="259" t="s">
        <v>246</v>
      </c>
      <c r="D138" s="259" t="s">
        <v>477</v>
      </c>
      <c r="E138" s="260">
        <v>46520</v>
      </c>
      <c r="F138" s="259">
        <v>0.04</v>
      </c>
      <c r="G138" s="19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8">
        <f>IF(R138="","",IF(LEN(R138)&gt;9,SUMIFS(Options!$AZ$3:$AZ$28,Options!$B$3:$B$28,'Check result'!R138),SUMIFS('Master P&amp;L'!$AE$11:$AE$88,'Master P&amp;L'!$B$11:$B$88,'Check result'!R138)))</f>
        <v>0</v>
      </c>
      <c r="U138" s="198">
        <f t="shared" si="15"/>
        <v>0</v>
      </c>
      <c r="V138" s="197">
        <f t="shared" si="16"/>
        <v>46520</v>
      </c>
      <c r="W138">
        <f t="shared" si="17"/>
        <v>0.04</v>
      </c>
    </row>
    <row r="139" spans="1:23">
      <c r="A139" s="258">
        <v>45840</v>
      </c>
      <c r="B139" s="259" t="s">
        <v>210</v>
      </c>
      <c r="C139" s="259" t="s">
        <v>250</v>
      </c>
      <c r="D139" s="259" t="s">
        <v>487</v>
      </c>
      <c r="E139" s="260">
        <v>51858</v>
      </c>
      <c r="F139" s="259">
        <v>0.05</v>
      </c>
      <c r="G139" s="19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8">
        <f>IF(R139="","",IF(LEN(R139)&gt;9,SUMIFS(Options!$AZ$3:$AZ$28,Options!$B$3:$B$28,'Check result'!R139),SUMIFS('Master P&amp;L'!$AE$11:$AE$88,'Master P&amp;L'!$B$11:$B$88,'Check result'!R139)))</f>
        <v>0</v>
      </c>
      <c r="U139" s="198">
        <f t="shared" si="15"/>
        <v>0</v>
      </c>
      <c r="V139" s="197">
        <f t="shared" si="16"/>
        <v>51858</v>
      </c>
      <c r="W139">
        <f t="shared" si="17"/>
        <v>0.05</v>
      </c>
    </row>
    <row r="140" spans="1:23">
      <c r="A140" s="258">
        <v>45840</v>
      </c>
      <c r="B140" s="259" t="s">
        <v>210</v>
      </c>
      <c r="C140" s="259" t="s">
        <v>246</v>
      </c>
      <c r="D140" s="259" t="s">
        <v>463</v>
      </c>
      <c r="E140" s="260">
        <v>51982</v>
      </c>
      <c r="F140" s="259">
        <v>0.05</v>
      </c>
      <c r="G140" s="19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8">
        <f>IF(R140="","",IF(LEN(R140)&gt;9,SUMIFS(Options!$AZ$3:$AZ$28,Options!$B$3:$B$28,'Check result'!R140),SUMIFS('Master P&amp;L'!$AE$11:$AE$88,'Master P&amp;L'!$B$11:$B$88,'Check result'!R140)))</f>
        <v>0</v>
      </c>
      <c r="U140" s="198">
        <f t="shared" si="15"/>
        <v>0</v>
      </c>
      <c r="V140" s="197">
        <f t="shared" si="16"/>
        <v>51982</v>
      </c>
      <c r="W140">
        <f t="shared" si="17"/>
        <v>0.05</v>
      </c>
    </row>
    <row r="141" spans="1:23">
      <c r="A141" s="258">
        <v>45840</v>
      </c>
      <c r="B141" s="259" t="s">
        <v>210</v>
      </c>
      <c r="C141" s="259" t="s">
        <v>250</v>
      </c>
      <c r="D141" s="259" t="s">
        <v>415</v>
      </c>
      <c r="E141" s="260">
        <v>54165</v>
      </c>
      <c r="F141" s="259">
        <v>0.05</v>
      </c>
      <c r="G141" s="19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8">
        <f>IF(R141="","",IF(LEN(R141)&gt;9,SUMIFS(Options!$AZ$3:$AZ$28,Options!$B$3:$B$28,'Check result'!R141),SUMIFS('Master P&amp;L'!$AE$11:$AE$88,'Master P&amp;L'!$B$11:$B$88,'Check result'!R141)))</f>
        <v>0</v>
      </c>
      <c r="U141" s="198">
        <f t="shared" si="15"/>
        <v>0</v>
      </c>
      <c r="V141" s="197">
        <f t="shared" si="16"/>
        <v>54165</v>
      </c>
      <c r="W141">
        <f t="shared" si="17"/>
        <v>0.05</v>
      </c>
    </row>
    <row r="142" spans="1:23">
      <c r="A142" s="258">
        <v>45840</v>
      </c>
      <c r="B142" s="259" t="s">
        <v>210</v>
      </c>
      <c r="C142" s="259" t="s">
        <v>244</v>
      </c>
      <c r="D142" s="259" t="s">
        <v>343</v>
      </c>
      <c r="E142" s="260">
        <v>55012</v>
      </c>
      <c r="F142" s="259">
        <v>0.05</v>
      </c>
      <c r="G142" s="197">
        <f t="shared" si="18"/>
        <v>11002400000</v>
      </c>
      <c r="R142" t="str">
        <f t="shared" si="13"/>
        <v>MU</v>
      </c>
      <c r="S142">
        <f t="shared" si="14"/>
        <v>55012</v>
      </c>
      <c r="T142" s="198">
        <f>IF(R142="","",IF(LEN(R142)&gt;9,SUMIFS(Options!$AZ$3:$AZ$28,Options!$B$3:$B$28,'Check result'!R142),SUMIFS('Master P&amp;L'!$AE$11:$AE$88,'Master P&amp;L'!$B$11:$B$88,'Check result'!R142)))</f>
        <v>0</v>
      </c>
      <c r="U142" s="198">
        <f t="shared" si="15"/>
        <v>0</v>
      </c>
      <c r="V142" s="197">
        <f t="shared" si="16"/>
        <v>55012</v>
      </c>
      <c r="W142">
        <f t="shared" si="17"/>
        <v>0.05</v>
      </c>
    </row>
    <row r="143" spans="1:23">
      <c r="A143" s="258">
        <v>45840</v>
      </c>
      <c r="B143" s="259" t="s">
        <v>210</v>
      </c>
      <c r="C143" s="259" t="s">
        <v>250</v>
      </c>
      <c r="D143" s="259" t="s">
        <v>185</v>
      </c>
      <c r="E143" s="260">
        <v>56117</v>
      </c>
      <c r="F143" s="259">
        <v>0.05</v>
      </c>
      <c r="G143" s="19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8">
        <f>IF(R143="","",IF(LEN(R143)&gt;9,SUMIFS(Options!$AZ$3:$AZ$28,Options!$B$3:$B$28,'Check result'!R143),SUMIFS('Master P&amp;L'!$AE$11:$AE$88,'Master P&amp;L'!$B$11:$B$88,'Check result'!R143)))</f>
        <v>0</v>
      </c>
      <c r="U143" s="198">
        <f t="shared" si="15"/>
        <v>0</v>
      </c>
      <c r="V143" s="197">
        <f t="shared" si="16"/>
        <v>56117</v>
      </c>
      <c r="W143">
        <f t="shared" si="17"/>
        <v>0.05</v>
      </c>
    </row>
    <row r="144" spans="1:23">
      <c r="A144" s="258">
        <v>45840</v>
      </c>
      <c r="B144" s="259" t="s">
        <v>210</v>
      </c>
      <c r="C144" s="259" t="s">
        <v>244</v>
      </c>
      <c r="D144" s="259" t="s">
        <v>452</v>
      </c>
      <c r="E144" s="260">
        <v>60666</v>
      </c>
      <c r="F144" s="259">
        <v>0.05</v>
      </c>
      <c r="G144" s="197">
        <f t="shared" si="18"/>
        <v>12133200000</v>
      </c>
      <c r="R144" t="str">
        <f t="shared" si="13"/>
        <v>ADBE</v>
      </c>
      <c r="S144">
        <f t="shared" si="14"/>
        <v>60666</v>
      </c>
      <c r="T144" s="198">
        <f>IF(R144="","",IF(LEN(R144)&gt;9,SUMIFS(Options!$AZ$3:$AZ$28,Options!$B$3:$B$28,'Check result'!R144),SUMIFS('Master P&amp;L'!$AE$11:$AE$88,'Master P&amp;L'!$B$11:$B$88,'Check result'!R144)))</f>
        <v>0</v>
      </c>
      <c r="U144" s="198">
        <f t="shared" si="15"/>
        <v>0</v>
      </c>
      <c r="V144" s="197">
        <f t="shared" si="16"/>
        <v>60666</v>
      </c>
      <c r="W144">
        <f t="shared" si="17"/>
        <v>0.05</v>
      </c>
    </row>
    <row r="145" spans="1:23">
      <c r="A145" s="258">
        <v>45840</v>
      </c>
      <c r="B145" s="259" t="s">
        <v>210</v>
      </c>
      <c r="C145" s="259" t="s">
        <v>246</v>
      </c>
      <c r="D145" s="259" t="s">
        <v>399</v>
      </c>
      <c r="E145" s="260">
        <v>65269</v>
      </c>
      <c r="F145" s="259">
        <v>0.06</v>
      </c>
      <c r="G145" s="19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8">
        <f>IF(R145="","",IF(LEN(R145)&gt;9,SUMIFS(Options!$AZ$3:$AZ$28,Options!$B$3:$B$28,'Check result'!R145),SUMIFS('Master P&amp;L'!$AE$11:$AE$88,'Master P&amp;L'!$B$11:$B$88,'Check result'!R145)))</f>
        <v>0</v>
      </c>
      <c r="U145" s="198">
        <f t="shared" si="15"/>
        <v>0</v>
      </c>
      <c r="V145" s="197">
        <f t="shared" si="16"/>
        <v>65269</v>
      </c>
      <c r="W145">
        <f t="shared" si="17"/>
        <v>5.9999999999999991E-2</v>
      </c>
    </row>
    <row r="146" spans="1:23">
      <c r="A146" s="258">
        <v>45840</v>
      </c>
      <c r="B146" s="259" t="s">
        <v>210</v>
      </c>
      <c r="C146" s="259" t="s">
        <v>244</v>
      </c>
      <c r="D146" s="259" t="s">
        <v>81</v>
      </c>
      <c r="E146" s="260">
        <v>77763</v>
      </c>
      <c r="F146" s="259">
        <v>7.0000000000000007E-2</v>
      </c>
      <c r="G146" s="197">
        <f t="shared" si="18"/>
        <v>11109000000</v>
      </c>
      <c r="R146" t="str">
        <f t="shared" si="13"/>
        <v>CRM</v>
      </c>
      <c r="S146">
        <f t="shared" si="14"/>
        <v>77763</v>
      </c>
      <c r="T146" s="198">
        <f>IF(R146="","",IF(LEN(R146)&gt;9,SUMIFS(Options!$AZ$3:$AZ$28,Options!$B$3:$B$28,'Check result'!R146),SUMIFS('Master P&amp;L'!$AE$11:$AE$88,'Master P&amp;L'!$B$11:$B$88,'Check result'!R146)))</f>
        <v>0</v>
      </c>
      <c r="U146" s="198">
        <f t="shared" si="15"/>
        <v>0</v>
      </c>
      <c r="V146" s="197">
        <f t="shared" si="16"/>
        <v>77763</v>
      </c>
      <c r="W146">
        <f t="shared" si="17"/>
        <v>6.9999999999999993E-2</v>
      </c>
    </row>
    <row r="147" spans="1:23">
      <c r="A147" s="258">
        <v>45840</v>
      </c>
      <c r="B147" s="259" t="s">
        <v>210</v>
      </c>
      <c r="C147" s="259" t="s">
        <v>250</v>
      </c>
      <c r="D147" s="259" t="s">
        <v>506</v>
      </c>
      <c r="E147" s="260">
        <v>79295</v>
      </c>
      <c r="F147" s="259">
        <v>7.0000000000000007E-2</v>
      </c>
      <c r="G147" s="19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8">
        <f>IF(R147="","",IF(LEN(R147)&gt;9,SUMIFS(Options!$AZ$3:$AZ$28,Options!$B$3:$B$28,'Check result'!R147),SUMIFS('Master P&amp;L'!$AE$11:$AE$88,'Master P&amp;L'!$B$11:$B$88,'Check result'!R147)))</f>
        <v>0</v>
      </c>
      <c r="U147" s="198">
        <f t="shared" si="15"/>
        <v>0</v>
      </c>
      <c r="V147" s="197">
        <f t="shared" si="16"/>
        <v>79295</v>
      </c>
      <c r="W147">
        <f t="shared" si="17"/>
        <v>7.0000000000000007E-2</v>
      </c>
    </row>
    <row r="148" spans="1:23">
      <c r="A148" s="258">
        <v>45840</v>
      </c>
      <c r="B148" s="259" t="s">
        <v>210</v>
      </c>
      <c r="C148" s="259" t="s">
        <v>246</v>
      </c>
      <c r="D148" s="259" t="s">
        <v>397</v>
      </c>
      <c r="E148" s="260">
        <v>88851</v>
      </c>
      <c r="F148" s="259">
        <v>0.08</v>
      </c>
      <c r="G148" s="19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8">
        <f>IF(R148="","",IF(LEN(R148)&gt;9,SUMIFS(Options!$AZ$3:$AZ$28,Options!$B$3:$B$28,'Check result'!R148),SUMIFS('Master P&amp;L'!$AE$11:$AE$88,'Master P&amp;L'!$B$11:$B$88,'Check result'!R148)))</f>
        <v>0</v>
      </c>
      <c r="U148" s="198">
        <f t="shared" si="15"/>
        <v>0</v>
      </c>
      <c r="V148" s="197">
        <f t="shared" si="16"/>
        <v>88851</v>
      </c>
      <c r="W148">
        <f t="shared" si="17"/>
        <v>0.08</v>
      </c>
    </row>
    <row r="149" spans="1:23">
      <c r="A149" s="258">
        <v>45840</v>
      </c>
      <c r="B149" s="259" t="s">
        <v>210</v>
      </c>
      <c r="C149" s="259" t="s">
        <v>244</v>
      </c>
      <c r="D149" s="259" t="s">
        <v>79</v>
      </c>
      <c r="E149" s="260">
        <v>88980</v>
      </c>
      <c r="F149" s="259">
        <v>0.08</v>
      </c>
      <c r="G149" s="197">
        <f t="shared" si="18"/>
        <v>11122500000</v>
      </c>
      <c r="R149" t="str">
        <f t="shared" si="13"/>
        <v>NEM</v>
      </c>
      <c r="S149">
        <f t="shared" si="14"/>
        <v>88980</v>
      </c>
      <c r="T149" s="198">
        <f>IF(R149="","",IF(LEN(R149)&gt;9,SUMIFS(Options!$AZ$3:$AZ$28,Options!$B$3:$B$28,'Check result'!R149),SUMIFS('Master P&amp;L'!$AE$11:$AE$88,'Master P&amp;L'!$B$11:$B$88,'Check result'!R149)))</f>
        <v>0</v>
      </c>
      <c r="U149" s="198">
        <f t="shared" si="15"/>
        <v>0</v>
      </c>
      <c r="V149" s="197">
        <f t="shared" si="16"/>
        <v>88980</v>
      </c>
      <c r="W149">
        <f t="shared" si="17"/>
        <v>0.08</v>
      </c>
    </row>
    <row r="150" spans="1:23">
      <c r="A150" s="258">
        <v>45840</v>
      </c>
      <c r="B150" s="259" t="s">
        <v>210</v>
      </c>
      <c r="C150" s="259" t="s">
        <v>244</v>
      </c>
      <c r="D150" s="259" t="s">
        <v>80</v>
      </c>
      <c r="E150" s="260">
        <v>102710</v>
      </c>
      <c r="F150" s="259">
        <v>0.09</v>
      </c>
      <c r="G150" s="197">
        <f t="shared" si="18"/>
        <v>11412222222.222223</v>
      </c>
      <c r="R150" t="str">
        <f t="shared" si="13"/>
        <v>EXPE</v>
      </c>
      <c r="S150">
        <f t="shared" si="14"/>
        <v>102710</v>
      </c>
      <c r="T150" s="198">
        <f>IF(R150="","",IF(LEN(R150)&gt;9,SUMIFS(Options!$AZ$3:$AZ$28,Options!$B$3:$B$28,'Check result'!R150),SUMIFS('Master P&amp;L'!$AE$11:$AE$88,'Master P&amp;L'!$B$11:$B$88,'Check result'!R150)))</f>
        <v>0</v>
      </c>
      <c r="U150" s="198">
        <f t="shared" si="15"/>
        <v>0</v>
      </c>
      <c r="V150" s="197">
        <f t="shared" si="16"/>
        <v>102710</v>
      </c>
      <c r="W150">
        <f t="shared" si="17"/>
        <v>8.9999999999999983E-2</v>
      </c>
    </row>
    <row r="151" spans="1:23">
      <c r="A151" s="258">
        <v>45840</v>
      </c>
      <c r="B151" s="259" t="s">
        <v>210</v>
      </c>
      <c r="C151" s="259" t="s">
        <v>253</v>
      </c>
      <c r="D151" s="259" t="s">
        <v>367</v>
      </c>
      <c r="E151" s="260">
        <v>118528</v>
      </c>
      <c r="F151" s="259">
        <v>0.1</v>
      </c>
      <c r="G151" s="19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8">
        <f>IF(R151="","",IF(LEN(R151)&gt;9,SUMIFS(Options!$AZ$3:$AZ$28,Options!$B$3:$B$28,'Check result'!R151),SUMIFS('Master P&amp;L'!$AE$11:$AE$88,'Master P&amp;L'!$B$11:$B$88,'Check result'!R151)))</f>
        <v>0</v>
      </c>
      <c r="U151" s="198">
        <f t="shared" si="15"/>
        <v>0</v>
      </c>
      <c r="V151" s="197">
        <f t="shared" si="16"/>
        <v>118528</v>
      </c>
      <c r="W151">
        <f t="shared" si="17"/>
        <v>0.1</v>
      </c>
    </row>
    <row r="152" spans="1:23">
      <c r="A152" s="258">
        <v>45840</v>
      </c>
      <c r="B152" s="259" t="s">
        <v>210</v>
      </c>
      <c r="C152" s="259" t="s">
        <v>250</v>
      </c>
      <c r="D152" s="259" t="s">
        <v>392</v>
      </c>
      <c r="E152" s="260">
        <v>120502</v>
      </c>
      <c r="F152" s="259">
        <v>0.11</v>
      </c>
      <c r="G152" s="19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8">
        <f>IF(R152="","",IF(LEN(R152)&gt;9,SUMIFS(Options!$AZ$3:$AZ$28,Options!$B$3:$B$28,'Check result'!R152),SUMIFS('Master P&amp;L'!$AE$11:$AE$88,'Master P&amp;L'!$B$11:$B$88,'Check result'!R152)))</f>
        <v>0</v>
      </c>
      <c r="U152" s="198">
        <f t="shared" si="15"/>
        <v>0</v>
      </c>
      <c r="V152" s="197">
        <f t="shared" si="16"/>
        <v>120502</v>
      </c>
      <c r="W152">
        <f t="shared" si="17"/>
        <v>0.11000000000000001</v>
      </c>
    </row>
    <row r="153" spans="1:23">
      <c r="A153" s="258">
        <v>45840</v>
      </c>
      <c r="B153" s="259" t="s">
        <v>210</v>
      </c>
      <c r="C153" s="259" t="s">
        <v>246</v>
      </c>
      <c r="D153" s="259" t="s">
        <v>401</v>
      </c>
      <c r="E153" s="260">
        <v>123904</v>
      </c>
      <c r="F153" s="259">
        <v>0.11</v>
      </c>
      <c r="G153" s="19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8">
        <f>IF(R153="","",IF(LEN(R153)&gt;9,SUMIFS(Options!$AZ$3:$AZ$28,Options!$B$3:$B$28,'Check result'!R153),SUMIFS('Master P&amp;L'!$AE$11:$AE$88,'Master P&amp;L'!$B$11:$B$88,'Check result'!R153)))</f>
        <v>0</v>
      </c>
      <c r="U153" s="198">
        <f t="shared" si="15"/>
        <v>0</v>
      </c>
      <c r="V153" s="197">
        <f t="shared" si="16"/>
        <v>123904</v>
      </c>
      <c r="W153">
        <f t="shared" si="17"/>
        <v>0.11</v>
      </c>
    </row>
    <row r="154" spans="1:23">
      <c r="A154" s="258">
        <v>45840</v>
      </c>
      <c r="B154" s="259" t="s">
        <v>210</v>
      </c>
      <c r="C154" s="259" t="s">
        <v>244</v>
      </c>
      <c r="D154" s="259" t="s">
        <v>41</v>
      </c>
      <c r="E154" s="260">
        <v>177084</v>
      </c>
      <c r="F154" s="259">
        <v>0.16</v>
      </c>
      <c r="G154" s="197">
        <f t="shared" si="18"/>
        <v>11067750000</v>
      </c>
      <c r="R154" t="str">
        <f t="shared" si="13"/>
        <v>MP</v>
      </c>
      <c r="S154">
        <f t="shared" si="14"/>
        <v>177084</v>
      </c>
      <c r="T154" s="198">
        <f>IF(R154="","",IF(LEN(R154)&gt;9,SUMIFS(Options!$AZ$3:$AZ$28,Options!$B$3:$B$28,'Check result'!R154),SUMIFS('Master P&amp;L'!$AE$11:$AE$88,'Master P&amp;L'!$B$11:$B$88,'Check result'!R154)))</f>
        <v>0</v>
      </c>
      <c r="U154" s="198">
        <f t="shared" si="15"/>
        <v>0</v>
      </c>
      <c r="V154" s="197">
        <f t="shared" si="16"/>
        <v>177084</v>
      </c>
      <c r="W154">
        <f t="shared" si="17"/>
        <v>0.16</v>
      </c>
    </row>
    <row r="155" spans="1:23">
      <c r="A155" s="258">
        <v>45840</v>
      </c>
      <c r="B155" s="259" t="s">
        <v>210</v>
      </c>
      <c r="C155" s="259" t="s">
        <v>244</v>
      </c>
      <c r="D155" s="259" t="s">
        <v>361</v>
      </c>
      <c r="E155" s="260">
        <v>199551</v>
      </c>
      <c r="F155" s="259">
        <v>0.18</v>
      </c>
      <c r="G155" s="197">
        <f t="shared" si="18"/>
        <v>11086166666.666668</v>
      </c>
      <c r="R155" t="str">
        <f t="shared" si="13"/>
        <v>COF</v>
      </c>
      <c r="S155">
        <f t="shared" si="14"/>
        <v>199551</v>
      </c>
      <c r="T155" s="198">
        <f>IF(R155="","",IF(LEN(R155)&gt;9,SUMIFS(Options!$AZ$3:$AZ$28,Options!$B$3:$B$28,'Check result'!R155),SUMIFS('Master P&amp;L'!$AE$11:$AE$88,'Master P&amp;L'!$B$11:$B$88,'Check result'!R155)))</f>
        <v>0</v>
      </c>
      <c r="U155" s="198">
        <f t="shared" si="15"/>
        <v>0</v>
      </c>
      <c r="V155" s="197">
        <f t="shared" si="16"/>
        <v>199551</v>
      </c>
      <c r="W155">
        <f t="shared" si="17"/>
        <v>0.17999999999999997</v>
      </c>
    </row>
    <row r="156" spans="1:23">
      <c r="A156" s="258">
        <v>45840</v>
      </c>
      <c r="B156" s="259" t="s">
        <v>210</v>
      </c>
      <c r="C156" s="259" t="s">
        <v>246</v>
      </c>
      <c r="D156" s="259" t="s">
        <v>509</v>
      </c>
      <c r="E156" s="260">
        <v>214992</v>
      </c>
      <c r="F156" s="259">
        <v>0.19</v>
      </c>
      <c r="G156" s="19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8">
        <f>IF(R156="","",IF(LEN(R156)&gt;9,SUMIFS(Options!$AZ$3:$AZ$28,Options!$B$3:$B$28,'Check result'!R156),SUMIFS('Master P&amp;L'!$AE$11:$AE$88,'Master P&amp;L'!$B$11:$B$88,'Check result'!R156)))</f>
        <v>0</v>
      </c>
      <c r="U156" s="198">
        <f t="shared" si="15"/>
        <v>0</v>
      </c>
      <c r="V156" s="197">
        <f t="shared" si="16"/>
        <v>214992</v>
      </c>
      <c r="W156">
        <f t="shared" si="17"/>
        <v>0.19</v>
      </c>
    </row>
    <row r="157" spans="1:23">
      <c r="A157" s="258">
        <v>45840</v>
      </c>
      <c r="B157" s="259" t="s">
        <v>210</v>
      </c>
      <c r="C157" s="259" t="s">
        <v>246</v>
      </c>
      <c r="D157" s="259" t="s">
        <v>502</v>
      </c>
      <c r="E157" s="260">
        <v>265673</v>
      </c>
      <c r="F157" s="259">
        <v>0.23</v>
      </c>
      <c r="G157" s="19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8">
        <f>IF(R157="","",IF(LEN(R157)&gt;9,SUMIFS(Options!$AZ$3:$AZ$28,Options!$B$3:$B$28,'Check result'!R157),SUMIFS('Master P&amp;L'!$AE$11:$AE$88,'Master P&amp;L'!$B$11:$B$88,'Check result'!R157)))</f>
        <v>0</v>
      </c>
      <c r="U157" s="198">
        <f t="shared" si="15"/>
        <v>0</v>
      </c>
      <c r="V157" s="197">
        <f t="shared" si="16"/>
        <v>265673</v>
      </c>
      <c r="W157">
        <f t="shared" si="17"/>
        <v>0.23</v>
      </c>
    </row>
    <row r="158" spans="1:23">
      <c r="A158" s="258">
        <v>45840</v>
      </c>
      <c r="B158" s="259" t="s">
        <v>210</v>
      </c>
      <c r="C158" s="259" t="s">
        <v>253</v>
      </c>
      <c r="D158" s="259" t="s">
        <v>382</v>
      </c>
      <c r="E158" s="260">
        <v>272398</v>
      </c>
      <c r="F158" s="259">
        <v>0.24</v>
      </c>
      <c r="G158" s="19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8">
        <f>IF(R158="","",IF(LEN(R158)&gt;9,SUMIFS(Options!$AZ$3:$AZ$28,Options!$B$3:$B$28,'Check result'!R158),SUMIFS('Master P&amp;L'!$AE$11:$AE$88,'Master P&amp;L'!$B$11:$B$88,'Check result'!R158)))</f>
        <v>0</v>
      </c>
      <c r="U158" s="198">
        <f t="shared" si="15"/>
        <v>0</v>
      </c>
      <c r="V158" s="197">
        <f t="shared" si="16"/>
        <v>272398</v>
      </c>
      <c r="W158">
        <f t="shared" si="17"/>
        <v>0.23999999999999996</v>
      </c>
    </row>
    <row r="159" spans="1:23">
      <c r="A159" s="258">
        <v>45840</v>
      </c>
      <c r="B159" s="259" t="s">
        <v>210</v>
      </c>
      <c r="C159" s="259" t="s">
        <v>8</v>
      </c>
      <c r="D159" s="259" t="s">
        <v>358</v>
      </c>
      <c r="E159" s="260">
        <v>346269</v>
      </c>
      <c r="F159" s="259">
        <v>0.31</v>
      </c>
      <c r="G159" s="197">
        <f t="shared" si="18"/>
        <v>11169967741.935484</v>
      </c>
      <c r="R159" t="str">
        <f t="shared" si="13"/>
        <v>BP</v>
      </c>
      <c r="S159">
        <f t="shared" si="19"/>
        <v>346269</v>
      </c>
      <c r="T159" s="198">
        <f>IF(R159="","",IF(LEN(R159)&gt;9,SUMIFS(Options!$AZ$3:$AZ$28,Options!$B$3:$B$28,'Check result'!R159),SUMIFS('Master P&amp;L'!$AE$11:$AE$88,'Master P&amp;L'!$B$11:$B$88,'Check result'!R159)))</f>
        <v>0</v>
      </c>
      <c r="U159" s="198">
        <f t="shared" si="15"/>
        <v>0</v>
      </c>
      <c r="V159" s="197">
        <f t="shared" si="16"/>
        <v>346269</v>
      </c>
      <c r="W159">
        <f t="shared" si="17"/>
        <v>0.31</v>
      </c>
    </row>
    <row r="160" spans="1:23">
      <c r="A160" s="258">
        <v>45840</v>
      </c>
      <c r="B160" s="259" t="s">
        <v>210</v>
      </c>
      <c r="C160" s="259" t="s">
        <v>250</v>
      </c>
      <c r="D160" s="259" t="s">
        <v>386</v>
      </c>
      <c r="E160" s="260">
        <v>386622</v>
      </c>
      <c r="F160" s="259">
        <v>0.34</v>
      </c>
      <c r="G160" s="19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8">
        <f>IF(R160="","",IF(LEN(R160)&gt;9,SUMIFS(Options!$AZ$3:$AZ$28,Options!$B$3:$B$28,'Check result'!R160),SUMIFS('Master P&amp;L'!$AE$11:$AE$88,'Master P&amp;L'!$B$11:$B$88,'Check result'!R160)))</f>
        <v>0</v>
      </c>
      <c r="U160" s="198">
        <f t="shared" si="15"/>
        <v>0</v>
      </c>
      <c r="V160" s="197">
        <f t="shared" si="16"/>
        <v>386622</v>
      </c>
      <c r="W160">
        <f t="shared" si="17"/>
        <v>0.34000000000000008</v>
      </c>
    </row>
    <row r="161" spans="1:23">
      <c r="A161" s="258">
        <v>45840</v>
      </c>
      <c r="B161" s="259" t="s">
        <v>210</v>
      </c>
      <c r="C161" s="259" t="s">
        <v>247</v>
      </c>
      <c r="D161" s="259" t="s">
        <v>6</v>
      </c>
      <c r="E161" s="260">
        <v>876541</v>
      </c>
      <c r="F161" s="259">
        <v>0.78</v>
      </c>
      <c r="G161" s="197">
        <f t="shared" si="18"/>
        <v>11237705128.205128</v>
      </c>
      <c r="R161" t="str">
        <f t="shared" si="13"/>
        <v>KBWB</v>
      </c>
      <c r="S161">
        <f t="shared" si="19"/>
        <v>876541</v>
      </c>
      <c r="T161" s="198">
        <f>IF(R161="","",IF(LEN(R161)&gt;9,SUMIFS(Options!$AZ$3:$AZ$28,Options!$B$3:$B$28,'Check result'!R161),SUMIFS('Master P&amp;L'!$AE$11:$AE$88,'Master P&amp;L'!$B$11:$B$88,'Check result'!R161)))</f>
        <v>0</v>
      </c>
      <c r="U161" s="198">
        <f t="shared" si="15"/>
        <v>0</v>
      </c>
      <c r="V161" s="197">
        <f t="shared" si="16"/>
        <v>876541</v>
      </c>
      <c r="W161">
        <f t="shared" si="17"/>
        <v>0.78</v>
      </c>
    </row>
    <row r="162" spans="1:23">
      <c r="A162" s="258">
        <v>45840</v>
      </c>
      <c r="B162" s="259" t="s">
        <v>210</v>
      </c>
      <c r="C162" s="259" t="s">
        <v>246</v>
      </c>
      <c r="D162" s="259" t="s">
        <v>480</v>
      </c>
      <c r="E162" s="260">
        <v>1063451</v>
      </c>
      <c r="F162" s="259">
        <v>0.94</v>
      </c>
      <c r="G162" s="19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8">
        <f>IF(R162="","",IF(LEN(R162)&gt;9,SUMIFS(Options!$AZ$3:$AZ$28,Options!$B$3:$B$28,'Check result'!R162),SUMIFS('Master P&amp;L'!$AE$11:$AE$88,'Master P&amp;L'!$B$11:$B$88,'Check result'!R162)))</f>
        <v>0</v>
      </c>
      <c r="U162" s="198">
        <f t="shared" si="15"/>
        <v>0</v>
      </c>
      <c r="V162" s="197">
        <f t="shared" si="16"/>
        <v>1063451</v>
      </c>
      <c r="W162">
        <f t="shared" si="17"/>
        <v>0.94</v>
      </c>
    </row>
    <row r="163" spans="1:23">
      <c r="A163" s="258">
        <v>45840</v>
      </c>
      <c r="B163" s="259" t="s">
        <v>210</v>
      </c>
      <c r="C163" s="259" t="s">
        <v>253</v>
      </c>
      <c r="D163" s="259" t="s">
        <v>504</v>
      </c>
      <c r="E163" s="260">
        <v>1307030</v>
      </c>
      <c r="F163" s="259">
        <v>1.1599999999999999</v>
      </c>
      <c r="G163" s="19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8">
        <f>IF(R163="","",IF(LEN(R163)&gt;9,SUMIFS(Options!$AZ$3:$AZ$28,Options!$B$3:$B$28,'Check result'!R163),SUMIFS('Master P&amp;L'!$AE$11:$AE$88,'Master P&amp;L'!$B$11:$B$88,'Check result'!R163)))</f>
        <v>0</v>
      </c>
      <c r="U163" s="198">
        <f t="shared" si="15"/>
        <v>0</v>
      </c>
      <c r="V163" s="197">
        <f t="shared" si="16"/>
        <v>1307030</v>
      </c>
      <c r="W163">
        <f t="shared" si="17"/>
        <v>1.1599999999999999</v>
      </c>
    </row>
    <row r="164" spans="1:23">
      <c r="A164" s="258">
        <v>45840</v>
      </c>
      <c r="B164" s="259" t="s">
        <v>210</v>
      </c>
      <c r="C164" s="259" t="s">
        <v>244</v>
      </c>
      <c r="D164" s="259" t="s">
        <v>42</v>
      </c>
      <c r="E164" s="260">
        <v>1945989</v>
      </c>
      <c r="F164" s="259">
        <v>1.72</v>
      </c>
      <c r="G164" s="197">
        <f t="shared" si="18"/>
        <v>11313889534.88372</v>
      </c>
      <c r="R164" t="str">
        <f t="shared" si="13"/>
        <v>NVDA</v>
      </c>
      <c r="S164">
        <f t="shared" si="19"/>
        <v>1945989</v>
      </c>
      <c r="T164" s="198">
        <f>IF(R164="","",IF(LEN(R164)&gt;9,SUMIFS(Options!$AZ$3:$AZ$28,Options!$B$3:$B$28,'Check result'!R164),SUMIFS('Master P&amp;L'!$AE$11:$AE$88,'Master P&amp;L'!$B$11:$B$88,'Check result'!R164)))</f>
        <v>0</v>
      </c>
      <c r="U164" s="198">
        <f t="shared" si="15"/>
        <v>0</v>
      </c>
      <c r="V164" s="197">
        <f t="shared" si="16"/>
        <v>1945989</v>
      </c>
      <c r="W164">
        <f t="shared" si="17"/>
        <v>1.72</v>
      </c>
    </row>
    <row r="165" spans="1:23">
      <c r="A165" s="258">
        <v>45840</v>
      </c>
      <c r="B165" s="259" t="s">
        <v>210</v>
      </c>
      <c r="C165" s="259" t="s">
        <v>253</v>
      </c>
      <c r="D165" s="259" t="s">
        <v>411</v>
      </c>
      <c r="E165" s="260">
        <v>2566077</v>
      </c>
      <c r="F165" s="259">
        <v>2.27</v>
      </c>
      <c r="G165" s="19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8">
        <f>IF(R165="","",IF(LEN(R165)&gt;9,SUMIFS(Options!$AZ$3:$AZ$28,Options!$B$3:$B$28,'Check result'!R165),SUMIFS('Master P&amp;L'!$AE$11:$AE$88,'Master P&amp;L'!$B$11:$B$88,'Check result'!R165)))</f>
        <v>0</v>
      </c>
      <c r="U165" s="198">
        <f t="shared" si="15"/>
        <v>0</v>
      </c>
      <c r="V165" s="19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66"/>
  <sheetViews>
    <sheetView workbookViewId="0">
      <selection sqref="A1:Q166"/>
    </sheetView>
  </sheetViews>
  <sheetFormatPr defaultRowHeight="15"/>
  <sheetData>
    <row r="1" spans="1:24">
      <c r="A1" s="456" t="s">
        <v>265</v>
      </c>
      <c r="B1" s="457" t="s">
        <v>585</v>
      </c>
      <c r="C1" s="458" t="s">
        <v>586</v>
      </c>
      <c r="D1" s="459" t="s">
        <v>587</v>
      </c>
      <c r="E1" s="460" t="s">
        <v>588</v>
      </c>
      <c r="F1" s="460" t="s">
        <v>589</v>
      </c>
      <c r="G1" s="460" t="s">
        <v>147</v>
      </c>
      <c r="H1" s="460" t="s">
        <v>162</v>
      </c>
      <c r="I1" s="460" t="s">
        <v>590</v>
      </c>
      <c r="J1" s="460" t="s">
        <v>591</v>
      </c>
      <c r="K1" s="461" t="s">
        <v>592</v>
      </c>
      <c r="L1" s="462" t="s">
        <v>593</v>
      </c>
      <c r="M1" s="463" t="s">
        <v>594</v>
      </c>
      <c r="N1" s="459" t="s">
        <v>595</v>
      </c>
      <c r="O1" s="454" t="s">
        <v>596</v>
      </c>
      <c r="P1" s="464" t="s">
        <v>1</v>
      </c>
      <c r="Q1" s="481" t="s">
        <v>597</v>
      </c>
    </row>
    <row r="2" spans="1:24">
      <c r="A2" s="453">
        <v>46057</v>
      </c>
      <c r="B2" s="465" t="s">
        <v>568</v>
      </c>
      <c r="C2" s="466" t="s">
        <v>601</v>
      </c>
      <c r="D2" s="360" t="s">
        <v>602</v>
      </c>
      <c r="E2" s="361">
        <v>46101</v>
      </c>
      <c r="F2" s="360" t="s">
        <v>603</v>
      </c>
      <c r="G2" s="360" t="s">
        <v>604</v>
      </c>
      <c r="H2" s="360" t="s">
        <v>817</v>
      </c>
      <c r="I2" s="360" t="s">
        <v>599</v>
      </c>
      <c r="J2" s="467">
        <v>111.22</v>
      </c>
      <c r="K2" s="360">
        <v>7.2199999999999989</v>
      </c>
      <c r="L2" s="368">
        <v>8.56</v>
      </c>
      <c r="M2" s="468">
        <v>8.56</v>
      </c>
      <c r="N2" s="467">
        <v>8.56</v>
      </c>
      <c r="O2" s="469">
        <v>8.56</v>
      </c>
      <c r="P2" s="470">
        <v>26.421607869999999</v>
      </c>
      <c r="Q2" s="482" t="s">
        <v>600</v>
      </c>
      <c r="R2" s="342">
        <f>L2-L3</f>
        <v>7.1800000000000006</v>
      </c>
      <c r="T2" s="368">
        <v>8.64</v>
      </c>
      <c r="U2" s="342">
        <f>T2-T3</f>
        <v>7.08</v>
      </c>
      <c r="W2" s="368">
        <v>11.6</v>
      </c>
      <c r="X2" s="342">
        <f>W2-W3</f>
        <v>8.8999999999999986</v>
      </c>
    </row>
    <row r="3" spans="1:24">
      <c r="A3" s="453">
        <v>46057</v>
      </c>
      <c r="B3" s="465" t="s">
        <v>569</v>
      </c>
      <c r="C3" s="466" t="s">
        <v>606</v>
      </c>
      <c r="D3" s="360" t="s">
        <v>602</v>
      </c>
      <c r="E3" s="361">
        <v>46101</v>
      </c>
      <c r="F3" s="360" t="s">
        <v>603</v>
      </c>
      <c r="G3" s="360" t="s">
        <v>604</v>
      </c>
      <c r="H3" s="360" t="s">
        <v>818</v>
      </c>
      <c r="I3" s="360" t="s">
        <v>599</v>
      </c>
      <c r="J3" s="467">
        <v>111.22</v>
      </c>
      <c r="K3" s="360">
        <v>0</v>
      </c>
      <c r="L3" s="368">
        <v>1.38</v>
      </c>
      <c r="M3" s="468">
        <v>1.38</v>
      </c>
      <c r="N3" s="467">
        <v>1.38</v>
      </c>
      <c r="O3" s="469">
        <v>1.38</v>
      </c>
      <c r="P3" s="470">
        <v>26.076966769999999</v>
      </c>
      <c r="Q3" s="482" t="s">
        <v>605</v>
      </c>
      <c r="T3" s="368">
        <v>1.56</v>
      </c>
      <c r="W3" s="368">
        <v>2.7</v>
      </c>
    </row>
    <row r="4" spans="1:24">
      <c r="A4" s="453">
        <v>46057</v>
      </c>
      <c r="B4" s="465" t="s">
        <v>611</v>
      </c>
      <c r="C4" s="466" t="s">
        <v>612</v>
      </c>
      <c r="D4" s="360" t="s">
        <v>613</v>
      </c>
      <c r="E4" s="361">
        <v>46280</v>
      </c>
      <c r="F4" s="360" t="s">
        <v>603</v>
      </c>
      <c r="G4" s="360" t="s">
        <v>604</v>
      </c>
      <c r="H4" s="360" t="s">
        <v>819</v>
      </c>
      <c r="I4" s="360" t="s">
        <v>599</v>
      </c>
      <c r="J4" s="471">
        <v>8216.7199999999993</v>
      </c>
      <c r="K4" s="360">
        <v>729.47099999999955</v>
      </c>
      <c r="L4" s="472">
        <v>943.67373630340433</v>
      </c>
      <c r="M4" s="473">
        <v>943.67373630340433</v>
      </c>
      <c r="N4" s="360">
        <v>943.67373630340433</v>
      </c>
      <c r="O4" s="474">
        <v>764.47006787767236</v>
      </c>
      <c r="P4" s="475">
        <v>21.016081041439005</v>
      </c>
      <c r="Q4" s="482" t="s">
        <v>600</v>
      </c>
    </row>
    <row r="5" spans="1:24">
      <c r="A5" s="453">
        <v>46057</v>
      </c>
      <c r="B5" s="465" t="s">
        <v>614</v>
      </c>
      <c r="C5" s="466" t="s">
        <v>615</v>
      </c>
      <c r="D5" s="360" t="s">
        <v>613</v>
      </c>
      <c r="E5" s="361">
        <v>46280</v>
      </c>
      <c r="F5" s="360" t="s">
        <v>603</v>
      </c>
      <c r="G5" s="360" t="s">
        <v>604</v>
      </c>
      <c r="H5" s="360" t="s">
        <v>820</v>
      </c>
      <c r="I5" s="360" t="s">
        <v>599</v>
      </c>
      <c r="J5" s="471">
        <v>8216.7199999999993</v>
      </c>
      <c r="K5" s="360">
        <v>16.399699999999939</v>
      </c>
      <c r="L5" s="472">
        <v>536.0003415255627</v>
      </c>
      <c r="M5" s="473">
        <v>536.0003415255627</v>
      </c>
      <c r="N5" s="360">
        <v>536.0003415255627</v>
      </c>
      <c r="O5" s="474">
        <v>409.77154349788793</v>
      </c>
      <c r="P5" s="475">
        <v>21.016081041439005</v>
      </c>
      <c r="Q5" s="482" t="s">
        <v>600</v>
      </c>
    </row>
    <row r="6" spans="1:24">
      <c r="A6" s="453">
        <v>46057</v>
      </c>
      <c r="B6" s="475" t="s">
        <v>616</v>
      </c>
      <c r="C6" s="466" t="s">
        <v>617</v>
      </c>
      <c r="D6" s="360" t="s">
        <v>618</v>
      </c>
      <c r="E6" s="361">
        <v>46129</v>
      </c>
      <c r="F6" s="360" t="s">
        <v>603</v>
      </c>
      <c r="G6" s="360" t="s">
        <v>138</v>
      </c>
      <c r="H6" s="360" t="s">
        <v>821</v>
      </c>
      <c r="I6" s="360"/>
      <c r="J6" s="476">
        <v>2.9</v>
      </c>
      <c r="K6" s="360">
        <v>0.35000000000000009</v>
      </c>
      <c r="L6" s="477">
        <v>0.39709010010364232</v>
      </c>
      <c r="M6" s="478">
        <v>0.39709010010364232</v>
      </c>
      <c r="N6" s="360">
        <v>0.39709010010364232</v>
      </c>
      <c r="O6" s="360">
        <v>0.39709010010364232</v>
      </c>
      <c r="P6" s="475">
        <v>31.476892143124939</v>
      </c>
      <c r="Q6" s="482" t="s">
        <v>600</v>
      </c>
    </row>
    <row r="7" spans="1:24">
      <c r="A7" s="453">
        <v>46057</v>
      </c>
      <c r="B7" s="475" t="s">
        <v>619</v>
      </c>
      <c r="C7" s="466" t="s">
        <v>620</v>
      </c>
      <c r="D7" s="360" t="s">
        <v>618</v>
      </c>
      <c r="E7" s="361">
        <v>46129</v>
      </c>
      <c r="F7" s="360" t="s">
        <v>598</v>
      </c>
      <c r="G7" s="360" t="s">
        <v>138</v>
      </c>
      <c r="H7" s="360" t="s">
        <v>822</v>
      </c>
      <c r="I7" s="360"/>
      <c r="J7" s="476">
        <v>2.9</v>
      </c>
      <c r="K7" s="360">
        <v>0</v>
      </c>
      <c r="L7" s="477">
        <v>1.4723512652169339E-2</v>
      </c>
      <c r="M7" s="478">
        <v>1.4723512652169339E-2</v>
      </c>
      <c r="N7" s="360">
        <v>1.4723512652169339E-2</v>
      </c>
      <c r="O7" s="360">
        <v>1.4723512652169339E-2</v>
      </c>
      <c r="P7" s="475">
        <v>57.419394312152995</v>
      </c>
      <c r="Q7" s="482" t="s">
        <v>600</v>
      </c>
    </row>
    <row r="8" spans="1:24">
      <c r="A8" s="453">
        <v>46057</v>
      </c>
      <c r="B8" s="475" t="s">
        <v>621</v>
      </c>
      <c r="C8" s="466" t="s">
        <v>622</v>
      </c>
      <c r="D8" s="360" t="s">
        <v>618</v>
      </c>
      <c r="E8" s="361">
        <v>46129</v>
      </c>
      <c r="F8" s="360" t="s">
        <v>598</v>
      </c>
      <c r="G8" s="360" t="s">
        <v>138</v>
      </c>
      <c r="H8" s="360" t="s">
        <v>823</v>
      </c>
      <c r="I8" s="360"/>
      <c r="J8" s="476">
        <v>2.9</v>
      </c>
      <c r="K8" s="360">
        <v>0</v>
      </c>
      <c r="L8" s="477">
        <v>2.1112008516850304E-2</v>
      </c>
      <c r="M8" s="478">
        <v>2.1112008516850304E-2</v>
      </c>
      <c r="N8" s="360">
        <v>2.1112008516850304E-2</v>
      </c>
      <c r="O8" s="360">
        <v>2.1112008516850304E-2</v>
      </c>
      <c r="P8" s="475">
        <v>43.863732864090096</v>
      </c>
      <c r="Q8" s="482" t="s">
        <v>600</v>
      </c>
    </row>
    <row r="9" spans="1:24">
      <c r="A9" s="453">
        <v>46057</v>
      </c>
      <c r="B9" s="475" t="s">
        <v>689</v>
      </c>
      <c r="C9" s="466" t="s">
        <v>695</v>
      </c>
      <c r="D9" s="360" t="s">
        <v>610</v>
      </c>
      <c r="E9" s="361">
        <v>46191</v>
      </c>
      <c r="F9" s="360" t="s">
        <v>603</v>
      </c>
      <c r="G9" s="360" t="s">
        <v>138</v>
      </c>
      <c r="H9" s="360" t="s">
        <v>824</v>
      </c>
      <c r="I9" s="360"/>
      <c r="J9" s="476">
        <v>325.74</v>
      </c>
      <c r="K9" s="360">
        <v>25.740000000000009</v>
      </c>
      <c r="L9" s="477">
        <v>48.05</v>
      </c>
      <c r="M9" s="478">
        <v>50.25</v>
      </c>
      <c r="N9" s="360">
        <v>49.15</v>
      </c>
      <c r="O9" s="360">
        <v>49.15</v>
      </c>
      <c r="P9" s="475"/>
      <c r="Q9" s="482" t="s">
        <v>607</v>
      </c>
    </row>
    <row r="10" spans="1:24">
      <c r="A10" s="453">
        <v>46057</v>
      </c>
      <c r="B10" s="475" t="s">
        <v>688</v>
      </c>
      <c r="C10" s="466" t="s">
        <v>696</v>
      </c>
      <c r="D10" s="360" t="s">
        <v>610</v>
      </c>
      <c r="E10" s="361">
        <v>46191</v>
      </c>
      <c r="F10" s="360" t="s">
        <v>603</v>
      </c>
      <c r="G10" s="360" t="s">
        <v>138</v>
      </c>
      <c r="H10" s="360" t="s">
        <v>825</v>
      </c>
      <c r="I10" s="360"/>
      <c r="J10" s="476">
        <v>325.74</v>
      </c>
      <c r="K10" s="360">
        <v>0</v>
      </c>
      <c r="L10" s="477">
        <v>16.850000000000001</v>
      </c>
      <c r="M10" s="478">
        <v>17.600000000000001</v>
      </c>
      <c r="N10" s="360">
        <v>17.225000000000001</v>
      </c>
      <c r="O10" s="360">
        <v>17.225000000000001</v>
      </c>
      <c r="P10" s="475"/>
      <c r="Q10" s="482" t="s">
        <v>607</v>
      </c>
    </row>
    <row r="11" spans="1:24">
      <c r="A11" s="453">
        <v>46057</v>
      </c>
      <c r="B11" s="475" t="s">
        <v>691</v>
      </c>
      <c r="C11" s="466" t="s">
        <v>697</v>
      </c>
      <c r="D11" s="360" t="s">
        <v>610</v>
      </c>
      <c r="E11" s="361">
        <v>46191</v>
      </c>
      <c r="F11" s="360" t="s">
        <v>598</v>
      </c>
      <c r="G11" s="360" t="s">
        <v>138</v>
      </c>
      <c r="H11" s="360" t="s">
        <v>826</v>
      </c>
      <c r="I11" s="360"/>
      <c r="J11" s="476">
        <v>325.74</v>
      </c>
      <c r="K11" s="360">
        <v>0</v>
      </c>
      <c r="L11" s="477">
        <v>6.45</v>
      </c>
      <c r="M11" s="478">
        <v>7.15</v>
      </c>
      <c r="N11" s="360">
        <v>6.8000000000000007</v>
      </c>
      <c r="O11" s="360">
        <v>6.8000000000000007</v>
      </c>
      <c r="P11" s="475"/>
      <c r="Q11" s="482" t="s">
        <v>607</v>
      </c>
    </row>
    <row r="12" spans="1:24">
      <c r="A12" s="453">
        <v>46057</v>
      </c>
      <c r="B12" s="475" t="s">
        <v>690</v>
      </c>
      <c r="C12" s="466" t="s">
        <v>698</v>
      </c>
      <c r="D12" s="360" t="s">
        <v>610</v>
      </c>
      <c r="E12" s="361">
        <v>46191</v>
      </c>
      <c r="F12" s="360" t="s">
        <v>598</v>
      </c>
      <c r="G12" s="360" t="s">
        <v>138</v>
      </c>
      <c r="H12" s="360" t="s">
        <v>827</v>
      </c>
      <c r="I12" s="360"/>
      <c r="J12" s="476">
        <v>325.74</v>
      </c>
      <c r="K12" s="360">
        <v>0</v>
      </c>
      <c r="L12" s="477">
        <v>2.04</v>
      </c>
      <c r="M12" s="478">
        <v>2.78</v>
      </c>
      <c r="N12" s="360">
        <v>2.41</v>
      </c>
      <c r="O12" s="360">
        <v>2.41</v>
      </c>
      <c r="P12" s="475"/>
      <c r="Q12" s="482" t="s">
        <v>607</v>
      </c>
    </row>
    <row r="13" spans="1:24">
      <c r="A13" s="453">
        <v>46057</v>
      </c>
      <c r="B13" s="475" t="s">
        <v>694</v>
      </c>
      <c r="C13" s="466" t="s">
        <v>699</v>
      </c>
      <c r="D13" s="360" t="s">
        <v>609</v>
      </c>
      <c r="E13" s="361">
        <v>46191</v>
      </c>
      <c r="F13" s="360" t="s">
        <v>598</v>
      </c>
      <c r="G13" s="360" t="s">
        <v>138</v>
      </c>
      <c r="H13" s="360" t="s">
        <v>828</v>
      </c>
      <c r="I13" s="360"/>
      <c r="J13" s="476">
        <v>414.19</v>
      </c>
      <c r="K13" s="360">
        <v>10.810000000000002</v>
      </c>
      <c r="L13" s="477">
        <v>31.8</v>
      </c>
      <c r="M13" s="478">
        <v>32.049999999999997</v>
      </c>
      <c r="N13" s="360">
        <v>31.924999999999997</v>
      </c>
      <c r="O13" s="360">
        <v>31.924999999999997</v>
      </c>
      <c r="P13" s="475"/>
      <c r="Q13" s="482" t="s">
        <v>607</v>
      </c>
    </row>
    <row r="14" spans="1:24">
      <c r="A14" s="453">
        <v>46057</v>
      </c>
      <c r="B14" s="475" t="s">
        <v>693</v>
      </c>
      <c r="C14" s="466" t="s">
        <v>700</v>
      </c>
      <c r="D14" s="360" t="s">
        <v>609</v>
      </c>
      <c r="E14" s="361">
        <v>46191</v>
      </c>
      <c r="F14" s="360" t="s">
        <v>603</v>
      </c>
      <c r="G14" s="360" t="s">
        <v>138</v>
      </c>
      <c r="H14" s="360" t="s">
        <v>829</v>
      </c>
      <c r="I14" s="360"/>
      <c r="J14" s="476">
        <v>414.19</v>
      </c>
      <c r="K14" s="360">
        <v>0</v>
      </c>
      <c r="L14" s="477">
        <v>4.25</v>
      </c>
      <c r="M14" s="478">
        <v>4.3499999999999996</v>
      </c>
      <c r="N14" s="360">
        <v>4.3</v>
      </c>
      <c r="O14" s="360">
        <v>4.3</v>
      </c>
      <c r="P14" s="475"/>
      <c r="Q14" s="482" t="s">
        <v>607</v>
      </c>
    </row>
    <row r="15" spans="1:24">
      <c r="A15" s="453">
        <v>46057</v>
      </c>
      <c r="B15" s="475" t="s">
        <v>692</v>
      </c>
      <c r="C15" s="466" t="s">
        <v>701</v>
      </c>
      <c r="D15" s="360" t="s">
        <v>609</v>
      </c>
      <c r="E15" s="361">
        <v>46191</v>
      </c>
      <c r="F15" s="360" t="s">
        <v>603</v>
      </c>
      <c r="G15" s="360" t="s">
        <v>138</v>
      </c>
      <c r="H15" s="360" t="s">
        <v>830</v>
      </c>
      <c r="I15" s="360"/>
      <c r="J15" s="476">
        <v>414.19</v>
      </c>
      <c r="K15" s="360">
        <v>0</v>
      </c>
      <c r="L15" s="477">
        <v>1.1599999999999999</v>
      </c>
      <c r="M15" s="478">
        <v>1.22</v>
      </c>
      <c r="N15" s="360">
        <v>1.19</v>
      </c>
      <c r="O15" s="360">
        <v>1.19</v>
      </c>
      <c r="P15" s="475"/>
      <c r="Q15" s="482" t="s">
        <v>607</v>
      </c>
    </row>
    <row r="16" spans="1:24">
      <c r="A16" s="453">
        <v>46057</v>
      </c>
      <c r="B16" s="475" t="s">
        <v>703</v>
      </c>
      <c r="C16" s="466" t="s">
        <v>704</v>
      </c>
      <c r="D16" s="360" t="s">
        <v>623</v>
      </c>
      <c r="E16" s="361">
        <v>46101</v>
      </c>
      <c r="F16" s="360" t="s">
        <v>598</v>
      </c>
      <c r="G16" s="360" t="s">
        <v>138</v>
      </c>
      <c r="H16" s="360" t="s">
        <v>831</v>
      </c>
      <c r="I16" s="360"/>
      <c r="J16" s="476">
        <v>605.75</v>
      </c>
      <c r="K16" s="360">
        <v>0</v>
      </c>
      <c r="L16" s="477">
        <v>5</v>
      </c>
      <c r="M16" s="478">
        <v>5.12</v>
      </c>
      <c r="N16" s="360">
        <v>5.0600000000000005</v>
      </c>
      <c r="O16" s="360">
        <v>5.0600000000000005</v>
      </c>
      <c r="P16" s="475"/>
      <c r="Q16" s="482" t="s">
        <v>607</v>
      </c>
    </row>
    <row r="17" spans="1:17">
      <c r="A17" s="453">
        <v>46057</v>
      </c>
      <c r="B17" s="475" t="s">
        <v>702</v>
      </c>
      <c r="C17" s="466" t="s">
        <v>706</v>
      </c>
      <c r="D17" s="360" t="s">
        <v>623</v>
      </c>
      <c r="E17" s="361">
        <v>46101</v>
      </c>
      <c r="F17" s="360" t="s">
        <v>598</v>
      </c>
      <c r="G17" s="360" t="s">
        <v>138</v>
      </c>
      <c r="H17" s="360" t="s">
        <v>832</v>
      </c>
      <c r="I17" s="360"/>
      <c r="J17" s="476">
        <v>605.75</v>
      </c>
      <c r="K17" s="360">
        <v>0</v>
      </c>
      <c r="L17" s="477">
        <v>9.8000000000000007</v>
      </c>
      <c r="M17" s="478">
        <v>9.99</v>
      </c>
      <c r="N17" s="360">
        <v>9.8949999999999996</v>
      </c>
      <c r="O17" s="360">
        <v>9.8949999999999996</v>
      </c>
      <c r="P17" s="475"/>
      <c r="Q17" s="482" t="s">
        <v>607</v>
      </c>
    </row>
    <row r="18" spans="1:17">
      <c r="A18" s="453">
        <v>46057</v>
      </c>
      <c r="B18" s="475" t="s">
        <v>707</v>
      </c>
      <c r="C18" s="466" t="s">
        <v>710</v>
      </c>
      <c r="D18" s="360" t="s">
        <v>705</v>
      </c>
      <c r="E18" s="361">
        <v>46191</v>
      </c>
      <c r="F18" s="360" t="s">
        <v>603</v>
      </c>
      <c r="G18" s="360" t="s">
        <v>138</v>
      </c>
      <c r="H18" s="360" t="s">
        <v>833</v>
      </c>
      <c r="I18" s="360"/>
      <c r="J18" s="476">
        <v>232.99</v>
      </c>
      <c r="K18" s="360">
        <v>2.9900000000000091</v>
      </c>
      <c r="L18" s="477">
        <v>24.75</v>
      </c>
      <c r="M18" s="478">
        <v>24.9</v>
      </c>
      <c r="N18" s="360">
        <v>24.824999999999999</v>
      </c>
      <c r="O18" s="360">
        <v>24.824999999999999</v>
      </c>
      <c r="P18" s="475"/>
      <c r="Q18" s="482" t="s">
        <v>607</v>
      </c>
    </row>
    <row r="19" spans="1:17">
      <c r="A19" s="453">
        <v>46057</v>
      </c>
      <c r="B19" s="475" t="s">
        <v>708</v>
      </c>
      <c r="C19" s="466" t="s">
        <v>711</v>
      </c>
      <c r="D19" s="360" t="s">
        <v>705</v>
      </c>
      <c r="E19" s="361">
        <v>46191</v>
      </c>
      <c r="F19" s="360" t="s">
        <v>603</v>
      </c>
      <c r="G19" s="360" t="s">
        <v>138</v>
      </c>
      <c r="H19" s="360" t="s">
        <v>834</v>
      </c>
      <c r="I19" s="360"/>
      <c r="J19" s="476">
        <v>232.99</v>
      </c>
      <c r="K19" s="360">
        <v>0</v>
      </c>
      <c r="L19" s="477">
        <v>12.2</v>
      </c>
      <c r="M19" s="478">
        <v>12.3</v>
      </c>
      <c r="N19" s="360">
        <v>12.25</v>
      </c>
      <c r="O19" s="360">
        <v>12.25</v>
      </c>
      <c r="P19" s="475"/>
      <c r="Q19" s="482" t="s">
        <v>607</v>
      </c>
    </row>
    <row r="20" spans="1:17">
      <c r="A20" s="453">
        <v>46057</v>
      </c>
      <c r="B20" s="475" t="s">
        <v>709</v>
      </c>
      <c r="C20" s="466" t="s">
        <v>712</v>
      </c>
      <c r="D20" s="360" t="s">
        <v>705</v>
      </c>
      <c r="E20" s="361">
        <v>46191</v>
      </c>
      <c r="F20" s="360" t="s">
        <v>598</v>
      </c>
      <c r="G20" s="360" t="s">
        <v>138</v>
      </c>
      <c r="H20" s="360" t="s">
        <v>835</v>
      </c>
      <c r="I20" s="360"/>
      <c r="J20" s="476">
        <v>232.99</v>
      </c>
      <c r="K20" s="360">
        <v>0</v>
      </c>
      <c r="L20" s="477">
        <v>7.9</v>
      </c>
      <c r="M20" s="478">
        <v>8.1</v>
      </c>
      <c r="N20" s="360">
        <v>8</v>
      </c>
      <c r="O20" s="360">
        <v>8</v>
      </c>
      <c r="P20" s="475"/>
      <c r="Q20" s="482" t="s">
        <v>607</v>
      </c>
    </row>
    <row r="21" spans="1:17">
      <c r="A21" s="453">
        <v>46057</v>
      </c>
      <c r="B21" s="475" t="s">
        <v>720</v>
      </c>
      <c r="C21" s="466" t="s">
        <v>723</v>
      </c>
      <c r="D21" s="360" t="s">
        <v>609</v>
      </c>
      <c r="E21" s="361">
        <v>46101</v>
      </c>
      <c r="F21" s="360" t="s">
        <v>603</v>
      </c>
      <c r="G21" s="360" t="s">
        <v>138</v>
      </c>
      <c r="H21" s="360" t="s">
        <v>837</v>
      </c>
      <c r="I21" s="360"/>
      <c r="J21" s="476">
        <v>414.19</v>
      </c>
      <c r="K21" s="360">
        <v>0</v>
      </c>
      <c r="L21" s="477">
        <v>0.78</v>
      </c>
      <c r="M21" s="478">
        <v>0.82</v>
      </c>
      <c r="N21" s="360">
        <v>0.8</v>
      </c>
      <c r="O21" s="360">
        <v>0.8</v>
      </c>
      <c r="P21" s="475"/>
      <c r="Q21" s="482" t="s">
        <v>607</v>
      </c>
    </row>
    <row r="22" spans="1:17">
      <c r="A22" s="453">
        <v>46057</v>
      </c>
      <c r="B22" s="475" t="s">
        <v>719</v>
      </c>
      <c r="C22" s="466" t="s">
        <v>724</v>
      </c>
      <c r="D22" s="360" t="s">
        <v>609</v>
      </c>
      <c r="E22" s="361">
        <v>46101</v>
      </c>
      <c r="F22" s="360" t="s">
        <v>603</v>
      </c>
      <c r="G22" s="360" t="s">
        <v>138</v>
      </c>
      <c r="H22" s="360" t="s">
        <v>829</v>
      </c>
      <c r="I22" s="360"/>
      <c r="J22" s="476">
        <v>414.19</v>
      </c>
      <c r="K22" s="360">
        <v>0</v>
      </c>
      <c r="L22" s="477">
        <v>0.38</v>
      </c>
      <c r="M22" s="478">
        <v>0.41</v>
      </c>
      <c r="N22" s="360">
        <v>0.39500000000000002</v>
      </c>
      <c r="O22" s="360">
        <v>0.39500000000000002</v>
      </c>
      <c r="P22" s="475"/>
      <c r="Q22" s="482" t="s">
        <v>607</v>
      </c>
    </row>
    <row r="23" spans="1:17" ht="45">
      <c r="A23" s="453">
        <v>46057</v>
      </c>
      <c r="B23" s="455" t="s">
        <v>722</v>
      </c>
      <c r="C23" s="466" t="s">
        <v>725</v>
      </c>
      <c r="D23" s="360" t="s">
        <v>609</v>
      </c>
      <c r="E23" s="361">
        <v>46101</v>
      </c>
      <c r="F23" s="360" t="s">
        <v>598</v>
      </c>
      <c r="G23" s="360" t="s">
        <v>138</v>
      </c>
      <c r="H23" s="360" t="s">
        <v>838</v>
      </c>
      <c r="I23" s="360"/>
      <c r="J23" s="476">
        <v>414.19</v>
      </c>
      <c r="K23" s="360">
        <v>40.81</v>
      </c>
      <c r="L23" s="477">
        <v>42.8</v>
      </c>
      <c r="M23" s="478">
        <v>44.05</v>
      </c>
      <c r="N23" s="360">
        <v>43.424999999999997</v>
      </c>
      <c r="O23" s="360">
        <v>43.424999999999997</v>
      </c>
      <c r="P23" s="475"/>
      <c r="Q23" s="482" t="s">
        <v>607</v>
      </c>
    </row>
    <row r="24" spans="1:17" ht="45">
      <c r="A24" s="453">
        <v>46057</v>
      </c>
      <c r="B24" s="455" t="s">
        <v>721</v>
      </c>
      <c r="C24" s="466" t="s">
        <v>726</v>
      </c>
      <c r="D24" s="360" t="s">
        <v>609</v>
      </c>
      <c r="E24" s="361">
        <v>46101</v>
      </c>
      <c r="F24" s="360" t="s">
        <v>598</v>
      </c>
      <c r="G24" s="360" t="s">
        <v>138</v>
      </c>
      <c r="H24" s="360" t="s">
        <v>839</v>
      </c>
      <c r="I24" s="360"/>
      <c r="J24" s="476">
        <v>414.19</v>
      </c>
      <c r="K24" s="360">
        <v>50.81</v>
      </c>
      <c r="L24" s="477">
        <v>51.8</v>
      </c>
      <c r="M24" s="478">
        <v>53.1</v>
      </c>
      <c r="N24" s="360">
        <v>52.45</v>
      </c>
      <c r="O24" s="360">
        <v>52.45</v>
      </c>
      <c r="P24" s="475"/>
      <c r="Q24" s="482" t="s">
        <v>607</v>
      </c>
    </row>
    <row r="25" spans="1:17" ht="45">
      <c r="A25" s="453">
        <v>46057</v>
      </c>
      <c r="B25" s="455" t="s">
        <v>730</v>
      </c>
      <c r="C25" s="466" t="s">
        <v>732</v>
      </c>
      <c r="D25" s="360" t="s">
        <v>733</v>
      </c>
      <c r="E25" s="361">
        <v>46101</v>
      </c>
      <c r="F25" s="360" t="s">
        <v>598</v>
      </c>
      <c r="G25" s="360" t="s">
        <v>138</v>
      </c>
      <c r="H25" s="360" t="s">
        <v>840</v>
      </c>
      <c r="I25" s="360"/>
      <c r="J25" s="476">
        <v>73.73</v>
      </c>
      <c r="K25" s="360">
        <v>6.269999999999996</v>
      </c>
      <c r="L25" s="477">
        <v>10.199999999999999</v>
      </c>
      <c r="M25" s="478">
        <v>10.35</v>
      </c>
      <c r="N25" s="360">
        <v>10.274999999999999</v>
      </c>
      <c r="O25" s="360">
        <v>10.274999999999999</v>
      </c>
      <c r="P25" s="475"/>
      <c r="Q25" s="482" t="s">
        <v>607</v>
      </c>
    </row>
    <row r="26" spans="1:17" ht="45">
      <c r="A26" s="453">
        <v>46057</v>
      </c>
      <c r="B26" s="455" t="s">
        <v>731</v>
      </c>
      <c r="C26" s="466" t="s">
        <v>734</v>
      </c>
      <c r="D26" s="360" t="s">
        <v>733</v>
      </c>
      <c r="E26" s="361">
        <v>46101</v>
      </c>
      <c r="F26" s="360" t="s">
        <v>598</v>
      </c>
      <c r="G26" s="360" t="s">
        <v>138</v>
      </c>
      <c r="H26" s="360" t="s">
        <v>841</v>
      </c>
      <c r="I26" s="360"/>
      <c r="J26" s="476">
        <v>73.73</v>
      </c>
      <c r="K26" s="360">
        <v>16.269999999999996</v>
      </c>
      <c r="L26" s="477">
        <v>17.2</v>
      </c>
      <c r="M26" s="478">
        <v>19.149999999999999</v>
      </c>
      <c r="N26" s="360">
        <v>18.174999999999997</v>
      </c>
      <c r="O26" s="360">
        <v>18.174999999999997</v>
      </c>
      <c r="P26" s="475"/>
      <c r="Q26" s="482" t="s">
        <v>607</v>
      </c>
    </row>
    <row r="27" spans="1:17" ht="45">
      <c r="A27" s="453">
        <v>46057</v>
      </c>
      <c r="B27" s="455" t="s">
        <v>737</v>
      </c>
      <c r="C27" s="466" t="s">
        <v>738</v>
      </c>
      <c r="D27" s="360" t="s">
        <v>608</v>
      </c>
      <c r="E27" s="361">
        <v>46038</v>
      </c>
      <c r="F27" s="360" t="s">
        <v>598</v>
      </c>
      <c r="G27" s="360" t="s">
        <v>138</v>
      </c>
      <c r="H27" s="360" t="s">
        <v>842</v>
      </c>
      <c r="I27" s="360"/>
      <c r="J27" s="471">
        <v>36.979999999999997</v>
      </c>
      <c r="K27" s="360">
        <v>0</v>
      </c>
      <c r="L27" s="472">
        <v>0.83499999999999996</v>
      </c>
      <c r="M27" s="473">
        <v>0.83499999999999996</v>
      </c>
      <c r="N27" s="360">
        <v>0.83499999999999996</v>
      </c>
      <c r="O27" s="360">
        <v>0.83499999999999996</v>
      </c>
      <c r="P27" s="475">
        <v>0</v>
      </c>
      <c r="Q27" s="482" t="s">
        <v>600</v>
      </c>
    </row>
    <row r="28" spans="1:17" ht="45">
      <c r="A28" s="453">
        <v>46057</v>
      </c>
      <c r="B28" s="455" t="s">
        <v>740</v>
      </c>
      <c r="C28" s="466" t="s">
        <v>742</v>
      </c>
      <c r="D28" s="360" t="s">
        <v>743</v>
      </c>
      <c r="E28" s="361">
        <v>46129</v>
      </c>
      <c r="F28" s="360" t="s">
        <v>603</v>
      </c>
      <c r="G28" s="360" t="s">
        <v>138</v>
      </c>
      <c r="H28" s="360" t="s">
        <v>843</v>
      </c>
      <c r="I28" s="360"/>
      <c r="J28" s="476">
        <v>668.99</v>
      </c>
      <c r="K28" s="360">
        <v>0</v>
      </c>
      <c r="L28" s="477">
        <v>29.6</v>
      </c>
      <c r="M28" s="478">
        <v>29.95</v>
      </c>
      <c r="N28" s="360">
        <v>29.774999999999999</v>
      </c>
      <c r="O28" s="360">
        <v>29.774999999999999</v>
      </c>
      <c r="P28" s="475"/>
      <c r="Q28" s="482" t="s">
        <v>607</v>
      </c>
    </row>
    <row r="29" spans="1:17">
      <c r="A29" s="453">
        <v>46057</v>
      </c>
      <c r="B29" s="465" t="s">
        <v>739</v>
      </c>
      <c r="C29" s="466" t="s">
        <v>744</v>
      </c>
      <c r="D29" s="360" t="s">
        <v>743</v>
      </c>
      <c r="E29" s="361">
        <v>46129</v>
      </c>
      <c r="F29" s="360" t="s">
        <v>603</v>
      </c>
      <c r="G29" s="360" t="s">
        <v>138</v>
      </c>
      <c r="H29" s="360" t="s">
        <v>844</v>
      </c>
      <c r="I29" s="360"/>
      <c r="J29" s="476">
        <v>668.99</v>
      </c>
      <c r="K29" s="360">
        <v>0</v>
      </c>
      <c r="L29" s="477">
        <v>11.2</v>
      </c>
      <c r="M29" s="478">
        <v>11.4</v>
      </c>
      <c r="N29" s="360">
        <v>11.3</v>
      </c>
      <c r="O29" s="360">
        <v>11.3</v>
      </c>
      <c r="P29" s="475"/>
      <c r="Q29" s="482" t="s">
        <v>607</v>
      </c>
    </row>
    <row r="30" spans="1:17" ht="45">
      <c r="A30" s="453">
        <v>46057</v>
      </c>
      <c r="B30" s="455" t="s">
        <v>741</v>
      </c>
      <c r="C30" s="466" t="s">
        <v>745</v>
      </c>
      <c r="D30" s="360" t="s">
        <v>743</v>
      </c>
      <c r="E30" s="361">
        <v>46129</v>
      </c>
      <c r="F30" s="360" t="s">
        <v>598</v>
      </c>
      <c r="G30" s="360" t="s">
        <v>138</v>
      </c>
      <c r="H30" s="360" t="s">
        <v>845</v>
      </c>
      <c r="I30" s="360"/>
      <c r="J30" s="476">
        <v>668.99</v>
      </c>
      <c r="K30" s="360">
        <v>0</v>
      </c>
      <c r="L30" s="477">
        <v>10.9</v>
      </c>
      <c r="M30" s="478">
        <v>11.1</v>
      </c>
      <c r="N30" s="360">
        <v>11</v>
      </c>
      <c r="O30" s="360">
        <v>11</v>
      </c>
      <c r="P30" s="475"/>
      <c r="Q30" s="482" t="s">
        <v>607</v>
      </c>
    </row>
    <row r="31" spans="1:17" ht="45">
      <c r="A31" s="453">
        <v>46057</v>
      </c>
      <c r="B31" s="455" t="s">
        <v>747</v>
      </c>
      <c r="C31" s="466" t="s">
        <v>752</v>
      </c>
      <c r="D31" s="360" t="s">
        <v>753</v>
      </c>
      <c r="E31" s="361">
        <v>46073</v>
      </c>
      <c r="F31" s="360" t="s">
        <v>603</v>
      </c>
      <c r="G31" s="360" t="s">
        <v>138</v>
      </c>
      <c r="H31" s="360" t="s">
        <v>846</v>
      </c>
      <c r="I31" s="360"/>
      <c r="J31" s="476">
        <v>465.54</v>
      </c>
      <c r="K31" s="360">
        <v>15.54000000000002</v>
      </c>
      <c r="L31" s="477">
        <v>47.3</v>
      </c>
      <c r="M31" s="478">
        <v>51.2</v>
      </c>
      <c r="N31" s="360">
        <v>49.25</v>
      </c>
      <c r="O31" s="360">
        <v>49.25</v>
      </c>
      <c r="P31" s="475"/>
      <c r="Q31" s="482" t="s">
        <v>607</v>
      </c>
    </row>
    <row r="32" spans="1:17" ht="45">
      <c r="A32" s="453">
        <v>46057</v>
      </c>
      <c r="B32" s="455" t="s">
        <v>746</v>
      </c>
      <c r="C32" s="466" t="s">
        <v>754</v>
      </c>
      <c r="D32" s="360" t="s">
        <v>753</v>
      </c>
      <c r="E32" s="361">
        <v>46073</v>
      </c>
      <c r="F32" s="360" t="s">
        <v>603</v>
      </c>
      <c r="G32" s="360" t="s">
        <v>138</v>
      </c>
      <c r="H32" s="360" t="s">
        <v>847</v>
      </c>
      <c r="I32" s="360"/>
      <c r="J32" s="476">
        <v>465.54</v>
      </c>
      <c r="K32" s="360">
        <v>65.54000000000002</v>
      </c>
      <c r="L32" s="477">
        <v>80.099999999999994</v>
      </c>
      <c r="M32" s="478">
        <v>83.4</v>
      </c>
      <c r="N32" s="360">
        <v>81.75</v>
      </c>
      <c r="O32" s="360">
        <v>81.75</v>
      </c>
      <c r="P32" s="475"/>
      <c r="Q32" s="482" t="s">
        <v>607</v>
      </c>
    </row>
    <row r="33" spans="1:17" ht="45">
      <c r="A33" s="453">
        <v>46057</v>
      </c>
      <c r="B33" s="455" t="s">
        <v>750</v>
      </c>
      <c r="C33" s="466" t="s">
        <v>755</v>
      </c>
      <c r="D33" s="360" t="s">
        <v>756</v>
      </c>
      <c r="E33" s="361">
        <v>46101</v>
      </c>
      <c r="F33" s="360" t="s">
        <v>603</v>
      </c>
      <c r="G33" s="360" t="s">
        <v>138</v>
      </c>
      <c r="H33" s="360" t="s">
        <v>827</v>
      </c>
      <c r="I33" s="360"/>
      <c r="J33" s="476">
        <v>211</v>
      </c>
      <c r="K33" s="360">
        <v>1</v>
      </c>
      <c r="L33" s="477">
        <v>27.3</v>
      </c>
      <c r="M33" s="478">
        <v>29.9</v>
      </c>
      <c r="N33" s="360">
        <v>28.6</v>
      </c>
      <c r="O33" s="360">
        <v>28.6</v>
      </c>
      <c r="P33" s="475"/>
      <c r="Q33" s="482" t="s">
        <v>607</v>
      </c>
    </row>
    <row r="34" spans="1:17" ht="45">
      <c r="A34" s="453">
        <v>46057</v>
      </c>
      <c r="B34" s="455" t="s">
        <v>751</v>
      </c>
      <c r="C34" s="466" t="s">
        <v>757</v>
      </c>
      <c r="D34" s="360" t="s">
        <v>756</v>
      </c>
      <c r="E34" s="361">
        <v>46101</v>
      </c>
      <c r="F34" s="360" t="s">
        <v>603</v>
      </c>
      <c r="G34" s="360" t="s">
        <v>138</v>
      </c>
      <c r="H34" s="360" t="s">
        <v>826</v>
      </c>
      <c r="I34" s="360"/>
      <c r="J34" s="476">
        <v>211</v>
      </c>
      <c r="K34" s="360">
        <v>0</v>
      </c>
      <c r="L34" s="477">
        <v>13.6</v>
      </c>
      <c r="M34" s="478">
        <v>15.6</v>
      </c>
      <c r="N34" s="360">
        <v>14.6</v>
      </c>
      <c r="O34" s="360">
        <v>14.6</v>
      </c>
      <c r="P34" s="475"/>
      <c r="Q34" s="482" t="s">
        <v>607</v>
      </c>
    </row>
    <row r="35" spans="1:17" ht="45">
      <c r="A35" s="453">
        <v>46057</v>
      </c>
      <c r="B35" s="455" t="s">
        <v>760</v>
      </c>
      <c r="C35" s="466" t="s">
        <v>762</v>
      </c>
      <c r="D35" s="360" t="s">
        <v>763</v>
      </c>
      <c r="E35" s="361">
        <v>46101</v>
      </c>
      <c r="F35" s="360" t="s">
        <v>603</v>
      </c>
      <c r="G35" s="360" t="s">
        <v>138</v>
      </c>
      <c r="H35" s="360" t="s">
        <v>817</v>
      </c>
      <c r="I35" s="360"/>
      <c r="J35" s="471">
        <v>80.16</v>
      </c>
      <c r="K35" s="360">
        <v>0</v>
      </c>
      <c r="L35" s="472">
        <v>0.16871689235255979</v>
      </c>
      <c r="M35" s="473">
        <v>0.16871689235255979</v>
      </c>
      <c r="N35" s="360">
        <v>0.16871689235255979</v>
      </c>
      <c r="O35" s="360">
        <v>0.17080764262072143</v>
      </c>
      <c r="P35" s="475">
        <v>40.278353455331633</v>
      </c>
      <c r="Q35" s="482" t="s">
        <v>600</v>
      </c>
    </row>
    <row r="36" spans="1:17" ht="45">
      <c r="A36" s="453">
        <v>46057</v>
      </c>
      <c r="B36" s="455" t="s">
        <v>761</v>
      </c>
      <c r="C36" s="466" t="s">
        <v>764</v>
      </c>
      <c r="D36" s="360" t="s">
        <v>763</v>
      </c>
      <c r="E36" s="361">
        <v>46101</v>
      </c>
      <c r="F36" s="360" t="s">
        <v>598</v>
      </c>
      <c r="G36" s="360" t="s">
        <v>138</v>
      </c>
      <c r="H36" s="360" t="s">
        <v>848</v>
      </c>
      <c r="I36" s="360"/>
      <c r="J36" s="476">
        <v>80.16</v>
      </c>
      <c r="K36" s="360">
        <v>2.8400000000000034</v>
      </c>
      <c r="L36" s="477">
        <v>5.2</v>
      </c>
      <c r="M36" s="478">
        <v>5.45</v>
      </c>
      <c r="N36" s="360">
        <v>5.3250000000000002</v>
      </c>
      <c r="O36" s="360">
        <v>5.3250000000000002</v>
      </c>
      <c r="P36" s="475"/>
      <c r="Q36" s="482" t="s">
        <v>607</v>
      </c>
    </row>
    <row r="37" spans="1:17" ht="45">
      <c r="A37" s="453">
        <v>46057</v>
      </c>
      <c r="B37" s="455" t="s">
        <v>759</v>
      </c>
      <c r="C37" s="466" t="s">
        <v>765</v>
      </c>
      <c r="D37" s="360" t="s">
        <v>763</v>
      </c>
      <c r="E37" s="361">
        <v>46101</v>
      </c>
      <c r="F37" s="360" t="s">
        <v>598</v>
      </c>
      <c r="G37" s="360" t="s">
        <v>138</v>
      </c>
      <c r="H37" s="360" t="s">
        <v>849</v>
      </c>
      <c r="I37" s="360"/>
      <c r="J37" s="476">
        <v>80.16</v>
      </c>
      <c r="K37" s="360">
        <v>11.840000000000003</v>
      </c>
      <c r="L37" s="477">
        <v>12.05</v>
      </c>
      <c r="M37" s="478">
        <v>12.6</v>
      </c>
      <c r="N37" s="360">
        <v>12.324999999999999</v>
      </c>
      <c r="O37" s="360">
        <v>12.324999999999999</v>
      </c>
      <c r="P37" s="475"/>
      <c r="Q37" s="482" t="s">
        <v>607</v>
      </c>
    </row>
    <row r="38" spans="1:17" ht="45">
      <c r="A38" s="453">
        <v>46057</v>
      </c>
      <c r="B38" s="455" t="s">
        <v>767</v>
      </c>
      <c r="C38" s="466" t="s">
        <v>770</v>
      </c>
      <c r="D38" s="360" t="s">
        <v>733</v>
      </c>
      <c r="E38" s="361">
        <v>46101</v>
      </c>
      <c r="F38" s="360" t="s">
        <v>598</v>
      </c>
      <c r="G38" s="360" t="s">
        <v>138</v>
      </c>
      <c r="H38" s="360" t="s">
        <v>850</v>
      </c>
      <c r="I38" s="360"/>
      <c r="J38" s="476">
        <v>73.73</v>
      </c>
      <c r="K38" s="360">
        <v>1.269999999999996</v>
      </c>
      <c r="L38" s="477">
        <v>7.1</v>
      </c>
      <c r="M38" s="478">
        <v>7.4</v>
      </c>
      <c r="N38" s="360">
        <v>7.25</v>
      </c>
      <c r="O38" s="360">
        <v>7.25</v>
      </c>
      <c r="P38" s="475"/>
      <c r="Q38" s="482" t="s">
        <v>607</v>
      </c>
    </row>
    <row r="39" spans="1:17" ht="45">
      <c r="A39" s="453">
        <v>46057</v>
      </c>
      <c r="B39" s="455" t="s">
        <v>766</v>
      </c>
      <c r="C39" s="466" t="s">
        <v>771</v>
      </c>
      <c r="D39" s="360" t="s">
        <v>733</v>
      </c>
      <c r="E39" s="361">
        <v>46101</v>
      </c>
      <c r="F39" s="360" t="s">
        <v>598</v>
      </c>
      <c r="G39" s="360" t="s">
        <v>138</v>
      </c>
      <c r="H39" s="360" t="s">
        <v>851</v>
      </c>
      <c r="I39" s="360"/>
      <c r="J39" s="476">
        <v>73.73</v>
      </c>
      <c r="K39" s="360">
        <v>11.269999999999996</v>
      </c>
      <c r="L39" s="477">
        <v>13.65</v>
      </c>
      <c r="M39" s="478">
        <v>14.15</v>
      </c>
      <c r="N39" s="360">
        <v>13.9</v>
      </c>
      <c r="O39" s="360">
        <v>13.9</v>
      </c>
      <c r="P39" s="475"/>
      <c r="Q39" s="482" t="s">
        <v>607</v>
      </c>
    </row>
    <row r="40" spans="1:17" ht="45">
      <c r="A40" s="453">
        <v>46057</v>
      </c>
      <c r="B40" s="455" t="s">
        <v>774</v>
      </c>
      <c r="C40" s="466" t="s">
        <v>780</v>
      </c>
      <c r="D40" s="360" t="s">
        <v>781</v>
      </c>
      <c r="E40" s="361">
        <v>46191</v>
      </c>
      <c r="F40" s="360" t="s">
        <v>603</v>
      </c>
      <c r="G40" s="360" t="s">
        <v>138</v>
      </c>
      <c r="H40" s="360" t="s">
        <v>852</v>
      </c>
      <c r="I40" s="360"/>
      <c r="J40" s="476">
        <v>308.05</v>
      </c>
      <c r="K40" s="360">
        <v>0</v>
      </c>
      <c r="L40" s="477">
        <v>25.1</v>
      </c>
      <c r="M40" s="478">
        <v>25.6</v>
      </c>
      <c r="N40" s="360">
        <v>25.35</v>
      </c>
      <c r="O40" s="360">
        <v>25.35</v>
      </c>
      <c r="P40" s="475"/>
      <c r="Q40" s="482" t="s">
        <v>607</v>
      </c>
    </row>
    <row r="41" spans="1:17" ht="45">
      <c r="A41" s="453">
        <v>46057</v>
      </c>
      <c r="B41" s="455" t="s">
        <v>776</v>
      </c>
      <c r="C41" s="466" t="s">
        <v>782</v>
      </c>
      <c r="D41" s="360" t="s">
        <v>781</v>
      </c>
      <c r="E41" s="361">
        <v>46191</v>
      </c>
      <c r="F41" s="360" t="s">
        <v>603</v>
      </c>
      <c r="G41" s="360" t="s">
        <v>138</v>
      </c>
      <c r="H41" s="360" t="s">
        <v>853</v>
      </c>
      <c r="I41" s="360"/>
      <c r="J41" s="476">
        <v>308.05</v>
      </c>
      <c r="K41" s="360">
        <v>0</v>
      </c>
      <c r="L41" s="477">
        <v>11.75</v>
      </c>
      <c r="M41" s="478">
        <v>12.15</v>
      </c>
      <c r="N41" s="360">
        <v>11.95</v>
      </c>
      <c r="O41" s="360">
        <v>11.95</v>
      </c>
      <c r="P41" s="475"/>
      <c r="Q41" s="482" t="s">
        <v>607</v>
      </c>
    </row>
    <row r="42" spans="1:17" ht="45">
      <c r="A42" s="453">
        <v>46057</v>
      </c>
      <c r="B42" s="455" t="s">
        <v>775</v>
      </c>
      <c r="C42" s="466" t="s">
        <v>783</v>
      </c>
      <c r="D42" s="360" t="s">
        <v>781</v>
      </c>
      <c r="E42" s="361">
        <v>46191</v>
      </c>
      <c r="F42" s="360" t="s">
        <v>598</v>
      </c>
      <c r="G42" s="360" t="s">
        <v>138</v>
      </c>
      <c r="H42" s="360" t="s">
        <v>854</v>
      </c>
      <c r="I42" s="360"/>
      <c r="J42" s="476">
        <v>308.05</v>
      </c>
      <c r="K42" s="360">
        <v>0</v>
      </c>
      <c r="L42" s="477">
        <v>20.45</v>
      </c>
      <c r="M42" s="478">
        <v>20.95</v>
      </c>
      <c r="N42" s="360">
        <v>20.7</v>
      </c>
      <c r="O42" s="360">
        <v>20.7</v>
      </c>
      <c r="P42" s="475"/>
      <c r="Q42" s="482" t="s">
        <v>607</v>
      </c>
    </row>
    <row r="43" spans="1:17" ht="45">
      <c r="A43" s="453">
        <v>46057</v>
      </c>
      <c r="B43" s="455" t="s">
        <v>773</v>
      </c>
      <c r="C43" s="466" t="s">
        <v>784</v>
      </c>
      <c r="D43" s="360" t="s">
        <v>781</v>
      </c>
      <c r="E43" s="361">
        <v>46191</v>
      </c>
      <c r="F43" s="360" t="s">
        <v>598</v>
      </c>
      <c r="G43" s="360" t="s">
        <v>138</v>
      </c>
      <c r="H43" s="360" t="s">
        <v>824</v>
      </c>
      <c r="I43" s="360"/>
      <c r="J43" s="476">
        <v>308.05</v>
      </c>
      <c r="K43" s="360">
        <v>0</v>
      </c>
      <c r="L43" s="477">
        <v>33.200000000000003</v>
      </c>
      <c r="M43" s="478">
        <v>33.700000000000003</v>
      </c>
      <c r="N43" s="360">
        <v>33.450000000000003</v>
      </c>
      <c r="O43" s="360">
        <v>33.450000000000003</v>
      </c>
      <c r="P43" s="475"/>
      <c r="Q43" s="482" t="s">
        <v>607</v>
      </c>
    </row>
    <row r="44" spans="1:17" ht="45">
      <c r="A44" s="453">
        <v>46057</v>
      </c>
      <c r="B44" s="455" t="s">
        <v>777</v>
      </c>
      <c r="C44" s="466" t="s">
        <v>785</v>
      </c>
      <c r="D44" s="360" t="s">
        <v>743</v>
      </c>
      <c r="E44" s="361">
        <v>46129</v>
      </c>
      <c r="F44" s="360" t="s">
        <v>598</v>
      </c>
      <c r="G44" s="360" t="s">
        <v>138</v>
      </c>
      <c r="H44" s="360" t="s">
        <v>855</v>
      </c>
      <c r="I44" s="360"/>
      <c r="J44" s="476">
        <v>668.99</v>
      </c>
      <c r="K44" s="360">
        <v>0</v>
      </c>
      <c r="L44" s="477">
        <v>12.8</v>
      </c>
      <c r="M44" s="478">
        <v>13</v>
      </c>
      <c r="N44" s="360">
        <v>12.9</v>
      </c>
      <c r="O44" s="360">
        <v>12.9</v>
      </c>
      <c r="P44" s="475"/>
      <c r="Q44" s="482" t="s">
        <v>607</v>
      </c>
    </row>
    <row r="45" spans="1:17" ht="45">
      <c r="A45" s="453">
        <v>46057</v>
      </c>
      <c r="B45" s="455" t="s">
        <v>769</v>
      </c>
      <c r="C45" s="466" t="s">
        <v>786</v>
      </c>
      <c r="D45" s="360" t="s">
        <v>610</v>
      </c>
      <c r="E45" s="361">
        <v>46101</v>
      </c>
      <c r="F45" s="360" t="s">
        <v>603</v>
      </c>
      <c r="G45" s="360" t="s">
        <v>138</v>
      </c>
      <c r="H45" s="360" t="s">
        <v>836</v>
      </c>
      <c r="I45" s="360"/>
      <c r="J45" s="476">
        <v>325.74</v>
      </c>
      <c r="K45" s="360">
        <v>0</v>
      </c>
      <c r="L45" s="477">
        <v>16.5</v>
      </c>
      <c r="M45" s="478">
        <v>17.649999999999999</v>
      </c>
      <c r="N45" s="360">
        <v>17.074999999999999</v>
      </c>
      <c r="O45" s="360">
        <v>17.074999999999999</v>
      </c>
      <c r="P45" s="475"/>
      <c r="Q45" s="482" t="s">
        <v>607</v>
      </c>
    </row>
    <row r="46" spans="1:17" ht="45">
      <c r="A46" s="453">
        <v>46057</v>
      </c>
      <c r="B46" s="455" t="s">
        <v>768</v>
      </c>
      <c r="C46" s="466" t="s">
        <v>787</v>
      </c>
      <c r="D46" s="360" t="s">
        <v>610</v>
      </c>
      <c r="E46" s="361">
        <v>46101</v>
      </c>
      <c r="F46" s="360" t="s">
        <v>603</v>
      </c>
      <c r="G46" s="360" t="s">
        <v>138</v>
      </c>
      <c r="H46" s="360" t="s">
        <v>824</v>
      </c>
      <c r="I46" s="360"/>
      <c r="J46" s="476">
        <v>325.74</v>
      </c>
      <c r="K46" s="360">
        <v>25.740000000000009</v>
      </c>
      <c r="L46" s="477">
        <v>34</v>
      </c>
      <c r="M46" s="478">
        <v>36</v>
      </c>
      <c r="N46" s="360">
        <v>35</v>
      </c>
      <c r="O46" s="360">
        <v>35</v>
      </c>
      <c r="P46" s="475"/>
      <c r="Q46" s="482" t="s">
        <v>607</v>
      </c>
    </row>
    <row r="47" spans="1:17" ht="45">
      <c r="A47" s="453">
        <v>46057</v>
      </c>
      <c r="B47" s="455" t="s">
        <v>778</v>
      </c>
      <c r="C47" s="466" t="s">
        <v>788</v>
      </c>
      <c r="D47" s="360" t="s">
        <v>743</v>
      </c>
      <c r="E47" s="361">
        <v>46129</v>
      </c>
      <c r="F47" s="360" t="s">
        <v>598</v>
      </c>
      <c r="G47" s="360" t="s">
        <v>138</v>
      </c>
      <c r="H47" s="360" t="s">
        <v>856</v>
      </c>
      <c r="I47" s="360"/>
      <c r="J47" s="476">
        <v>668.99</v>
      </c>
      <c r="K47" s="360">
        <v>0</v>
      </c>
      <c r="L47" s="477">
        <v>7.9</v>
      </c>
      <c r="M47" s="478">
        <v>8.1</v>
      </c>
      <c r="N47" s="360">
        <v>8</v>
      </c>
      <c r="O47" s="360">
        <v>8</v>
      </c>
      <c r="P47" s="475"/>
      <c r="Q47" s="482" t="s">
        <v>607</v>
      </c>
    </row>
    <row r="48" spans="1:17">
      <c r="A48" s="453">
        <v>46057</v>
      </c>
      <c r="B48" s="479" t="s">
        <v>896</v>
      </c>
      <c r="C48" s="466" t="s">
        <v>898</v>
      </c>
      <c r="D48" s="360" t="s">
        <v>610</v>
      </c>
      <c r="E48" s="361">
        <v>46191</v>
      </c>
      <c r="F48" s="360" t="s">
        <v>603</v>
      </c>
      <c r="G48" s="360" t="s">
        <v>138</v>
      </c>
      <c r="H48" s="360" t="s">
        <v>899</v>
      </c>
      <c r="I48" s="360"/>
      <c r="J48" s="476">
        <v>325.74</v>
      </c>
      <c r="K48" s="360">
        <v>0</v>
      </c>
      <c r="L48" s="477">
        <v>26.85</v>
      </c>
      <c r="M48" s="478">
        <v>29.1</v>
      </c>
      <c r="N48" s="360">
        <v>27.975000000000001</v>
      </c>
      <c r="O48" s="360">
        <v>27.975000000000001</v>
      </c>
      <c r="P48" s="475"/>
      <c r="Q48" s="482" t="s">
        <v>607</v>
      </c>
    </row>
    <row r="49" spans="1:17">
      <c r="A49" s="453">
        <v>46057</v>
      </c>
      <c r="B49" s="479" t="s">
        <v>897</v>
      </c>
      <c r="C49" s="466" t="s">
        <v>900</v>
      </c>
      <c r="D49" s="360" t="s">
        <v>610</v>
      </c>
      <c r="E49" s="361">
        <v>46191</v>
      </c>
      <c r="F49" s="360" t="s">
        <v>603</v>
      </c>
      <c r="G49" s="360" t="s">
        <v>138</v>
      </c>
      <c r="H49" s="360" t="s">
        <v>901</v>
      </c>
      <c r="I49" s="360"/>
      <c r="J49" s="476">
        <v>325.74</v>
      </c>
      <c r="K49" s="360">
        <v>0</v>
      </c>
      <c r="L49" s="477">
        <v>14.25</v>
      </c>
      <c r="M49" s="478">
        <v>15.5</v>
      </c>
      <c r="N49" s="360">
        <v>14.875</v>
      </c>
      <c r="O49" s="360">
        <v>14.875</v>
      </c>
      <c r="P49" s="475"/>
      <c r="Q49" s="482" t="s">
        <v>607</v>
      </c>
    </row>
    <row r="50" spans="1:17">
      <c r="A50" s="453">
        <v>46057</v>
      </c>
      <c r="B50" s="479" t="s">
        <v>895</v>
      </c>
      <c r="C50" s="466" t="s">
        <v>902</v>
      </c>
      <c r="D50" s="360" t="s">
        <v>903</v>
      </c>
      <c r="E50" s="361">
        <v>46073</v>
      </c>
      <c r="F50" s="360" t="s">
        <v>603</v>
      </c>
      <c r="G50" s="360" t="s">
        <v>138</v>
      </c>
      <c r="H50" s="360" t="s">
        <v>904</v>
      </c>
      <c r="I50" s="360"/>
      <c r="J50" s="471">
        <v>33.479999999999997</v>
      </c>
      <c r="K50" s="360">
        <v>0</v>
      </c>
      <c r="L50" s="472">
        <v>0.13791459759737987</v>
      </c>
      <c r="M50" s="473">
        <v>0.13791459759737987</v>
      </c>
      <c r="N50" s="360">
        <v>0.13791459759737987</v>
      </c>
      <c r="O50" s="360">
        <v>0.14026709347870439</v>
      </c>
      <c r="P50" s="475">
        <v>21.444429460791053</v>
      </c>
      <c r="Q50" s="482" t="s">
        <v>600</v>
      </c>
    </row>
    <row r="51" spans="1:17">
      <c r="A51" s="453">
        <v>46057</v>
      </c>
      <c r="B51" s="479" t="s">
        <v>925</v>
      </c>
      <c r="C51" s="466" t="s">
        <v>927</v>
      </c>
      <c r="D51" s="360" t="s">
        <v>928</v>
      </c>
      <c r="E51" s="361">
        <v>46283</v>
      </c>
      <c r="F51" s="360" t="s">
        <v>603</v>
      </c>
      <c r="G51" s="360" t="s">
        <v>138</v>
      </c>
      <c r="H51" s="360" t="s">
        <v>929</v>
      </c>
      <c r="I51" s="360"/>
      <c r="J51" s="476">
        <v>98.7</v>
      </c>
      <c r="K51" s="360">
        <v>0</v>
      </c>
      <c r="L51" s="477">
        <v>9.25</v>
      </c>
      <c r="M51" s="478">
        <v>10.199999999999999</v>
      </c>
      <c r="N51" s="360">
        <v>9.7249999999999996</v>
      </c>
      <c r="O51" s="360">
        <v>9.7249999999999996</v>
      </c>
      <c r="P51" s="475"/>
      <c r="Q51" s="482" t="s">
        <v>607</v>
      </c>
    </row>
    <row r="52" spans="1:17">
      <c r="A52" s="453">
        <v>46057</v>
      </c>
      <c r="B52" s="479" t="s">
        <v>924</v>
      </c>
      <c r="C52" s="466" t="s">
        <v>930</v>
      </c>
      <c r="D52" s="360" t="s">
        <v>928</v>
      </c>
      <c r="E52" s="361">
        <v>46283</v>
      </c>
      <c r="F52" s="360" t="s">
        <v>603</v>
      </c>
      <c r="G52" s="360" t="s">
        <v>138</v>
      </c>
      <c r="H52" s="360" t="s">
        <v>931</v>
      </c>
      <c r="I52" s="360"/>
      <c r="J52" s="476">
        <v>98.7</v>
      </c>
      <c r="K52" s="360">
        <v>0</v>
      </c>
      <c r="L52" s="477">
        <v>12.25</v>
      </c>
      <c r="M52" s="478">
        <v>13.5</v>
      </c>
      <c r="N52" s="360">
        <v>12.875</v>
      </c>
      <c r="O52" s="360">
        <v>12.875</v>
      </c>
      <c r="P52" s="475"/>
      <c r="Q52" s="482" t="s">
        <v>607</v>
      </c>
    </row>
    <row r="53" spans="1:17">
      <c r="A53" s="453">
        <v>46057</v>
      </c>
      <c r="B53" s="479" t="s">
        <v>934</v>
      </c>
      <c r="C53" s="466" t="s">
        <v>938</v>
      </c>
      <c r="D53" s="360" t="s">
        <v>939</v>
      </c>
      <c r="E53" s="361">
        <v>46073</v>
      </c>
      <c r="F53" s="360" t="s">
        <v>603</v>
      </c>
      <c r="G53" s="360" t="s">
        <v>138</v>
      </c>
      <c r="H53" s="360" t="s">
        <v>940</v>
      </c>
      <c r="I53" s="360"/>
      <c r="J53" s="476">
        <v>584.54999999999995</v>
      </c>
      <c r="K53" s="360">
        <v>84.549999999999955</v>
      </c>
      <c r="L53" s="477">
        <v>101</v>
      </c>
      <c r="M53" s="478">
        <v>110</v>
      </c>
      <c r="N53" s="360">
        <v>105.5</v>
      </c>
      <c r="O53" s="360">
        <v>105.5</v>
      </c>
      <c r="P53" s="475"/>
      <c r="Q53" s="482" t="s">
        <v>607</v>
      </c>
    </row>
    <row r="54" spans="1:17">
      <c r="A54" s="453">
        <v>46057</v>
      </c>
      <c r="B54" s="479" t="s">
        <v>941</v>
      </c>
      <c r="C54" s="466" t="s">
        <v>942</v>
      </c>
      <c r="D54" s="360" t="s">
        <v>608</v>
      </c>
      <c r="E54" s="361">
        <v>46073</v>
      </c>
      <c r="F54" s="360" t="s">
        <v>603</v>
      </c>
      <c r="G54" s="360" t="s">
        <v>138</v>
      </c>
      <c r="H54" s="360" t="s">
        <v>904</v>
      </c>
      <c r="I54" s="360"/>
      <c r="J54" s="471">
        <v>36.979999999999997</v>
      </c>
      <c r="K54" s="360">
        <v>1.9799999999999969</v>
      </c>
      <c r="L54" s="472">
        <v>2.3409451833970087</v>
      </c>
      <c r="M54" s="473">
        <v>2.3409451833970087</v>
      </c>
      <c r="N54" s="360">
        <v>2.3409451833970087</v>
      </c>
      <c r="O54" s="360">
        <v>2.3456839802365592</v>
      </c>
      <c r="P54" s="475">
        <v>33.795986266315445</v>
      </c>
      <c r="Q54" s="482" t="s">
        <v>600</v>
      </c>
    </row>
    <row r="55" spans="1:17">
      <c r="A55" s="453">
        <v>46057</v>
      </c>
      <c r="B55" t="s">
        <v>935</v>
      </c>
      <c r="C55" s="466" t="s">
        <v>943</v>
      </c>
      <c r="D55" s="360" t="s">
        <v>733</v>
      </c>
      <c r="E55" s="361">
        <v>46101</v>
      </c>
      <c r="F55" s="360" t="s">
        <v>598</v>
      </c>
      <c r="G55" s="360" t="s">
        <v>138</v>
      </c>
      <c r="H55" s="360" t="s">
        <v>944</v>
      </c>
      <c r="I55" s="360"/>
      <c r="J55" s="476">
        <v>73.73</v>
      </c>
      <c r="K55" s="360">
        <v>0</v>
      </c>
      <c r="L55" s="477">
        <v>4.5999999999999996</v>
      </c>
      <c r="M55" s="478">
        <v>4.75</v>
      </c>
      <c r="N55" s="360">
        <v>4.6749999999999998</v>
      </c>
      <c r="O55" s="360">
        <v>4.6749999999999998</v>
      </c>
      <c r="P55" s="475"/>
      <c r="Q55" s="482" t="s">
        <v>607</v>
      </c>
    </row>
    <row r="56" spans="1:17">
      <c r="A56" s="453">
        <v>46057</v>
      </c>
      <c r="B56" t="s">
        <v>946</v>
      </c>
      <c r="C56" s="466" t="s">
        <v>953</v>
      </c>
      <c r="D56" s="360" t="s">
        <v>939</v>
      </c>
      <c r="E56" s="361">
        <v>46073</v>
      </c>
      <c r="F56" s="360" t="s">
        <v>603</v>
      </c>
      <c r="G56" s="360" t="s">
        <v>138</v>
      </c>
      <c r="H56" s="360" t="s">
        <v>831</v>
      </c>
      <c r="I56" s="360"/>
      <c r="J56" s="476">
        <v>584.54999999999995</v>
      </c>
      <c r="K56" s="360">
        <v>34.549999999999955</v>
      </c>
      <c r="L56" s="477">
        <v>71</v>
      </c>
      <c r="M56" s="478">
        <v>76.5</v>
      </c>
      <c r="N56" s="360">
        <v>73.75</v>
      </c>
      <c r="O56" s="360">
        <v>73.75</v>
      </c>
      <c r="P56" s="475"/>
      <c r="Q56" s="482" t="s">
        <v>607</v>
      </c>
    </row>
    <row r="57" spans="1:17">
      <c r="A57" s="453">
        <v>46057</v>
      </c>
      <c r="B57" t="s">
        <v>949</v>
      </c>
      <c r="C57" s="466" t="s">
        <v>954</v>
      </c>
      <c r="D57" s="360" t="s">
        <v>743</v>
      </c>
      <c r="E57" s="361">
        <v>46220</v>
      </c>
      <c r="F57" s="360" t="s">
        <v>603</v>
      </c>
      <c r="G57" s="360" t="s">
        <v>138</v>
      </c>
      <c r="H57" s="360" t="s">
        <v>955</v>
      </c>
      <c r="I57" s="360"/>
      <c r="J57" s="476">
        <v>668.99</v>
      </c>
      <c r="K57" s="360">
        <v>0</v>
      </c>
      <c r="L57" s="477">
        <v>65.8</v>
      </c>
      <c r="M57" s="478">
        <v>66.3</v>
      </c>
      <c r="N57" s="360">
        <v>66.05</v>
      </c>
      <c r="O57" s="360">
        <v>66.05</v>
      </c>
      <c r="P57" s="475"/>
      <c r="Q57" s="482" t="s">
        <v>607</v>
      </c>
    </row>
    <row r="58" spans="1:17">
      <c r="A58" s="453">
        <v>46057</v>
      </c>
      <c r="B58" t="s">
        <v>948</v>
      </c>
      <c r="C58" s="466" t="s">
        <v>956</v>
      </c>
      <c r="D58" s="360" t="s">
        <v>705</v>
      </c>
      <c r="E58" s="361">
        <v>46220</v>
      </c>
      <c r="F58" s="360" t="s">
        <v>603</v>
      </c>
      <c r="G58" s="360" t="s">
        <v>138</v>
      </c>
      <c r="H58" s="360" t="s">
        <v>957</v>
      </c>
      <c r="I58" s="360"/>
      <c r="J58" s="476">
        <v>232.99</v>
      </c>
      <c r="K58" s="360">
        <v>0</v>
      </c>
      <c r="L58" s="477">
        <v>19.45</v>
      </c>
      <c r="M58" s="478">
        <v>19.649999999999999</v>
      </c>
      <c r="N58" s="360">
        <v>19.549999999999997</v>
      </c>
      <c r="O58" s="360">
        <v>19.549999999999997</v>
      </c>
      <c r="P58" s="475"/>
      <c r="Q58" s="482" t="s">
        <v>607</v>
      </c>
    </row>
    <row r="59" spans="1:17">
      <c r="A59" s="453">
        <v>46057</v>
      </c>
      <c r="B59" s="475" t="s">
        <v>958</v>
      </c>
      <c r="C59" s="466" t="s">
        <v>959</v>
      </c>
      <c r="D59" s="360" t="s">
        <v>960</v>
      </c>
      <c r="E59" s="361">
        <v>46366</v>
      </c>
      <c r="F59" s="360" t="s">
        <v>603</v>
      </c>
      <c r="G59" s="360" t="s">
        <v>779</v>
      </c>
      <c r="H59" s="360" t="s">
        <v>961</v>
      </c>
      <c r="I59" s="360"/>
      <c r="J59" s="471">
        <v>790.38</v>
      </c>
      <c r="K59" s="360">
        <v>0</v>
      </c>
      <c r="L59" s="471">
        <v>34.372686735759551</v>
      </c>
      <c r="M59" s="471">
        <v>34.372686735759551</v>
      </c>
      <c r="N59" s="471">
        <v>34.372686735759551</v>
      </c>
      <c r="O59" s="471">
        <v>34.39855920720246</v>
      </c>
      <c r="P59" s="360">
        <v>32.332959188181775</v>
      </c>
      <c r="Q59" s="482" t="s">
        <v>600</v>
      </c>
    </row>
    <row r="60" spans="1:17">
      <c r="A60" s="453">
        <v>46057</v>
      </c>
      <c r="B60" t="s">
        <v>947</v>
      </c>
      <c r="C60" s="466" t="s">
        <v>962</v>
      </c>
      <c r="D60" s="360" t="s">
        <v>753</v>
      </c>
      <c r="E60" s="361">
        <v>46101</v>
      </c>
      <c r="F60" s="360" t="s">
        <v>603</v>
      </c>
      <c r="G60" s="360" t="s">
        <v>138</v>
      </c>
      <c r="H60" s="360" t="s">
        <v>963</v>
      </c>
      <c r="I60" s="360"/>
      <c r="J60" s="476">
        <v>465.54</v>
      </c>
      <c r="K60" s="360">
        <v>45.54000000000002</v>
      </c>
      <c r="L60" s="477">
        <v>92.3</v>
      </c>
      <c r="M60" s="478">
        <v>94.8</v>
      </c>
      <c r="N60" s="360">
        <v>93.55</v>
      </c>
      <c r="O60" s="360">
        <v>93.55</v>
      </c>
      <c r="P60" s="475"/>
      <c r="Q60" s="482" t="s">
        <v>607</v>
      </c>
    </row>
    <row r="61" spans="1:17">
      <c r="A61" s="453">
        <v>46057</v>
      </c>
      <c r="B61" t="s">
        <v>950</v>
      </c>
      <c r="C61" s="466" t="s">
        <v>964</v>
      </c>
      <c r="D61" s="360" t="s">
        <v>609</v>
      </c>
      <c r="E61" s="361">
        <v>46220</v>
      </c>
      <c r="F61" s="360" t="s">
        <v>603</v>
      </c>
      <c r="G61" s="360" t="s">
        <v>138</v>
      </c>
      <c r="H61" s="360" t="s">
        <v>839</v>
      </c>
      <c r="I61" s="360"/>
      <c r="J61" s="476">
        <v>414.19</v>
      </c>
      <c r="K61" s="360">
        <v>0</v>
      </c>
      <c r="L61" s="477">
        <v>14.4</v>
      </c>
      <c r="M61" s="478">
        <v>14.6</v>
      </c>
      <c r="N61" s="360">
        <v>14.5</v>
      </c>
      <c r="O61" s="360">
        <v>14.5</v>
      </c>
      <c r="P61" s="475"/>
      <c r="Q61" s="482" t="s">
        <v>607</v>
      </c>
    </row>
    <row r="62" spans="1:17">
      <c r="A62" s="453">
        <v>46057</v>
      </c>
      <c r="B62" t="s">
        <v>951</v>
      </c>
      <c r="C62" s="466" t="s">
        <v>965</v>
      </c>
      <c r="D62" s="360" t="s">
        <v>623</v>
      </c>
      <c r="E62" s="361">
        <v>46059</v>
      </c>
      <c r="F62" s="360" t="s">
        <v>603</v>
      </c>
      <c r="G62" s="360" t="s">
        <v>138</v>
      </c>
      <c r="H62" s="360" t="s">
        <v>966</v>
      </c>
      <c r="I62" s="360"/>
      <c r="J62" s="476">
        <v>605.75</v>
      </c>
      <c r="K62" s="360">
        <v>0</v>
      </c>
      <c r="L62" s="477">
        <v>0.13</v>
      </c>
      <c r="M62" s="478">
        <v>0.14000000000000001</v>
      </c>
      <c r="N62" s="360">
        <v>0.13500000000000001</v>
      </c>
      <c r="O62" s="360">
        <v>0.13500000000000001</v>
      </c>
      <c r="P62" s="475"/>
      <c r="Q62" s="482" t="s">
        <v>607</v>
      </c>
    </row>
    <row r="63" spans="1:17">
      <c r="A63" s="453">
        <v>46057</v>
      </c>
      <c r="B63" s="465" t="s">
        <v>987</v>
      </c>
      <c r="C63" s="466" t="s">
        <v>988</v>
      </c>
      <c r="D63" s="360" t="s">
        <v>608</v>
      </c>
      <c r="E63" s="361">
        <v>46073</v>
      </c>
      <c r="F63" s="360" t="s">
        <v>603</v>
      </c>
      <c r="G63" s="360" t="s">
        <v>138</v>
      </c>
      <c r="H63" s="360" t="s">
        <v>989</v>
      </c>
      <c r="I63" s="360"/>
      <c r="J63" s="471">
        <v>36.979999999999997</v>
      </c>
      <c r="K63" s="360">
        <v>0</v>
      </c>
      <c r="L63" s="471">
        <v>1.0139969559679749</v>
      </c>
      <c r="M63" s="471">
        <v>1.0139969559679749</v>
      </c>
      <c r="N63" s="471">
        <v>1.0139969559679749</v>
      </c>
      <c r="O63" s="471">
        <v>1.0200947600713042</v>
      </c>
      <c r="P63" s="360">
        <v>32.226718582389822</v>
      </c>
      <c r="Q63" s="482" t="s">
        <v>600</v>
      </c>
    </row>
    <row r="64" spans="1:17">
      <c r="A64" s="453">
        <v>46057</v>
      </c>
      <c r="B64" s="465" t="s">
        <v>984</v>
      </c>
      <c r="C64" s="466" t="s">
        <v>990</v>
      </c>
      <c r="D64" s="360" t="s">
        <v>991</v>
      </c>
      <c r="E64" s="361">
        <v>46220</v>
      </c>
      <c r="F64" s="360" t="s">
        <v>603</v>
      </c>
      <c r="G64" s="360" t="s">
        <v>138</v>
      </c>
      <c r="H64" s="360" t="s">
        <v>992</v>
      </c>
      <c r="I64" s="360"/>
      <c r="J64" s="476">
        <v>48.6</v>
      </c>
      <c r="K64" s="360">
        <v>0</v>
      </c>
      <c r="L64" s="477">
        <v>7.75</v>
      </c>
      <c r="M64" s="478">
        <v>8.4</v>
      </c>
      <c r="N64" s="360">
        <v>8.0749999999999993</v>
      </c>
      <c r="O64" s="360">
        <v>8.0749999999999993</v>
      </c>
      <c r="P64" s="475"/>
      <c r="Q64" s="482" t="s">
        <v>607</v>
      </c>
    </row>
    <row r="65" spans="1:17">
      <c r="A65" s="453">
        <v>46057</v>
      </c>
      <c r="B65" s="465" t="s">
        <v>985</v>
      </c>
      <c r="C65" s="466" t="s">
        <v>993</v>
      </c>
      <c r="D65" s="360" t="s">
        <v>991</v>
      </c>
      <c r="E65" s="361">
        <v>46220</v>
      </c>
      <c r="F65" s="360" t="s">
        <v>603</v>
      </c>
      <c r="G65" s="360" t="s">
        <v>138</v>
      </c>
      <c r="H65" s="360" t="s">
        <v>994</v>
      </c>
      <c r="I65" s="360"/>
      <c r="J65" s="476">
        <v>48.6</v>
      </c>
      <c r="K65" s="360">
        <v>0</v>
      </c>
      <c r="L65" s="477">
        <v>4.7</v>
      </c>
      <c r="M65" s="478">
        <v>5</v>
      </c>
      <c r="N65" s="360">
        <v>4.8499999999999996</v>
      </c>
      <c r="O65" s="360">
        <v>4.8499999999999996</v>
      </c>
      <c r="P65" s="475"/>
      <c r="Q65" s="482" t="s">
        <v>607</v>
      </c>
    </row>
    <row r="66" spans="1:17">
      <c r="A66" s="453">
        <v>46057</v>
      </c>
      <c r="B66" s="465" t="s">
        <v>983</v>
      </c>
      <c r="C66" s="466" t="s">
        <v>995</v>
      </c>
      <c r="D66" s="360" t="s">
        <v>991</v>
      </c>
      <c r="E66" s="361">
        <v>46220</v>
      </c>
      <c r="F66" s="360" t="s">
        <v>598</v>
      </c>
      <c r="G66" s="360" t="s">
        <v>138</v>
      </c>
      <c r="H66" s="360" t="s">
        <v>996</v>
      </c>
      <c r="I66" s="360"/>
      <c r="J66" s="476">
        <v>48.6</v>
      </c>
      <c r="K66" s="360">
        <v>0</v>
      </c>
      <c r="L66" s="477">
        <v>3.2</v>
      </c>
      <c r="M66" s="478">
        <v>3.7</v>
      </c>
      <c r="N66" s="360">
        <v>3.45</v>
      </c>
      <c r="O66" s="360">
        <v>3.45</v>
      </c>
      <c r="P66" s="475"/>
      <c r="Q66" s="482" t="s">
        <v>607</v>
      </c>
    </row>
    <row r="67" spans="1:17">
      <c r="A67" s="453">
        <v>46057</v>
      </c>
      <c r="B67" s="465" t="s">
        <v>986</v>
      </c>
      <c r="C67" s="466" t="s">
        <v>997</v>
      </c>
      <c r="D67" s="360" t="s">
        <v>609</v>
      </c>
      <c r="E67" s="361">
        <v>46220</v>
      </c>
      <c r="F67" s="360" t="s">
        <v>603</v>
      </c>
      <c r="G67" s="360" t="s">
        <v>138</v>
      </c>
      <c r="H67" s="360" t="s">
        <v>998</v>
      </c>
      <c r="I67" s="360"/>
      <c r="J67" s="476">
        <v>414.19</v>
      </c>
      <c r="K67" s="360">
        <v>0</v>
      </c>
      <c r="L67" s="477">
        <v>12</v>
      </c>
      <c r="M67" s="478">
        <v>12.15</v>
      </c>
      <c r="N67" s="360">
        <v>12.074999999999999</v>
      </c>
      <c r="O67" s="360">
        <v>12.074999999999999</v>
      </c>
      <c r="P67" s="475"/>
      <c r="Q67" s="482" t="s">
        <v>607</v>
      </c>
    </row>
    <row r="68" spans="1:17">
      <c r="A68" s="453">
        <v>46057</v>
      </c>
      <c r="B68" s="479" t="s">
        <v>1014</v>
      </c>
      <c r="C68" s="466" t="s">
        <v>1027</v>
      </c>
      <c r="D68" s="360" t="s">
        <v>609</v>
      </c>
      <c r="E68" s="361">
        <v>46220</v>
      </c>
      <c r="F68" s="360" t="s">
        <v>603</v>
      </c>
      <c r="G68" s="360" t="s">
        <v>138</v>
      </c>
      <c r="H68" s="360" t="s">
        <v>940</v>
      </c>
      <c r="I68" s="360"/>
      <c r="J68" s="476">
        <v>414.19</v>
      </c>
      <c r="K68" s="360">
        <v>0</v>
      </c>
      <c r="L68" s="477">
        <v>7.5</v>
      </c>
      <c r="M68" s="478">
        <v>7.65</v>
      </c>
      <c r="N68" s="360">
        <v>7.5750000000000002</v>
      </c>
      <c r="O68" s="360">
        <v>7.5750000000000002</v>
      </c>
      <c r="P68" s="475"/>
      <c r="Q68" s="482" t="s">
        <v>607</v>
      </c>
    </row>
    <row r="69" spans="1:17">
      <c r="A69" s="453">
        <v>46057</v>
      </c>
      <c r="B69" s="479" t="s">
        <v>1028</v>
      </c>
      <c r="C69" s="466" t="s">
        <v>1029</v>
      </c>
      <c r="D69" s="360" t="s">
        <v>1030</v>
      </c>
      <c r="E69" s="361">
        <v>46129</v>
      </c>
      <c r="F69" s="360" t="s">
        <v>603</v>
      </c>
      <c r="G69" s="360" t="s">
        <v>138</v>
      </c>
      <c r="H69" s="360" t="s">
        <v>1031</v>
      </c>
      <c r="I69" s="360"/>
      <c r="J69" s="476">
        <v>58.8</v>
      </c>
      <c r="K69" s="360">
        <v>0</v>
      </c>
      <c r="L69" s="477">
        <v>1.1499999999999999</v>
      </c>
      <c r="M69" s="478">
        <v>1.45</v>
      </c>
      <c r="N69" s="360">
        <v>1.2999999999999998</v>
      </c>
      <c r="O69" s="360">
        <v>1.2999999999999998</v>
      </c>
      <c r="P69" s="475"/>
      <c r="Q69" s="482" t="s">
        <v>607</v>
      </c>
    </row>
    <row r="70" spans="1:17">
      <c r="A70" s="453">
        <v>46057</v>
      </c>
      <c r="B70" s="479" t="s">
        <v>1032</v>
      </c>
      <c r="C70" s="466" t="s">
        <v>1033</v>
      </c>
      <c r="D70" s="360" t="s">
        <v>1030</v>
      </c>
      <c r="E70" s="361">
        <v>46129</v>
      </c>
      <c r="F70" s="360" t="s">
        <v>603</v>
      </c>
      <c r="G70" s="360" t="s">
        <v>138</v>
      </c>
      <c r="H70" s="360" t="s">
        <v>1034</v>
      </c>
      <c r="I70" s="360"/>
      <c r="J70" s="476">
        <v>58.8</v>
      </c>
      <c r="K70" s="360">
        <v>0</v>
      </c>
      <c r="L70" s="477">
        <v>0.27</v>
      </c>
      <c r="M70" s="478">
        <v>0.41</v>
      </c>
      <c r="N70" s="360">
        <v>0.33999999999999997</v>
      </c>
      <c r="O70" s="360">
        <v>0.33999999999999997</v>
      </c>
      <c r="P70" s="475"/>
      <c r="Q70" s="482" t="s">
        <v>607</v>
      </c>
    </row>
    <row r="71" spans="1:17">
      <c r="A71" s="453">
        <v>46057</v>
      </c>
      <c r="B71" t="s">
        <v>1035</v>
      </c>
      <c r="C71" s="466" t="s">
        <v>1036</v>
      </c>
      <c r="D71" s="360" t="s">
        <v>1030</v>
      </c>
      <c r="E71" s="361">
        <v>46073</v>
      </c>
      <c r="F71" s="360" t="s">
        <v>603</v>
      </c>
      <c r="G71" s="360" t="s">
        <v>138</v>
      </c>
      <c r="H71" s="360" t="s">
        <v>1031</v>
      </c>
      <c r="I71" s="360"/>
      <c r="J71" s="476">
        <v>58.8</v>
      </c>
      <c r="K71" s="360">
        <v>0</v>
      </c>
      <c r="L71" s="477">
        <v>0.28999999999999998</v>
      </c>
      <c r="M71" s="478">
        <v>0.34</v>
      </c>
      <c r="N71" s="360">
        <v>0.315</v>
      </c>
      <c r="O71" s="360">
        <v>0.315</v>
      </c>
      <c r="P71" s="475"/>
      <c r="Q71" s="482" t="s">
        <v>607</v>
      </c>
    </row>
    <row r="72" spans="1:17">
      <c r="A72" s="453">
        <v>46057</v>
      </c>
      <c r="B72" t="s">
        <v>1044</v>
      </c>
      <c r="C72" s="466" t="s">
        <v>1063</v>
      </c>
      <c r="D72" s="360" t="s">
        <v>1064</v>
      </c>
      <c r="E72" s="361">
        <v>46059</v>
      </c>
      <c r="F72" s="360" t="s">
        <v>603</v>
      </c>
      <c r="G72" s="360" t="s">
        <v>138</v>
      </c>
      <c r="H72" s="360" t="s">
        <v>1065</v>
      </c>
      <c r="I72" s="360"/>
      <c r="J72" s="476">
        <v>174.19</v>
      </c>
      <c r="K72" s="360">
        <v>0</v>
      </c>
      <c r="L72" s="477">
        <v>0.03</v>
      </c>
      <c r="M72" s="478">
        <v>0.04</v>
      </c>
      <c r="N72" s="360">
        <v>3.5000000000000003E-2</v>
      </c>
      <c r="O72" s="360">
        <v>3.5000000000000003E-2</v>
      </c>
      <c r="P72" s="475"/>
      <c r="Q72" s="482" t="s">
        <v>607</v>
      </c>
    </row>
    <row r="73" spans="1:17">
      <c r="A73" s="453">
        <v>46057</v>
      </c>
      <c r="B73" t="s">
        <v>1045</v>
      </c>
      <c r="C73" s="466" t="s">
        <v>1066</v>
      </c>
      <c r="D73" s="360" t="s">
        <v>1064</v>
      </c>
      <c r="E73" s="361">
        <v>46066</v>
      </c>
      <c r="F73" s="360" t="s">
        <v>603</v>
      </c>
      <c r="G73" s="360" t="s">
        <v>138</v>
      </c>
      <c r="H73" s="360" t="s">
        <v>1067</v>
      </c>
      <c r="I73" s="360"/>
      <c r="J73" s="476">
        <v>174.19</v>
      </c>
      <c r="K73" s="360">
        <v>0</v>
      </c>
      <c r="L73" s="477">
        <v>0.14000000000000001</v>
      </c>
      <c r="M73" s="478">
        <v>0.15</v>
      </c>
      <c r="N73" s="360">
        <v>0.14500000000000002</v>
      </c>
      <c r="O73" s="360">
        <v>0.14500000000000002</v>
      </c>
      <c r="P73" s="475"/>
      <c r="Q73" s="482" t="s">
        <v>607</v>
      </c>
    </row>
    <row r="74" spans="1:17">
      <c r="A74" s="453">
        <v>46057</v>
      </c>
      <c r="B74" t="s">
        <v>1043</v>
      </c>
      <c r="C74" s="466" t="s">
        <v>1068</v>
      </c>
      <c r="D74" s="360" t="s">
        <v>1064</v>
      </c>
      <c r="E74" s="361">
        <v>46157</v>
      </c>
      <c r="F74" s="360" t="s">
        <v>603</v>
      </c>
      <c r="G74" s="360" t="s">
        <v>138</v>
      </c>
      <c r="H74" s="360" t="s">
        <v>835</v>
      </c>
      <c r="I74" s="360"/>
      <c r="J74" s="476">
        <v>174.19</v>
      </c>
      <c r="K74" s="360">
        <v>0</v>
      </c>
      <c r="L74" s="477">
        <v>8</v>
      </c>
      <c r="M74" s="478">
        <v>8.1</v>
      </c>
      <c r="N74" s="360">
        <v>8.0500000000000007</v>
      </c>
      <c r="O74" s="360">
        <v>8.0500000000000007</v>
      </c>
      <c r="P74" s="475"/>
      <c r="Q74" s="482" t="s">
        <v>607</v>
      </c>
    </row>
    <row r="75" spans="1:17">
      <c r="A75" s="453">
        <v>46057</v>
      </c>
      <c r="B75" t="s">
        <v>1056</v>
      </c>
      <c r="C75" s="466" t="s">
        <v>1069</v>
      </c>
      <c r="D75" s="360" t="s">
        <v>743</v>
      </c>
      <c r="E75" s="361">
        <v>46220</v>
      </c>
      <c r="F75" s="360" t="s">
        <v>603</v>
      </c>
      <c r="G75" s="360" t="s">
        <v>138</v>
      </c>
      <c r="H75" s="360" t="s">
        <v>1070</v>
      </c>
      <c r="I75" s="360"/>
      <c r="J75" s="476">
        <v>668.99</v>
      </c>
      <c r="K75" s="360">
        <v>0</v>
      </c>
      <c r="L75" s="477">
        <v>51.7</v>
      </c>
      <c r="M75" s="478">
        <v>52.1</v>
      </c>
      <c r="N75" s="360">
        <v>51.900000000000006</v>
      </c>
      <c r="O75" s="360">
        <v>51.900000000000006</v>
      </c>
      <c r="P75" s="475"/>
      <c r="Q75" s="482" t="s">
        <v>607</v>
      </c>
    </row>
    <row r="76" spans="1:17">
      <c r="A76" s="453">
        <v>46057</v>
      </c>
      <c r="B76" t="s">
        <v>1095</v>
      </c>
      <c r="C76" s="466" t="s">
        <v>1103</v>
      </c>
      <c r="D76" s="360" t="s">
        <v>1104</v>
      </c>
      <c r="E76" s="361">
        <v>46129</v>
      </c>
      <c r="F76" s="360" t="s">
        <v>603</v>
      </c>
      <c r="G76" s="360" t="s">
        <v>138</v>
      </c>
      <c r="H76" s="360" t="s">
        <v>834</v>
      </c>
      <c r="I76" s="360"/>
      <c r="J76" s="476">
        <v>276.49</v>
      </c>
      <c r="K76" s="360">
        <v>16.490000000000009</v>
      </c>
      <c r="L76" s="477">
        <v>23.4</v>
      </c>
      <c r="M76" s="478">
        <v>23.95</v>
      </c>
      <c r="N76" s="360">
        <v>23.674999999999997</v>
      </c>
      <c r="O76" s="360">
        <v>23.674999999999997</v>
      </c>
      <c r="P76" s="475"/>
      <c r="Q76" s="482" t="s">
        <v>607</v>
      </c>
    </row>
    <row r="77" spans="1:17">
      <c r="A77" s="453">
        <v>46057</v>
      </c>
      <c r="B77" t="s">
        <v>1096</v>
      </c>
      <c r="C77" s="466" t="s">
        <v>1105</v>
      </c>
      <c r="D77" s="360" t="s">
        <v>1104</v>
      </c>
      <c r="E77" s="361">
        <v>46129</v>
      </c>
      <c r="F77" s="360" t="s">
        <v>603</v>
      </c>
      <c r="G77" s="360" t="s">
        <v>138</v>
      </c>
      <c r="H77" s="360" t="s">
        <v>1106</v>
      </c>
      <c r="I77" s="360"/>
      <c r="J77" s="476">
        <v>276.49</v>
      </c>
      <c r="K77" s="360">
        <v>0</v>
      </c>
      <c r="L77" s="477">
        <v>10.95</v>
      </c>
      <c r="M77" s="478">
        <v>11.15</v>
      </c>
      <c r="N77" s="360">
        <v>11.05</v>
      </c>
      <c r="O77" s="360">
        <v>11.05</v>
      </c>
      <c r="P77" s="475"/>
      <c r="Q77" s="482" t="s">
        <v>607</v>
      </c>
    </row>
    <row r="78" spans="1:17">
      <c r="A78" s="453">
        <v>46057</v>
      </c>
      <c r="B78" t="s">
        <v>1094</v>
      </c>
      <c r="C78" s="466" t="s">
        <v>1107</v>
      </c>
      <c r="D78" s="360" t="s">
        <v>743</v>
      </c>
      <c r="E78" s="361">
        <v>46220</v>
      </c>
      <c r="F78" s="360" t="s">
        <v>603</v>
      </c>
      <c r="G78" s="360" t="s">
        <v>138</v>
      </c>
      <c r="H78" s="360" t="s">
        <v>844</v>
      </c>
      <c r="I78" s="360"/>
      <c r="J78" s="476">
        <v>668.99</v>
      </c>
      <c r="K78" s="360">
        <v>0</v>
      </c>
      <c r="L78" s="477">
        <v>33.35</v>
      </c>
      <c r="M78" s="478">
        <v>33.799999999999997</v>
      </c>
      <c r="N78" s="360">
        <v>33.575000000000003</v>
      </c>
      <c r="O78" s="360">
        <v>33.575000000000003</v>
      </c>
      <c r="P78" s="475"/>
      <c r="Q78" s="482" t="s">
        <v>607</v>
      </c>
    </row>
    <row r="79" spans="1:17">
      <c r="A79" s="453">
        <v>46057</v>
      </c>
      <c r="B79" t="s">
        <v>1119</v>
      </c>
      <c r="C79" s="466" t="s">
        <v>1122</v>
      </c>
      <c r="D79" s="360" t="s">
        <v>623</v>
      </c>
      <c r="E79" s="361">
        <v>46059</v>
      </c>
      <c r="F79" s="360" t="s">
        <v>598</v>
      </c>
      <c r="G79" s="360" t="s">
        <v>138</v>
      </c>
      <c r="H79" s="360" t="s">
        <v>1123</v>
      </c>
      <c r="I79" s="360"/>
      <c r="J79" s="476">
        <v>605.75</v>
      </c>
      <c r="K79" s="360">
        <v>9.25</v>
      </c>
      <c r="L79" s="477">
        <v>9.91</v>
      </c>
      <c r="M79" s="478">
        <v>10.199999999999999</v>
      </c>
      <c r="N79" s="360">
        <v>10.055</v>
      </c>
      <c r="O79" s="360">
        <v>10.055</v>
      </c>
      <c r="P79" s="475"/>
      <c r="Q79" s="482" t="s">
        <v>607</v>
      </c>
    </row>
    <row r="80" spans="1:17">
      <c r="A80" s="453">
        <v>46057</v>
      </c>
      <c r="B80" t="s">
        <v>1118</v>
      </c>
      <c r="C80" s="466" t="s">
        <v>1124</v>
      </c>
      <c r="D80" s="360" t="s">
        <v>623</v>
      </c>
      <c r="E80" s="361">
        <v>46059</v>
      </c>
      <c r="F80" s="360" t="s">
        <v>598</v>
      </c>
      <c r="G80" s="360" t="s">
        <v>138</v>
      </c>
      <c r="H80" s="360" t="s">
        <v>1093</v>
      </c>
      <c r="I80" s="360"/>
      <c r="J80" s="476">
        <v>605.75</v>
      </c>
      <c r="K80" s="360">
        <v>14.25</v>
      </c>
      <c r="L80" s="477">
        <v>13.42</v>
      </c>
      <c r="M80" s="478">
        <v>14.43</v>
      </c>
      <c r="N80" s="360">
        <v>13.925000000000001</v>
      </c>
      <c r="O80" s="360">
        <v>14.25</v>
      </c>
      <c r="P80" s="475"/>
      <c r="Q80" s="482" t="s">
        <v>607</v>
      </c>
    </row>
    <row r="81" spans="1:17">
      <c r="A81" s="453">
        <v>46057</v>
      </c>
      <c r="B81" t="s">
        <v>1138</v>
      </c>
      <c r="C81" s="466" t="s">
        <v>1150</v>
      </c>
      <c r="D81" s="360" t="s">
        <v>733</v>
      </c>
      <c r="E81" s="361">
        <v>46101</v>
      </c>
      <c r="F81" s="360" t="s">
        <v>598</v>
      </c>
      <c r="G81" s="360" t="s">
        <v>138</v>
      </c>
      <c r="H81" s="360" t="s">
        <v>994</v>
      </c>
      <c r="I81" s="360"/>
      <c r="J81" s="476">
        <v>73.73</v>
      </c>
      <c r="K81" s="360">
        <v>0</v>
      </c>
      <c r="L81" s="477">
        <v>1.49</v>
      </c>
      <c r="M81" s="478">
        <v>1.68</v>
      </c>
      <c r="N81" s="360">
        <v>1.585</v>
      </c>
      <c r="O81" s="360">
        <v>1.585</v>
      </c>
      <c r="P81" s="475"/>
      <c r="Q81" s="482" t="s">
        <v>607</v>
      </c>
    </row>
    <row r="82" spans="1:17">
      <c r="A82" s="453">
        <v>46057</v>
      </c>
      <c r="B82" t="s">
        <v>1139</v>
      </c>
      <c r="C82" s="466" t="s">
        <v>1151</v>
      </c>
      <c r="D82" s="360" t="s">
        <v>763</v>
      </c>
      <c r="E82" s="361">
        <v>46157</v>
      </c>
      <c r="F82" s="360" t="s">
        <v>603</v>
      </c>
      <c r="G82" s="360" t="s">
        <v>138</v>
      </c>
      <c r="H82" s="360" t="s">
        <v>841</v>
      </c>
      <c r="I82" s="360"/>
      <c r="J82" s="476">
        <v>80.16</v>
      </c>
      <c r="K82" s="360">
        <v>0</v>
      </c>
      <c r="L82" s="477">
        <v>3.2</v>
      </c>
      <c r="M82" s="478">
        <v>3.35</v>
      </c>
      <c r="N82" s="360">
        <v>3.2750000000000004</v>
      </c>
      <c r="O82" s="360">
        <v>3.2750000000000004</v>
      </c>
      <c r="P82" s="475"/>
      <c r="Q82" s="482" t="s">
        <v>607</v>
      </c>
    </row>
    <row r="83" spans="1:17">
      <c r="A83" s="453">
        <v>46057</v>
      </c>
      <c r="B83" t="s">
        <v>1140</v>
      </c>
      <c r="C83" s="466" t="s">
        <v>1152</v>
      </c>
      <c r="D83" s="360" t="s">
        <v>763</v>
      </c>
      <c r="E83" s="361">
        <v>46157</v>
      </c>
      <c r="F83" s="360" t="s">
        <v>598</v>
      </c>
      <c r="G83" s="360" t="s">
        <v>138</v>
      </c>
      <c r="H83" s="360" t="s">
        <v>944</v>
      </c>
      <c r="I83" s="360"/>
      <c r="J83" s="476">
        <v>80.16</v>
      </c>
      <c r="K83" s="360">
        <v>0</v>
      </c>
      <c r="L83" s="477">
        <v>2.0299999999999998</v>
      </c>
      <c r="M83" s="478">
        <v>2.36</v>
      </c>
      <c r="N83" s="360">
        <v>2.1949999999999998</v>
      </c>
      <c r="O83" s="360">
        <v>2.1949999999999998</v>
      </c>
      <c r="P83" s="475"/>
      <c r="Q83" s="482" t="s">
        <v>607</v>
      </c>
    </row>
    <row r="84" spans="1:17">
      <c r="A84" s="453">
        <v>46057</v>
      </c>
      <c r="B84" t="s">
        <v>1164</v>
      </c>
      <c r="C84" s="466" t="s">
        <v>1170</v>
      </c>
      <c r="D84" s="360" t="s">
        <v>1171</v>
      </c>
      <c r="E84" s="361">
        <v>46073</v>
      </c>
      <c r="F84" s="360" t="s">
        <v>603</v>
      </c>
      <c r="G84" s="360" t="s">
        <v>138</v>
      </c>
      <c r="H84" s="360" t="s">
        <v>1172</v>
      </c>
      <c r="I84" s="360"/>
      <c r="J84" s="471">
        <v>2052.7800000000002</v>
      </c>
      <c r="K84" s="360">
        <v>0</v>
      </c>
      <c r="L84" s="471">
        <v>43.709468739529278</v>
      </c>
      <c r="M84" s="471">
        <v>43.709468739529278</v>
      </c>
      <c r="N84" s="471">
        <v>43.709468739529278</v>
      </c>
      <c r="O84" s="471">
        <v>44.153659129876466</v>
      </c>
      <c r="P84" s="360">
        <v>46.653797434028462</v>
      </c>
      <c r="Q84" s="482" t="s">
        <v>600</v>
      </c>
    </row>
    <row r="85" spans="1:17">
      <c r="A85" s="453">
        <v>46057</v>
      </c>
      <c r="B85" t="s">
        <v>1165</v>
      </c>
      <c r="C85" s="466" t="s">
        <v>1173</v>
      </c>
      <c r="D85" s="360" t="s">
        <v>781</v>
      </c>
      <c r="E85" s="361">
        <v>46059</v>
      </c>
      <c r="F85" s="360" t="s">
        <v>603</v>
      </c>
      <c r="G85" s="360" t="s">
        <v>138</v>
      </c>
      <c r="H85" s="360" t="s">
        <v>1174</v>
      </c>
      <c r="I85" s="360"/>
      <c r="J85" s="476">
        <v>308.05</v>
      </c>
      <c r="K85" s="360">
        <v>0</v>
      </c>
      <c r="L85" s="477">
        <v>4.3</v>
      </c>
      <c r="M85" s="478">
        <v>4.6500000000000004</v>
      </c>
      <c r="N85" s="360">
        <v>4.4749999999999996</v>
      </c>
      <c r="O85" s="360">
        <v>4.4749999999999996</v>
      </c>
      <c r="P85" s="475"/>
      <c r="Q85" s="482" t="s">
        <v>607</v>
      </c>
    </row>
    <row r="86" spans="1:17">
      <c r="A86" s="453">
        <v>46057</v>
      </c>
      <c r="B86" t="s">
        <v>1166</v>
      </c>
      <c r="C86" s="466" t="s">
        <v>1175</v>
      </c>
      <c r="D86" s="360" t="s">
        <v>781</v>
      </c>
      <c r="E86" s="361">
        <v>46066</v>
      </c>
      <c r="F86" s="360" t="s">
        <v>603</v>
      </c>
      <c r="G86" s="360" t="s">
        <v>138</v>
      </c>
      <c r="H86" s="360" t="s">
        <v>836</v>
      </c>
      <c r="I86" s="360"/>
      <c r="J86" s="476">
        <v>308.05</v>
      </c>
      <c r="K86" s="360">
        <v>0</v>
      </c>
      <c r="L86" s="477">
        <v>3.9</v>
      </c>
      <c r="M86" s="478">
        <v>4.25</v>
      </c>
      <c r="N86" s="360">
        <v>4.0750000000000002</v>
      </c>
      <c r="O86" s="360">
        <v>4.0750000000000002</v>
      </c>
      <c r="P86" s="475"/>
      <c r="Q86" s="482" t="s">
        <v>607</v>
      </c>
    </row>
    <row r="87" spans="1:17">
      <c r="A87" s="453">
        <v>46057</v>
      </c>
      <c r="B87" t="s">
        <v>1169</v>
      </c>
      <c r="C87" s="466" t="s">
        <v>1176</v>
      </c>
      <c r="D87" s="360" t="s">
        <v>1177</v>
      </c>
      <c r="E87" s="361">
        <v>46059</v>
      </c>
      <c r="F87" s="360" t="s">
        <v>598</v>
      </c>
      <c r="G87" s="360" t="s">
        <v>138</v>
      </c>
      <c r="H87" s="360" t="s">
        <v>824</v>
      </c>
      <c r="I87" s="360"/>
      <c r="J87" s="476">
        <v>333.34</v>
      </c>
      <c r="K87" s="360">
        <v>0</v>
      </c>
      <c r="L87" s="477">
        <v>1.17</v>
      </c>
      <c r="M87" s="478">
        <v>1.2</v>
      </c>
      <c r="N87" s="360">
        <v>1.1850000000000001</v>
      </c>
      <c r="O87" s="360">
        <v>1.1850000000000001</v>
      </c>
      <c r="P87" s="475"/>
      <c r="Q87" s="482" t="s">
        <v>607</v>
      </c>
    </row>
    <row r="88" spans="1:17">
      <c r="A88" s="453">
        <v>46057</v>
      </c>
      <c r="B88" t="s">
        <v>1178</v>
      </c>
      <c r="C88" s="466" t="s">
        <v>1179</v>
      </c>
      <c r="D88" s="360" t="s">
        <v>1171</v>
      </c>
      <c r="E88" s="361">
        <v>46059</v>
      </c>
      <c r="F88" s="360" t="s">
        <v>603</v>
      </c>
      <c r="G88" s="360" t="s">
        <v>138</v>
      </c>
      <c r="H88" s="360" t="s">
        <v>1180</v>
      </c>
      <c r="I88" s="360"/>
      <c r="J88" s="476">
        <v>2052.7800000000002</v>
      </c>
      <c r="K88" s="360">
        <v>0</v>
      </c>
      <c r="L88" s="477">
        <v>32.299999999999997</v>
      </c>
      <c r="M88" s="478">
        <v>48.4</v>
      </c>
      <c r="N88" s="360">
        <v>40.349999999999994</v>
      </c>
      <c r="O88" s="360">
        <v>40.349999999999994</v>
      </c>
      <c r="P88" s="475"/>
      <c r="Q88" s="482" t="s">
        <v>607</v>
      </c>
    </row>
    <row r="89" spans="1:17">
      <c r="A89" s="453">
        <v>46057</v>
      </c>
      <c r="B89" t="s">
        <v>1181</v>
      </c>
      <c r="C89" s="466" t="s">
        <v>1182</v>
      </c>
      <c r="D89" s="360" t="s">
        <v>1171</v>
      </c>
      <c r="E89" s="361">
        <v>46059</v>
      </c>
      <c r="F89" s="360" t="s">
        <v>603</v>
      </c>
      <c r="G89" s="360" t="s">
        <v>138</v>
      </c>
      <c r="H89" s="360" t="s">
        <v>1183</v>
      </c>
      <c r="I89" s="360"/>
      <c r="J89" s="471">
        <v>2052.7800000000002</v>
      </c>
      <c r="K89" s="360">
        <v>0</v>
      </c>
      <c r="L89" s="471">
        <v>28.573061928225744</v>
      </c>
      <c r="M89" s="471">
        <v>28.573061928225744</v>
      </c>
      <c r="N89" s="471">
        <v>28.573061928225744</v>
      </c>
      <c r="O89" s="471">
        <v>30.503887229663022</v>
      </c>
      <c r="P89" s="360">
        <v>71.925378489431651</v>
      </c>
      <c r="Q89" s="482" t="s">
        <v>600</v>
      </c>
    </row>
    <row r="90" spans="1:17">
      <c r="A90" s="453">
        <v>46057</v>
      </c>
      <c r="B90" t="s">
        <v>1184</v>
      </c>
      <c r="C90" s="466" t="s">
        <v>1185</v>
      </c>
      <c r="D90" s="360" t="s">
        <v>1171</v>
      </c>
      <c r="E90" s="361">
        <v>46059</v>
      </c>
      <c r="F90" s="360" t="s">
        <v>603</v>
      </c>
      <c r="G90" s="360" t="s">
        <v>138</v>
      </c>
      <c r="H90" s="360" t="s">
        <v>1172</v>
      </c>
      <c r="I90" s="360"/>
      <c r="J90" s="471">
        <v>2052.7800000000002</v>
      </c>
      <c r="K90" s="360">
        <v>0</v>
      </c>
      <c r="L90" s="471">
        <v>12.490323728452163</v>
      </c>
      <c r="M90" s="471">
        <v>12.490323728452163</v>
      </c>
      <c r="N90" s="471">
        <v>12.490323728452163</v>
      </c>
      <c r="O90" s="471">
        <v>13.960191388750129</v>
      </c>
      <c r="P90" s="360">
        <v>72.462229319638922</v>
      </c>
      <c r="Q90" s="482" t="s">
        <v>600</v>
      </c>
    </row>
    <row r="91" spans="1:17">
      <c r="A91" s="453">
        <v>46057</v>
      </c>
      <c r="B91" t="s">
        <v>1168</v>
      </c>
      <c r="C91" s="466" t="s">
        <v>1186</v>
      </c>
      <c r="D91" s="360" t="s">
        <v>623</v>
      </c>
      <c r="E91" s="361">
        <v>46059</v>
      </c>
      <c r="F91" s="360" t="s">
        <v>598</v>
      </c>
      <c r="G91" s="360" t="s">
        <v>138</v>
      </c>
      <c r="H91" s="360" t="s">
        <v>830</v>
      </c>
      <c r="I91" s="360"/>
      <c r="J91" s="476">
        <v>605.75</v>
      </c>
      <c r="K91" s="360">
        <v>0</v>
      </c>
      <c r="L91" s="477">
        <v>0.72</v>
      </c>
      <c r="M91" s="478">
        <v>0.77</v>
      </c>
      <c r="N91" s="360">
        <v>0.745</v>
      </c>
      <c r="O91" s="360">
        <v>0.745</v>
      </c>
      <c r="P91" s="475"/>
      <c r="Q91" s="482" t="s">
        <v>607</v>
      </c>
    </row>
    <row r="92" spans="1:17">
      <c r="A92" s="453">
        <v>46057</v>
      </c>
      <c r="B92" t="s">
        <v>1167</v>
      </c>
      <c r="C92" s="466" t="s">
        <v>1187</v>
      </c>
      <c r="D92" s="360" t="s">
        <v>623</v>
      </c>
      <c r="E92" s="361">
        <v>46059</v>
      </c>
      <c r="F92" s="360" t="s">
        <v>598</v>
      </c>
      <c r="G92" s="360" t="s">
        <v>138</v>
      </c>
      <c r="H92" s="360" t="s">
        <v>855</v>
      </c>
      <c r="I92" s="360"/>
      <c r="J92" s="476">
        <v>605.75</v>
      </c>
      <c r="K92" s="360">
        <v>0</v>
      </c>
      <c r="L92" s="477">
        <v>3.17</v>
      </c>
      <c r="M92" s="478">
        <v>3.28</v>
      </c>
      <c r="N92" s="360">
        <v>3.2249999999999996</v>
      </c>
      <c r="O92" s="360">
        <v>3.2249999999999996</v>
      </c>
      <c r="P92" s="475"/>
      <c r="Q92" s="482" t="s">
        <v>607</v>
      </c>
    </row>
    <row r="93" spans="1:17">
      <c r="A93" s="453">
        <v>46057</v>
      </c>
      <c r="B93" s="475" t="s">
        <v>713</v>
      </c>
      <c r="C93" s="466" t="s">
        <v>713</v>
      </c>
      <c r="D93" s="360" t="s">
        <v>624</v>
      </c>
      <c r="E93" s="361">
        <v>46073</v>
      </c>
      <c r="F93" s="360" t="s">
        <v>603</v>
      </c>
      <c r="G93" s="360" t="s">
        <v>138</v>
      </c>
      <c r="H93" s="360" t="s">
        <v>857</v>
      </c>
      <c r="I93" s="360" t="s">
        <v>599</v>
      </c>
      <c r="J93" s="476">
        <v>0.01</v>
      </c>
      <c r="K93" s="360">
        <v>0</v>
      </c>
      <c r="L93" s="477">
        <v>0</v>
      </c>
      <c r="M93" s="478">
        <v>0</v>
      </c>
      <c r="N93" s="360">
        <v>0</v>
      </c>
      <c r="O93" s="360">
        <v>1.8812894459022944E-5</v>
      </c>
      <c r="P93" s="475">
        <v>27.509617770961601</v>
      </c>
      <c r="Q93" s="482" t="s">
        <v>625</v>
      </c>
    </row>
    <row r="94" spans="1:17">
      <c r="A94" s="453">
        <v>46057</v>
      </c>
      <c r="B94" s="475" t="s">
        <v>714</v>
      </c>
      <c r="C94" s="466" t="s">
        <v>714</v>
      </c>
      <c r="D94" s="360" t="s">
        <v>624</v>
      </c>
      <c r="E94" s="361">
        <v>46073</v>
      </c>
      <c r="F94" s="360" t="s">
        <v>598</v>
      </c>
      <c r="G94" s="360" t="s">
        <v>138</v>
      </c>
      <c r="H94" s="360" t="s">
        <v>858</v>
      </c>
      <c r="I94" s="360" t="s">
        <v>599</v>
      </c>
      <c r="J94" s="476">
        <v>0.18</v>
      </c>
      <c r="K94" s="360">
        <v>21.39</v>
      </c>
      <c r="L94" s="477">
        <v>0</v>
      </c>
      <c r="M94" s="478">
        <v>0</v>
      </c>
      <c r="N94" s="360">
        <v>0</v>
      </c>
      <c r="O94" s="360">
        <v>3.2866960896780602E-2</v>
      </c>
      <c r="P94" s="475">
        <v>38.172895625656395</v>
      </c>
      <c r="Q94" s="482" t="s">
        <v>625</v>
      </c>
    </row>
    <row r="95" spans="1:17">
      <c r="A95" s="453">
        <v>46057</v>
      </c>
      <c r="B95" s="475" t="s">
        <v>715</v>
      </c>
      <c r="C95" s="466" t="s">
        <v>715</v>
      </c>
      <c r="D95" s="360" t="s">
        <v>624</v>
      </c>
      <c r="E95" s="361">
        <v>46073</v>
      </c>
      <c r="F95" s="360" t="s">
        <v>598</v>
      </c>
      <c r="G95" s="360" t="s">
        <v>138</v>
      </c>
      <c r="H95" s="360" t="s">
        <v>859</v>
      </c>
      <c r="I95" s="360" t="s">
        <v>599</v>
      </c>
      <c r="J95" s="476">
        <v>1.36</v>
      </c>
      <c r="K95" s="360">
        <v>22.71</v>
      </c>
      <c r="L95" s="477">
        <v>0</v>
      </c>
      <c r="M95" s="478">
        <v>0</v>
      </c>
      <c r="N95" s="360">
        <v>0</v>
      </c>
      <c r="O95" s="360">
        <v>0.24316408611363616</v>
      </c>
      <c r="P95" s="475">
        <v>32.604495457353103</v>
      </c>
      <c r="Q95" s="482" t="s">
        <v>625</v>
      </c>
    </row>
    <row r="96" spans="1:17">
      <c r="A96" s="453">
        <v>46057</v>
      </c>
      <c r="B96" s="475" t="s">
        <v>716</v>
      </c>
      <c r="C96" s="466" t="s">
        <v>716</v>
      </c>
      <c r="D96" s="360" t="s">
        <v>624</v>
      </c>
      <c r="E96" s="361">
        <v>46073</v>
      </c>
      <c r="F96" s="360" t="s">
        <v>603</v>
      </c>
      <c r="G96" s="360" t="s">
        <v>138</v>
      </c>
      <c r="H96" s="360" t="s">
        <v>860</v>
      </c>
      <c r="I96" s="360" t="s">
        <v>599</v>
      </c>
      <c r="J96" s="476">
        <v>0.04</v>
      </c>
      <c r="K96" s="360">
        <v>0</v>
      </c>
      <c r="L96" s="477">
        <v>0</v>
      </c>
      <c r="M96" s="478">
        <v>0</v>
      </c>
      <c r="N96" s="360">
        <v>0</v>
      </c>
      <c r="O96" s="360">
        <v>1.2962092775558345E-6</v>
      </c>
      <c r="P96" s="475">
        <v>26.843434183438898</v>
      </c>
      <c r="Q96" s="482" t="s">
        <v>625</v>
      </c>
    </row>
    <row r="97" spans="1:17">
      <c r="A97" s="453">
        <v>46057</v>
      </c>
      <c r="B97" s="475" t="s">
        <v>717</v>
      </c>
      <c r="C97" s="466" t="s">
        <v>717</v>
      </c>
      <c r="D97" s="360" t="s">
        <v>624</v>
      </c>
      <c r="E97" s="361">
        <v>46073</v>
      </c>
      <c r="F97" s="360" t="s">
        <v>598</v>
      </c>
      <c r="G97" s="360" t="s">
        <v>138</v>
      </c>
      <c r="H97" s="360" t="s">
        <v>861</v>
      </c>
      <c r="I97" s="360" t="s">
        <v>599</v>
      </c>
      <c r="J97" s="476">
        <v>1</v>
      </c>
      <c r="K97" s="360">
        <v>22.82</v>
      </c>
      <c r="L97" s="477">
        <v>0</v>
      </c>
      <c r="M97" s="478">
        <v>0</v>
      </c>
      <c r="N97" s="360">
        <v>0</v>
      </c>
      <c r="O97" s="360">
        <v>0.20897172772823852</v>
      </c>
      <c r="P97" s="475">
        <v>33.117868718326001</v>
      </c>
      <c r="Q97" s="482" t="s">
        <v>625</v>
      </c>
    </row>
    <row r="98" spans="1:17">
      <c r="A98" s="453">
        <v>46057</v>
      </c>
      <c r="B98" s="475" t="s">
        <v>718</v>
      </c>
      <c r="C98" s="466" t="s">
        <v>718</v>
      </c>
      <c r="D98" s="360" t="s">
        <v>624</v>
      </c>
      <c r="E98" s="361">
        <v>46073</v>
      </c>
      <c r="F98" s="360" t="s">
        <v>598</v>
      </c>
      <c r="G98" s="360" t="s">
        <v>138</v>
      </c>
      <c r="H98" s="360" t="s">
        <v>862</v>
      </c>
      <c r="I98" s="360" t="s">
        <v>599</v>
      </c>
      <c r="J98" s="476">
        <v>2.61</v>
      </c>
      <c r="K98" s="360">
        <v>23.71</v>
      </c>
      <c r="L98" s="477">
        <v>0</v>
      </c>
      <c r="M98" s="478">
        <v>0</v>
      </c>
      <c r="N98" s="360">
        <v>0</v>
      </c>
      <c r="O98" s="360">
        <v>0.63226000668411042</v>
      </c>
      <c r="P98" s="475">
        <v>28.904154916603698</v>
      </c>
      <c r="Q98" s="482" t="s">
        <v>625</v>
      </c>
    </row>
    <row r="99" spans="1:17">
      <c r="A99" s="453">
        <v>46057</v>
      </c>
      <c r="B99" s="475" t="s">
        <v>727</v>
      </c>
      <c r="C99" s="466" t="s">
        <v>727</v>
      </c>
      <c r="D99" s="360" t="s">
        <v>728</v>
      </c>
      <c r="E99" s="361">
        <v>46073</v>
      </c>
      <c r="F99" s="360" t="s">
        <v>598</v>
      </c>
      <c r="G99" s="360" t="s">
        <v>138</v>
      </c>
      <c r="H99" s="360" t="s">
        <v>863</v>
      </c>
      <c r="I99" s="360" t="s">
        <v>599</v>
      </c>
      <c r="J99" s="476">
        <v>0.11</v>
      </c>
      <c r="K99" s="360">
        <v>18.89</v>
      </c>
      <c r="L99" s="477">
        <v>0</v>
      </c>
      <c r="M99" s="478">
        <v>0</v>
      </c>
      <c r="N99" s="360">
        <v>0</v>
      </c>
      <c r="O99" s="360">
        <v>4.3177851247310751E-2</v>
      </c>
      <c r="P99" s="475">
        <v>55.087235274245501</v>
      </c>
      <c r="Q99" s="482" t="s">
        <v>625</v>
      </c>
    </row>
    <row r="100" spans="1:17">
      <c r="A100" s="453">
        <v>46057</v>
      </c>
      <c r="B100" s="475" t="s">
        <v>729</v>
      </c>
      <c r="C100" s="466" t="s">
        <v>729</v>
      </c>
      <c r="D100" s="360" t="s">
        <v>728</v>
      </c>
      <c r="E100" s="361">
        <v>46073</v>
      </c>
      <c r="F100" s="360" t="s">
        <v>598</v>
      </c>
      <c r="G100" s="360" t="s">
        <v>138</v>
      </c>
      <c r="H100" s="360" t="s">
        <v>864</v>
      </c>
      <c r="I100" s="360" t="s">
        <v>599</v>
      </c>
      <c r="J100" s="476">
        <v>0.46</v>
      </c>
      <c r="K100" s="360">
        <v>20.04</v>
      </c>
      <c r="L100" s="477">
        <v>0</v>
      </c>
      <c r="M100" s="478">
        <v>0</v>
      </c>
      <c r="N100" s="360">
        <v>0</v>
      </c>
      <c r="O100" s="360">
        <v>0.12358452059429557</v>
      </c>
      <c r="P100" s="475">
        <v>51.5543902173333</v>
      </c>
      <c r="Q100" s="482" t="s">
        <v>625</v>
      </c>
    </row>
    <row r="101" spans="1:17">
      <c r="A101" s="453">
        <v>46057</v>
      </c>
      <c r="B101" s="475" t="s">
        <v>748</v>
      </c>
      <c r="C101" s="466" t="s">
        <v>748</v>
      </c>
      <c r="D101" s="360" t="s">
        <v>626</v>
      </c>
      <c r="E101" s="361">
        <v>46073</v>
      </c>
      <c r="F101" s="360" t="s">
        <v>598</v>
      </c>
      <c r="G101" s="360" t="s">
        <v>138</v>
      </c>
      <c r="H101" s="360" t="s">
        <v>865</v>
      </c>
      <c r="I101" s="360" t="s">
        <v>599</v>
      </c>
      <c r="J101" s="476">
        <v>0.01</v>
      </c>
      <c r="K101" s="360">
        <v>12.1</v>
      </c>
      <c r="L101" s="477">
        <v>0</v>
      </c>
      <c r="M101" s="478">
        <v>0</v>
      </c>
      <c r="N101" s="360">
        <v>0</v>
      </c>
      <c r="O101" s="360">
        <v>3.2060848683274361E-5</v>
      </c>
      <c r="P101" s="475">
        <v>45.5183489621826</v>
      </c>
      <c r="Q101" s="482" t="s">
        <v>625</v>
      </c>
    </row>
    <row r="102" spans="1:17">
      <c r="A102" s="453">
        <v>46057</v>
      </c>
      <c r="B102" s="475" t="s">
        <v>749</v>
      </c>
      <c r="C102" s="466" t="s">
        <v>749</v>
      </c>
      <c r="D102" s="360" t="s">
        <v>626</v>
      </c>
      <c r="E102" s="361">
        <v>46073</v>
      </c>
      <c r="F102" s="360" t="s">
        <v>598</v>
      </c>
      <c r="G102" s="360" t="s">
        <v>138</v>
      </c>
      <c r="H102" s="360" t="s">
        <v>866</v>
      </c>
      <c r="I102" s="360" t="s">
        <v>599</v>
      </c>
      <c r="J102" s="476">
        <v>0.02</v>
      </c>
      <c r="K102" s="360">
        <v>13.34</v>
      </c>
      <c r="L102" s="477">
        <v>0</v>
      </c>
      <c r="M102" s="478">
        <v>0</v>
      </c>
      <c r="N102" s="360">
        <v>0</v>
      </c>
      <c r="O102" s="360">
        <v>9.9464440604921447E-4</v>
      </c>
      <c r="P102" s="475">
        <v>43.250316493728796</v>
      </c>
      <c r="Q102" s="482" t="s">
        <v>625</v>
      </c>
    </row>
    <row r="103" spans="1:17">
      <c r="A103" s="453">
        <v>46057</v>
      </c>
      <c r="B103" s="475" t="s">
        <v>789</v>
      </c>
      <c r="C103" s="466" t="s">
        <v>789</v>
      </c>
      <c r="D103" s="360" t="s">
        <v>790</v>
      </c>
      <c r="E103" s="361">
        <v>46073</v>
      </c>
      <c r="F103" s="360" t="s">
        <v>603</v>
      </c>
      <c r="G103" s="360" t="s">
        <v>138</v>
      </c>
      <c r="H103" s="360" t="s">
        <v>867</v>
      </c>
      <c r="I103" s="360" t="s">
        <v>599</v>
      </c>
      <c r="J103" s="476">
        <v>2.5</v>
      </c>
      <c r="K103" s="360">
        <v>0</v>
      </c>
      <c r="L103" s="477">
        <v>0</v>
      </c>
      <c r="M103" s="478">
        <v>0</v>
      </c>
      <c r="N103" s="360">
        <v>0</v>
      </c>
      <c r="O103" s="360">
        <v>0.50802082745455912</v>
      </c>
      <c r="P103" s="475">
        <v>42.329968498167901</v>
      </c>
      <c r="Q103" s="482" t="s">
        <v>625</v>
      </c>
    </row>
    <row r="104" spans="1:17">
      <c r="A104" s="453">
        <v>46057</v>
      </c>
      <c r="B104" s="475" t="s">
        <v>791</v>
      </c>
      <c r="C104" s="466" t="s">
        <v>791</v>
      </c>
      <c r="D104" s="360" t="s">
        <v>790</v>
      </c>
      <c r="E104" s="361">
        <v>46073</v>
      </c>
      <c r="F104" s="360" t="s">
        <v>598</v>
      </c>
      <c r="G104" s="360" t="s">
        <v>138</v>
      </c>
      <c r="H104" s="360" t="s">
        <v>868</v>
      </c>
      <c r="I104" s="360" t="s">
        <v>599</v>
      </c>
      <c r="J104" s="476">
        <v>0.05</v>
      </c>
      <c r="K104" s="360">
        <v>47.77</v>
      </c>
      <c r="L104" s="477">
        <v>0</v>
      </c>
      <c r="M104" s="478">
        <v>0</v>
      </c>
      <c r="N104" s="360">
        <v>0</v>
      </c>
      <c r="O104" s="360">
        <v>1.196388765683478E-2</v>
      </c>
      <c r="P104" s="475">
        <v>54.131060919131997</v>
      </c>
      <c r="Q104" s="482" t="s">
        <v>625</v>
      </c>
    </row>
    <row r="105" spans="1:17">
      <c r="A105" s="453">
        <v>46057</v>
      </c>
      <c r="B105" s="475" t="s">
        <v>792</v>
      </c>
      <c r="C105" s="466" t="s">
        <v>792</v>
      </c>
      <c r="D105" s="360" t="s">
        <v>790</v>
      </c>
      <c r="E105" s="361">
        <v>46073</v>
      </c>
      <c r="F105" s="360" t="s">
        <v>598</v>
      </c>
      <c r="G105" s="360" t="s">
        <v>138</v>
      </c>
      <c r="H105" s="360" t="s">
        <v>869</v>
      </c>
      <c r="I105" s="360" t="s">
        <v>599</v>
      </c>
      <c r="J105" s="476">
        <v>0.26</v>
      </c>
      <c r="K105" s="360">
        <v>51.56</v>
      </c>
      <c r="L105" s="477">
        <v>0</v>
      </c>
      <c r="M105" s="478">
        <v>0</v>
      </c>
      <c r="N105" s="360">
        <v>0</v>
      </c>
      <c r="O105" s="360">
        <v>4.4714262563542363E-2</v>
      </c>
      <c r="P105" s="475">
        <v>47.792116973899397</v>
      </c>
      <c r="Q105" s="482" t="s">
        <v>625</v>
      </c>
    </row>
    <row r="106" spans="1:17">
      <c r="A106" s="453">
        <v>46057</v>
      </c>
      <c r="B106" s="475" t="s">
        <v>797</v>
      </c>
      <c r="C106" s="466" t="s">
        <v>797</v>
      </c>
      <c r="D106" s="360" t="s">
        <v>758</v>
      </c>
      <c r="E106" s="361">
        <v>46073</v>
      </c>
      <c r="F106" s="360" t="s">
        <v>598</v>
      </c>
      <c r="G106" s="360" t="s">
        <v>138</v>
      </c>
      <c r="H106" s="360" t="s">
        <v>870</v>
      </c>
      <c r="I106" s="360" t="s">
        <v>599</v>
      </c>
      <c r="J106" s="476">
        <v>0.1</v>
      </c>
      <c r="K106" s="360">
        <v>42.9</v>
      </c>
      <c r="L106" s="477">
        <v>0</v>
      </c>
      <c r="M106" s="478">
        <v>0</v>
      </c>
      <c r="N106" s="360">
        <v>0</v>
      </c>
      <c r="O106" s="360">
        <v>2.3611272776071985E-5</v>
      </c>
      <c r="P106" s="475">
        <v>34.896643026971397</v>
      </c>
      <c r="Q106" s="482" t="s">
        <v>625</v>
      </c>
    </row>
    <row r="107" spans="1:17">
      <c r="A107" s="453">
        <v>46057</v>
      </c>
      <c r="B107" s="475" t="s">
        <v>798</v>
      </c>
      <c r="C107" s="466" t="s">
        <v>798</v>
      </c>
      <c r="D107" s="360" t="s">
        <v>758</v>
      </c>
      <c r="E107" s="361">
        <v>46073</v>
      </c>
      <c r="F107" s="360" t="s">
        <v>598</v>
      </c>
      <c r="G107" s="360" t="s">
        <v>138</v>
      </c>
      <c r="H107" s="360" t="s">
        <v>871</v>
      </c>
      <c r="I107" s="360" t="s">
        <v>599</v>
      </c>
      <c r="J107" s="476">
        <v>0.04</v>
      </c>
      <c r="K107" s="360">
        <v>47.96</v>
      </c>
      <c r="L107" s="477">
        <v>0</v>
      </c>
      <c r="M107" s="478">
        <v>0</v>
      </c>
      <c r="N107" s="360">
        <v>0</v>
      </c>
      <c r="O107" s="360">
        <v>2.8857483340015413E-3</v>
      </c>
      <c r="P107" s="475">
        <v>31.982373796483301</v>
      </c>
      <c r="Q107" s="482" t="s">
        <v>625</v>
      </c>
    </row>
    <row r="108" spans="1:17">
      <c r="A108" s="453">
        <v>46057</v>
      </c>
      <c r="B108" s="465" t="s">
        <v>803</v>
      </c>
      <c r="C108" s="465" t="s">
        <v>803</v>
      </c>
      <c r="D108" s="360" t="s">
        <v>804</v>
      </c>
      <c r="E108" s="361">
        <v>46073</v>
      </c>
      <c r="F108" s="360" t="s">
        <v>598</v>
      </c>
      <c r="G108" s="360" t="s">
        <v>138</v>
      </c>
      <c r="H108" s="360" t="s">
        <v>872</v>
      </c>
      <c r="I108" s="360" t="s">
        <v>599</v>
      </c>
      <c r="J108" s="476">
        <v>1.77</v>
      </c>
      <c r="K108" s="360">
        <v>48.61</v>
      </c>
      <c r="L108" s="477">
        <v>0</v>
      </c>
      <c r="M108" s="478">
        <v>0</v>
      </c>
      <c r="N108" s="360">
        <v>0</v>
      </c>
      <c r="O108" s="360">
        <v>0.31020908235748279</v>
      </c>
      <c r="P108" s="475">
        <v>34.437021583429399</v>
      </c>
      <c r="Q108" s="482" t="s">
        <v>625</v>
      </c>
    </row>
    <row r="109" spans="1:17">
      <c r="A109" s="453">
        <v>46057</v>
      </c>
      <c r="B109" s="465" t="s">
        <v>810</v>
      </c>
      <c r="C109" s="465" t="s">
        <v>810</v>
      </c>
      <c r="D109" s="360" t="s">
        <v>626</v>
      </c>
      <c r="E109" s="361">
        <v>46073</v>
      </c>
      <c r="F109" s="360" t="s">
        <v>598</v>
      </c>
      <c r="G109" s="360" t="s">
        <v>138</v>
      </c>
      <c r="H109" s="360" t="s">
        <v>873</v>
      </c>
      <c r="I109" s="360" t="s">
        <v>599</v>
      </c>
      <c r="J109" s="476">
        <v>0.01</v>
      </c>
      <c r="K109" s="360">
        <v>11.41</v>
      </c>
      <c r="L109" s="477">
        <v>0</v>
      </c>
      <c r="M109" s="478">
        <v>0</v>
      </c>
      <c r="N109" s="360">
        <v>0</v>
      </c>
      <c r="O109" s="360">
        <v>3.2060848683274361E-5</v>
      </c>
      <c r="P109" s="475">
        <v>45.5183489621826</v>
      </c>
      <c r="Q109" s="482" t="s">
        <v>625</v>
      </c>
    </row>
    <row r="110" spans="1:17">
      <c r="A110" s="453">
        <v>46057</v>
      </c>
      <c r="B110" s="465" t="s">
        <v>811</v>
      </c>
      <c r="C110" s="465" t="s">
        <v>811</v>
      </c>
      <c r="D110" s="360" t="s">
        <v>626</v>
      </c>
      <c r="E110" s="361">
        <v>46073</v>
      </c>
      <c r="F110" s="360" t="s">
        <v>598</v>
      </c>
      <c r="G110" s="360" t="s">
        <v>138</v>
      </c>
      <c r="H110" s="360" t="s">
        <v>874</v>
      </c>
      <c r="I110" s="360" t="s">
        <v>599</v>
      </c>
      <c r="J110" s="476">
        <v>0.02</v>
      </c>
      <c r="K110" s="360">
        <v>12.65</v>
      </c>
      <c r="L110" s="477">
        <v>0</v>
      </c>
      <c r="M110" s="478">
        <v>0</v>
      </c>
      <c r="N110" s="360">
        <v>0</v>
      </c>
      <c r="O110" s="360">
        <v>9.9464440604921447E-4</v>
      </c>
      <c r="P110" s="475">
        <v>43.250316493728796</v>
      </c>
      <c r="Q110" s="482" t="s">
        <v>625</v>
      </c>
    </row>
    <row r="111" spans="1:17">
      <c r="A111" s="453">
        <v>46057</v>
      </c>
      <c r="B111" s="465" t="s">
        <v>812</v>
      </c>
      <c r="C111" s="465" t="s">
        <v>812</v>
      </c>
      <c r="D111" s="360" t="s">
        <v>626</v>
      </c>
      <c r="E111" s="361">
        <v>46073</v>
      </c>
      <c r="F111" s="360" t="s">
        <v>598</v>
      </c>
      <c r="G111" s="360" t="s">
        <v>138</v>
      </c>
      <c r="H111" s="360" t="s">
        <v>875</v>
      </c>
      <c r="I111" s="360" t="s">
        <v>599</v>
      </c>
      <c r="J111" s="476">
        <v>0.05</v>
      </c>
      <c r="K111" s="360">
        <v>13.62</v>
      </c>
      <c r="L111" s="477">
        <v>0</v>
      </c>
      <c r="M111" s="478">
        <v>0</v>
      </c>
      <c r="N111" s="360">
        <v>0</v>
      </c>
      <c r="O111" s="360">
        <v>7.2070390769847425E-3</v>
      </c>
      <c r="P111" s="475">
        <v>40.415417670580304</v>
      </c>
      <c r="Q111" s="482" t="s">
        <v>625</v>
      </c>
    </row>
    <row r="112" spans="1:17">
      <c r="A112" s="453">
        <v>46057</v>
      </c>
      <c r="B112" s="465" t="s">
        <v>813</v>
      </c>
      <c r="C112" s="465" t="s">
        <v>813</v>
      </c>
      <c r="D112" s="360" t="s">
        <v>814</v>
      </c>
      <c r="E112" s="361">
        <v>46073</v>
      </c>
      <c r="F112" s="360" t="s">
        <v>598</v>
      </c>
      <c r="G112" s="360" t="s">
        <v>138</v>
      </c>
      <c r="H112" s="360" t="s">
        <v>876</v>
      </c>
      <c r="I112" s="360" t="s">
        <v>599</v>
      </c>
      <c r="J112" s="476">
        <v>0.02</v>
      </c>
      <c r="K112" s="360">
        <v>12.02</v>
      </c>
      <c r="L112" s="477">
        <v>0</v>
      </c>
      <c r="M112" s="478">
        <v>0</v>
      </c>
      <c r="N112" s="360">
        <v>0</v>
      </c>
      <c r="O112" s="360">
        <v>2.3515211147351329E-3</v>
      </c>
      <c r="P112" s="475">
        <v>58.966332966259699</v>
      </c>
      <c r="Q112" s="482" t="s">
        <v>625</v>
      </c>
    </row>
    <row r="113" spans="1:17">
      <c r="A113" s="453">
        <v>46057</v>
      </c>
      <c r="B113" s="465" t="s">
        <v>815</v>
      </c>
      <c r="C113" s="465" t="s">
        <v>815</v>
      </c>
      <c r="D113" s="360" t="s">
        <v>814</v>
      </c>
      <c r="E113" s="361">
        <v>46073</v>
      </c>
      <c r="F113" s="360" t="s">
        <v>598</v>
      </c>
      <c r="G113" s="360" t="s">
        <v>138</v>
      </c>
      <c r="H113" s="360" t="s">
        <v>877</v>
      </c>
      <c r="I113" s="360" t="s">
        <v>599</v>
      </c>
      <c r="J113" s="476">
        <v>0.04</v>
      </c>
      <c r="K113" s="360">
        <v>13</v>
      </c>
      <c r="L113" s="477">
        <v>0</v>
      </c>
      <c r="M113" s="478">
        <v>0</v>
      </c>
      <c r="N113" s="360">
        <v>0</v>
      </c>
      <c r="O113" s="360">
        <v>7.9217976756070473E-3</v>
      </c>
      <c r="P113" s="475">
        <v>52.615813648249102</v>
      </c>
      <c r="Q113" s="482" t="s">
        <v>625</v>
      </c>
    </row>
    <row r="114" spans="1:17">
      <c r="A114" s="453">
        <v>46057</v>
      </c>
      <c r="B114" s="466" t="s">
        <v>878</v>
      </c>
      <c r="C114" s="466" t="s">
        <v>878</v>
      </c>
      <c r="D114" s="360" t="s">
        <v>758</v>
      </c>
      <c r="E114" s="361">
        <v>46073</v>
      </c>
      <c r="F114" s="360" t="s">
        <v>603</v>
      </c>
      <c r="G114" s="360" t="s">
        <v>138</v>
      </c>
      <c r="H114" s="360" t="s">
        <v>879</v>
      </c>
      <c r="I114" s="360" t="s">
        <v>599</v>
      </c>
      <c r="J114" s="476">
        <v>1.94</v>
      </c>
      <c r="K114" s="360">
        <v>0</v>
      </c>
      <c r="L114" s="477">
        <v>0</v>
      </c>
      <c r="M114" s="478">
        <v>0</v>
      </c>
      <c r="N114" s="360">
        <v>0</v>
      </c>
      <c r="O114" s="360">
        <v>0.30027704379758863</v>
      </c>
      <c r="P114" s="475">
        <v>26.439905332802098</v>
      </c>
      <c r="Q114" s="482" t="s">
        <v>625</v>
      </c>
    </row>
    <row r="115" spans="1:17">
      <c r="A115" s="453">
        <v>46057</v>
      </c>
      <c r="B115" s="466" t="s">
        <v>880</v>
      </c>
      <c r="C115" s="466" t="s">
        <v>880</v>
      </c>
      <c r="D115" s="360" t="s">
        <v>758</v>
      </c>
      <c r="E115" s="361">
        <v>46073</v>
      </c>
      <c r="F115" s="360" t="s">
        <v>598</v>
      </c>
      <c r="G115" s="360" t="s">
        <v>138</v>
      </c>
      <c r="H115" s="360" t="s">
        <v>881</v>
      </c>
      <c r="I115" s="360" t="s">
        <v>599</v>
      </c>
      <c r="J115" s="476">
        <v>0.03</v>
      </c>
      <c r="K115" s="360">
        <v>46.97</v>
      </c>
      <c r="L115" s="477">
        <v>0</v>
      </c>
      <c r="M115" s="478">
        <v>0</v>
      </c>
      <c r="N115" s="360">
        <v>0</v>
      </c>
      <c r="O115" s="360">
        <v>1.2793902020973255E-3</v>
      </c>
      <c r="P115" s="475">
        <v>32.669116321276498</v>
      </c>
      <c r="Q115" s="482" t="s">
        <v>625</v>
      </c>
    </row>
    <row r="116" spans="1:17">
      <c r="A116" s="453">
        <v>46057</v>
      </c>
      <c r="B116" s="466" t="s">
        <v>882</v>
      </c>
      <c r="C116" s="466" t="s">
        <v>882</v>
      </c>
      <c r="D116" s="360" t="s">
        <v>758</v>
      </c>
      <c r="E116" s="361">
        <v>46073</v>
      </c>
      <c r="F116" s="360" t="s">
        <v>598</v>
      </c>
      <c r="G116" s="360" t="s">
        <v>138</v>
      </c>
      <c r="H116" s="360" t="s">
        <v>883</v>
      </c>
      <c r="I116" s="360" t="s">
        <v>599</v>
      </c>
      <c r="J116" s="476">
        <v>0.15</v>
      </c>
      <c r="K116" s="360">
        <v>50.35</v>
      </c>
      <c r="L116" s="477">
        <v>0</v>
      </c>
      <c r="M116" s="478">
        <v>0</v>
      </c>
      <c r="N116" s="360">
        <v>0</v>
      </c>
      <c r="O116" s="360">
        <v>1.7018318026826199E-2</v>
      </c>
      <c r="P116" s="475">
        <v>30.032904510826899</v>
      </c>
      <c r="Q116" s="482" t="s">
        <v>625</v>
      </c>
    </row>
    <row r="117" spans="1:17">
      <c r="A117" s="453">
        <v>46057</v>
      </c>
      <c r="B117" s="465" t="s">
        <v>884</v>
      </c>
      <c r="C117" s="465" t="s">
        <v>884</v>
      </c>
      <c r="D117" s="360" t="s">
        <v>624</v>
      </c>
      <c r="E117" s="361">
        <v>46101</v>
      </c>
      <c r="F117" s="360" t="s">
        <v>603</v>
      </c>
      <c r="G117" s="360" t="s">
        <v>138</v>
      </c>
      <c r="H117" s="360" t="s">
        <v>885</v>
      </c>
      <c r="I117" s="360" t="s">
        <v>599</v>
      </c>
      <c r="J117" s="476">
        <v>0.52</v>
      </c>
      <c r="K117" s="360">
        <v>0</v>
      </c>
      <c r="L117" s="477">
        <v>0</v>
      </c>
      <c r="M117" s="478">
        <v>0</v>
      </c>
      <c r="N117" s="360">
        <v>0</v>
      </c>
      <c r="O117" s="360">
        <v>3.0506166437971313E-2</v>
      </c>
      <c r="P117" s="475">
        <v>31.381854092035596</v>
      </c>
      <c r="Q117" s="482" t="s">
        <v>625</v>
      </c>
    </row>
    <row r="118" spans="1:17">
      <c r="A118" s="453">
        <v>46057</v>
      </c>
      <c r="B118" s="465" t="s">
        <v>886</v>
      </c>
      <c r="C118" s="465" t="s">
        <v>886</v>
      </c>
      <c r="D118" s="360" t="s">
        <v>624</v>
      </c>
      <c r="E118" s="361">
        <v>46101</v>
      </c>
      <c r="F118" s="360" t="s">
        <v>598</v>
      </c>
      <c r="G118" s="360" t="s">
        <v>138</v>
      </c>
      <c r="H118" s="360" t="s">
        <v>887</v>
      </c>
      <c r="I118" s="360" t="s">
        <v>599</v>
      </c>
      <c r="J118" s="476">
        <v>0.75</v>
      </c>
      <c r="K118" s="360">
        <v>20.56</v>
      </c>
      <c r="L118" s="477">
        <v>0</v>
      </c>
      <c r="M118" s="478">
        <v>0</v>
      </c>
      <c r="N118" s="360">
        <v>0</v>
      </c>
      <c r="O118" s="360">
        <v>0.1190143380785284</v>
      </c>
      <c r="P118" s="475">
        <v>36.1630705959737</v>
      </c>
      <c r="Q118" s="482" t="s">
        <v>625</v>
      </c>
    </row>
    <row r="119" spans="1:17">
      <c r="A119" s="453">
        <v>46057</v>
      </c>
      <c r="B119" s="465" t="s">
        <v>888</v>
      </c>
      <c r="C119" s="465" t="s">
        <v>888</v>
      </c>
      <c r="D119" s="360" t="s">
        <v>624</v>
      </c>
      <c r="E119" s="361">
        <v>46101</v>
      </c>
      <c r="F119" s="360" t="s">
        <v>598</v>
      </c>
      <c r="G119" s="360" t="s">
        <v>138</v>
      </c>
      <c r="H119" s="360" t="s">
        <v>889</v>
      </c>
      <c r="I119" s="360" t="s">
        <v>599</v>
      </c>
      <c r="J119" s="476">
        <v>1.5</v>
      </c>
      <c r="K119" s="360">
        <v>21.81</v>
      </c>
      <c r="L119" s="477">
        <v>0</v>
      </c>
      <c r="M119" s="478">
        <v>0</v>
      </c>
      <c r="N119" s="360">
        <v>0</v>
      </c>
      <c r="O119" s="360">
        <v>0.29717651314040627</v>
      </c>
      <c r="P119" s="475">
        <v>33.580955202905706</v>
      </c>
      <c r="Q119" s="482" t="s">
        <v>625</v>
      </c>
    </row>
    <row r="120" spans="1:17">
      <c r="A120" s="453">
        <v>46057</v>
      </c>
      <c r="B120" s="465" t="s">
        <v>890</v>
      </c>
      <c r="C120" s="465" t="s">
        <v>890</v>
      </c>
      <c r="D120" s="360" t="s">
        <v>891</v>
      </c>
      <c r="E120" s="361">
        <v>46073</v>
      </c>
      <c r="F120" s="360" t="s">
        <v>603</v>
      </c>
      <c r="G120" s="360" t="s">
        <v>138</v>
      </c>
      <c r="H120" s="360" t="s">
        <v>892</v>
      </c>
      <c r="I120" s="360" t="s">
        <v>599</v>
      </c>
      <c r="J120" s="476">
        <v>13.3</v>
      </c>
      <c r="K120" s="360">
        <v>0</v>
      </c>
      <c r="L120" s="477">
        <v>0</v>
      </c>
      <c r="M120" s="478">
        <v>0</v>
      </c>
      <c r="N120" s="360">
        <v>0</v>
      </c>
      <c r="O120" s="360">
        <v>2.6991092591451595</v>
      </c>
      <c r="P120" s="475">
        <v>55.2544842697828</v>
      </c>
      <c r="Q120" s="482" t="s">
        <v>625</v>
      </c>
    </row>
    <row r="121" spans="1:17">
      <c r="A121" s="453">
        <v>46057</v>
      </c>
      <c r="B121" s="465" t="s">
        <v>893</v>
      </c>
      <c r="C121" s="465" t="s">
        <v>893</v>
      </c>
      <c r="D121" s="360" t="s">
        <v>891</v>
      </c>
      <c r="E121" s="361">
        <v>46073</v>
      </c>
      <c r="F121" s="360" t="s">
        <v>603</v>
      </c>
      <c r="G121" s="360" t="s">
        <v>138</v>
      </c>
      <c r="H121" s="360" t="s">
        <v>894</v>
      </c>
      <c r="I121" s="360" t="s">
        <v>599</v>
      </c>
      <c r="J121" s="476">
        <v>9.1999999999999993</v>
      </c>
      <c r="K121" s="360">
        <v>0</v>
      </c>
      <c r="L121" s="477">
        <v>0</v>
      </c>
      <c r="M121" s="478">
        <v>0</v>
      </c>
      <c r="N121" s="360">
        <v>0</v>
      </c>
      <c r="O121" s="360">
        <v>1.7928297352181775</v>
      </c>
      <c r="P121" s="475">
        <v>45.200149109915799</v>
      </c>
      <c r="Q121" s="482" t="s">
        <v>625</v>
      </c>
    </row>
    <row r="122" spans="1:17">
      <c r="A122" s="453">
        <v>46057</v>
      </c>
      <c r="B122" s="480" t="s">
        <v>905</v>
      </c>
      <c r="C122" s="480" t="s">
        <v>905</v>
      </c>
      <c r="D122" s="360" t="s">
        <v>626</v>
      </c>
      <c r="E122" s="361">
        <v>46073</v>
      </c>
      <c r="F122" s="360" t="s">
        <v>603</v>
      </c>
      <c r="G122" s="360" t="s">
        <v>138</v>
      </c>
      <c r="H122" s="360" t="s">
        <v>906</v>
      </c>
      <c r="I122" s="360" t="s">
        <v>599</v>
      </c>
      <c r="J122" s="476">
        <v>0.69</v>
      </c>
      <c r="K122" s="360">
        <v>0</v>
      </c>
      <c r="L122" s="477">
        <v>0</v>
      </c>
      <c r="M122" s="478">
        <v>0</v>
      </c>
      <c r="N122" s="360">
        <v>0</v>
      </c>
      <c r="O122" s="360">
        <v>0.13166859198179998</v>
      </c>
      <c r="P122" s="475">
        <v>36.351454048014098</v>
      </c>
      <c r="Q122" s="482" t="s">
        <v>625</v>
      </c>
    </row>
    <row r="123" spans="1:17">
      <c r="A123" s="453">
        <v>46057</v>
      </c>
      <c r="B123" s="480" t="s">
        <v>907</v>
      </c>
      <c r="C123" s="480" t="s">
        <v>907</v>
      </c>
      <c r="D123" s="360" t="s">
        <v>687</v>
      </c>
      <c r="E123" s="361">
        <v>46071</v>
      </c>
      <c r="F123" s="360" t="s">
        <v>598</v>
      </c>
      <c r="G123" s="360" t="s">
        <v>138</v>
      </c>
      <c r="H123" s="360" t="s">
        <v>908</v>
      </c>
      <c r="I123" s="360" t="s">
        <v>599</v>
      </c>
      <c r="J123" s="476">
        <v>130</v>
      </c>
      <c r="K123" s="360">
        <v>160870</v>
      </c>
      <c r="L123" s="477">
        <v>0</v>
      </c>
      <c r="M123" s="478">
        <v>0</v>
      </c>
      <c r="N123" s="360">
        <v>0</v>
      </c>
      <c r="O123" s="360">
        <v>7.4397446386400583</v>
      </c>
      <c r="P123" s="475">
        <v>30.944988597800396</v>
      </c>
      <c r="Q123" s="482" t="s">
        <v>625</v>
      </c>
    </row>
    <row r="124" spans="1:17">
      <c r="A124" s="453">
        <v>46057</v>
      </c>
      <c r="B124" s="480" t="s">
        <v>909</v>
      </c>
      <c r="C124" s="480" t="s">
        <v>909</v>
      </c>
      <c r="D124" s="360" t="s">
        <v>772</v>
      </c>
      <c r="E124" s="361">
        <v>46073</v>
      </c>
      <c r="F124" s="360" t="s">
        <v>598</v>
      </c>
      <c r="G124" s="360" t="s">
        <v>138</v>
      </c>
      <c r="H124" s="360" t="s">
        <v>910</v>
      </c>
      <c r="I124" s="360" t="s">
        <v>599</v>
      </c>
      <c r="J124" s="476">
        <v>0.3</v>
      </c>
      <c r="K124" s="360">
        <v>107.7</v>
      </c>
      <c r="L124" s="477">
        <v>0</v>
      </c>
      <c r="M124" s="478">
        <v>0</v>
      </c>
      <c r="N124" s="360">
        <v>0</v>
      </c>
      <c r="O124" s="360">
        <v>5.7315123415963364E-2</v>
      </c>
      <c r="P124" s="475">
        <v>44.665937619772201</v>
      </c>
      <c r="Q124" s="482" t="s">
        <v>625</v>
      </c>
    </row>
    <row r="125" spans="1:17">
      <c r="A125" s="453">
        <v>46057</v>
      </c>
      <c r="B125" s="480" t="s">
        <v>911</v>
      </c>
      <c r="C125" s="480" t="s">
        <v>911</v>
      </c>
      <c r="D125" s="360" t="s">
        <v>772</v>
      </c>
      <c r="E125" s="361">
        <v>46073</v>
      </c>
      <c r="F125" s="360" t="s">
        <v>598</v>
      </c>
      <c r="G125" s="360" t="s">
        <v>138</v>
      </c>
      <c r="H125" s="360" t="s">
        <v>912</v>
      </c>
      <c r="I125" s="360" t="s">
        <v>599</v>
      </c>
      <c r="J125" s="476">
        <v>0.56999999999999995</v>
      </c>
      <c r="K125" s="360">
        <v>112.43</v>
      </c>
      <c r="L125" s="477">
        <v>0</v>
      </c>
      <c r="M125" s="478">
        <v>0</v>
      </c>
      <c r="N125" s="360">
        <v>0</v>
      </c>
      <c r="O125" s="360">
        <v>0.1121569320664387</v>
      </c>
      <c r="P125" s="475">
        <v>39.045107653881701</v>
      </c>
      <c r="Q125" s="482" t="s">
        <v>625</v>
      </c>
    </row>
    <row r="126" spans="1:17">
      <c r="A126" s="453">
        <v>46057</v>
      </c>
      <c r="B126" s="465" t="s">
        <v>915</v>
      </c>
      <c r="C126" s="465" t="s">
        <v>915</v>
      </c>
      <c r="D126" s="360" t="s">
        <v>772</v>
      </c>
      <c r="E126" s="361">
        <v>46073</v>
      </c>
      <c r="F126" s="360" t="s">
        <v>598</v>
      </c>
      <c r="G126" s="360" t="s">
        <v>138</v>
      </c>
      <c r="H126" s="360" t="s">
        <v>916</v>
      </c>
      <c r="I126" s="360" t="s">
        <v>599</v>
      </c>
      <c r="J126" s="476">
        <v>0.65</v>
      </c>
      <c r="K126" s="360">
        <v>113.35</v>
      </c>
      <c r="L126" s="477">
        <v>0</v>
      </c>
      <c r="M126" s="478">
        <v>0</v>
      </c>
      <c r="N126" s="360">
        <v>0</v>
      </c>
      <c r="O126" s="360">
        <v>0.12999037457746751</v>
      </c>
      <c r="P126" s="475">
        <v>38.029691589073103</v>
      </c>
      <c r="Q126" s="482" t="s">
        <v>625</v>
      </c>
    </row>
    <row r="127" spans="1:17">
      <c r="A127" s="453">
        <v>46057</v>
      </c>
      <c r="B127" s="465" t="s">
        <v>917</v>
      </c>
      <c r="C127" s="465" t="s">
        <v>917</v>
      </c>
      <c r="D127" s="360" t="s">
        <v>918</v>
      </c>
      <c r="E127" s="361">
        <v>46073</v>
      </c>
      <c r="F127" s="360" t="s">
        <v>603</v>
      </c>
      <c r="G127" s="360" t="s">
        <v>138</v>
      </c>
      <c r="H127" s="360" t="s">
        <v>919</v>
      </c>
      <c r="I127" s="360" t="s">
        <v>599</v>
      </c>
      <c r="J127" s="476">
        <v>0.43</v>
      </c>
      <c r="K127" s="360">
        <v>0</v>
      </c>
      <c r="L127" s="477">
        <v>0</v>
      </c>
      <c r="M127" s="478">
        <v>0</v>
      </c>
      <c r="N127" s="360">
        <v>0</v>
      </c>
      <c r="O127" s="360">
        <v>3.7457239828569286E-2</v>
      </c>
      <c r="P127" s="475">
        <v>28.869495310670299</v>
      </c>
      <c r="Q127" s="482" t="s">
        <v>625</v>
      </c>
    </row>
    <row r="128" spans="1:17">
      <c r="A128" s="453">
        <v>46057</v>
      </c>
      <c r="B128" s="465" t="s">
        <v>920</v>
      </c>
      <c r="C128" s="465" t="s">
        <v>920</v>
      </c>
      <c r="D128" s="360" t="s">
        <v>918</v>
      </c>
      <c r="E128" s="361">
        <v>46073</v>
      </c>
      <c r="F128" s="360" t="s">
        <v>598</v>
      </c>
      <c r="G128" s="360" t="s">
        <v>138</v>
      </c>
      <c r="H128" s="360" t="s">
        <v>921</v>
      </c>
      <c r="I128" s="360" t="s">
        <v>599</v>
      </c>
      <c r="J128" s="476">
        <v>0.14000000000000001</v>
      </c>
      <c r="K128" s="360">
        <v>25.75</v>
      </c>
      <c r="L128" s="477">
        <v>0</v>
      </c>
      <c r="M128" s="478">
        <v>0</v>
      </c>
      <c r="N128" s="360">
        <v>0</v>
      </c>
      <c r="O128" s="360">
        <v>1.1858213237967983E-2</v>
      </c>
      <c r="P128" s="475">
        <v>36.078236160482</v>
      </c>
      <c r="Q128" s="482" t="s">
        <v>625</v>
      </c>
    </row>
    <row r="129" spans="1:17">
      <c r="A129" s="453">
        <v>46057</v>
      </c>
      <c r="B129" s="465" t="s">
        <v>922</v>
      </c>
      <c r="C129" s="465" t="s">
        <v>922</v>
      </c>
      <c r="D129" s="360" t="s">
        <v>918</v>
      </c>
      <c r="E129" s="361">
        <v>46073</v>
      </c>
      <c r="F129" s="360" t="s">
        <v>598</v>
      </c>
      <c r="G129" s="360" t="s">
        <v>138</v>
      </c>
      <c r="H129" s="360" t="s">
        <v>923</v>
      </c>
      <c r="I129" s="360" t="s">
        <v>599</v>
      </c>
      <c r="J129" s="476">
        <v>0.69</v>
      </c>
      <c r="K129" s="360">
        <v>27.45</v>
      </c>
      <c r="L129" s="477">
        <v>0</v>
      </c>
      <c r="M129" s="478">
        <v>0</v>
      </c>
      <c r="N129" s="360">
        <v>0</v>
      </c>
      <c r="O129" s="360">
        <v>8.733623082419989E-2</v>
      </c>
      <c r="P129" s="475">
        <v>32.256046320294203</v>
      </c>
      <c r="Q129" s="482" t="s">
        <v>625</v>
      </c>
    </row>
    <row r="130" spans="1:17">
      <c r="A130" s="453">
        <v>46057</v>
      </c>
      <c r="B130" s="480" t="s">
        <v>932</v>
      </c>
      <c r="C130" s="480" t="s">
        <v>932</v>
      </c>
      <c r="D130" s="360" t="s">
        <v>687</v>
      </c>
      <c r="E130" s="361">
        <v>46071</v>
      </c>
      <c r="F130" s="360" t="s">
        <v>598</v>
      </c>
      <c r="G130" s="360" t="s">
        <v>138</v>
      </c>
      <c r="H130" s="360" t="s">
        <v>945</v>
      </c>
      <c r="I130" s="360" t="s">
        <v>599</v>
      </c>
      <c r="J130" s="476">
        <v>200</v>
      </c>
      <c r="K130" s="360">
        <v>162800</v>
      </c>
      <c r="L130" s="477">
        <v>0</v>
      </c>
      <c r="M130" s="478">
        <v>0</v>
      </c>
      <c r="N130" s="360">
        <v>0</v>
      </c>
      <c r="O130" s="360">
        <v>13.271537997281401</v>
      </c>
      <c r="P130" s="475">
        <v>30.6900595345456</v>
      </c>
      <c r="Q130" s="482" t="s">
        <v>625</v>
      </c>
    </row>
    <row r="131" spans="1:17">
      <c r="A131" s="453">
        <v>46057</v>
      </c>
      <c r="B131" s="465" t="s">
        <v>967</v>
      </c>
      <c r="C131" s="465" t="s">
        <v>967</v>
      </c>
      <c r="D131" s="360" t="s">
        <v>808</v>
      </c>
      <c r="E131" s="361">
        <v>46073</v>
      </c>
      <c r="F131" s="360" t="s">
        <v>598</v>
      </c>
      <c r="G131" s="360" t="s">
        <v>138</v>
      </c>
      <c r="H131" s="360" t="s">
        <v>968</v>
      </c>
      <c r="I131" s="360" t="s">
        <v>599</v>
      </c>
      <c r="J131" s="476">
        <v>0.13</v>
      </c>
      <c r="K131" s="360">
        <v>34.019999999999996</v>
      </c>
      <c r="L131" s="477">
        <v>0</v>
      </c>
      <c r="M131" s="478">
        <v>0</v>
      </c>
      <c r="N131" s="360">
        <v>0</v>
      </c>
      <c r="O131" s="360">
        <v>1.9633940697233308E-2</v>
      </c>
      <c r="P131" s="475">
        <v>36.645989063242205</v>
      </c>
      <c r="Q131" s="482" t="s">
        <v>625</v>
      </c>
    </row>
    <row r="132" spans="1:17">
      <c r="A132" s="453">
        <v>46057</v>
      </c>
      <c r="B132" s="465" t="s">
        <v>969</v>
      </c>
      <c r="C132" s="465" t="s">
        <v>969</v>
      </c>
      <c r="D132" s="360" t="s">
        <v>970</v>
      </c>
      <c r="E132" s="361">
        <v>46073</v>
      </c>
      <c r="F132" s="360" t="s">
        <v>598</v>
      </c>
      <c r="G132" s="360" t="s">
        <v>138</v>
      </c>
      <c r="H132" s="360" t="s">
        <v>971</v>
      </c>
      <c r="I132" s="360" t="s">
        <v>599</v>
      </c>
      <c r="J132" s="476">
        <v>7.0000000000000007E-2</v>
      </c>
      <c r="K132" s="360">
        <v>43.18</v>
      </c>
      <c r="L132" s="477">
        <v>0</v>
      </c>
      <c r="M132" s="478">
        <v>0</v>
      </c>
      <c r="N132" s="360">
        <v>0</v>
      </c>
      <c r="O132" s="360">
        <v>1.2432544655776151E-2</v>
      </c>
      <c r="P132" s="475">
        <v>44.430142293967002</v>
      </c>
      <c r="Q132" s="482" t="s">
        <v>625</v>
      </c>
    </row>
    <row r="133" spans="1:17">
      <c r="A133" s="453">
        <v>46057</v>
      </c>
      <c r="B133" s="465" t="s">
        <v>972</v>
      </c>
      <c r="C133" s="465" t="s">
        <v>972</v>
      </c>
      <c r="D133" s="360" t="s">
        <v>970</v>
      </c>
      <c r="E133" s="361">
        <v>46073</v>
      </c>
      <c r="F133" s="360" t="s">
        <v>598</v>
      </c>
      <c r="G133" s="360" t="s">
        <v>138</v>
      </c>
      <c r="H133" s="360" t="s">
        <v>973</v>
      </c>
      <c r="I133" s="360" t="s">
        <v>599</v>
      </c>
      <c r="J133" s="476">
        <v>0.26</v>
      </c>
      <c r="K133" s="360">
        <v>45.99</v>
      </c>
      <c r="L133" s="477">
        <v>0</v>
      </c>
      <c r="M133" s="478">
        <v>0</v>
      </c>
      <c r="N133" s="360">
        <v>0</v>
      </c>
      <c r="O133" s="360">
        <v>5.4064400467395232E-2</v>
      </c>
      <c r="P133" s="475">
        <v>41.2661768033432</v>
      </c>
      <c r="Q133" s="482" t="s">
        <v>625</v>
      </c>
    </row>
    <row r="134" spans="1:17">
      <c r="A134" s="453">
        <v>46057</v>
      </c>
      <c r="B134" s="465" t="s">
        <v>974</v>
      </c>
      <c r="C134" s="465" t="s">
        <v>974</v>
      </c>
      <c r="D134" s="360" t="s">
        <v>970</v>
      </c>
      <c r="E134" s="361">
        <v>46101</v>
      </c>
      <c r="F134" s="360" t="s">
        <v>603</v>
      </c>
      <c r="G134" s="360" t="s">
        <v>138</v>
      </c>
      <c r="H134" s="360" t="s">
        <v>883</v>
      </c>
      <c r="I134" s="360" t="s">
        <v>599</v>
      </c>
      <c r="J134" s="476">
        <v>2.9</v>
      </c>
      <c r="K134" s="360">
        <v>0</v>
      </c>
      <c r="L134" s="477">
        <v>0</v>
      </c>
      <c r="M134" s="478">
        <v>0</v>
      </c>
      <c r="N134" s="360">
        <v>0</v>
      </c>
      <c r="O134" s="360">
        <v>0.54210757677363841</v>
      </c>
      <c r="P134" s="475">
        <v>37.1529506123956</v>
      </c>
      <c r="Q134" s="482" t="s">
        <v>625</v>
      </c>
    </row>
    <row r="135" spans="1:17">
      <c r="A135" s="453">
        <v>46057</v>
      </c>
      <c r="B135" s="465" t="s">
        <v>975</v>
      </c>
      <c r="C135" s="465" t="s">
        <v>975</v>
      </c>
      <c r="D135" s="360" t="s">
        <v>970</v>
      </c>
      <c r="E135" s="361">
        <v>46101</v>
      </c>
      <c r="F135" s="360" t="s">
        <v>598</v>
      </c>
      <c r="G135" s="360" t="s">
        <v>138</v>
      </c>
      <c r="H135" s="360" t="s">
        <v>976</v>
      </c>
      <c r="I135" s="360" t="s">
        <v>599</v>
      </c>
      <c r="J135" s="476">
        <v>0.3</v>
      </c>
      <c r="K135" s="360">
        <v>42.2</v>
      </c>
      <c r="L135" s="477">
        <v>0</v>
      </c>
      <c r="M135" s="478">
        <v>0</v>
      </c>
      <c r="N135" s="360">
        <v>0</v>
      </c>
      <c r="O135" s="360">
        <v>5.946151832974271E-2</v>
      </c>
      <c r="P135" s="475">
        <v>41.657098440482898</v>
      </c>
      <c r="Q135" s="482" t="s">
        <v>625</v>
      </c>
    </row>
    <row r="136" spans="1:17">
      <c r="A136" s="453">
        <v>46057</v>
      </c>
      <c r="B136" s="465" t="s">
        <v>977</v>
      </c>
      <c r="C136" s="465" t="s">
        <v>977</v>
      </c>
      <c r="D136" s="360" t="s">
        <v>970</v>
      </c>
      <c r="E136" s="361">
        <v>46101</v>
      </c>
      <c r="F136" s="360" t="s">
        <v>598</v>
      </c>
      <c r="G136" s="360" t="s">
        <v>138</v>
      </c>
      <c r="H136" s="360" t="s">
        <v>978</v>
      </c>
      <c r="I136" s="360" t="s">
        <v>599</v>
      </c>
      <c r="J136" s="476">
        <v>0.94</v>
      </c>
      <c r="K136" s="360">
        <v>45.56</v>
      </c>
      <c r="L136" s="477">
        <v>0</v>
      </c>
      <c r="M136" s="478">
        <v>0</v>
      </c>
      <c r="N136" s="360">
        <v>0</v>
      </c>
      <c r="O136" s="360">
        <v>0.17059807916528258</v>
      </c>
      <c r="P136" s="475">
        <v>38.489040665384799</v>
      </c>
      <c r="Q136" s="482" t="s">
        <v>625</v>
      </c>
    </row>
    <row r="137" spans="1:17">
      <c r="A137" s="453">
        <v>46057</v>
      </c>
      <c r="B137" s="465" t="s">
        <v>999</v>
      </c>
      <c r="C137" s="465" t="s">
        <v>999</v>
      </c>
      <c r="D137" s="360" t="s">
        <v>1000</v>
      </c>
      <c r="E137" s="361">
        <v>46073</v>
      </c>
      <c r="F137" s="360" t="s">
        <v>598</v>
      </c>
      <c r="G137" s="360" t="s">
        <v>138</v>
      </c>
      <c r="H137" s="360" t="s">
        <v>1001</v>
      </c>
      <c r="I137" s="360" t="s">
        <v>599</v>
      </c>
      <c r="J137" s="476">
        <v>0.24</v>
      </c>
      <c r="K137" s="360">
        <v>40.699999999999996</v>
      </c>
      <c r="L137" s="477">
        <v>0</v>
      </c>
      <c r="M137" s="478">
        <v>0</v>
      </c>
      <c r="N137" s="360">
        <v>0</v>
      </c>
      <c r="O137" s="360">
        <v>4.176958122157174E-2</v>
      </c>
      <c r="P137" s="475">
        <v>40.616322357505403</v>
      </c>
      <c r="Q137" s="482" t="s">
        <v>625</v>
      </c>
    </row>
    <row r="138" spans="1:17">
      <c r="A138" s="453">
        <v>46057</v>
      </c>
      <c r="B138" s="465" t="s">
        <v>1002</v>
      </c>
      <c r="C138" s="465" t="s">
        <v>1002</v>
      </c>
      <c r="D138" s="360" t="s">
        <v>1000</v>
      </c>
      <c r="E138" s="361">
        <v>46073</v>
      </c>
      <c r="F138" s="360" t="s">
        <v>598</v>
      </c>
      <c r="G138" s="360" t="s">
        <v>138</v>
      </c>
      <c r="H138" s="360" t="s">
        <v>1003</v>
      </c>
      <c r="I138" s="360" t="s">
        <v>599</v>
      </c>
      <c r="J138" s="476">
        <v>0.6</v>
      </c>
      <c r="K138" s="360">
        <v>42.28</v>
      </c>
      <c r="L138" s="477">
        <v>0</v>
      </c>
      <c r="M138" s="478">
        <v>0</v>
      </c>
      <c r="N138" s="360">
        <v>0</v>
      </c>
      <c r="O138" s="360">
        <v>0.10311123621376585</v>
      </c>
      <c r="P138" s="475">
        <v>37.606650862307099</v>
      </c>
      <c r="Q138" s="482" t="s">
        <v>625</v>
      </c>
    </row>
    <row r="139" spans="1:17">
      <c r="A139" s="453">
        <v>46057</v>
      </c>
      <c r="B139" s="480" t="s">
        <v>1007</v>
      </c>
      <c r="C139" s="480" t="s">
        <v>1007</v>
      </c>
      <c r="D139" s="360" t="s">
        <v>772</v>
      </c>
      <c r="E139" s="361">
        <v>46073</v>
      </c>
      <c r="F139" s="360" t="s">
        <v>598</v>
      </c>
      <c r="G139" s="360" t="s">
        <v>138</v>
      </c>
      <c r="H139" s="360" t="s">
        <v>1008</v>
      </c>
      <c r="I139" s="360" t="s">
        <v>599</v>
      </c>
      <c r="J139" s="476">
        <v>1.72</v>
      </c>
      <c r="K139" s="360">
        <v>118.28</v>
      </c>
      <c r="L139" s="477">
        <v>0</v>
      </c>
      <c r="M139" s="478">
        <v>0</v>
      </c>
      <c r="N139" s="360">
        <v>0</v>
      </c>
      <c r="O139" s="360">
        <v>0.3406932510116128</v>
      </c>
      <c r="P139" s="475">
        <v>33.241930909436697</v>
      </c>
      <c r="Q139" s="482" t="s">
        <v>625</v>
      </c>
    </row>
    <row r="140" spans="1:17">
      <c r="A140" s="453">
        <v>46057</v>
      </c>
      <c r="B140" s="480" t="s">
        <v>1009</v>
      </c>
      <c r="C140" s="480" t="s">
        <v>1009</v>
      </c>
      <c r="D140" s="360" t="s">
        <v>891</v>
      </c>
      <c r="E140" s="361">
        <v>46073</v>
      </c>
      <c r="F140" s="360" t="s">
        <v>598</v>
      </c>
      <c r="G140" s="360" t="s">
        <v>138</v>
      </c>
      <c r="H140" s="360" t="s">
        <v>1010</v>
      </c>
      <c r="I140" s="360" t="s">
        <v>599</v>
      </c>
      <c r="J140" s="476">
        <v>0.32</v>
      </c>
      <c r="K140" s="360">
        <v>77.580000000000013</v>
      </c>
      <c r="L140" s="477">
        <v>0</v>
      </c>
      <c r="M140" s="478">
        <v>0</v>
      </c>
      <c r="N140" s="360">
        <v>0</v>
      </c>
      <c r="O140" s="360">
        <v>5.7152211279219059E-2</v>
      </c>
      <c r="P140" s="475">
        <v>50.969980501403803</v>
      </c>
      <c r="Q140" s="482" t="s">
        <v>625</v>
      </c>
    </row>
    <row r="141" spans="1:17">
      <c r="A141" s="453">
        <v>46057</v>
      </c>
      <c r="B141" s="480" t="s">
        <v>1011</v>
      </c>
      <c r="C141" s="480" t="s">
        <v>1011</v>
      </c>
      <c r="D141" s="360" t="s">
        <v>891</v>
      </c>
      <c r="E141" s="361">
        <v>46073</v>
      </c>
      <c r="F141" s="360" t="s">
        <v>598</v>
      </c>
      <c r="G141" s="360" t="s">
        <v>138</v>
      </c>
      <c r="H141" s="360" t="s">
        <v>1012</v>
      </c>
      <c r="I141" s="360" t="s">
        <v>599</v>
      </c>
      <c r="J141" s="476">
        <v>0.69</v>
      </c>
      <c r="K141" s="360">
        <v>82.210000000000008</v>
      </c>
      <c r="L141" s="477">
        <v>0</v>
      </c>
      <c r="M141" s="478">
        <v>0</v>
      </c>
      <c r="N141" s="360">
        <v>0</v>
      </c>
      <c r="O141" s="360">
        <v>0.12021668834668206</v>
      </c>
      <c r="P141" s="475">
        <v>42.027063085885196</v>
      </c>
      <c r="Q141" s="482" t="s">
        <v>625</v>
      </c>
    </row>
    <row r="142" spans="1:17">
      <c r="A142" s="453">
        <v>46057</v>
      </c>
      <c r="B142" s="465" t="s">
        <v>1037</v>
      </c>
      <c r="C142" s="465" t="s">
        <v>1037</v>
      </c>
      <c r="D142" s="360" t="s">
        <v>626</v>
      </c>
      <c r="E142" s="361">
        <v>46073</v>
      </c>
      <c r="F142" s="360" t="s">
        <v>598</v>
      </c>
      <c r="G142" s="360" t="s">
        <v>138</v>
      </c>
      <c r="H142" s="360" t="s">
        <v>1038</v>
      </c>
      <c r="I142" s="360" t="s">
        <v>599</v>
      </c>
      <c r="J142" s="476">
        <v>0.19</v>
      </c>
      <c r="K142" s="360">
        <v>14.48</v>
      </c>
      <c r="L142" s="477">
        <v>0</v>
      </c>
      <c r="M142" s="478">
        <v>0</v>
      </c>
      <c r="N142" s="360">
        <v>0</v>
      </c>
      <c r="O142" s="360">
        <v>3.3652513620991538E-2</v>
      </c>
      <c r="P142" s="475">
        <v>36.968154598556197</v>
      </c>
      <c r="Q142" s="482" t="s">
        <v>625</v>
      </c>
    </row>
    <row r="143" spans="1:17">
      <c r="A143" s="453">
        <v>46057</v>
      </c>
      <c r="B143" s="465" t="s">
        <v>1039</v>
      </c>
      <c r="C143" s="465" t="s">
        <v>1039</v>
      </c>
      <c r="D143" s="360" t="s">
        <v>1040</v>
      </c>
      <c r="E143" s="361">
        <v>46101</v>
      </c>
      <c r="F143" s="360" t="s">
        <v>598</v>
      </c>
      <c r="G143" s="360" t="s">
        <v>138</v>
      </c>
      <c r="H143" s="360" t="s">
        <v>887</v>
      </c>
      <c r="I143" s="360" t="s">
        <v>599</v>
      </c>
      <c r="J143" s="476">
        <v>0.51</v>
      </c>
      <c r="K143" s="360">
        <v>20.799999999999997</v>
      </c>
      <c r="L143" s="477">
        <v>0</v>
      </c>
      <c r="M143" s="478">
        <v>0</v>
      </c>
      <c r="N143" s="360">
        <v>0</v>
      </c>
      <c r="O143" s="360">
        <v>8.862145059870942E-2</v>
      </c>
      <c r="P143" s="475">
        <v>34.483584705204102</v>
      </c>
      <c r="Q143" s="482" t="s">
        <v>625</v>
      </c>
    </row>
    <row r="144" spans="1:17">
      <c r="A144" s="453">
        <v>46057</v>
      </c>
      <c r="B144" s="465" t="s">
        <v>1041</v>
      </c>
      <c r="C144" s="465" t="s">
        <v>1041</v>
      </c>
      <c r="D144" s="360" t="s">
        <v>1040</v>
      </c>
      <c r="E144" s="361">
        <v>46101</v>
      </c>
      <c r="F144" s="360" t="s">
        <v>598</v>
      </c>
      <c r="G144" s="360" t="s">
        <v>138</v>
      </c>
      <c r="H144" s="360" t="s">
        <v>1042</v>
      </c>
      <c r="I144" s="360" t="s">
        <v>599</v>
      </c>
      <c r="J144" s="476">
        <v>1.1299999999999999</v>
      </c>
      <c r="K144" s="360">
        <v>21.68</v>
      </c>
      <c r="L144" s="477">
        <v>0</v>
      </c>
      <c r="M144" s="478">
        <v>0</v>
      </c>
      <c r="N144" s="360">
        <v>0</v>
      </c>
      <c r="O144" s="360">
        <v>0.2006202679106848</v>
      </c>
      <c r="P144" s="475">
        <v>33.541306524741103</v>
      </c>
      <c r="Q144" s="482" t="s">
        <v>625</v>
      </c>
    </row>
    <row r="145" spans="1:17">
      <c r="A145" s="453">
        <v>46057</v>
      </c>
      <c r="B145" s="465" t="s">
        <v>1071</v>
      </c>
      <c r="C145" s="465" t="s">
        <v>1071</v>
      </c>
      <c r="D145" s="360" t="s">
        <v>1072</v>
      </c>
      <c r="E145" s="361">
        <v>46073</v>
      </c>
      <c r="F145" s="360" t="s">
        <v>598</v>
      </c>
      <c r="G145" s="360" t="s">
        <v>138</v>
      </c>
      <c r="H145" s="360" t="s">
        <v>1073</v>
      </c>
      <c r="I145" s="360" t="s">
        <v>599</v>
      </c>
      <c r="J145" s="476">
        <v>0.11</v>
      </c>
      <c r="K145" s="360">
        <v>12.370000000000001</v>
      </c>
      <c r="L145" s="477">
        <v>0</v>
      </c>
      <c r="M145" s="478">
        <v>0</v>
      </c>
      <c r="N145" s="360">
        <v>0</v>
      </c>
      <c r="O145" s="360">
        <v>6.3459066001160455E-3</v>
      </c>
      <c r="P145" s="475">
        <v>24.3884164793396</v>
      </c>
      <c r="Q145" s="482" t="s">
        <v>625</v>
      </c>
    </row>
    <row r="146" spans="1:17">
      <c r="A146" s="453">
        <v>46057</v>
      </c>
      <c r="B146" s="465" t="s">
        <v>1074</v>
      </c>
      <c r="C146" s="465" t="s">
        <v>1074</v>
      </c>
      <c r="D146" s="360" t="s">
        <v>1072</v>
      </c>
      <c r="E146" s="361">
        <v>46073</v>
      </c>
      <c r="F146" s="360" t="s">
        <v>598</v>
      </c>
      <c r="G146" s="360" t="s">
        <v>138</v>
      </c>
      <c r="H146" s="360" t="s">
        <v>1075</v>
      </c>
      <c r="I146" s="360" t="s">
        <v>599</v>
      </c>
      <c r="J146" s="476">
        <v>0.37</v>
      </c>
      <c r="K146" s="360">
        <v>12.860000000000001</v>
      </c>
      <c r="L146" s="477">
        <v>0</v>
      </c>
      <c r="M146" s="478">
        <v>0</v>
      </c>
      <c r="N146" s="360">
        <v>0</v>
      </c>
      <c r="O146" s="360">
        <v>4.1629387014427373E-2</v>
      </c>
      <c r="P146" s="475">
        <v>21.521806798791602</v>
      </c>
      <c r="Q146" s="482" t="s">
        <v>625</v>
      </c>
    </row>
    <row r="147" spans="1:17">
      <c r="A147" s="453">
        <v>46057</v>
      </c>
      <c r="B147" s="465" t="s">
        <v>1076</v>
      </c>
      <c r="C147" s="465" t="s">
        <v>1076</v>
      </c>
      <c r="D147" s="360" t="s">
        <v>1077</v>
      </c>
      <c r="E147" s="361">
        <v>46101</v>
      </c>
      <c r="F147" s="360" t="s">
        <v>603</v>
      </c>
      <c r="G147" s="360" t="s">
        <v>138</v>
      </c>
      <c r="H147" s="360" t="s">
        <v>1078</v>
      </c>
      <c r="I147" s="360" t="s">
        <v>599</v>
      </c>
      <c r="J147" s="476">
        <v>0.78</v>
      </c>
      <c r="K147" s="360">
        <v>0</v>
      </c>
      <c r="L147" s="477">
        <v>0</v>
      </c>
      <c r="M147" s="478">
        <v>0</v>
      </c>
      <c r="N147" s="360">
        <v>0</v>
      </c>
      <c r="O147" s="360">
        <v>0.17356708783625113</v>
      </c>
      <c r="P147" s="475">
        <v>31.020055181064997</v>
      </c>
      <c r="Q147" s="482" t="s">
        <v>625</v>
      </c>
    </row>
    <row r="148" spans="1:17">
      <c r="A148" s="453">
        <v>46057</v>
      </c>
      <c r="B148" s="465" t="s">
        <v>1079</v>
      </c>
      <c r="C148" s="465" t="s">
        <v>1079</v>
      </c>
      <c r="D148" s="360" t="s">
        <v>1080</v>
      </c>
      <c r="E148" s="361">
        <v>46101</v>
      </c>
      <c r="F148" s="360" t="s">
        <v>603</v>
      </c>
      <c r="G148" s="360" t="s">
        <v>138</v>
      </c>
      <c r="H148" s="360" t="s">
        <v>1081</v>
      </c>
      <c r="I148" s="360" t="s">
        <v>599</v>
      </c>
      <c r="J148" s="476">
        <v>1.04</v>
      </c>
      <c r="K148" s="360">
        <v>0</v>
      </c>
      <c r="L148" s="477">
        <v>0</v>
      </c>
      <c r="M148" s="478">
        <v>0</v>
      </c>
      <c r="N148" s="360">
        <v>0</v>
      </c>
      <c r="O148" s="360">
        <v>0.17597994275041792</v>
      </c>
      <c r="P148" s="475">
        <v>38.490990313578898</v>
      </c>
      <c r="Q148" s="482" t="s">
        <v>625</v>
      </c>
    </row>
    <row r="149" spans="1:17">
      <c r="A149" s="453">
        <v>46057</v>
      </c>
      <c r="B149" s="465" t="s">
        <v>1082</v>
      </c>
      <c r="C149" s="465" t="s">
        <v>1082</v>
      </c>
      <c r="D149" s="360" t="s">
        <v>1080</v>
      </c>
      <c r="E149" s="361">
        <v>46101</v>
      </c>
      <c r="F149" s="360" t="s">
        <v>598</v>
      </c>
      <c r="G149" s="360" t="s">
        <v>138</v>
      </c>
      <c r="H149" s="360" t="s">
        <v>1083</v>
      </c>
      <c r="I149" s="360" t="s">
        <v>599</v>
      </c>
      <c r="J149" s="476">
        <v>0.38</v>
      </c>
      <c r="K149" s="360">
        <v>22.01</v>
      </c>
      <c r="L149" s="477">
        <v>0</v>
      </c>
      <c r="M149" s="478">
        <v>0</v>
      </c>
      <c r="N149" s="360">
        <v>0</v>
      </c>
      <c r="O149" s="360">
        <v>5.7816113329043135E-2</v>
      </c>
      <c r="P149" s="475">
        <v>43.779453188319799</v>
      </c>
      <c r="Q149" s="482" t="s">
        <v>625</v>
      </c>
    </row>
    <row r="150" spans="1:17">
      <c r="A150" s="453">
        <v>46057</v>
      </c>
      <c r="B150" s="465" t="s">
        <v>1084</v>
      </c>
      <c r="C150" s="465" t="s">
        <v>1084</v>
      </c>
      <c r="D150" s="360" t="s">
        <v>1080</v>
      </c>
      <c r="E150" s="361">
        <v>46101</v>
      </c>
      <c r="F150" s="360" t="s">
        <v>598</v>
      </c>
      <c r="G150" s="360" t="s">
        <v>138</v>
      </c>
      <c r="H150" s="360" t="s">
        <v>1085</v>
      </c>
      <c r="I150" s="360" t="s">
        <v>599</v>
      </c>
      <c r="J150" s="476">
        <v>1.02</v>
      </c>
      <c r="K150" s="360">
        <v>23.82</v>
      </c>
      <c r="L150" s="477">
        <v>0</v>
      </c>
      <c r="M150" s="478">
        <v>0</v>
      </c>
      <c r="N150" s="360">
        <v>0</v>
      </c>
      <c r="O150" s="360">
        <v>0.17308728756485972</v>
      </c>
      <c r="P150" s="475">
        <v>40.945463515957002</v>
      </c>
      <c r="Q150" s="482" t="s">
        <v>625</v>
      </c>
    </row>
    <row r="151" spans="1:17">
      <c r="A151" s="453">
        <v>46057</v>
      </c>
      <c r="B151" s="465" t="s">
        <v>1086</v>
      </c>
      <c r="C151" s="465" t="s">
        <v>1086</v>
      </c>
      <c r="D151" s="360" t="s">
        <v>1087</v>
      </c>
      <c r="E151" s="361">
        <v>46073</v>
      </c>
      <c r="F151" s="360" t="s">
        <v>603</v>
      </c>
      <c r="G151" s="360" t="s">
        <v>138</v>
      </c>
      <c r="H151" s="360" t="s">
        <v>1088</v>
      </c>
      <c r="I151" s="360" t="s">
        <v>599</v>
      </c>
      <c r="J151" s="476">
        <v>0.12</v>
      </c>
      <c r="K151" s="360">
        <v>0</v>
      </c>
      <c r="L151" s="477">
        <v>0</v>
      </c>
      <c r="M151" s="478">
        <v>0</v>
      </c>
      <c r="N151" s="360">
        <v>0</v>
      </c>
      <c r="O151" s="360">
        <v>2.5062956027704027E-2</v>
      </c>
      <c r="P151" s="475">
        <v>58.208874005142604</v>
      </c>
      <c r="Q151" s="482" t="s">
        <v>625</v>
      </c>
    </row>
    <row r="152" spans="1:17">
      <c r="A152" s="453">
        <v>46057</v>
      </c>
      <c r="B152" s="465" t="s">
        <v>1089</v>
      </c>
      <c r="C152" s="465" t="s">
        <v>1089</v>
      </c>
      <c r="D152" s="360" t="s">
        <v>1087</v>
      </c>
      <c r="E152" s="361">
        <v>46073</v>
      </c>
      <c r="F152" s="360" t="s">
        <v>603</v>
      </c>
      <c r="G152" s="360" t="s">
        <v>138</v>
      </c>
      <c r="H152" s="360" t="s">
        <v>1090</v>
      </c>
      <c r="I152" s="360" t="s">
        <v>599</v>
      </c>
      <c r="J152" s="476">
        <v>0.02</v>
      </c>
      <c r="K152" s="360">
        <v>0</v>
      </c>
      <c r="L152" s="477">
        <v>0</v>
      </c>
      <c r="M152" s="478">
        <v>0</v>
      </c>
      <c r="N152" s="360">
        <v>0</v>
      </c>
      <c r="O152" s="360">
        <v>5.5997973775470267E-3</v>
      </c>
      <c r="P152" s="475">
        <v>61.885911189496497</v>
      </c>
      <c r="Q152" s="482" t="s">
        <v>625</v>
      </c>
    </row>
    <row r="153" spans="1:17">
      <c r="A153" s="453">
        <v>46057</v>
      </c>
      <c r="B153" s="480" t="s">
        <v>1108</v>
      </c>
      <c r="C153" s="480" t="s">
        <v>1108</v>
      </c>
      <c r="D153" s="360" t="s">
        <v>1109</v>
      </c>
      <c r="E153" s="361">
        <v>46073</v>
      </c>
      <c r="F153" s="360" t="s">
        <v>603</v>
      </c>
      <c r="G153" s="360" t="s">
        <v>138</v>
      </c>
      <c r="H153" s="360" t="s">
        <v>1110</v>
      </c>
      <c r="I153" s="360" t="s">
        <v>599</v>
      </c>
      <c r="J153" s="476">
        <v>0.08</v>
      </c>
      <c r="K153" s="360">
        <v>0</v>
      </c>
      <c r="L153" s="477">
        <v>0</v>
      </c>
      <c r="M153" s="478">
        <v>0</v>
      </c>
      <c r="N153" s="360">
        <v>0</v>
      </c>
      <c r="O153" s="360">
        <v>1.4195283602738329E-2</v>
      </c>
      <c r="P153" s="475">
        <v>43.780577814680001</v>
      </c>
      <c r="Q153" s="482" t="s">
        <v>625</v>
      </c>
    </row>
    <row r="154" spans="1:17">
      <c r="A154" s="453">
        <v>46057</v>
      </c>
      <c r="B154" s="480" t="s">
        <v>1111</v>
      </c>
      <c r="C154" s="480" t="s">
        <v>1111</v>
      </c>
      <c r="D154" s="360" t="s">
        <v>1112</v>
      </c>
      <c r="E154" s="361">
        <v>46073</v>
      </c>
      <c r="F154" s="360" t="s">
        <v>603</v>
      </c>
      <c r="G154" s="360" t="s">
        <v>138</v>
      </c>
      <c r="H154" s="360" t="s">
        <v>1113</v>
      </c>
      <c r="I154" s="360" t="s">
        <v>599</v>
      </c>
      <c r="J154" s="476">
        <v>0.23</v>
      </c>
      <c r="K154" s="360">
        <v>0</v>
      </c>
      <c r="L154" s="477">
        <v>0</v>
      </c>
      <c r="M154" s="478">
        <v>0</v>
      </c>
      <c r="N154" s="360">
        <v>0</v>
      </c>
      <c r="O154" s="360">
        <v>5.6099978696714603E-4</v>
      </c>
      <c r="P154" s="475">
        <v>15.8474191728245</v>
      </c>
      <c r="Q154" s="482" t="s">
        <v>625</v>
      </c>
    </row>
    <row r="155" spans="1:17">
      <c r="A155" s="453">
        <v>46057</v>
      </c>
      <c r="B155" s="465" t="s">
        <v>1125</v>
      </c>
      <c r="C155" s="465" t="s">
        <v>1125</v>
      </c>
      <c r="D155" s="360" t="s">
        <v>970</v>
      </c>
      <c r="E155" s="361">
        <v>46129</v>
      </c>
      <c r="F155" s="360" t="s">
        <v>598</v>
      </c>
      <c r="G155" s="360" t="s">
        <v>138</v>
      </c>
      <c r="H155" s="360" t="s">
        <v>1126</v>
      </c>
      <c r="I155" s="360" t="s">
        <v>599</v>
      </c>
      <c r="J155" s="476">
        <v>0.8</v>
      </c>
      <c r="K155" s="360">
        <v>44.7</v>
      </c>
      <c r="L155" s="477">
        <v>0</v>
      </c>
      <c r="M155" s="478">
        <v>0</v>
      </c>
      <c r="N155" s="360">
        <v>0</v>
      </c>
      <c r="O155" s="360">
        <v>0.22774709917700831</v>
      </c>
      <c r="P155" s="475">
        <v>40.605043571565901</v>
      </c>
      <c r="Q155" s="482" t="s">
        <v>625</v>
      </c>
    </row>
    <row r="156" spans="1:17">
      <c r="A156" s="453">
        <v>46057</v>
      </c>
      <c r="B156" s="465" t="s">
        <v>1127</v>
      </c>
      <c r="C156" s="465" t="s">
        <v>1127</v>
      </c>
      <c r="D156" s="360" t="s">
        <v>970</v>
      </c>
      <c r="E156" s="361">
        <v>46129</v>
      </c>
      <c r="F156" s="360" t="s">
        <v>598</v>
      </c>
      <c r="G156" s="360" t="s">
        <v>138</v>
      </c>
      <c r="H156" s="360" t="s">
        <v>1128</v>
      </c>
      <c r="I156" s="360" t="s">
        <v>599</v>
      </c>
      <c r="J156" s="476">
        <v>1.93</v>
      </c>
      <c r="K156" s="360">
        <v>47.57</v>
      </c>
      <c r="L156" s="477">
        <v>0</v>
      </c>
      <c r="M156" s="478">
        <v>0</v>
      </c>
      <c r="N156" s="360">
        <v>0</v>
      </c>
      <c r="O156" s="360">
        <v>0.46868580074660304</v>
      </c>
      <c r="P156" s="475">
        <v>39.222231789053701</v>
      </c>
      <c r="Q156" s="482" t="s">
        <v>625</v>
      </c>
    </row>
    <row r="157" spans="1:17">
      <c r="A157" s="453">
        <v>46057</v>
      </c>
      <c r="B157" s="465" t="s">
        <v>1153</v>
      </c>
      <c r="C157" s="465" t="s">
        <v>1153</v>
      </c>
      <c r="D157" s="360" t="s">
        <v>1154</v>
      </c>
      <c r="E157" s="361">
        <v>46101</v>
      </c>
      <c r="F157" s="360" t="s">
        <v>598</v>
      </c>
      <c r="G157" s="360" t="s">
        <v>138</v>
      </c>
      <c r="H157" s="360" t="s">
        <v>1155</v>
      </c>
      <c r="I157" s="360" t="s">
        <v>599</v>
      </c>
      <c r="J157" s="476">
        <v>0.35</v>
      </c>
      <c r="K157" s="360">
        <v>18.52</v>
      </c>
      <c r="L157" s="477">
        <v>0</v>
      </c>
      <c r="M157" s="478">
        <v>0</v>
      </c>
      <c r="N157" s="360">
        <v>0</v>
      </c>
      <c r="O157" s="360">
        <v>6.6631661405973638E-2</v>
      </c>
      <c r="P157" s="475">
        <v>25.369724951446202</v>
      </c>
      <c r="Q157" s="482" t="s">
        <v>625</v>
      </c>
    </row>
    <row r="158" spans="1:17">
      <c r="A158" s="453">
        <v>46057</v>
      </c>
      <c r="B158" s="465" t="s">
        <v>1156</v>
      </c>
      <c r="C158" s="465" t="s">
        <v>1156</v>
      </c>
      <c r="D158" s="360" t="s">
        <v>918</v>
      </c>
      <c r="E158" s="361">
        <v>46073</v>
      </c>
      <c r="F158" s="360" t="s">
        <v>603</v>
      </c>
      <c r="G158" s="360" t="s">
        <v>138</v>
      </c>
      <c r="H158" s="360" t="s">
        <v>1157</v>
      </c>
      <c r="I158" s="360" t="s">
        <v>599</v>
      </c>
      <c r="J158" s="476">
        <v>0.53</v>
      </c>
      <c r="K158" s="360">
        <v>0</v>
      </c>
      <c r="L158" s="477">
        <v>0</v>
      </c>
      <c r="M158" s="478">
        <v>0</v>
      </c>
      <c r="N158" s="360">
        <v>0</v>
      </c>
      <c r="O158" s="360">
        <v>2.0244904404773164E-2</v>
      </c>
      <c r="P158" s="475">
        <v>28.113928811635201</v>
      </c>
      <c r="Q158" s="482" t="s">
        <v>625</v>
      </c>
    </row>
    <row r="159" spans="1:17">
      <c r="A159" s="453">
        <v>46057</v>
      </c>
      <c r="B159" s="465" t="s">
        <v>1158</v>
      </c>
      <c r="C159" s="465" t="s">
        <v>1158</v>
      </c>
      <c r="D159" s="360" t="s">
        <v>918</v>
      </c>
      <c r="E159" s="361">
        <v>46073</v>
      </c>
      <c r="F159" s="360" t="s">
        <v>598</v>
      </c>
      <c r="G159" s="360" t="s">
        <v>138</v>
      </c>
      <c r="H159" s="360" t="s">
        <v>1159</v>
      </c>
      <c r="I159" s="360" t="s">
        <v>599</v>
      </c>
      <c r="J159" s="476">
        <v>0.27</v>
      </c>
      <c r="K159" s="360">
        <v>26.37</v>
      </c>
      <c r="L159" s="477">
        <v>0</v>
      </c>
      <c r="M159" s="478">
        <v>0</v>
      </c>
      <c r="N159" s="360">
        <v>0</v>
      </c>
      <c r="O159" s="360">
        <v>2.4893342855921527E-2</v>
      </c>
      <c r="P159" s="475">
        <v>34.867351562214502</v>
      </c>
      <c r="Q159" s="482" t="s">
        <v>625</v>
      </c>
    </row>
    <row r="160" spans="1:17">
      <c r="A160" s="453">
        <v>46057</v>
      </c>
      <c r="B160" s="465" t="s">
        <v>1160</v>
      </c>
      <c r="C160" s="465" t="s">
        <v>1160</v>
      </c>
      <c r="D160" s="360" t="s">
        <v>918</v>
      </c>
      <c r="E160" s="361">
        <v>46073</v>
      </c>
      <c r="F160" s="360" t="s">
        <v>598</v>
      </c>
      <c r="G160" s="360" t="s">
        <v>138</v>
      </c>
      <c r="H160" s="360" t="s">
        <v>1161</v>
      </c>
      <c r="I160" s="360" t="s">
        <v>599</v>
      </c>
      <c r="J160" s="476">
        <v>0.9</v>
      </c>
      <c r="K160" s="360">
        <v>27.740000000000002</v>
      </c>
      <c r="L160" s="477">
        <v>0</v>
      </c>
      <c r="M160" s="478">
        <v>0</v>
      </c>
      <c r="N160" s="360">
        <v>0</v>
      </c>
      <c r="O160" s="360">
        <v>0.12453958094824631</v>
      </c>
      <c r="P160" s="475">
        <v>31.373708041038501</v>
      </c>
      <c r="Q160" s="482" t="s">
        <v>625</v>
      </c>
    </row>
    <row r="161" spans="1:17">
      <c r="A161" s="453">
        <v>46057</v>
      </c>
      <c r="B161" s="465" t="s">
        <v>1188</v>
      </c>
      <c r="C161" s="465" t="s">
        <v>1188</v>
      </c>
      <c r="D161" s="360" t="s">
        <v>1189</v>
      </c>
      <c r="E161" s="361">
        <v>46073</v>
      </c>
      <c r="F161" s="360" t="s">
        <v>603</v>
      </c>
      <c r="G161" s="360" t="s">
        <v>138</v>
      </c>
      <c r="H161" s="360" t="s">
        <v>1190</v>
      </c>
      <c r="I161" s="360" t="s">
        <v>599</v>
      </c>
      <c r="J161" s="476">
        <v>0.8</v>
      </c>
      <c r="K161" s="360">
        <v>0</v>
      </c>
      <c r="L161" s="477">
        <v>0</v>
      </c>
      <c r="M161" s="478">
        <v>0</v>
      </c>
      <c r="N161" s="360">
        <v>0</v>
      </c>
      <c r="O161" s="360">
        <v>2.9548376246996463E-2</v>
      </c>
      <c r="P161" s="475">
        <v>36.0209161290502</v>
      </c>
      <c r="Q161" s="482" t="s">
        <v>625</v>
      </c>
    </row>
    <row r="162" spans="1:17">
      <c r="A162" s="453">
        <v>46057</v>
      </c>
      <c r="B162" s="465" t="s">
        <v>1191</v>
      </c>
      <c r="C162" s="465" t="s">
        <v>1191</v>
      </c>
      <c r="D162" s="360" t="s">
        <v>1189</v>
      </c>
      <c r="E162" s="361">
        <v>46073</v>
      </c>
      <c r="F162" s="360" t="s">
        <v>598</v>
      </c>
      <c r="G162" s="360" t="s">
        <v>138</v>
      </c>
      <c r="H162" s="360" t="s">
        <v>1192</v>
      </c>
      <c r="I162" s="360" t="s">
        <v>599</v>
      </c>
      <c r="J162" s="476">
        <v>0.52</v>
      </c>
      <c r="K162" s="360">
        <v>45.019999999999996</v>
      </c>
      <c r="L162" s="477">
        <v>0</v>
      </c>
      <c r="M162" s="478">
        <v>0</v>
      </c>
      <c r="N162" s="360">
        <v>0</v>
      </c>
      <c r="O162" s="360">
        <v>9.9357917951401031E-2</v>
      </c>
      <c r="P162" s="475">
        <v>43.677859014582602</v>
      </c>
      <c r="Q162" s="482" t="s">
        <v>625</v>
      </c>
    </row>
    <row r="163" spans="1:17">
      <c r="A163" s="453">
        <v>46057</v>
      </c>
      <c r="B163" s="465" t="s">
        <v>1193</v>
      </c>
      <c r="C163" s="465" t="s">
        <v>1193</v>
      </c>
      <c r="D163" s="360" t="s">
        <v>1189</v>
      </c>
      <c r="E163" s="361">
        <v>46073</v>
      </c>
      <c r="F163" s="360" t="s">
        <v>598</v>
      </c>
      <c r="G163" s="360" t="s">
        <v>138</v>
      </c>
      <c r="H163" s="360" t="s">
        <v>1194</v>
      </c>
      <c r="I163" s="360" t="s">
        <v>599</v>
      </c>
      <c r="J163" s="476">
        <v>1.82</v>
      </c>
      <c r="K163" s="360">
        <v>47.47</v>
      </c>
      <c r="L163" s="477">
        <v>0</v>
      </c>
      <c r="M163" s="478">
        <v>0</v>
      </c>
      <c r="N163" s="360">
        <v>0</v>
      </c>
      <c r="O163" s="360">
        <v>0.35588406464512806</v>
      </c>
      <c r="P163" s="475">
        <v>39.798366595471997</v>
      </c>
      <c r="Q163" s="482" t="s">
        <v>625</v>
      </c>
    </row>
    <row r="164" spans="1:17">
      <c r="A164" s="453">
        <v>46057</v>
      </c>
      <c r="B164" s="480" t="s">
        <v>1195</v>
      </c>
      <c r="C164" s="480" t="s">
        <v>1195</v>
      </c>
      <c r="D164" s="360" t="s">
        <v>1196</v>
      </c>
      <c r="E164" s="361">
        <v>46101</v>
      </c>
      <c r="F164" s="360" t="s">
        <v>603</v>
      </c>
      <c r="G164" s="360" t="s">
        <v>138</v>
      </c>
      <c r="H164" s="360" t="s">
        <v>1197</v>
      </c>
      <c r="I164" s="360" t="s">
        <v>599</v>
      </c>
      <c r="J164" s="476">
        <v>0.19</v>
      </c>
      <c r="K164" s="360">
        <v>0</v>
      </c>
      <c r="L164" s="477">
        <v>0</v>
      </c>
      <c r="M164" s="478">
        <v>0</v>
      </c>
      <c r="N164" s="360">
        <v>0</v>
      </c>
      <c r="O164" s="360">
        <v>1.533185730474999E-2</v>
      </c>
      <c r="P164" s="475">
        <v>32.896243414527895</v>
      </c>
      <c r="Q164" s="482" t="s">
        <v>625</v>
      </c>
    </row>
    <row r="165" spans="1:17">
      <c r="A165" s="453">
        <v>46057</v>
      </c>
      <c r="B165" s="480" t="s">
        <v>1198</v>
      </c>
      <c r="C165" s="480" t="s">
        <v>1198</v>
      </c>
      <c r="D165" s="360" t="s">
        <v>1196</v>
      </c>
      <c r="E165" s="361">
        <v>46101</v>
      </c>
      <c r="F165" s="360" t="s">
        <v>598</v>
      </c>
      <c r="G165" s="360" t="s">
        <v>138</v>
      </c>
      <c r="H165" s="360" t="s">
        <v>1199</v>
      </c>
      <c r="I165" s="360" t="s">
        <v>599</v>
      </c>
      <c r="J165" s="476">
        <v>0.14000000000000001</v>
      </c>
      <c r="K165" s="360">
        <v>6.03</v>
      </c>
      <c r="L165" s="477">
        <v>0</v>
      </c>
      <c r="M165" s="478">
        <v>0</v>
      </c>
      <c r="N165" s="360">
        <v>0</v>
      </c>
      <c r="O165" s="360">
        <v>2.6870601630567172E-2</v>
      </c>
      <c r="P165" s="475">
        <v>37.9087082377238</v>
      </c>
      <c r="Q165" s="482" t="s">
        <v>625</v>
      </c>
    </row>
    <row r="166" spans="1:17">
      <c r="A166" s="453">
        <v>46057</v>
      </c>
      <c r="B166" s="480" t="s">
        <v>1200</v>
      </c>
      <c r="C166" s="480" t="s">
        <v>1200</v>
      </c>
      <c r="D166" s="360" t="s">
        <v>1196</v>
      </c>
      <c r="E166" s="361">
        <v>46101</v>
      </c>
      <c r="F166" s="360" t="s">
        <v>598</v>
      </c>
      <c r="G166" s="360" t="s">
        <v>138</v>
      </c>
      <c r="H166" s="360" t="s">
        <v>1201</v>
      </c>
      <c r="I166" s="360" t="s">
        <v>599</v>
      </c>
      <c r="J166" s="476">
        <v>0.4</v>
      </c>
      <c r="K166" s="360">
        <v>6.3699999999999992</v>
      </c>
      <c r="L166" s="477">
        <v>0</v>
      </c>
      <c r="M166" s="478">
        <v>0</v>
      </c>
      <c r="N166" s="360">
        <v>0</v>
      </c>
      <c r="O166" s="360">
        <v>7.1251844960458999E-2</v>
      </c>
      <c r="P166" s="475">
        <v>35.239909372099305</v>
      </c>
      <c r="Q166" s="482" t="s">
        <v>625</v>
      </c>
    </row>
  </sheetData>
  <conditionalFormatting sqref="T2:T3">
    <cfRule type="cellIs" dxfId="40" priority="41" operator="equal">
      <formula>0</formula>
    </cfRule>
  </conditionalFormatting>
  <conditionalFormatting sqref="W2:W3">
    <cfRule type="cellIs" dxfId="39" priority="40" operator="equal">
      <formula>0</formula>
    </cfRule>
  </conditionalFormatting>
  <conditionalFormatting sqref="B71:B85">
    <cfRule type="duplicateValues" dxfId="38" priority="38" stopIfTrue="1"/>
    <cfRule type="duplicateValues" dxfId="37" priority="38"/>
  </conditionalFormatting>
  <conditionalFormatting sqref="B92:B94">
    <cfRule type="duplicateValues" dxfId="36" priority="37"/>
  </conditionalFormatting>
  <conditionalFormatting sqref="B95:B99 B1 B104:B107 B109:B116 B48:B65 B71:B91">
    <cfRule type="duplicateValues" dxfId="35" priority="35" stopIfTrue="1"/>
    <cfRule type="duplicateValues" dxfId="34" priority="35"/>
  </conditionalFormatting>
  <conditionalFormatting sqref="B95:B99 B1:B17 B104:B107 B109:B116 B48:B65 B71:B91">
    <cfRule type="duplicateValues" dxfId="33" priority="34"/>
  </conditionalFormatting>
  <conditionalFormatting sqref="B95:B99 B104:B107 B109:B116 B1:B65 B71:B91">
    <cfRule type="duplicateValues" dxfId="32" priority="33"/>
  </conditionalFormatting>
  <conditionalFormatting sqref="C2:C85">
    <cfRule type="duplicateValues" dxfId="31" priority="39"/>
  </conditionalFormatting>
  <conditionalFormatting sqref="C6:C70">
    <cfRule type="duplicateValues" dxfId="30" priority="42"/>
  </conditionalFormatting>
  <conditionalFormatting sqref="C71:C85">
    <cfRule type="duplicateValues" dxfId="29" priority="36" stopIfTrue="1"/>
    <cfRule type="duplicateValues" dxfId="28" priority="43"/>
  </conditionalFormatting>
  <conditionalFormatting sqref="C74:C76">
    <cfRule type="duplicateValues" dxfId="27" priority="32" stopIfTrue="1"/>
    <cfRule type="duplicateValues" dxfId="26" priority="44"/>
  </conditionalFormatting>
  <conditionalFormatting sqref="C77:C80">
    <cfRule type="duplicateValues" dxfId="25" priority="30"/>
    <cfRule type="duplicateValues" dxfId="24" priority="31" stopIfTrue="1"/>
  </conditionalFormatting>
  <conditionalFormatting sqref="C86">
    <cfRule type="duplicateValues" dxfId="23" priority="28"/>
    <cfRule type="duplicateValues" dxfId="22" priority="29" stopIfTrue="1"/>
  </conditionalFormatting>
  <conditionalFormatting sqref="C87:C91">
    <cfRule type="duplicateValues" dxfId="21" priority="19"/>
    <cfRule type="duplicateValues" dxfId="20" priority="20" stopIfTrue="1"/>
    <cfRule type="duplicateValues" dxfId="19" priority="21"/>
    <cfRule type="duplicateValues" dxfId="18" priority="22"/>
  </conditionalFormatting>
  <conditionalFormatting sqref="C92:C94 C1:C85">
    <cfRule type="duplicateValues" dxfId="17" priority="24"/>
  </conditionalFormatting>
  <conditionalFormatting sqref="C95:C99">
    <cfRule type="duplicateValues" dxfId="16" priority="14"/>
    <cfRule type="duplicateValues" dxfId="15" priority="15" stopIfTrue="1"/>
    <cfRule type="duplicateValues" dxfId="14" priority="16"/>
    <cfRule type="duplicateValues" dxfId="13" priority="17"/>
  </conditionalFormatting>
  <conditionalFormatting sqref="C104:C107">
    <cfRule type="duplicateValues" dxfId="12" priority="10"/>
    <cfRule type="duplicateValues" dxfId="11" priority="11" stopIfTrue="1"/>
    <cfRule type="duplicateValues" dxfId="10" priority="12"/>
    <cfRule type="duplicateValues" dxfId="9" priority="13"/>
  </conditionalFormatting>
  <conditionalFormatting sqref="C109:C114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15:C116">
    <cfRule type="duplicateValues" dxfId="4" priority="2"/>
    <cfRule type="duplicateValues" dxfId="3" priority="2" stopIfTrue="1"/>
    <cfRule type="duplicateValues" dxfId="2" priority="3"/>
    <cfRule type="duplicateValues" dxfId="1" priority="4"/>
  </conditionalFormatting>
  <conditionalFormatting sqref="L1:M116"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2026-02-09T11:46:56Z</dcterms:modified>
  <cp:category/>
  <cp:contentStatus/>
</cp:coreProperties>
</file>