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D6F17395-B4AC-43A8-9336-D33330FEB304}" xr6:coauthVersionLast="47" xr6:coauthVersionMax="47" xr10:uidLastSave="{00000000-0000-0000-0000-000000000000}"/>
  <bookViews>
    <workbookView xWindow="28680" yWindow="-120" windowWidth="29040" windowHeight="15720" tabRatio="881" firstSheet="4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CDS" sheetId="54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P&amp;L'!$A$11:$AD$41</definedName>
    <definedName name="_xlnm._FilterDatabase" localSheetId="8" hidden="1">Options!$A$3:$BD$36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P&amp;L'!$B$2:$AC$41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" calcOnSave="0"/>
  <pivotCaches>
    <pivotCache cacheId="3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L36" i="2"/>
  <c r="AV16" i="2" a="1"/>
  <c r="AV16" i="2"/>
  <c r="AV15" i="2" a="1"/>
  <c r="AV15" i="2"/>
  <c r="AV14" i="2" a="1"/>
  <c r="AV14" i="2"/>
  <c r="AV13" i="2" a="1"/>
  <c r="AV13" i="2"/>
  <c r="AV12" i="2" a="1"/>
  <c r="AV12" i="2"/>
  <c r="AC16" i="2" a="1"/>
  <c r="AC16" i="2"/>
  <c r="AC15" i="2" a="1"/>
  <c r="AC15" i="2"/>
  <c r="AC14" i="2" a="1"/>
  <c r="AC14" i="2"/>
  <c r="AC13" i="2" a="1"/>
  <c r="AC13" i="2"/>
  <c r="AC12" i="2" a="1"/>
  <c r="AC12" i="2"/>
  <c r="AQ16" i="2" a="1"/>
  <c r="AQ16" i="2"/>
  <c r="AQ15" i="2" a="1"/>
  <c r="AQ15" i="2"/>
  <c r="AQ14" i="2" a="1"/>
  <c r="AQ14" i="2"/>
  <c r="AQ13" i="2" a="1"/>
  <c r="AQ13" i="2"/>
  <c r="AQ12" i="2" a="1"/>
  <c r="AQ12" i="2"/>
  <c r="AC20" i="2" a="1"/>
  <c r="AC20" i="2"/>
  <c r="AC19" i="2" a="1"/>
  <c r="AC19" i="2"/>
  <c r="AC18" i="2" a="1"/>
  <c r="AC18" i="2"/>
  <c r="AC17" i="2" a="1"/>
  <c r="AC17" i="2"/>
  <c r="Z13" i="2"/>
  <c r="T26" i="2" a="1"/>
  <c r="T26" i="2"/>
  <c r="C16" i="2" a="1"/>
  <c r="C16" i="2"/>
  <c r="D13" i="2" a="1"/>
  <c r="D13" i="2"/>
  <c r="D12" i="2" a="1"/>
  <c r="D12" i="2"/>
  <c r="D18" i="2" a="1"/>
  <c r="D18" i="2"/>
  <c r="D17" i="2" a="1"/>
  <c r="D17" i="2"/>
  <c r="D26" i="2" a="1"/>
  <c r="D26" i="2"/>
  <c r="F18" i="2" a="1"/>
  <c r="F18" i="2"/>
  <c r="F17" i="2" a="1"/>
  <c r="F17" i="2"/>
  <c r="C19" i="2" a="1"/>
  <c r="C19" i="2"/>
  <c r="AA15" i="2" a="1"/>
  <c r="AA15" i="2"/>
  <c r="AA14" i="2" a="1"/>
  <c r="AA14" i="2"/>
  <c r="D33" i="2" a="1"/>
  <c r="D33" i="2"/>
  <c r="AR19" i="2" a="1"/>
  <c r="AR19" i="2"/>
  <c r="F13" i="2" a="1"/>
  <c r="F13" i="2"/>
  <c r="F12" i="2" a="1"/>
  <c r="F12" i="2"/>
  <c r="AD13" i="2" a="1"/>
  <c r="AD13" i="2"/>
  <c r="AD12" i="2" a="1"/>
  <c r="AD12" i="2"/>
  <c r="AD33" i="2" a="1"/>
  <c r="AD33" i="2"/>
  <c r="AD20" i="2" a="1"/>
  <c r="AD20" i="2"/>
  <c r="AD18" i="2" a="1"/>
  <c r="AD18" i="2"/>
  <c r="AD17" i="2" a="1"/>
  <c r="AD17" i="2"/>
  <c r="T15" i="2" a="1"/>
  <c r="T15" i="2"/>
  <c r="T14" i="2" a="1"/>
  <c r="T14" i="2"/>
  <c r="F20" i="2" a="1"/>
  <c r="F20" i="2"/>
  <c r="AD16" i="2" a="1"/>
  <c r="AD16" i="2"/>
  <c r="AD19" i="2" a="1"/>
  <c r="AD19" i="2"/>
  <c r="C13" i="2" a="1"/>
  <c r="C13" i="2"/>
  <c r="C12" i="2" a="1"/>
  <c r="C12" i="2"/>
  <c r="AD15" i="2" a="1"/>
  <c r="AD15" i="2"/>
  <c r="AD14" i="2" a="1"/>
  <c r="AD14" i="2"/>
  <c r="AA32" i="2" a="1"/>
  <c r="AA32" i="2"/>
  <c r="F16" i="2" a="1"/>
  <c r="F16" i="2"/>
  <c r="C33" i="2" a="1"/>
  <c r="C33" i="2"/>
  <c r="C15" i="2" a="1"/>
  <c r="C15" i="2"/>
  <c r="C14" i="2" a="1"/>
  <c r="C14" i="2"/>
  <c r="AR15" i="2" a="1"/>
  <c r="AR15" i="2"/>
  <c r="AR14" i="2" a="1"/>
  <c r="AR14" i="2"/>
  <c r="D19" i="2" a="1"/>
  <c r="D19" i="2"/>
  <c r="AR18" i="2" a="1"/>
  <c r="AR18" i="2"/>
  <c r="AR17" i="2" a="1"/>
  <c r="AR17" i="2"/>
  <c r="T18" i="2" a="1"/>
  <c r="T18" i="2"/>
  <c r="T17" i="2" a="1"/>
  <c r="T17" i="2"/>
  <c r="E19" i="2" a="1"/>
  <c r="E19" i="2"/>
  <c r="AA33" i="2" a="1"/>
  <c r="AA33" i="2"/>
  <c r="E13" i="2" a="1"/>
  <c r="E13" i="2"/>
  <c r="E12" i="2" a="1"/>
  <c r="E12" i="2"/>
  <c r="T32" i="2" a="1"/>
  <c r="T32" i="2"/>
  <c r="AA18" i="2" a="1"/>
  <c r="AA18" i="2"/>
  <c r="AA17" i="2" a="1"/>
  <c r="AA17" i="2"/>
  <c r="AR33" i="2" a="1"/>
  <c r="AR33" i="2"/>
  <c r="T20" i="2" a="1"/>
  <c r="T20" i="2"/>
  <c r="F19" i="2" a="1"/>
  <c r="F19" i="2"/>
  <c r="AA19" i="2" a="1"/>
  <c r="AA19" i="2"/>
  <c r="F15" i="2" a="1"/>
  <c r="F15" i="2"/>
  <c r="F14" i="2" a="1"/>
  <c r="F14" i="2"/>
  <c r="E16" i="2" a="1"/>
  <c r="E16" i="2"/>
  <c r="AD26" i="2" a="1"/>
  <c r="AD26" i="2"/>
  <c r="E18" i="2" a="1"/>
  <c r="E18" i="2"/>
  <c r="E17" i="2" a="1"/>
  <c r="E17" i="2"/>
  <c r="E15" i="2" a="1"/>
  <c r="E15" i="2"/>
  <c r="E14" i="2" a="1"/>
  <c r="E14" i="2"/>
  <c r="AA26" i="2" a="1"/>
  <c r="AA26" i="2"/>
  <c r="F33" i="2" a="1"/>
  <c r="F33" i="2"/>
  <c r="E26" i="2" a="1"/>
  <c r="E26" i="2"/>
  <c r="F26" i="2" a="1"/>
  <c r="F26" i="2"/>
  <c r="T19" i="2" a="1"/>
  <c r="T19" i="2"/>
  <c r="D16" i="2" a="1"/>
  <c r="D16" i="2"/>
  <c r="T16" i="2" a="1"/>
  <c r="T16" i="2"/>
  <c r="T33" i="2" a="1"/>
  <c r="T33" i="2"/>
  <c r="AA16" i="2" a="1"/>
  <c r="AA16" i="2"/>
  <c r="AR20" i="2" a="1"/>
  <c r="AR20" i="2"/>
  <c r="D15" i="2" a="1"/>
  <c r="D15" i="2"/>
  <c r="D14" i="2" a="1"/>
  <c r="D14" i="2"/>
  <c r="F32" i="2" a="1"/>
  <c r="F32" i="2"/>
  <c r="C20" i="2" a="1"/>
  <c r="C20" i="2"/>
  <c r="D32" i="2" a="1"/>
  <c r="D32" i="2"/>
  <c r="D20" i="2" a="1"/>
  <c r="D20" i="2"/>
  <c r="C32" i="2" a="1"/>
  <c r="C32" i="2"/>
  <c r="AR13" i="2" a="1"/>
  <c r="AR13" i="2"/>
  <c r="AR12" i="2" a="1"/>
  <c r="AR12" i="2"/>
  <c r="E32" i="2" a="1"/>
  <c r="E32" i="2"/>
  <c r="E20" i="2" a="1"/>
  <c r="E20" i="2"/>
  <c r="C26" i="2" a="1"/>
  <c r="C26" i="2"/>
  <c r="AA20" i="2" a="1"/>
  <c r="AA20" i="2"/>
  <c r="AD32" i="2" a="1"/>
  <c r="AD32" i="2"/>
  <c r="AR32" i="2" a="1"/>
  <c r="AR32" i="2"/>
  <c r="C18" i="2" a="1"/>
  <c r="C18" i="2"/>
  <c r="C17" i="2" a="1"/>
  <c r="C17" i="2"/>
  <c r="AR16" i="2" a="1"/>
  <c r="AR16" i="2"/>
  <c r="AA13" i="2" a="1"/>
  <c r="AA13" i="2"/>
  <c r="AA12" i="2" a="1"/>
  <c r="AA12" i="2"/>
  <c r="AR26" i="2" a="1"/>
  <c r="AR26" i="2"/>
  <c r="T13" i="2" a="1"/>
  <c r="T13" i="2"/>
  <c r="T12" i="2" a="1"/>
  <c r="T12" i="2"/>
  <c r="E33" i="2" a="1"/>
  <c r="E33" i="2"/>
  <c r="C8" i="2" a="1"/>
  <c r="C8" i="2"/>
  <c r="E7" i="2" a="1"/>
  <c r="E7" i="2"/>
  <c r="AR8" i="2" a="1"/>
  <c r="AR8" i="2"/>
  <c r="F7" i="2" a="1"/>
  <c r="F7" i="2"/>
  <c r="E24" i="2" a="1"/>
  <c r="E24" i="2"/>
  <c r="E22" i="2" a="1"/>
  <c r="E22" i="2"/>
  <c r="F11" i="2" a="1"/>
  <c r="F11" i="2"/>
  <c r="C24" i="2" a="1"/>
  <c r="C24" i="2"/>
  <c r="F8" i="2" a="1"/>
  <c r="F8" i="2"/>
  <c r="F30" i="2" a="1"/>
  <c r="F30" i="2"/>
  <c r="E21" i="2" a="1"/>
  <c r="E21" i="2"/>
  <c r="C22" i="2" a="1"/>
  <c r="C22" i="2"/>
  <c r="AR22" i="2" a="1"/>
  <c r="AR22" i="2"/>
  <c r="F21" i="2" a="1"/>
  <c r="F21" i="2"/>
  <c r="AR28" i="2" a="1"/>
  <c r="AR28" i="2"/>
  <c r="C7" i="2" a="1"/>
  <c r="C7" i="2"/>
  <c r="AR30" i="2" a="1"/>
  <c r="AR30" i="2"/>
  <c r="AR21" i="2" a="1"/>
  <c r="AR21" i="2"/>
  <c r="F24" i="2" a="1"/>
  <c r="F24" i="2"/>
  <c r="AR7" i="2" a="1"/>
  <c r="AR7" i="2"/>
  <c r="C28" i="2" a="1"/>
  <c r="C28" i="2"/>
  <c r="F22" i="2" a="1"/>
  <c r="F22" i="2"/>
  <c r="E28" i="2" a="1"/>
  <c r="E28" i="2"/>
  <c r="C21" i="2" a="1"/>
  <c r="C21" i="2"/>
  <c r="C11" i="2" a="1"/>
  <c r="C11" i="2"/>
  <c r="C30" i="2" a="1"/>
  <c r="C30" i="2"/>
  <c r="E8" i="2" a="1"/>
  <c r="E8" i="2"/>
  <c r="AR11" i="2" a="1"/>
  <c r="AR11" i="2"/>
  <c r="F28" i="2" a="1"/>
  <c r="F28" i="2"/>
  <c r="E11" i="2" a="1"/>
  <c r="E11" i="2"/>
  <c r="E30" i="2" a="1"/>
  <c r="E30" i="2"/>
  <c r="AR24" i="2" a="1"/>
  <c r="AR24" i="2"/>
  <c r="C5" i="2" a="1"/>
  <c r="C5" i="2"/>
  <c r="C31" i="2" a="1"/>
  <c r="C31" i="2"/>
  <c r="C4" i="2" a="1"/>
  <c r="C4" i="2"/>
  <c r="E31" i="2" a="1"/>
  <c r="E31" i="2"/>
  <c r="AR27" i="2" a="1"/>
  <c r="AR27" i="2"/>
  <c r="C10" i="2" a="1"/>
  <c r="C10" i="2"/>
  <c r="AR9" i="2" a="1"/>
  <c r="AR9" i="2"/>
  <c r="E23" i="2" a="1"/>
  <c r="E23" i="2"/>
  <c r="E25" i="2" a="1"/>
  <c r="E25" i="2"/>
  <c r="F6" i="2" a="1"/>
  <c r="F6" i="2"/>
  <c r="F5" i="2" a="1"/>
  <c r="F5" i="2"/>
  <c r="E4" i="2" a="1"/>
  <c r="E4" i="2"/>
  <c r="F4" i="2" a="1"/>
  <c r="F4" i="2"/>
  <c r="C25" i="2" a="1"/>
  <c r="C25" i="2"/>
  <c r="E6" i="2" a="1"/>
  <c r="E6" i="2"/>
  <c r="C29" i="2" a="1"/>
  <c r="C29" i="2"/>
  <c r="C9" i="2" a="1"/>
  <c r="C9" i="2"/>
  <c r="F23" i="2" a="1"/>
  <c r="F23" i="2"/>
  <c r="E10" i="2" a="1"/>
  <c r="E10" i="2"/>
  <c r="C27" i="2" a="1"/>
  <c r="C27" i="2"/>
  <c r="E27" i="2" a="1"/>
  <c r="E27" i="2"/>
  <c r="F25" i="2" a="1"/>
  <c r="F25" i="2"/>
  <c r="AR6" i="2" a="1"/>
  <c r="AR6" i="2"/>
  <c r="F29" i="2" a="1"/>
  <c r="F29" i="2"/>
  <c r="AR29" i="2" a="1"/>
  <c r="AR29" i="2"/>
  <c r="E5" i="2" a="1"/>
  <c r="E5" i="2"/>
  <c r="F31" i="2" a="1"/>
  <c r="F31" i="2"/>
  <c r="F10" i="2" a="1"/>
  <c r="F10" i="2"/>
  <c r="E29" i="2" a="1"/>
  <c r="E29" i="2"/>
  <c r="AR4" i="2" a="1"/>
  <c r="AR4" i="2"/>
  <c r="C6" i="2" a="1"/>
  <c r="C6" i="2"/>
  <c r="AR31" i="2" a="1"/>
  <c r="AR31" i="2"/>
  <c r="E9" i="2" a="1"/>
  <c r="E9" i="2"/>
  <c r="C23" i="2" a="1"/>
  <c r="C23" i="2"/>
  <c r="F27" i="2" a="1"/>
  <c r="F27" i="2"/>
  <c r="AR10" i="2" a="1"/>
  <c r="AR10" i="2"/>
  <c r="AR23" i="2" a="1"/>
  <c r="AR23" i="2"/>
  <c r="F9" i="2" a="1"/>
  <c r="F9" i="2"/>
  <c r="AR5" i="2" a="1"/>
  <c r="AR5" i="2"/>
  <c r="AR25" i="2" a="1"/>
  <c r="AR25" i="2"/>
  <c r="AG25" i="1"/>
  <c r="AG23" i="1"/>
  <c r="AG17" i="1"/>
  <c r="AG26" i="1"/>
  <c r="AG41" i="1"/>
  <c r="AG20" i="1"/>
  <c r="AG35" i="1"/>
  <c r="AG34" i="1"/>
  <c r="AG33" i="1"/>
  <c r="AG32" i="1"/>
  <c r="AG37" i="1"/>
  <c r="AG31" i="1"/>
  <c r="AG30" i="1"/>
  <c r="AG12" i="1"/>
  <c r="AB25" i="1"/>
  <c r="K22" i="1" a="1"/>
  <c r="K22" i="1"/>
  <c r="E5" i="1" a="1"/>
  <c r="E5" i="1"/>
  <c r="K25" i="1" a="1"/>
  <c r="K25" i="1"/>
  <c r="AF26" i="1"/>
  <c r="K18" i="1" a="1"/>
  <c r="K18" i="1"/>
  <c r="AB22" i="1"/>
  <c r="AF19" i="1"/>
  <c r="AF18" i="1"/>
  <c r="AB38" i="1"/>
  <c r="AF12" i="1"/>
  <c r="AI26" i="1"/>
  <c r="AC12" i="1"/>
  <c r="AI14" i="1"/>
  <c r="AI25" i="1"/>
  <c r="AB26" i="1"/>
  <c r="AI20" i="1"/>
  <c r="AC39" i="1" a="1"/>
  <c r="AC39" i="1"/>
  <c r="AC22" i="1" a="1"/>
  <c r="AC22" i="1"/>
  <c r="AF14" i="1"/>
  <c r="K38" i="1" a="1"/>
  <c r="K38" i="1"/>
  <c r="AI12" i="1"/>
  <c r="AC19" i="1"/>
  <c r="AC18" i="1"/>
  <c r="AC20" i="1"/>
  <c r="AB27" i="1"/>
  <c r="AF25" i="1"/>
  <c r="AF22" i="1"/>
  <c r="AC26" i="1" a="1"/>
  <c r="AC26" i="1"/>
  <c r="AC27" i="1" a="1"/>
  <c r="AC27" i="1"/>
  <c r="AB20" i="1"/>
  <c r="AI39" i="1"/>
  <c r="K39" i="1" a="1"/>
  <c r="K39" i="1"/>
  <c r="AC14" i="1"/>
  <c r="K12" i="1" a="1"/>
  <c r="K12" i="1"/>
  <c r="K27" i="1" a="1"/>
  <c r="K27" i="1"/>
  <c r="AF20" i="1"/>
  <c r="AF38" i="1"/>
  <c r="AB19" i="1"/>
  <c r="AB18" i="1"/>
  <c r="K10" i="1"/>
  <c r="AB14" i="1"/>
  <c r="AF39" i="1"/>
  <c r="AB39" i="1"/>
  <c r="AI38" i="1"/>
  <c r="AI27" i="1"/>
  <c r="K14" i="1" a="1"/>
  <c r="K14" i="1"/>
  <c r="AC38" i="1" a="1"/>
  <c r="AC38" i="1"/>
  <c r="K20" i="1" a="1"/>
  <c r="K20" i="1"/>
  <c r="E6" i="1" a="1"/>
  <c r="E6" i="1"/>
  <c r="AI19" i="1"/>
  <c r="AI18" i="1"/>
  <c r="K3" i="1" a="1"/>
  <c r="K3" i="1"/>
  <c r="AC25" i="1" a="1"/>
  <c r="AC25" i="1"/>
  <c r="K6" i="1" a="1"/>
  <c r="K6" i="1"/>
  <c r="K9" i="1" a="1"/>
  <c r="K9" i="1"/>
  <c r="K1" i="1"/>
  <c r="AB12" i="1"/>
  <c r="E8" i="1" a="1"/>
  <c r="E8" i="1"/>
  <c r="AI22" i="1"/>
  <c r="K8" i="1" a="1"/>
  <c r="K8" i="1"/>
  <c r="AF27" i="1"/>
  <c r="E4" i="1" a="1"/>
  <c r="E4" i="1"/>
  <c r="K26" i="1" a="1"/>
  <c r="K26" i="1"/>
  <c r="K4" i="1" a="1"/>
  <c r="K4" i="1"/>
  <c r="X3" i="1"/>
  <c r="AC31" i="2" a="1"/>
  <c r="AC31" i="2"/>
  <c r="AC30" i="2" a="1"/>
  <c r="AC30" i="2"/>
  <c r="AC29" i="2" a="1"/>
  <c r="AC29" i="2"/>
  <c r="AC28" i="2" a="1"/>
  <c r="AC28" i="2"/>
  <c r="AC27" i="2" a="1"/>
  <c r="AC27" i="2"/>
  <c r="AC6" i="2" a="1"/>
  <c r="AC6" i="2"/>
  <c r="AC5" i="2" a="1"/>
  <c r="AC5" i="2"/>
  <c r="AC25" i="2" a="1"/>
  <c r="AC25" i="2"/>
  <c r="AC24" i="2" a="1"/>
  <c r="AC24" i="2"/>
  <c r="AC23" i="2" a="1"/>
  <c r="AC23" i="2"/>
  <c r="AC4" i="2" a="1"/>
  <c r="AC4" i="2"/>
  <c r="AC22" i="2" a="1"/>
  <c r="AC22" i="2"/>
  <c r="AC21" i="2" a="1"/>
  <c r="AC21" i="2"/>
  <c r="AC8" i="2" a="1"/>
  <c r="AC8" i="2"/>
  <c r="AC7" i="2" a="1"/>
  <c r="AC7" i="2"/>
  <c r="AC9" i="2" a="1"/>
  <c r="AC9" i="2"/>
  <c r="AC11" i="2" a="1"/>
  <c r="AC11" i="2"/>
  <c r="AC10" i="2" a="1"/>
  <c r="AC10" i="2"/>
  <c r="K28" i="1" a="1"/>
  <c r="K28" i="1"/>
  <c r="AC29" i="1" a="1"/>
  <c r="AC29" i="1"/>
  <c r="AC28" i="1" a="1"/>
  <c r="AC28" i="1"/>
  <c r="AB21" i="1"/>
  <c r="AB13" i="1"/>
  <c r="AF29" i="1"/>
  <c r="AF28" i="1"/>
  <c r="AC21" i="1" a="1"/>
  <c r="AC21" i="1"/>
  <c r="AI21" i="1"/>
  <c r="AB29" i="1"/>
  <c r="AB28" i="1"/>
  <c r="AI13" i="1"/>
  <c r="AF13" i="1"/>
  <c r="K21" i="1" a="1"/>
  <c r="K21" i="1"/>
  <c r="AC13" i="1"/>
  <c r="AF21" i="1"/>
  <c r="K13" i="1" a="1"/>
  <c r="K13" i="1"/>
  <c r="AI29" i="1"/>
  <c r="AI28" i="1"/>
  <c r="AG16" i="1"/>
  <c r="AG15" i="1"/>
  <c r="AG40" i="1"/>
  <c r="AG13" i="1"/>
  <c r="AG36" i="1"/>
  <c r="AG27" i="1"/>
  <c r="AG39" i="1"/>
  <c r="AG29" i="1"/>
  <c r="AG28" i="1"/>
  <c r="AG21" i="1"/>
  <c r="AG38" i="1"/>
  <c r="AI31" i="1"/>
  <c r="AI30" i="1"/>
  <c r="AC31" i="1" a="1"/>
  <c r="AC31" i="1"/>
  <c r="AC30" i="1" a="1"/>
  <c r="AC30" i="1"/>
  <c r="K30" i="1" a="1"/>
  <c r="K30" i="1"/>
  <c r="E1" i="1"/>
  <c r="AC37" i="1" a="1"/>
  <c r="AC37" i="1"/>
  <c r="AI37" i="1"/>
  <c r="AB31" i="1"/>
  <c r="AB30" i="1"/>
  <c r="AB37" i="1"/>
  <c r="K37" i="1" a="1"/>
  <c r="K37" i="1"/>
  <c r="AC16" i="1" a="1"/>
  <c r="AC16" i="1"/>
  <c r="AC15" i="1" a="1"/>
  <c r="AC15" i="1"/>
  <c r="AI16" i="1"/>
  <c r="AI15" i="1"/>
  <c r="K7" i="1"/>
  <c r="K15" i="1" a="1"/>
  <c r="K15" i="1"/>
  <c r="AB16" i="1"/>
  <c r="AB15" i="1"/>
  <c r="K36" i="1" a="1"/>
  <c r="K36" i="1"/>
  <c r="E2" i="1" a="1"/>
  <c r="E2" i="1"/>
  <c r="K23" i="1" a="1"/>
  <c r="K23" i="1"/>
  <c r="E9" i="1"/>
  <c r="K41" i="1" a="1"/>
  <c r="K41" i="1"/>
  <c r="AI24" i="1"/>
  <c r="K24" i="1" a="1"/>
  <c r="K24" i="1"/>
  <c r="E7" i="1" a="1"/>
  <c r="E7" i="1"/>
  <c r="AI40" i="1"/>
  <c r="AI35" i="1"/>
  <c r="AI34" i="1"/>
  <c r="AI33" i="1"/>
  <c r="AI32" i="1"/>
  <c r="AI41" i="1"/>
  <c r="AI36" i="1"/>
  <c r="K40" i="1" a="1"/>
  <c r="K40" i="1"/>
  <c r="K32" i="1" a="1"/>
  <c r="K32" i="1"/>
  <c r="E3" i="1"/>
  <c r="AI23" i="1"/>
  <c r="AG14" i="1"/>
  <c r="AG24" i="1"/>
  <c r="AG19" i="1"/>
  <c r="AG18" i="1"/>
  <c r="AG22" i="1"/>
  <c r="AC17" i="1" a="1"/>
  <c r="AC17" i="1"/>
  <c r="K2" i="1"/>
  <c r="AI17" i="1"/>
  <c r="K5" i="1" a="1"/>
  <c r="K5" i="1"/>
  <c r="K17" i="1" a="1"/>
  <c r="K17" i="1"/>
  <c r="L25" i="1" a="1"/>
  <c r="L25" i="1"/>
  <c r="AF10" i="1" a="1"/>
  <c r="AF10" i="1"/>
  <c r="E10" i="1"/>
  <c r="L2" i="2" a="1"/>
  <c r="L2" i="2"/>
  <c r="L5" i="2" a="1"/>
  <c r="L5" i="2"/>
  <c r="AN5" i="2" a="1"/>
  <c r="AN5" i="2"/>
  <c r="L6" i="2" a="1"/>
  <c r="L6" i="2"/>
  <c r="AN6" i="2" a="1"/>
  <c r="AN6" i="2"/>
  <c r="L7" i="2" a="1"/>
  <c r="L7" i="2"/>
  <c r="AN7" i="2" a="1"/>
  <c r="AN7" i="2"/>
  <c r="AN8" i="2" a="1"/>
  <c r="AN8" i="2"/>
  <c r="L4" i="2" a="1"/>
  <c r="L4" i="2"/>
  <c r="AN4" i="2" a="1"/>
  <c r="AN4" i="2"/>
  <c r="L9" i="2" a="1"/>
  <c r="L9" i="2"/>
  <c r="AN9" i="2" a="1"/>
  <c r="AN9" i="2"/>
  <c r="L10" i="2" a="1"/>
  <c r="L10" i="2"/>
  <c r="AN10" i="2" a="1"/>
  <c r="AN10" i="2"/>
  <c r="L11" i="2" a="1"/>
  <c r="L11" i="2"/>
  <c r="AN11" i="2" a="1"/>
  <c r="AN11" i="2"/>
  <c r="G16" i="2" a="1"/>
  <c r="G16" i="2"/>
  <c r="L16" i="2" a="1"/>
  <c r="L16" i="2"/>
  <c r="P16" i="2" a="1"/>
  <c r="P16" i="2"/>
  <c r="Q16" i="2" a="1"/>
  <c r="Q16" i="2"/>
  <c r="AF16" i="2" a="1"/>
  <c r="AF16" i="2"/>
  <c r="AN16" i="2" a="1"/>
  <c r="AN16" i="2"/>
  <c r="G19" i="2" a="1"/>
  <c r="G19" i="2"/>
  <c r="L19" i="2" a="1"/>
  <c r="L19" i="2"/>
  <c r="P19" i="2" a="1"/>
  <c r="P19" i="2"/>
  <c r="Q19" i="2" a="1"/>
  <c r="Q19" i="2"/>
  <c r="AF19" i="2" a="1"/>
  <c r="AF19" i="2"/>
  <c r="AN19" i="2" a="1"/>
  <c r="AN19" i="2"/>
  <c r="G20" i="2" a="1"/>
  <c r="G20" i="2"/>
  <c r="L20" i="2" a="1"/>
  <c r="L20" i="2"/>
  <c r="P20" i="2" a="1"/>
  <c r="P20" i="2"/>
  <c r="Q20" i="2" a="1"/>
  <c r="Q20" i="2"/>
  <c r="AF20" i="2" a="1"/>
  <c r="AF20" i="2"/>
  <c r="AN20" i="2" a="1"/>
  <c r="AN20" i="2"/>
  <c r="L23" i="2" a="1"/>
  <c r="L23" i="2"/>
  <c r="AN23" i="2" a="1"/>
  <c r="AN23" i="2"/>
  <c r="L24" i="2" a="1"/>
  <c r="L24" i="2"/>
  <c r="AN24" i="2" a="1"/>
  <c r="AN24" i="2"/>
  <c r="L25" i="2" a="1"/>
  <c r="L25" i="2"/>
  <c r="AN25" i="2" a="1"/>
  <c r="AN25" i="2"/>
  <c r="G26" i="2" a="1"/>
  <c r="G26" i="2"/>
  <c r="P26" i="2" a="1"/>
  <c r="P26" i="2"/>
  <c r="Q26" i="2" a="1"/>
  <c r="Q26" i="2"/>
  <c r="AN26" i="2" a="1"/>
  <c r="AN26" i="2"/>
  <c r="L27" i="2" a="1"/>
  <c r="L27" i="2"/>
  <c r="AN27" i="2" a="1"/>
  <c r="AN27" i="2"/>
  <c r="L28" i="2" a="1"/>
  <c r="L28" i="2"/>
  <c r="AN28" i="2" a="1"/>
  <c r="AN28" i="2"/>
  <c r="G32" i="2" a="1"/>
  <c r="G32" i="2"/>
  <c r="L32" i="2" a="1"/>
  <c r="L32" i="2"/>
  <c r="P32" i="2" a="1"/>
  <c r="P32" i="2"/>
  <c r="Q32" i="2" a="1"/>
  <c r="Q32" i="2"/>
  <c r="AF32" i="2" a="1"/>
  <c r="AF32" i="2"/>
  <c r="AN32" i="2" a="1"/>
  <c r="AN32" i="2"/>
  <c r="G33" i="2" a="1"/>
  <c r="G33" i="2"/>
  <c r="L33" i="2" a="1"/>
  <c r="L33" i="2"/>
  <c r="P33" i="2" a="1"/>
  <c r="P33" i="2"/>
  <c r="Q33" i="2" a="1"/>
  <c r="Q33" i="2"/>
  <c r="AF33" i="2" a="1"/>
  <c r="AF33" i="2"/>
  <c r="AN33" i="2" a="1"/>
  <c r="AN33" i="2"/>
  <c r="I5" i="1" a="1"/>
  <c r="I5" i="1"/>
  <c r="I7" i="1" a="1"/>
  <c r="I7" i="1"/>
  <c r="C6" i="1" a="1"/>
  <c r="C6" i="1"/>
  <c r="C7" i="1" a="1"/>
  <c r="C7" i="1"/>
  <c r="C3" i="1" a="1"/>
  <c r="C3" i="1"/>
  <c r="I9" i="1" a="1"/>
  <c r="I9" i="1"/>
  <c r="C5" i="1" a="1"/>
  <c r="C5" i="1"/>
  <c r="I3" i="1" a="1"/>
  <c r="I3" i="1"/>
  <c r="I4" i="1" a="1"/>
  <c r="I4" i="1"/>
  <c r="I12" i="1" a="1"/>
  <c r="I12" i="1"/>
  <c r="C4" i="1" a="1"/>
  <c r="C4" i="1"/>
  <c r="C9" i="1" a="1"/>
  <c r="C9" i="1"/>
  <c r="C10" i="1" a="1"/>
  <c r="C10" i="1"/>
  <c r="C2" i="1" a="1"/>
  <c r="C2" i="1"/>
  <c r="I8" i="1" a="1"/>
  <c r="I8" i="1"/>
  <c r="AC3" i="1" a="1"/>
  <c r="AC3" i="1"/>
  <c r="I1" i="1" a="1"/>
  <c r="I1" i="1"/>
  <c r="C8" i="1" a="1"/>
  <c r="C8" i="1"/>
  <c r="I2" i="1" a="1"/>
  <c r="I2" i="1"/>
  <c r="I6" i="1" a="1"/>
  <c r="I6" i="1"/>
  <c r="I10" i="1" a="1"/>
  <c r="I10" i="1"/>
  <c r="C1" i="1" a="1"/>
  <c r="C1" i="1"/>
  <c r="I39" i="1" a="1"/>
  <c r="I39" i="1"/>
  <c r="I41" i="1" a="1"/>
  <c r="I41" i="1"/>
  <c r="I27" i="1" a="1"/>
  <c r="I27" i="1"/>
  <c r="I37" i="1" a="1"/>
  <c r="I37" i="1"/>
  <c r="I26" i="1" a="1"/>
  <c r="I26" i="1"/>
  <c r="I17" i="1" a="1"/>
  <c r="I17" i="1"/>
  <c r="I25" i="1" a="1"/>
  <c r="I25" i="1"/>
  <c r="I13" i="1" a="1"/>
  <c r="I13" i="1"/>
  <c r="I24" i="1" a="1"/>
  <c r="I24" i="1"/>
  <c r="I22" i="1" a="1"/>
  <c r="I22" i="1"/>
  <c r="I36" i="1" a="1"/>
  <c r="I36" i="1"/>
  <c r="I21" i="1" a="1"/>
  <c r="I21" i="1"/>
  <c r="I40" i="1" a="1"/>
  <c r="I40" i="1"/>
  <c r="I20" i="1" a="1"/>
  <c r="I20" i="1"/>
  <c r="I23" i="1" a="1"/>
  <c r="I23" i="1"/>
  <c r="AD2" i="1" a="1"/>
  <c r="AD2" i="1"/>
  <c r="AB2" i="1" a="1"/>
  <c r="AB2" i="1"/>
  <c r="G14" i="2" a="1"/>
  <c r="G14" i="2"/>
  <c r="G18" i="2" a="1"/>
  <c r="G18" i="2"/>
  <c r="L22" i="2" a="1"/>
  <c r="L22" i="2"/>
  <c r="L13" i="2" a="1"/>
  <c r="L13" i="2"/>
  <c r="AN13" i="2" a="1"/>
  <c r="AN13" i="2"/>
  <c r="AN29" i="2" a="1"/>
  <c r="AN29" i="2"/>
  <c r="L14" i="2" a="1"/>
  <c r="L14" i="2"/>
  <c r="AN18" i="2" a="1"/>
  <c r="AN18" i="2"/>
  <c r="I29" i="1" a="1"/>
  <c r="I29" i="1"/>
  <c r="I16" i="1" a="1"/>
  <c r="I16" i="1"/>
  <c r="G13" i="2" a="1"/>
  <c r="G13" i="2"/>
  <c r="AN14" i="2" a="1"/>
  <c r="AN14" i="2"/>
  <c r="L18" i="2" a="1"/>
  <c r="L18" i="2"/>
  <c r="AN30" i="2" a="1"/>
  <c r="AN30" i="2"/>
  <c r="P14" i="2" a="1"/>
  <c r="P14" i="2"/>
  <c r="I35" i="1" a="1"/>
  <c r="I35" i="1"/>
  <c r="AF13" i="2" a="1"/>
  <c r="AF13" i="2"/>
  <c r="Q14" i="2" a="1"/>
  <c r="Q14" i="2"/>
  <c r="P18" i="2" a="1"/>
  <c r="P18" i="2"/>
  <c r="L30" i="2" a="1"/>
  <c r="L30" i="2"/>
  <c r="AN21" i="2" a="1"/>
  <c r="AN21" i="2"/>
  <c r="AN31" i="2" a="1"/>
  <c r="AN31" i="2"/>
  <c r="I31" i="1" a="1"/>
  <c r="I31" i="1"/>
  <c r="Q18" i="2" a="1"/>
  <c r="Q18" i="2"/>
  <c r="L31" i="2" a="1"/>
  <c r="L31" i="2"/>
  <c r="AN22" i="2" a="1"/>
  <c r="AN22" i="2"/>
  <c r="AF18" i="2" a="1"/>
  <c r="AF18" i="2"/>
  <c r="L21" i="2" a="1"/>
  <c r="L21" i="2"/>
  <c r="P13" i="2" a="1"/>
  <c r="P13" i="2"/>
  <c r="Q13" i="2" a="1"/>
  <c r="Q13" i="2"/>
  <c r="L29" i="2" a="1"/>
  <c r="L29" i="2"/>
  <c r="I38" i="1" a="1"/>
  <c r="I38" i="1"/>
  <c r="AF14" i="2" a="1"/>
  <c r="AF14" i="2"/>
  <c r="I19" i="1" a="1"/>
  <c r="I19" i="1"/>
  <c r="BB22" i="2"/>
  <c r="BA22" i="2"/>
  <c r="BB21" i="2"/>
  <c r="BA21" i="2"/>
  <c r="BB31" i="2"/>
  <c r="BA31" i="2"/>
  <c r="BC31" i="2" s="1"/>
  <c r="BB30" i="2"/>
  <c r="BA30" i="2"/>
  <c r="BB29" i="2"/>
  <c r="BA29" i="2"/>
  <c r="BB18" i="2"/>
  <c r="BA18" i="2"/>
  <c r="BC18" i="2" s="1"/>
  <c r="BB14" i="2"/>
  <c r="BA14" i="2"/>
  <c r="BC14" i="2" s="1"/>
  <c r="BB13" i="2"/>
  <c r="BA13" i="2"/>
  <c r="AA22" i="2" a="1"/>
  <c r="AF29" i="2" a="1"/>
  <c r="L31" i="1" a="1"/>
  <c r="AA31" i="2" a="1"/>
  <c r="G30" i="2" a="1"/>
  <c r="AF35" i="1"/>
  <c r="AA29" i="2" a="1"/>
  <c r="G29" i="2" a="1"/>
  <c r="G22" i="2" a="1"/>
  <c r="AD30" i="2" a="1"/>
  <c r="P30" i="2" a="1"/>
  <c r="Q29" i="2" a="1"/>
  <c r="L35" i="1" a="1"/>
  <c r="L38" i="1" a="1"/>
  <c r="AA21" i="2" a="1"/>
  <c r="G21" i="2" a="1"/>
  <c r="AD29" i="2" a="1"/>
  <c r="P29" i="2" a="1"/>
  <c r="AF31" i="1"/>
  <c r="T22" i="2" a="1"/>
  <c r="D21" i="2" a="1"/>
  <c r="G31" i="2" a="1"/>
  <c r="AA30" i="2" a="1"/>
  <c r="L34" i="1" a="1"/>
  <c r="D22" i="2" a="1"/>
  <c r="AD22" i="2" a="1"/>
  <c r="P22" i="2" a="1"/>
  <c r="Q21" i="2" a="1"/>
  <c r="D29" i="2" a="1"/>
  <c r="L29" i="1" a="1"/>
  <c r="AF31" i="2" a="1"/>
  <c r="P31" i="2" a="1"/>
  <c r="AB33" i="1"/>
  <c r="L19" i="1" a="1"/>
  <c r="D31" i="2" a="1"/>
  <c r="I33" i="1" a="1"/>
  <c r="AC34" i="1" a="1"/>
  <c r="AF16" i="1"/>
  <c r="Q31" i="2" a="1"/>
  <c r="L33" i="1" a="1"/>
  <c r="Q22" i="2" a="1"/>
  <c r="P21" i="2" a="1"/>
  <c r="AF30" i="2" a="1"/>
  <c r="I34" i="1" a="1"/>
  <c r="AB35" i="1"/>
  <c r="T30" i="2" a="1"/>
  <c r="AF21" i="2" a="1"/>
  <c r="AF34" i="1"/>
  <c r="Q30" i="2" a="1"/>
  <c r="AB34" i="1"/>
  <c r="T29" i="2" a="1"/>
  <c r="AD31" i="2" a="1"/>
  <c r="AD21" i="2" a="1"/>
  <c r="AC35" i="1" a="1"/>
  <c r="T31" i="2" a="1"/>
  <c r="T21" i="2" a="1"/>
  <c r="D30" i="2" a="1"/>
  <c r="L16" i="1" a="1"/>
  <c r="AF22" i="2" a="1"/>
  <c r="AC33" i="1" a="1"/>
  <c r="AF33" i="1"/>
  <c r="O63" i="89" a="1"/>
  <c r="BC13" i="2" l="1"/>
  <c r="BC29" i="2"/>
  <c r="BC21" i="2"/>
  <c r="AC33" i="1"/>
  <c r="AF22" i="2"/>
  <c r="L16" i="1"/>
  <c r="D30" i="2"/>
  <c r="T21" i="2"/>
  <c r="T31" i="2"/>
  <c r="AC35" i="1"/>
  <c r="AD21" i="2"/>
  <c r="AD31" i="2"/>
  <c r="T29" i="2"/>
  <c r="Q30" i="2"/>
  <c r="AF21" i="2"/>
  <c r="T30" i="2"/>
  <c r="I34" i="1"/>
  <c r="AF30" i="2"/>
  <c r="P21" i="2"/>
  <c r="Q22" i="2"/>
  <c r="R22" i="2" s="1"/>
  <c r="L33" i="1"/>
  <c r="Q31" i="2"/>
  <c r="AC34" i="1"/>
  <c r="I33" i="1"/>
  <c r="D31" i="2"/>
  <c r="L19" i="1"/>
  <c r="P31" i="2"/>
  <c r="AF31" i="2"/>
  <c r="L29" i="1"/>
  <c r="D29" i="2"/>
  <c r="Q21" i="2"/>
  <c r="P22" i="2"/>
  <c r="AD22" i="2"/>
  <c r="D22" i="2"/>
  <c r="L34" i="1"/>
  <c r="AA30" i="2"/>
  <c r="G31" i="2"/>
  <c r="D21" i="2"/>
  <c r="T22" i="2"/>
  <c r="R18" i="2"/>
  <c r="P29" i="2"/>
  <c r="AD29" i="2"/>
  <c r="G21" i="2"/>
  <c r="AA21" i="2"/>
  <c r="L38" i="1"/>
  <c r="L35" i="1"/>
  <c r="Q29" i="2"/>
  <c r="P30" i="2"/>
  <c r="AD30" i="2"/>
  <c r="G22" i="2"/>
  <c r="G29" i="2"/>
  <c r="AA29" i="2"/>
  <c r="R13" i="2"/>
  <c r="G30" i="2"/>
  <c r="AA31" i="2"/>
  <c r="L31" i="1"/>
  <c r="AF29" i="2"/>
  <c r="AA22" i="2"/>
  <c r="BC30" i="2"/>
  <c r="BC22" i="2"/>
  <c r="O63" i="89"/>
  <c r="S22" i="2" a="1"/>
  <c r="S31" i="2" a="1"/>
  <c r="S30" i="2" a="1"/>
  <c r="S29" i="2" a="1"/>
  <c r="S21" i="2" a="1"/>
  <c r="S18" i="2" a="1"/>
  <c r="S13" i="2" a="1"/>
  <c r="S14" i="2" a="1"/>
  <c r="V63" i="89" a="1"/>
  <c r="R29" i="2" l="1"/>
  <c r="S14" i="2"/>
  <c r="S13" i="2"/>
  <c r="AO13" i="2" s="1"/>
  <c r="S18" i="2"/>
  <c r="AP18" i="2" s="1"/>
  <c r="S21" i="2"/>
  <c r="S29" i="2"/>
  <c r="S30" i="2"/>
  <c r="AO30" i="2" s="1"/>
  <c r="S31" i="2"/>
  <c r="AO31" i="2" s="1"/>
  <c r="S22" i="2"/>
  <c r="U22" i="2" s="1"/>
  <c r="U21" i="2"/>
  <c r="AP21" i="2"/>
  <c r="O21" i="2"/>
  <c r="N16" i="1"/>
  <c r="J16" i="1"/>
  <c r="AO18" i="2"/>
  <c r="N33" i="1"/>
  <c r="J33" i="1"/>
  <c r="AO22" i="2"/>
  <c r="O18" i="2"/>
  <c r="U18" i="2"/>
  <c r="R21" i="2"/>
  <c r="R31" i="2"/>
  <c r="N34" i="1"/>
  <c r="J34" i="1"/>
  <c r="J31" i="1"/>
  <c r="N31" i="1"/>
  <c r="U13" i="2"/>
  <c r="AP13" i="2"/>
  <c r="O13" i="2"/>
  <c r="AO21" i="2"/>
  <c r="O31" i="2"/>
  <c r="AP31" i="2"/>
  <c r="U31" i="2"/>
  <c r="N29" i="1"/>
  <c r="J29" i="1"/>
  <c r="R14" i="2"/>
  <c r="AO14" i="2"/>
  <c r="N35" i="1"/>
  <c r="J35" i="1"/>
  <c r="R30" i="2"/>
  <c r="N19" i="1"/>
  <c r="J19" i="1"/>
  <c r="O22" i="2"/>
  <c r="O14" i="2"/>
  <c r="AP14" i="2"/>
  <c r="U14" i="2"/>
  <c r="N38" i="1"/>
  <c r="J38" i="1"/>
  <c r="AP29" i="2"/>
  <c r="O29" i="2"/>
  <c r="U29" i="2"/>
  <c r="AO29" i="2"/>
  <c r="O30" i="2"/>
  <c r="AP30" i="2"/>
  <c r="U30" i="2"/>
  <c r="V63" i="89"/>
  <c r="AQ30" i="2" a="1"/>
  <c r="AQ29" i="2" a="1"/>
  <c r="Z29" i="2"/>
  <c r="AQ18" i="2" a="1"/>
  <c r="AQ21" i="2" a="1"/>
  <c r="Z14" i="2"/>
  <c r="AV29" i="2" a="1"/>
  <c r="Z18" i="2"/>
  <c r="Z21" i="2"/>
  <c r="AQ31" i="2" a="1"/>
  <c r="Z22" i="2"/>
  <c r="AQ22" i="2" a="1"/>
  <c r="Z31" i="2"/>
  <c r="Z30" i="2"/>
  <c r="T63" i="89" a="1"/>
  <c r="AV18" i="2" a="1"/>
  <c r="AV21" i="2" a="1"/>
  <c r="AV22" i="2" a="1"/>
  <c r="AV31" i="2" a="1"/>
  <c r="AV30" i="2" a="1"/>
  <c r="AP22" i="2" l="1"/>
  <c r="AV30" i="2"/>
  <c r="AV31" i="2"/>
  <c r="AV22" i="2"/>
  <c r="AV21" i="2"/>
  <c r="AV18" i="2"/>
  <c r="AE30" i="2"/>
  <c r="AT30" i="2"/>
  <c r="AS30" i="2"/>
  <c r="AL30" i="2"/>
  <c r="AM30" i="2"/>
  <c r="AB30" i="2"/>
  <c r="X30" i="2"/>
  <c r="Y30" i="2" s="1"/>
  <c r="M30" i="2"/>
  <c r="AL31" i="2"/>
  <c r="AS31" i="2"/>
  <c r="AT31" i="2"/>
  <c r="M31" i="2"/>
  <c r="AB31" i="2"/>
  <c r="AM31" i="2"/>
  <c r="X31" i="2"/>
  <c r="Y31" i="2" s="1"/>
  <c r="AE22" i="2"/>
  <c r="AE13" i="2"/>
  <c r="AE29" i="2"/>
  <c r="AQ22" i="2"/>
  <c r="AL22" i="2"/>
  <c r="AS22" i="2"/>
  <c r="AT22" i="2"/>
  <c r="M22" i="2"/>
  <c r="AM22" i="2"/>
  <c r="X22" i="2"/>
  <c r="Y22" i="2" s="1"/>
  <c r="AB22" i="2"/>
  <c r="AQ31" i="2"/>
  <c r="AE21" i="2"/>
  <c r="AL21" i="2"/>
  <c r="AT21" i="2"/>
  <c r="AS21" i="2"/>
  <c r="AB21" i="2"/>
  <c r="M21" i="2"/>
  <c r="X21" i="2"/>
  <c r="Y21" i="2" s="1"/>
  <c r="AM21" i="2"/>
  <c r="AE14" i="2"/>
  <c r="AT18" i="2"/>
  <c r="AS18" i="2"/>
  <c r="AL18" i="2"/>
  <c r="X18" i="2"/>
  <c r="Y18" i="2" s="1"/>
  <c r="AM18" i="2"/>
  <c r="M18" i="2"/>
  <c r="AB18" i="2"/>
  <c r="AV29" i="2"/>
  <c r="AS14" i="2"/>
  <c r="AT14" i="2"/>
  <c r="AL14" i="2"/>
  <c r="AM14" i="2"/>
  <c r="AB14" i="2"/>
  <c r="M14" i="2"/>
  <c r="X14" i="2"/>
  <c r="Y14" i="2" s="1"/>
  <c r="AQ21" i="2"/>
  <c r="AQ18" i="2"/>
  <c r="AT29" i="2"/>
  <c r="AS29" i="2"/>
  <c r="AL29" i="2"/>
  <c r="M29" i="2"/>
  <c r="AB29" i="2"/>
  <c r="X29" i="2"/>
  <c r="Y29" i="2" s="1"/>
  <c r="AM29" i="2"/>
  <c r="AE18" i="2"/>
  <c r="AE31" i="2"/>
  <c r="AQ29" i="2"/>
  <c r="AT13" i="2"/>
  <c r="AS13" i="2"/>
  <c r="AL13" i="2"/>
  <c r="M13" i="2"/>
  <c r="AB13" i="2"/>
  <c r="X13" i="2"/>
  <c r="Y13" i="2" s="1"/>
  <c r="AM13" i="2"/>
  <c r="AQ30" i="2"/>
  <c r="T29" i="1"/>
  <c r="T19" i="1"/>
  <c r="T33" i="1"/>
  <c r="T16" i="1"/>
  <c r="T35" i="1"/>
  <c r="T31" i="1"/>
  <c r="T34" i="1"/>
  <c r="T63" i="89"/>
  <c r="C63" i="89" a="1"/>
  <c r="C63" i="89" l="1"/>
  <c r="E63" i="89" a="1"/>
  <c r="E63" i="89"/>
  <c r="D63" i="89" a="1"/>
  <c r="D63" i="89"/>
  <c r="F63" i="89" a="1"/>
  <c r="F63" i="89"/>
  <c r="K63" i="89" a="1"/>
  <c r="K63" i="89"/>
  <c r="L63" i="89" a="1"/>
  <c r="L63" i="89"/>
  <c r="W63" i="89" a="1"/>
  <c r="W63" i="89"/>
  <c r="T62" i="89" a="1"/>
  <c r="T62" i="89"/>
  <c r="O62" i="89" a="1"/>
  <c r="O62" i="89"/>
  <c r="V62" i="89" a="1"/>
  <c r="V62" i="89"/>
  <c r="C62" i="89" a="1"/>
  <c r="C62" i="89"/>
  <c r="Z62" i="89" a="1"/>
  <c r="Z62" i="89"/>
  <c r="E62" i="89" a="1"/>
  <c r="E62" i="89"/>
  <c r="D62" i="89" a="1"/>
  <c r="D62" i="89"/>
  <c r="F62" i="89" a="1"/>
  <c r="F62" i="89"/>
  <c r="K62" i="89" a="1"/>
  <c r="K62" i="89"/>
  <c r="L62" i="89" a="1"/>
  <c r="L62" i="89"/>
  <c r="W62" i="89" a="1"/>
  <c r="W62" i="89"/>
  <c r="O55" i="89" a="1"/>
  <c r="O55" i="89"/>
  <c r="C55" i="89" a="1"/>
  <c r="C55" i="89"/>
  <c r="T55" i="89" a="1"/>
  <c r="T55" i="89"/>
  <c r="V55" i="89" a="1"/>
  <c r="V55" i="89"/>
  <c r="E55" i="89" a="1"/>
  <c r="E55" i="89"/>
  <c r="D55" i="89" a="1"/>
  <c r="D55" i="89"/>
  <c r="W55" i="89" a="1"/>
  <c r="W55" i="89"/>
  <c r="L55" i="89" a="1"/>
  <c r="L55" i="89"/>
  <c r="K55" i="89" a="1"/>
  <c r="K55" i="89"/>
  <c r="F55" i="89" a="1"/>
  <c r="F55" i="89"/>
  <c r="O56" i="89" a="1"/>
  <c r="O56" i="89"/>
  <c r="C56" i="89" a="1"/>
  <c r="C56" i="89" l="1"/>
  <c r="T56" i="89" a="1"/>
  <c r="T56" i="89"/>
  <c r="V56" i="89" a="1"/>
  <c r="V56" i="89"/>
  <c r="E56" i="89" a="1"/>
  <c r="E56" i="89"/>
  <c r="D56" i="89" a="1"/>
  <c r="D56" i="89"/>
  <c r="F56" i="89" a="1"/>
  <c r="F56" i="89"/>
  <c r="K56" i="89" a="1"/>
  <c r="K56" i="89"/>
  <c r="L56" i="89" a="1"/>
  <c r="L56" i="89"/>
  <c r="W56" i="89" a="1"/>
  <c r="W56" i="89"/>
  <c r="AB56" i="89" a="1"/>
  <c r="AB56" i="89"/>
  <c r="AB55" i="89" a="1"/>
  <c r="AB55" i="89" l="1"/>
  <c r="S55" i="89" a="1"/>
  <c r="S55" i="89"/>
  <c r="AB50" i="89" a="1"/>
  <c r="AB50" i="89"/>
  <c r="AB49" i="89" a="1"/>
  <c r="AB49" i="89"/>
  <c r="S50" i="89" a="1"/>
  <c r="S50" i="89"/>
  <c r="R50" i="89" a="1"/>
  <c r="V49" i="89" a="1"/>
  <c r="R50" i="89" l="1"/>
  <c r="V49" i="89"/>
  <c r="C50" i="89" a="1"/>
  <c r="C50" i="89"/>
  <c r="O50" i="89" a="1"/>
  <c r="O50" i="89"/>
  <c r="C49" i="89" a="1"/>
  <c r="C49" i="89" l="1"/>
  <c r="T49" i="89" a="1"/>
  <c r="T49" i="89"/>
  <c r="V50" i="89" a="1"/>
  <c r="V50" i="89"/>
  <c r="O49" i="89" a="1"/>
  <c r="O49" i="89"/>
  <c r="T50" i="89" a="1"/>
  <c r="T50" i="89" l="1"/>
  <c r="E50" i="89" a="1"/>
  <c r="E50" i="89"/>
  <c r="D49" i="89" a="1"/>
  <c r="D49" i="89"/>
  <c r="E49" i="89" a="1"/>
  <c r="E49" i="89"/>
  <c r="D50" i="89" a="1"/>
  <c r="D50" i="89"/>
  <c r="F50" i="89" a="1"/>
  <c r="F50" i="89"/>
  <c r="K50" i="89" a="1"/>
  <c r="K50" i="89"/>
  <c r="L50" i="89" a="1"/>
  <c r="L50" i="89"/>
  <c r="W50" i="89" a="1"/>
  <c r="W50" i="89"/>
  <c r="F49" i="89" a="1"/>
  <c r="F49" i="89"/>
  <c r="W49" i="89" a="1"/>
  <c r="W49" i="89"/>
  <c r="L49" i="89" a="1"/>
  <c r="L49" i="89"/>
  <c r="K49" i="89" a="1"/>
  <c r="K49" i="89"/>
  <c r="AB250" i="89" a="1"/>
  <c r="AB250" i="89"/>
  <c r="AB129" i="89" a="1"/>
  <c r="AB129" i="89"/>
  <c r="AB247" i="89" a="1"/>
  <c r="AB247" i="89"/>
  <c r="AB39" i="89" a="1"/>
  <c r="AB39" i="89"/>
  <c r="AB160" i="89" a="1"/>
  <c r="AB160" i="89"/>
  <c r="R116" i="89" a="1"/>
  <c r="R116" i="89"/>
  <c r="R115" i="89" a="1"/>
  <c r="R115" i="89"/>
  <c r="AB108" i="89" a="1"/>
  <c r="AB108" i="89"/>
  <c r="AB81" i="89" a="1"/>
  <c r="AB81" i="89"/>
  <c r="AB116" i="89" a="1"/>
  <c r="AB116" i="89"/>
  <c r="AB115" i="89" a="1"/>
  <c r="AB115" i="89"/>
  <c r="AB154" i="89" a="1"/>
  <c r="AB154" i="89"/>
  <c r="AB153" i="89" a="1"/>
  <c r="AB153" i="89"/>
  <c r="S108" i="89" a="1"/>
  <c r="S108" i="89"/>
  <c r="R108" i="89" a="1"/>
  <c r="S247" i="89" a="1"/>
  <c r="R108" i="89" l="1"/>
  <c r="S247" i="89"/>
  <c r="R247" i="89" a="1"/>
  <c r="S250" i="89" a="1"/>
  <c r="R247" i="89" l="1"/>
  <c r="S250" i="89"/>
  <c r="R250" i="89" a="1"/>
  <c r="S116" i="89" a="1"/>
  <c r="R250" i="89" l="1"/>
  <c r="S116" i="89"/>
  <c r="S81" i="89" a="1"/>
  <c r="S81" i="89"/>
  <c r="R81" i="89" a="1"/>
  <c r="S129" i="89" a="1"/>
  <c r="R81" i="89" l="1"/>
  <c r="S129" i="89"/>
  <c r="R129" i="89" a="1"/>
  <c r="S160" i="89" a="1"/>
  <c r="R129" i="89" l="1"/>
  <c r="S160" i="89"/>
  <c r="R160" i="89" a="1"/>
  <c r="S154" i="89" a="1"/>
  <c r="R160" i="89" l="1"/>
  <c r="S154" i="89"/>
  <c r="R154" i="89" a="1"/>
  <c r="AB248" i="89" a="1"/>
  <c r="R154" i="89" l="1"/>
  <c r="AB248" i="89"/>
  <c r="AB240" i="89" a="1"/>
  <c r="AB240" i="89"/>
  <c r="AB239" i="89" a="1"/>
  <c r="AB239" i="89"/>
  <c r="S39" i="89" a="1"/>
  <c r="S39" i="89"/>
  <c r="R39" i="89" a="1"/>
  <c r="D160" i="89" a="1"/>
  <c r="R39" i="89" l="1"/>
  <c r="D160" i="89"/>
  <c r="V96" i="89" a="1"/>
  <c r="V96" i="89"/>
  <c r="V154" i="89" a="1"/>
  <c r="V154" i="89"/>
  <c r="V153" i="89" a="1"/>
  <c r="V153" i="89"/>
  <c r="C154" i="89" a="1"/>
  <c r="C154" i="89"/>
  <c r="C153" i="89" a="1"/>
  <c r="C153" i="89"/>
  <c r="E102" i="89" a="1"/>
  <c r="E102" i="89"/>
  <c r="T129" i="89" a="1"/>
  <c r="T129" i="89"/>
  <c r="C129" i="89" a="1"/>
  <c r="C129" i="89"/>
  <c r="V115" i="89" a="1"/>
  <c r="V115" i="89"/>
  <c r="E108" i="89" a="1"/>
  <c r="E108" i="89"/>
  <c r="C115" i="89" a="1"/>
  <c r="C115" i="89"/>
  <c r="E137" i="89" a="1"/>
  <c r="E137" i="89"/>
  <c r="V102" i="89" a="1"/>
  <c r="V102" i="89"/>
  <c r="E160" i="89" a="1"/>
  <c r="E160" i="89"/>
  <c r="C137" i="89" a="1"/>
  <c r="C137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T102" i="89" a="1"/>
  <c r="T102" i="89"/>
  <c r="E129" i="89" a="1"/>
  <c r="E129" i="89"/>
  <c r="T154" i="89" a="1"/>
  <c r="T154" i="89"/>
  <c r="T153" i="89" a="1"/>
  <c r="T153" i="89"/>
  <c r="T108" i="89" a="1"/>
  <c r="T108" i="89"/>
  <c r="C116" i="89" a="1"/>
  <c r="C116" i="89"/>
  <c r="T96" i="89" a="1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D154" i="89" a="1"/>
  <c r="D154" i="89"/>
  <c r="D153" i="89" a="1"/>
  <c r="D153" i="89"/>
  <c r="C108" i="89" a="1"/>
  <c r="C108" i="89"/>
  <c r="E154" i="89" a="1"/>
  <c r="E154" i="89"/>
  <c r="E153" i="89" a="1"/>
  <c r="E153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Z160" i="89" a="1"/>
  <c r="Z160" i="89"/>
  <c r="D122" i="89" a="1"/>
  <c r="D122" i="89"/>
  <c r="T116" i="89" a="1"/>
  <c r="T116" i="89"/>
  <c r="C19" i="89"/>
  <c r="V19" i="89"/>
  <c r="V81" i="89" a="1"/>
  <c r="V81" i="89"/>
  <c r="V197" i="89" a="1"/>
  <c r="V197" i="89"/>
  <c r="O81" i="89" a="1"/>
  <c r="O81" i="89"/>
  <c r="V250" i="89" a="1"/>
  <c r="V250" i="89"/>
  <c r="C8" i="89" a="1"/>
  <c r="C8" i="89"/>
  <c r="C75" i="89" a="1"/>
  <c r="C75" i="89"/>
  <c r="C186" i="89" a="1"/>
  <c r="C186" i="89"/>
  <c r="T8" i="89" a="1"/>
  <c r="T8" i="89"/>
  <c r="O75" i="89" a="1"/>
  <c r="O75" i="89"/>
  <c r="V195" i="89" a="1"/>
  <c r="V195" i="89"/>
  <c r="O247" i="89" a="1"/>
  <c r="O247" i="89"/>
  <c r="O250" i="89" a="1"/>
  <c r="O250" i="89"/>
  <c r="O8" i="89" a="1"/>
  <c r="O8" i="89" l="1"/>
  <c r="V75" i="89" a="1"/>
  <c r="V75" i="89"/>
  <c r="C197" i="89" a="1"/>
  <c r="C197" i="89"/>
  <c r="O186" i="89" a="1"/>
  <c r="O186" i="89"/>
  <c r="T81" i="89" a="1"/>
  <c r="T81" i="89" l="1"/>
  <c r="T197" i="89" a="1"/>
  <c r="T197" i="89"/>
  <c r="C195" i="89" a="1"/>
  <c r="C195" i="89"/>
  <c r="V186" i="89" a="1"/>
  <c r="V186" i="89"/>
  <c r="T247" i="89" a="1"/>
  <c r="T247" i="89"/>
  <c r="V247" i="89" a="1"/>
  <c r="V247" i="89"/>
  <c r="C250" i="89" a="1"/>
  <c r="C250" i="89"/>
  <c r="T195" i="89" a="1"/>
  <c r="T195" i="89"/>
  <c r="T19" i="89"/>
  <c r="O197" i="89" a="1"/>
  <c r="O197" i="89"/>
  <c r="O195" i="89" a="1"/>
  <c r="O195" i="89"/>
  <c r="V8" i="89" a="1"/>
  <c r="V8" i="89" l="1"/>
  <c r="T186" i="89" a="1"/>
  <c r="T186" i="89"/>
  <c r="C81" i="89" a="1"/>
  <c r="C81" i="89"/>
  <c r="T75" i="89" a="1"/>
  <c r="T75" i="89"/>
  <c r="T250" i="89" a="1"/>
  <c r="T250" i="89"/>
  <c r="C247" i="89" a="1"/>
  <c r="C247" i="89"/>
  <c r="O19" i="89"/>
  <c r="AB34" i="89" a="1"/>
  <c r="AB34" i="89"/>
  <c r="AB33" i="89" a="1"/>
  <c r="AB33" i="89"/>
  <c r="T224" i="89" a="1"/>
  <c r="T224" i="89"/>
  <c r="O240" i="89" a="1"/>
  <c r="O240" i="89"/>
  <c r="V233" i="89" a="1"/>
  <c r="V233" i="89"/>
  <c r="V178" i="89" a="1"/>
  <c r="V178" i="89"/>
  <c r="V169" i="89" a="1"/>
  <c r="V169" i="89"/>
  <c r="V224" i="89" a="1"/>
  <c r="V224" i="89" l="1"/>
  <c r="T196" i="89" a="1"/>
  <c r="T196" i="89"/>
  <c r="O39" i="89" a="1"/>
  <c r="O39" i="89"/>
  <c r="C213" i="89" a="1"/>
  <c r="C213" i="89"/>
  <c r="C246" i="89" a="1"/>
  <c r="C246" i="89"/>
  <c r="V213" i="89" a="1"/>
  <c r="V213" i="89"/>
  <c r="T213" i="89" a="1"/>
  <c r="T213" i="89"/>
  <c r="C233" i="89" a="1"/>
  <c r="C233" i="89"/>
  <c r="C178" i="89" a="1"/>
  <c r="C178" i="89"/>
  <c r="C169" i="89" a="1"/>
  <c r="C169" i="89"/>
  <c r="T39" i="89" a="1"/>
  <c r="T39" i="89"/>
  <c r="T211" i="89" a="1"/>
  <c r="T211" i="89"/>
  <c r="V39" i="89" a="1"/>
  <c r="V39" i="89"/>
  <c r="O196" i="89" a="1"/>
  <c r="O196" i="89"/>
  <c r="C211" i="89" a="1"/>
  <c r="C211" i="89" l="1"/>
  <c r="C240" i="89" a="1"/>
  <c r="C240" i="89"/>
  <c r="T246" i="89" a="1"/>
  <c r="T246" i="89"/>
  <c r="C224" i="89" a="1"/>
  <c r="C224" i="89"/>
  <c r="O246" i="89" a="1"/>
  <c r="O246" i="89"/>
  <c r="C196" i="89" a="1"/>
  <c r="C196" i="89"/>
  <c r="O233" i="89" a="1"/>
  <c r="O233" i="89"/>
  <c r="O178" i="89" a="1"/>
  <c r="O178" i="89" l="1"/>
  <c r="O169" i="89" a="1"/>
  <c r="O169" i="89" l="1"/>
  <c r="T212" i="89" a="1"/>
  <c r="T212" i="89" l="1"/>
  <c r="T240" i="89" a="1"/>
  <c r="T240" i="89"/>
  <c r="O213" i="89" a="1"/>
  <c r="O213" i="89"/>
  <c r="O211" i="89" a="1"/>
  <c r="O211" i="89"/>
  <c r="O212" i="89" a="1"/>
  <c r="O212" i="89" l="1"/>
  <c r="C212" i="89" a="1"/>
  <c r="C212" i="89"/>
  <c r="V246" i="89" a="1"/>
  <c r="V246" i="89"/>
  <c r="O224" i="89" a="1"/>
  <c r="O224" i="89"/>
  <c r="V240" i="89" a="1"/>
  <c r="V240" i="89" l="1"/>
  <c r="V211" i="89" a="1"/>
  <c r="V211" i="89"/>
  <c r="T233" i="89" a="1"/>
  <c r="T233" i="89"/>
  <c r="T178" i="89" a="1"/>
  <c r="T178" i="89"/>
  <c r="T169" i="89" a="1"/>
  <c r="T169" i="89"/>
  <c r="V196" i="89" a="1"/>
  <c r="V196" i="89"/>
  <c r="C39" i="89" a="1"/>
  <c r="C39" i="89"/>
  <c r="V212" i="89" a="1"/>
  <c r="V212" i="89"/>
  <c r="AB40" i="89" a="1"/>
  <c r="AB40" i="89"/>
  <c r="AB27" i="89" a="1"/>
  <c r="AB27" i="89"/>
  <c r="AB26" i="89" a="1"/>
  <c r="AB26" i="89"/>
  <c r="AB20" i="89" a="1"/>
  <c r="AB20" i="89"/>
  <c r="AB14" i="89" a="1"/>
  <c r="AB14" i="89"/>
  <c r="AB13" i="89" a="1"/>
  <c r="AB13" i="89"/>
  <c r="AB205" i="89" a="1"/>
  <c r="AB205" i="89"/>
  <c r="AB204" i="89" a="1"/>
  <c r="AB204" i="89"/>
  <c r="AB203" i="89" a="1"/>
  <c r="AB203" i="89"/>
  <c r="AB188" i="89" a="1"/>
  <c r="AB188" i="89"/>
  <c r="AB187" i="89" a="1"/>
  <c r="AB187" i="89"/>
  <c r="AB251" i="89" a="1"/>
  <c r="AB251" i="89"/>
  <c r="AB225" i="89" a="1"/>
  <c r="AB225" i="89"/>
  <c r="AB223" i="89" a="1"/>
  <c r="AB223" i="89"/>
  <c r="AB222" i="89" a="1"/>
  <c r="AB222" i="89"/>
  <c r="AB249" i="89" a="1"/>
  <c r="AB249" i="89"/>
  <c r="AB234" i="89" a="1"/>
  <c r="AB234" i="89"/>
  <c r="AB180" i="89" a="1"/>
  <c r="AB180" i="89"/>
  <c r="AB179" i="89" a="1"/>
  <c r="AB179" i="89"/>
  <c r="AB171" i="89" a="1"/>
  <c r="AB171" i="89"/>
  <c r="AB170" i="89" a="1"/>
  <c r="AB170" i="89"/>
  <c r="S239" i="89" a="1"/>
  <c r="S239" i="89"/>
  <c r="R239" i="89" a="1"/>
  <c r="S248" i="89" a="1"/>
  <c r="R239" i="89" l="1"/>
  <c r="S248" i="89"/>
  <c r="R248" i="89" a="1"/>
  <c r="R248" i="89" l="1"/>
  <c r="AB138" i="89" a="1"/>
  <c r="AB138" i="89"/>
  <c r="AB136" i="89" a="1"/>
  <c r="AB136" i="89"/>
  <c r="AB7" i="89" a="1"/>
  <c r="AB7" i="89"/>
  <c r="AB69" i="89" a="1"/>
  <c r="AB69" i="89"/>
  <c r="AB90" i="89" a="1"/>
  <c r="AB90" i="89"/>
  <c r="AB89" i="89" a="1"/>
  <c r="AB89" i="89"/>
  <c r="AB95" i="89" a="1"/>
  <c r="AB95" i="89"/>
  <c r="AB101" i="89" a="1"/>
  <c r="AB101" i="89"/>
  <c r="AB145" i="89" a="1"/>
  <c r="AB145" i="89"/>
  <c r="AB144" i="89" a="1"/>
  <c r="AB144" i="89"/>
  <c r="AB109" i="89" a="1"/>
  <c r="AB109" i="89"/>
  <c r="AB123" i="89" a="1"/>
  <c r="AB123" i="89"/>
  <c r="AB76" i="89" a="1"/>
  <c r="AB76" i="89"/>
  <c r="O34" i="89" a="1"/>
  <c r="O34" i="89"/>
  <c r="O68" i="89" a="1"/>
  <c r="O68" i="89"/>
  <c r="T20" i="89" a="1"/>
  <c r="T20" i="89"/>
  <c r="T239" i="89" a="1"/>
  <c r="T239" i="89"/>
  <c r="O248" i="89" a="1"/>
  <c r="O248" i="89"/>
  <c r="O171" i="89" a="1"/>
  <c r="O171" i="89"/>
  <c r="T248" i="89" a="1"/>
  <c r="T248" i="89"/>
  <c r="T251" i="89" a="1"/>
  <c r="T251" i="89"/>
  <c r="C68" i="89" a="1"/>
  <c r="C68" i="89"/>
  <c r="V171" i="89" a="1"/>
  <c r="V171" i="89"/>
  <c r="C187" i="89" a="1"/>
  <c r="C187" i="89"/>
  <c r="V20" i="89" a="1"/>
  <c r="V20" i="89"/>
  <c r="C239" i="89" a="1"/>
  <c r="C239" i="89"/>
  <c r="C20" i="89" a="1"/>
  <c r="C20" i="89"/>
  <c r="C188" i="89" a="1"/>
  <c r="C188" i="89"/>
  <c r="V34" i="89" a="1"/>
  <c r="V34" i="89"/>
  <c r="O20" i="89" a="1"/>
  <c r="O20" i="89"/>
  <c r="V248" i="89" a="1"/>
  <c r="V248" i="89"/>
  <c r="C248" i="89" a="1"/>
  <c r="C248" i="89"/>
  <c r="O239" i="89" a="1"/>
  <c r="O239" i="89"/>
  <c r="T188" i="89" a="1"/>
  <c r="T188" i="89"/>
  <c r="V251" i="89" a="1"/>
  <c r="V251" i="89"/>
  <c r="T187" i="89" a="1"/>
  <c r="T187" i="89"/>
  <c r="O251" i="89" a="1"/>
  <c r="O251" i="89"/>
  <c r="O187" i="89" a="1"/>
  <c r="O187" i="89"/>
  <c r="C34" i="89" a="1"/>
  <c r="C34" i="89"/>
  <c r="T34" i="89" a="1"/>
  <c r="T34" i="89"/>
  <c r="V239" i="89" a="1"/>
  <c r="V239" i="89"/>
  <c r="C171" i="89" a="1"/>
  <c r="C171" i="89"/>
  <c r="O188" i="89" a="1"/>
  <c r="O188" i="89"/>
  <c r="T171" i="89" a="1"/>
  <c r="T171" i="89" l="1"/>
  <c r="V68" i="89" a="1"/>
  <c r="V68" i="89"/>
  <c r="V187" i="89" a="1"/>
  <c r="V187" i="89"/>
  <c r="T68" i="89" a="1"/>
  <c r="T68" i="89"/>
  <c r="C251" i="89" a="1"/>
  <c r="C251" i="89"/>
  <c r="V188" i="89" a="1"/>
  <c r="V188" i="89"/>
  <c r="S33" i="89"/>
  <c r="R33" i="89" s="1" a="1"/>
  <c r="S40" i="89" a="1"/>
  <c r="R33" i="89" l="1"/>
  <c r="S40" i="89"/>
  <c r="R40" i="89" a="1"/>
  <c r="V249" i="89" a="1"/>
  <c r="R40" i="89" l="1"/>
  <c r="V249" i="89"/>
  <c r="C40" i="89" a="1"/>
  <c r="C40" i="89"/>
  <c r="C7" i="89" a="1"/>
  <c r="C7" i="89"/>
  <c r="O249" i="89" a="1"/>
  <c r="O249" i="89"/>
  <c r="O225" i="89" a="1"/>
  <c r="O225" i="89"/>
  <c r="V7" i="89" a="1"/>
  <c r="V7" i="89"/>
  <c r="T40" i="89" a="1"/>
  <c r="T40" i="89"/>
  <c r="V40" i="89" a="1"/>
  <c r="V40" i="89"/>
  <c r="O7" i="89" a="1"/>
  <c r="O7" i="89"/>
  <c r="V225" i="89" a="1"/>
  <c r="V225" i="89" l="1"/>
  <c r="C225" i="89" a="1"/>
  <c r="C225" i="89"/>
  <c r="T249" i="89" a="1"/>
  <c r="T249" i="89"/>
  <c r="T225" i="89" a="1"/>
  <c r="T225" i="89"/>
  <c r="C249" i="89" a="1"/>
  <c r="C249" i="89"/>
  <c r="O40" i="89" a="1"/>
  <c r="O40" i="89"/>
  <c r="T7" i="89" a="1"/>
  <c r="T7" i="89"/>
  <c r="AB63" i="89" a="1"/>
  <c r="AB63" i="89" l="1"/>
  <c r="D10" i="2" a="1"/>
  <c r="D10" i="2"/>
  <c r="AQ10" i="2" a="1"/>
  <c r="C180" i="89" a="1"/>
  <c r="AQ10" i="2" l="1"/>
  <c r="C180" i="89"/>
  <c r="AA7" i="2" a="1"/>
  <c r="AA7" i="2"/>
  <c r="T26" i="89" a="1"/>
  <c r="T26" i="89"/>
  <c r="T7" i="2" a="1"/>
  <c r="T7" i="2"/>
  <c r="O26" i="89" a="1"/>
  <c r="O26" i="89"/>
  <c r="AA11" i="2" a="1"/>
  <c r="AA11" i="2"/>
  <c r="T234" i="89" a="1"/>
  <c r="T234" i="89"/>
  <c r="AD28" i="2" a="1"/>
  <c r="AD28" i="2"/>
  <c r="V14" i="89" a="1"/>
  <c r="V14" i="89"/>
  <c r="AA10" i="2" a="1"/>
  <c r="AA10" i="2"/>
  <c r="T180" i="89" a="1"/>
  <c r="T180" i="89"/>
  <c r="AA4" i="2" a="1"/>
  <c r="AA4" i="2"/>
  <c r="T33" i="89" a="1"/>
  <c r="T33" i="89"/>
  <c r="D7" i="2" a="1"/>
  <c r="D7" i="2"/>
  <c r="AQ7" i="2" a="1"/>
  <c r="C26" i="89" a="1"/>
  <c r="AQ7" i="2" l="1"/>
  <c r="C26" i="89"/>
  <c r="T11" i="2" a="1"/>
  <c r="T11" i="2"/>
  <c r="O234" i="89" a="1"/>
  <c r="O234" i="89"/>
  <c r="T10" i="2" a="1"/>
  <c r="T10" i="2"/>
  <c r="O180" i="89" a="1"/>
  <c r="O180" i="89"/>
  <c r="AD11" i="2" a="1"/>
  <c r="AD11" i="2"/>
  <c r="V234" i="89" a="1"/>
  <c r="V234" i="89"/>
  <c r="AD10" i="2" a="1"/>
  <c r="AD10" i="2"/>
  <c r="V180" i="89" a="1"/>
  <c r="V180" i="89"/>
  <c r="T4" i="2" a="1"/>
  <c r="T4" i="2"/>
  <c r="O33" i="89" a="1"/>
  <c r="O33" i="89"/>
  <c r="D28" i="2" a="1"/>
  <c r="D28" i="2" l="1"/>
  <c r="AQ28" i="2" a="1"/>
  <c r="C14" i="89" a="1"/>
  <c r="AQ28" i="2" l="1"/>
  <c r="C14" i="89"/>
  <c r="D11" i="2" a="1"/>
  <c r="D11" i="2"/>
  <c r="AQ11" i="2" a="1"/>
  <c r="C234" i="89" a="1"/>
  <c r="AQ11" i="2" l="1"/>
  <c r="C234" i="89"/>
  <c r="AD4" i="2" a="1"/>
  <c r="AD4" i="2"/>
  <c r="V33" i="89" a="1"/>
  <c r="V33" i="89"/>
  <c r="AA28" i="2" a="1"/>
  <c r="AA28" i="2"/>
  <c r="T14" i="89" a="1"/>
  <c r="T14" i="89"/>
  <c r="D4" i="2" a="1"/>
  <c r="D4" i="2"/>
  <c r="AQ4" i="2" a="1"/>
  <c r="C33" i="89" a="1"/>
  <c r="AQ4" i="2" l="1"/>
  <c r="C33" i="89"/>
  <c r="T28" i="2" a="1"/>
  <c r="T28" i="2"/>
  <c r="O14" i="89" a="1"/>
  <c r="O14" i="89"/>
  <c r="AD7" i="2" a="1"/>
  <c r="AD7" i="2" l="1"/>
  <c r="V26" i="89" a="1"/>
  <c r="V26" i="89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P37" i="338" a="1"/>
  <c r="P37" i="338"/>
  <c r="S35" i="338" a="1"/>
  <c r="S35" i="338"/>
  <c r="P17" i="338" a="1"/>
  <c r="P17" i="338"/>
  <c r="X37" i="338" a="1"/>
  <c r="X37" i="338"/>
  <c r="X40" i="338" a="1"/>
  <c r="X40" i="338"/>
  <c r="S38" i="338" a="1"/>
  <c r="S38" i="338"/>
  <c r="S16" i="338" a="1"/>
  <c r="S16" i="338"/>
  <c r="X10" i="338" a="1"/>
  <c r="X10" i="338"/>
  <c r="X51" i="338" a="1"/>
  <c r="X51" i="338"/>
  <c r="P53" i="338" a="1"/>
  <c r="P53" i="338"/>
  <c r="S37" i="338" a="1"/>
  <c r="S37" i="338"/>
  <c r="S13" i="89" a="1"/>
  <c r="S13" i="89"/>
  <c r="R13" i="89" a="1"/>
  <c r="S27" i="89" a="1"/>
  <c r="R13" i="89" l="1"/>
  <c r="S27" i="89"/>
  <c r="R27" i="89" a="1"/>
  <c r="S179" i="89" a="1"/>
  <c r="R27" i="89" l="1"/>
  <c r="S179" i="89"/>
  <c r="R179" i="89" a="1"/>
  <c r="S90" i="89" a="1"/>
  <c r="R179" i="89" l="1"/>
  <c r="S90" i="89"/>
  <c r="R90" i="89" a="1"/>
  <c r="S109" i="89" a="1"/>
  <c r="R90" i="89" l="1"/>
  <c r="S109" i="89"/>
  <c r="R109" i="89" a="1"/>
  <c r="R109" i="89" l="1"/>
  <c r="S223" i="89" a="1"/>
  <c r="S223" i="89" l="1"/>
  <c r="R223" i="89" a="1"/>
  <c r="S123" i="89" a="1"/>
  <c r="R223" i="89" l="1"/>
  <c r="S123" i="89"/>
  <c r="R123" i="89" a="1"/>
  <c r="S145" i="89" a="1"/>
  <c r="R123" i="89" l="1"/>
  <c r="S145" i="89"/>
  <c r="R145" i="89" a="1"/>
  <c r="S101" i="89" a="1"/>
  <c r="R145" i="89" l="1"/>
  <c r="S101" i="89"/>
  <c r="R101" i="89" a="1"/>
  <c r="S205" i="89" a="1"/>
  <c r="R101" i="89" l="1"/>
  <c r="S205" i="89"/>
  <c r="R205" i="89" a="1"/>
  <c r="S138" i="89" a="1"/>
  <c r="R205" i="89" l="1"/>
  <c r="S138" i="89"/>
  <c r="R138" i="89" a="1"/>
  <c r="R138" i="89" l="1"/>
  <c r="AQ17" i="2" a="1"/>
  <c r="AQ17" i="2" l="1"/>
  <c r="AQ26" i="2" a="1"/>
  <c r="AC26" i="2" a="1"/>
  <c r="AC26" i="2" l="1"/>
  <c r="AQ26" i="2"/>
  <c r="AQ33" i="2" a="1"/>
  <c r="AC33" i="2" a="1"/>
  <c r="AC33" i="2" l="1"/>
  <c r="AQ33" i="2"/>
  <c r="AQ19" i="2" a="1"/>
  <c r="AQ19" i="2" l="1"/>
  <c r="AQ32" i="2" a="1"/>
  <c r="AC32" i="2" a="1"/>
  <c r="AC32" i="2" l="1"/>
  <c r="AQ32" i="2"/>
  <c r="Z20" i="2"/>
  <c r="AQ20" i="2" a="1"/>
  <c r="AQ20" i="2" l="1"/>
  <c r="AV20" i="2" a="1"/>
  <c r="AV20" i="2" l="1"/>
  <c r="D24" i="2" a="1"/>
  <c r="D24" i="2"/>
  <c r="AQ24" i="2" a="1"/>
  <c r="C204" i="89" a="1"/>
  <c r="AQ24" i="2" l="1"/>
  <c r="C204" i="89"/>
  <c r="D25" i="2" a="1"/>
  <c r="D25" i="2"/>
  <c r="AQ25" i="2" a="1"/>
  <c r="C205" i="89" a="1"/>
  <c r="AQ25" i="2" l="1"/>
  <c r="C205" i="89"/>
  <c r="AA23" i="2" a="1"/>
  <c r="AA23" i="2" l="1"/>
  <c r="T203" i="89" a="1"/>
  <c r="T203" i="89"/>
  <c r="T27" i="2" a="1"/>
  <c r="T27" i="2"/>
  <c r="O13" i="89" a="1"/>
  <c r="O13" i="89"/>
  <c r="AA5" i="2" a="1"/>
  <c r="AA5" i="2"/>
  <c r="T222" i="89" a="1"/>
  <c r="T222" i="89"/>
  <c r="T5" i="2" a="1"/>
  <c r="T5" i="2"/>
  <c r="O222" i="89" a="1"/>
  <c r="O222" i="89"/>
  <c r="AA24" i="2" a="1"/>
  <c r="AA24" i="2"/>
  <c r="T204" i="89" a="1"/>
  <c r="T204" i="89"/>
  <c r="D9" i="2" a="1"/>
  <c r="D9" i="2"/>
  <c r="AQ9" i="2" a="1"/>
  <c r="C179" i="89" a="1"/>
  <c r="AQ9" i="2" l="1"/>
  <c r="C179" i="89"/>
  <c r="C170" i="89" a="1"/>
  <c r="C170" i="89"/>
  <c r="AD25" i="2" a="1"/>
  <c r="AD25" i="2"/>
  <c r="V205" i="89" a="1"/>
  <c r="V205" i="89"/>
  <c r="AA9" i="2" a="1"/>
  <c r="AA9" i="2"/>
  <c r="T179" i="89" a="1"/>
  <c r="T179" i="89"/>
  <c r="T170" i="89" a="1"/>
  <c r="T170" i="89"/>
  <c r="T9" i="2" a="1"/>
  <c r="T9" i="2"/>
  <c r="O179" i="89" a="1"/>
  <c r="O179" i="89"/>
  <c r="O170" i="89" a="1"/>
  <c r="O170" i="89"/>
  <c r="AD5" i="2" a="1"/>
  <c r="AD5" i="2"/>
  <c r="V222" i="89" a="1"/>
  <c r="V222" i="89"/>
  <c r="T24" i="2" a="1"/>
  <c r="T24" i="2"/>
  <c r="O204" i="89" a="1"/>
  <c r="O204" i="89"/>
  <c r="T6" i="2" a="1"/>
  <c r="T6" i="2"/>
  <c r="O223" i="89" a="1"/>
  <c r="O223" i="89"/>
  <c r="AD27" i="2" a="1"/>
  <c r="AD27" i="2"/>
  <c r="V13" i="89" a="1"/>
  <c r="V13" i="89"/>
  <c r="D23" i="2" a="1"/>
  <c r="D23" i="2"/>
  <c r="AQ23" i="2" a="1"/>
  <c r="C203" i="89" a="1"/>
  <c r="AQ23" i="2" l="1"/>
  <c r="C203" i="89"/>
  <c r="AD6" i="2" a="1"/>
  <c r="AD6" i="2"/>
  <c r="V223" i="89" a="1"/>
  <c r="V223" i="89"/>
  <c r="AA6" i="2" a="1"/>
  <c r="AA6" i="2"/>
  <c r="T223" i="89" a="1"/>
  <c r="T223" i="89"/>
  <c r="S56" i="89" a="1"/>
  <c r="AA27" i="2" a="1"/>
  <c r="S56" i="89" l="1"/>
  <c r="AA27" i="2"/>
  <c r="R56" i="89" a="1"/>
  <c r="T13" i="89" a="1"/>
  <c r="R56" i="89" l="1"/>
  <c r="T13" i="89"/>
  <c r="T25" i="2" a="1"/>
  <c r="T25" i="2"/>
  <c r="O205" i="89" a="1"/>
  <c r="O205" i="89"/>
  <c r="AD9" i="2" a="1"/>
  <c r="AD9" i="2" l="1"/>
  <c r="V179" i="89" a="1"/>
  <c r="V179" i="89"/>
  <c r="V170" i="89" a="1"/>
  <c r="V170" i="89"/>
  <c r="D6" i="2" a="1"/>
  <c r="D6" i="2"/>
  <c r="AQ6" i="2" a="1"/>
  <c r="C223" i="89" a="1"/>
  <c r="AQ6" i="2" l="1"/>
  <c r="C223" i="89"/>
  <c r="AD8" i="2" a="1"/>
  <c r="AD8" i="2"/>
  <c r="V27" i="89" a="1"/>
  <c r="V27" i="89"/>
  <c r="D5" i="2" a="1"/>
  <c r="D5" i="2"/>
  <c r="AQ5" i="2" a="1"/>
  <c r="C222" i="89" a="1"/>
  <c r="AQ5" i="2" l="1"/>
  <c r="C222" i="89"/>
  <c r="D8" i="2" a="1"/>
  <c r="D8" i="2"/>
  <c r="AQ8" i="2" a="1"/>
  <c r="C27" i="89" a="1"/>
  <c r="AQ8" i="2" l="1"/>
  <c r="C27" i="89"/>
  <c r="T8" i="2" a="1"/>
  <c r="T8" i="2"/>
  <c r="O27" i="89" a="1"/>
  <c r="O27" i="89"/>
  <c r="AA25" i="2" a="1"/>
  <c r="AA25" i="2"/>
  <c r="T205" i="89" a="1"/>
  <c r="T205" i="89"/>
  <c r="D27" i="2" a="1"/>
  <c r="D27" i="2"/>
  <c r="AQ27" i="2" a="1"/>
  <c r="C13" i="89" a="1"/>
  <c r="AQ27" i="2" l="1"/>
  <c r="Q38" i="1"/>
  <c r="C13" i="89"/>
  <c r="T38" i="1" l="1"/>
  <c r="AD24" i="2" a="1"/>
  <c r="AD24" i="2"/>
  <c r="V204" i="89" a="1"/>
  <c r="V204" i="89"/>
  <c r="AA8" i="2" a="1"/>
  <c r="AA8" i="2"/>
  <c r="T27" i="89" a="1"/>
  <c r="T27" i="89"/>
  <c r="T23" i="2" a="1"/>
  <c r="T23" i="2" l="1"/>
  <c r="O203" i="89" a="1"/>
  <c r="O203" i="89"/>
  <c r="AD23" i="2" a="1"/>
  <c r="AD23" i="2" l="1"/>
  <c r="V203" i="89" a="1"/>
  <c r="V203" i="89"/>
  <c r="S45" i="338" a="1"/>
  <c r="S45" i="338"/>
  <c r="S9" i="338" a="1"/>
  <c r="S9" i="338"/>
  <c r="S29" i="338" a="1"/>
  <c r="S29" i="338"/>
  <c r="X34" i="338" a="1"/>
  <c r="X34" i="338"/>
  <c r="X42" i="338" a="1"/>
  <c r="X42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S31" i="338" a="1"/>
  <c r="S31" i="338"/>
  <c r="X45" i="338" a="1"/>
  <c r="X45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P31" i="338" a="1"/>
  <c r="P31" i="338"/>
  <c r="S48" i="338" a="1"/>
  <c r="S48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T45" i="338" a="1"/>
  <c r="T45" i="338"/>
  <c r="S12" i="338" a="1"/>
  <c r="S12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F11" i="252" a="1"/>
  <c r="F11" i="252"/>
  <c r="P17" i="252" a="1"/>
  <c r="P17" i="252"/>
  <c r="F19" i="252" a="1"/>
  <c r="F19" i="252"/>
  <c r="F20" i="252" a="1"/>
  <c r="F20" i="252"/>
  <c r="F14" i="252" a="1"/>
  <c r="F14" i="252"/>
  <c r="N19" i="252" a="1"/>
  <c r="N19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O8" i="252" a="1"/>
  <c r="O8" i="252"/>
  <c r="F7" i="252" a="1"/>
  <c r="F7" i="252"/>
  <c r="P7" i="252" a="1"/>
  <c r="P7" i="252"/>
  <c r="P8" i="252" a="1"/>
  <c r="P8" i="252"/>
  <c r="L16" i="252" a="1"/>
  <c r="L16" i="252"/>
  <c r="P20" i="252" a="1"/>
  <c r="P20" i="252"/>
  <c r="F10" i="252" a="1"/>
  <c r="F10" i="252"/>
  <c r="N17" i="252" a="1"/>
  <c r="N17" i="252"/>
  <c r="S18" i="252" a="1"/>
  <c r="S18" i="252"/>
  <c r="S14" i="252" a="1"/>
  <c r="S14" i="252"/>
  <c r="N8" i="252" a="1"/>
  <c r="N8" i="252"/>
  <c r="O19" i="252" a="1"/>
  <c r="O19" i="252"/>
  <c r="L10" i="252" a="1"/>
  <c r="L10" i="252"/>
  <c r="M16" i="252" a="1"/>
  <c r="M16" i="252"/>
  <c r="M10" i="252" a="1"/>
  <c r="M10" i="252"/>
  <c r="L7" i="252" a="1"/>
  <c r="L7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L11" i="252" a="1"/>
  <c r="L11" i="252"/>
  <c r="N14" i="252" a="1"/>
  <c r="N14" i="252"/>
  <c r="O14" i="252" a="1"/>
  <c r="O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P14" i="252" a="1"/>
  <c r="P14" i="252"/>
  <c r="M14" i="252" a="1"/>
  <c r="M14" i="252"/>
  <c r="L19" i="252" a="1"/>
  <c r="L19" i="252"/>
  <c r="M7" i="252" a="1"/>
  <c r="M7" i="252"/>
  <c r="O10" i="252" a="1"/>
  <c r="O10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E247" i="89" a="1"/>
  <c r="E247" i="89"/>
  <c r="E180" i="89" a="1"/>
  <c r="E180" i="89"/>
  <c r="E246" i="89" a="1"/>
  <c r="E246" i="89"/>
  <c r="E212" i="89" a="1"/>
  <c r="E212" i="89"/>
  <c r="E187" i="89" a="1"/>
  <c r="E187" i="89"/>
  <c r="E248" i="89" a="1"/>
  <c r="E248" i="89"/>
  <c r="E239" i="89" a="1"/>
  <c r="E239" i="89"/>
  <c r="E240" i="89" a="1"/>
  <c r="E240" i="89"/>
  <c r="E234" i="89" a="1"/>
  <c r="E234" i="89"/>
  <c r="E145" i="89" a="1"/>
  <c r="E145" i="89"/>
  <c r="T90" i="89" a="1"/>
  <c r="T90" i="89"/>
  <c r="V109" i="89" a="1"/>
  <c r="V109" i="89"/>
  <c r="V89" i="89" a="1"/>
  <c r="V89" i="89"/>
  <c r="V90" i="89" a="1"/>
  <c r="V90" i="89"/>
  <c r="D145" i="89" a="1"/>
  <c r="D145" i="89"/>
  <c r="V144" i="89" a="1"/>
  <c r="V144" i="89"/>
  <c r="D109" i="89" a="1"/>
  <c r="D109" i="89"/>
  <c r="C90" i="89" a="1"/>
  <c r="C90" i="89"/>
  <c r="T136" i="89" a="1"/>
  <c r="T136" i="89"/>
  <c r="C123" i="89" a="1"/>
  <c r="C123" i="89"/>
  <c r="D101" i="89" a="1"/>
  <c r="D101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D90" i="89" a="1"/>
  <c r="D90" i="89"/>
  <c r="C89" i="89" a="1"/>
  <c r="C89" i="89"/>
  <c r="V138" i="89" a="1"/>
  <c r="V138" i="89"/>
  <c r="V95" i="89" a="1"/>
  <c r="V95" i="89"/>
  <c r="C145" i="89" a="1"/>
  <c r="C145" i="89"/>
  <c r="C138" i="89" a="1"/>
  <c r="C138" i="89"/>
  <c r="E101" i="89" a="1"/>
  <c r="E101" i="89"/>
  <c r="V145" i="89" a="1"/>
  <c r="V145" i="89"/>
  <c r="T123" i="89" a="1"/>
  <c r="T123" i="89"/>
  <c r="D95" i="89" a="1"/>
  <c r="D95" i="89"/>
  <c r="E123" i="89" a="1"/>
  <c r="E123" i="89"/>
  <c r="Z101" i="89" a="1"/>
  <c r="Z101" i="89"/>
  <c r="D89" i="89" a="1"/>
  <c r="D89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C101" i="89" a="1"/>
  <c r="C101" i="89"/>
  <c r="T145" i="89" a="1"/>
  <c r="T145" i="89"/>
  <c r="Z95" i="89" a="1"/>
  <c r="Z95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S69" i="89" a="1"/>
  <c r="S69" i="89"/>
  <c r="R69" i="89" a="1"/>
  <c r="S76" i="89" a="1"/>
  <c r="R69" i="89" l="1"/>
  <c r="S76" i="89"/>
  <c r="R76" i="89" a="1"/>
  <c r="R76" i="89" l="1"/>
  <c r="G32" i="446" a="1"/>
  <c r="G32" i="446"/>
  <c r="AH9" i="338" a="1"/>
  <c r="AH9" i="338"/>
  <c r="AH8" i="338" a="1"/>
  <c r="AH8" i="338"/>
  <c r="AK13" i="338" a="1"/>
  <c r="AK13" i="338"/>
  <c r="AH40" i="338" a="1"/>
  <c r="AH40" i="338"/>
  <c r="AH38" i="338" a="1"/>
  <c r="AH38" i="338"/>
  <c r="AH16" i="338" a="1"/>
  <c r="AH16" i="338"/>
  <c r="AJ9" i="338" a="1"/>
  <c r="AJ9" i="338"/>
  <c r="AJ8" i="338" a="1"/>
  <c r="AJ8" i="338"/>
  <c r="AJ40" i="338" a="1"/>
  <c r="AJ40" i="338"/>
  <c r="AJ38" i="338" a="1"/>
  <c r="AJ38" i="338"/>
  <c r="AJ16" i="338" a="1"/>
  <c r="AJ16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3" i="1"/>
  <c r="AH33" i="338" a="1"/>
  <c r="AH33" i="338"/>
  <c r="AH11" i="338" a="1"/>
  <c r="AH11" i="338"/>
  <c r="AH10" i="338" a="1"/>
  <c r="AH10" i="338"/>
  <c r="AG40" i="338"/>
  <c r="AF39" i="338"/>
  <c r="AF15" i="338"/>
  <c r="AF40" i="1"/>
  <c r="G36" i="446" a="1"/>
  <c r="G36" i="446"/>
  <c r="AB41" i="1"/>
  <c r="F32" i="446" a="1"/>
  <c r="F32" i="446"/>
  <c r="AF35" i="338"/>
  <c r="AF14" i="338"/>
  <c r="AF36" i="1"/>
  <c r="G33" i="446" a="1"/>
  <c r="G33" i="446"/>
  <c r="AB40" i="1"/>
  <c r="F33" i="446" a="1"/>
  <c r="F33" i="446"/>
  <c r="F17" i="446" a="1"/>
  <c r="F17" i="446"/>
  <c r="AB17" i="1"/>
  <c r="F21" i="446" a="1"/>
  <c r="F21" i="446"/>
  <c r="AC32" i="1" a="1"/>
  <c r="AC32" i="1"/>
  <c r="D35" i="446" a="1"/>
  <c r="D35" i="446"/>
  <c r="AI13" i="338" a="1"/>
  <c r="AI13" i="338"/>
  <c r="G26" i="446" a="1"/>
  <c r="G26" i="446"/>
  <c r="AG13" i="338"/>
  <c r="AC41" i="1"/>
  <c r="D32" i="446" a="1"/>
  <c r="D32" i="446"/>
  <c r="AK40" i="338" a="1"/>
  <c r="AK40" i="338"/>
  <c r="AJ39" i="338" a="1"/>
  <c r="AJ39" i="338"/>
  <c r="AJ15" i="338" a="1"/>
  <c r="AJ15" i="338"/>
  <c r="AC23" i="1" a="1"/>
  <c r="AC23" i="1"/>
  <c r="D26" i="446" a="1"/>
  <c r="D26" i="446"/>
  <c r="AB23" i="1"/>
  <c r="F26" i="446" a="1"/>
  <c r="F26" i="446"/>
  <c r="AF40" i="338"/>
  <c r="AF38" i="338"/>
  <c r="AF16" i="338"/>
  <c r="AF41" i="1"/>
  <c r="AI40" i="338" a="1"/>
  <c r="AI40" i="338"/>
  <c r="AH39" i="338" a="1"/>
  <c r="AH39" i="338"/>
  <c r="AH15" i="338" a="1"/>
  <c r="AH15" i="338"/>
  <c r="AC40" i="1"/>
  <c r="D33" i="446" a="1"/>
  <c r="D33" i="446"/>
  <c r="AC24" i="1" a="1"/>
  <c r="AC24" i="1"/>
  <c r="D30" i="446" a="1"/>
  <c r="D30" i="446"/>
  <c r="AF34" i="338"/>
  <c r="AF13" i="338"/>
  <c r="AF32" i="1"/>
  <c r="G30" i="446" a="1"/>
  <c r="G30" i="446"/>
  <c r="AJ34" i="338" a="1"/>
  <c r="AJ34" i="338"/>
  <c r="AJ13" i="338" a="1"/>
  <c r="AJ13" i="338"/>
  <c r="AC36" i="1" a="1"/>
  <c r="AC36" i="1"/>
  <c r="D36" i="446" a="1"/>
  <c r="D36" i="446"/>
  <c r="AF9" i="338"/>
  <c r="AF8" i="338"/>
  <c r="AF24" i="1"/>
  <c r="AJ33" i="338" a="1"/>
  <c r="AJ33" i="338"/>
  <c r="AJ11" i="338" a="1"/>
  <c r="AJ11" i="338"/>
  <c r="AJ10" i="338" a="1"/>
  <c r="AJ10" i="338"/>
  <c r="AB24" i="1"/>
  <c r="F30" i="446" a="1"/>
  <c r="F30" i="446"/>
  <c r="G35" i="446" a="1"/>
  <c r="G35" i="446"/>
  <c r="AB36" i="1"/>
  <c r="F36" i="446" a="1"/>
  <c r="F36" i="446"/>
  <c r="G21" i="446" a="1"/>
  <c r="G21" i="446"/>
  <c r="AH34" i="338" a="1"/>
  <c r="AH34" i="338"/>
  <c r="AH13" i="338" a="1"/>
  <c r="AH13" i="338"/>
  <c r="AB32" i="1"/>
  <c r="F35" i="446" a="1"/>
  <c r="F35" i="446"/>
  <c r="AG52" i="338"/>
  <c r="AG44" i="338"/>
  <c r="AG39" i="338"/>
  <c r="AG38" i="338"/>
  <c r="AG17" i="338"/>
  <c r="AG16" i="338"/>
  <c r="AG15" i="338"/>
  <c r="AF17" i="1"/>
  <c r="G17" i="446" a="1"/>
  <c r="G17" i="446"/>
  <c r="F18" i="446" a="1"/>
  <c r="F18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F23" i="446" a="1"/>
  <c r="F23" i="446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K49" i="338" a="1"/>
  <c r="AK49" i="338"/>
  <c r="AK48" i="338" a="1"/>
  <c r="AK48" i="338"/>
  <c r="AF54" i="338"/>
  <c r="AF53" i="338"/>
  <c r="AF52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E249" i="89" a="1"/>
  <c r="E249" i="89"/>
  <c r="E211" i="89" a="1"/>
  <c r="E211" i="89"/>
  <c r="E179" i="89" a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51" i="89" a="1"/>
  <c r="E251" i="89"/>
  <c r="E233" i="89" a="1"/>
  <c r="E233" i="89"/>
  <c r="E178" i="89" a="1"/>
  <c r="E178" i="89"/>
  <c r="E169" i="89" a="1"/>
  <c r="E169" i="89"/>
  <c r="E213" i="89" a="1"/>
  <c r="E213" i="89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E33" i="89" a="1"/>
  <c r="E33" i="89"/>
  <c r="D197" i="89" a="1"/>
  <c r="D197" i="89"/>
  <c r="E40" i="89" a="1"/>
  <c r="E40" i="89"/>
  <c r="D20" i="89" a="1"/>
  <c r="D20" i="89"/>
  <c r="E39" i="89" a="1"/>
  <c r="E39" i="89"/>
  <c r="D203" i="89" a="1"/>
  <c r="D203" i="89"/>
  <c r="E196" i="89" a="1"/>
  <c r="E196" i="89"/>
  <c r="D195" i="89" a="1"/>
  <c r="D195" i="89"/>
  <c r="E195" i="89" a="1"/>
  <c r="E195" i="89"/>
  <c r="E204" i="89" a="1"/>
  <c r="E204" i="89"/>
  <c r="D204" i="89" a="1"/>
  <c r="D204" i="89"/>
  <c r="D33" i="89" a="1"/>
  <c r="D33" i="89"/>
  <c r="E197" i="89" a="1"/>
  <c r="E197" i="89"/>
  <c r="D39" i="89" a="1"/>
  <c r="D39" i="89"/>
  <c r="E20" i="89" a="1"/>
  <c r="E20" i="89"/>
  <c r="D40" i="89" a="1"/>
  <c r="D40" i="89"/>
  <c r="E203" i="89" a="1"/>
  <c r="E203" i="89"/>
  <c r="D196" i="89" a="1"/>
  <c r="D196" i="89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AG9" i="338"/>
  <c r="AK9" i="338" a="1"/>
  <c r="AK9" i="338"/>
  <c r="AG54" i="338"/>
  <c r="F16" i="446" a="1"/>
  <c r="F16" i="446"/>
  <c r="AH18" i="338" a="1"/>
  <c r="AH18" i="338"/>
  <c r="AH17" i="338" a="1"/>
  <c r="AH17" i="338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V76" i="89" a="1"/>
  <c r="V76" i="89"/>
  <c r="D69" i="89" a="1"/>
  <c r="D69" i="89"/>
  <c r="D76" i="89" a="1"/>
  <c r="D76" i="89"/>
  <c r="C69" i="89" a="1"/>
  <c r="C69" i="89"/>
  <c r="O69" i="89" a="1"/>
  <c r="O69" i="89"/>
  <c r="E76" i="89" a="1"/>
  <c r="E76" i="89" l="1"/>
  <c r="C76" i="89" a="1"/>
  <c r="C76" i="89"/>
  <c r="T76" i="89" a="1"/>
  <c r="T76" i="89"/>
  <c r="O76" i="89" a="1"/>
  <c r="O76" i="89"/>
  <c r="V69" i="89" a="1"/>
  <c r="V69" i="89"/>
  <c r="Z76" i="89" a="1"/>
  <c r="Z76" i="89"/>
  <c r="E69" i="89" a="1"/>
  <c r="E69" i="89"/>
  <c r="T69" i="89" a="1"/>
  <c r="T69" i="89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X39" i="338" a="1"/>
  <c r="X39" i="338"/>
  <c r="X15" i="338" a="1"/>
  <c r="X15" i="338"/>
  <c r="T50" i="338" a="1"/>
  <c r="T50" i="338"/>
  <c r="T8" i="338" a="1"/>
  <c r="T8" i="338"/>
  <c r="T18" i="338" a="1"/>
  <c r="T1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S33" i="338" a="1"/>
  <c r="S33" i="338"/>
  <c r="T33" i="338" a="1"/>
  <c r="T33" i="338"/>
  <c r="P46" i="338" a="1"/>
  <c r="P46" i="338"/>
  <c r="P33" i="338" a="1"/>
  <c r="P33" i="338"/>
  <c r="P52" i="338" a="1"/>
  <c r="P52" i="338"/>
  <c r="X11" i="338" a="1"/>
  <c r="X11" i="338"/>
  <c r="X33" i="338" a="1"/>
  <c r="X33" i="338"/>
  <c r="S8" i="338" a="1"/>
  <c r="S8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L20" i="1" a="1"/>
  <c r="L20" i="1"/>
  <c r="L41" i="1" a="1"/>
  <c r="L41" i="1"/>
  <c r="L40" i="1" a="1"/>
  <c r="L40" i="1"/>
  <c r="L39" i="1" a="1"/>
  <c r="L39" i="1"/>
  <c r="L37" i="1" a="1"/>
  <c r="L37" i="1"/>
  <c r="L36" i="1" a="1"/>
  <c r="L36" i="1"/>
  <c r="L32" i="1" a="1"/>
  <c r="L32" i="1"/>
  <c r="L30" i="1" a="1"/>
  <c r="L30" i="1"/>
  <c r="L28" i="1" a="1"/>
  <c r="L28" i="1"/>
  <c r="L27" i="1" a="1"/>
  <c r="L27" i="1"/>
  <c r="L26" i="1" a="1"/>
  <c r="L26" i="1"/>
  <c r="L24" i="1" a="1"/>
  <c r="L24" i="1"/>
  <c r="L23" i="1" a="1"/>
  <c r="L23" i="1"/>
  <c r="L22" i="1" a="1"/>
  <c r="L22" i="1"/>
  <c r="L21" i="1" a="1"/>
  <c r="L21" i="1"/>
  <c r="L18" i="1" a="1"/>
  <c r="L18" i="1"/>
  <c r="L17" i="1" a="1"/>
  <c r="L17" i="1"/>
  <c r="L15" i="1" a="1"/>
  <c r="L15" i="1"/>
  <c r="L14" i="1" a="1"/>
  <c r="L14" i="1"/>
  <c r="L13" i="1" a="1"/>
  <c r="L13" i="1"/>
  <c r="L12" i="1" a="1"/>
  <c r="L12" i="1"/>
  <c r="M13" i="252" a="1"/>
  <c r="M13" i="252"/>
  <c r="F13" i="252" a="1"/>
  <c r="F13" i="252"/>
  <c r="L13" i="252" a="1"/>
  <c r="L13" i="252"/>
  <c r="O13" i="252" a="1"/>
  <c r="O13" i="252"/>
  <c r="N13" i="252" a="1"/>
  <c r="N13" i="252"/>
  <c r="F27" i="446" a="1"/>
  <c r="F27" i="446"/>
  <c r="G27" i="446" a="1"/>
  <c r="G27" i="446"/>
  <c r="AK11" i="338" a="1"/>
  <c r="AK11" i="338"/>
  <c r="AI11" i="338" a="1"/>
  <c r="AI11" i="338"/>
  <c r="D27" i="446" a="1"/>
  <c r="D27" i="446"/>
  <c r="AG11" i="338"/>
  <c r="D26" i="89" a="1"/>
  <c r="D26" i="89"/>
  <c r="D68" i="89"/>
  <c r="D223" i="89" a="1"/>
  <c r="D223" i="89"/>
  <c r="D19" i="89"/>
  <c r="D14" i="89" a="1"/>
  <c r="D14" i="89"/>
  <c r="E27" i="89" a="1"/>
  <c r="E27" i="89"/>
  <c r="D222" i="89" a="1"/>
  <c r="D222" i="89"/>
  <c r="E13" i="89" a="1"/>
  <c r="E13" i="89"/>
  <c r="E8" i="89" a="1"/>
  <c r="E8" i="89"/>
  <c r="E223" i="89" a="1"/>
  <c r="E223" i="89"/>
  <c r="D27" i="89" a="1"/>
  <c r="D27" i="89"/>
  <c r="E14" i="89" a="1"/>
  <c r="E14" i="89"/>
  <c r="E26" i="89" a="1"/>
  <c r="E26" i="89"/>
  <c r="E222" i="89" a="1"/>
  <c r="E222" i="89"/>
  <c r="E68" i="89"/>
  <c r="D8" i="89" a="1"/>
  <c r="D8" i="89"/>
  <c r="E19" i="89"/>
  <c r="D13" i="89" a="1"/>
  <c r="D13" i="89"/>
  <c r="F39" i="446" a="1"/>
  <c r="F39" i="446"/>
  <c r="AK12" i="338" a="1"/>
  <c r="AK12" i="338"/>
  <c r="AI12" i="338" a="1"/>
  <c r="AI12" i="338"/>
  <c r="AJ12" i="338" a="1"/>
  <c r="AJ12" i="338"/>
  <c r="AH12" i="338" a="1"/>
  <c r="AH12" i="338"/>
  <c r="G34" i="446" a="1"/>
  <c r="G34" i="446"/>
  <c r="D39" i="446" a="1"/>
  <c r="D39" i="446"/>
  <c r="AJ30" i="338" a="1"/>
  <c r="AJ30" i="338"/>
  <c r="AJ29" i="338" a="1"/>
  <c r="AJ29" i="338"/>
  <c r="AH30" i="338" a="1"/>
  <c r="AH30" i="338"/>
  <c r="AH29" i="338" a="1"/>
  <c r="AH29" i="338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40" i="446" a="1"/>
  <c r="D40" i="446"/>
  <c r="AK30" i="338" a="1"/>
  <c r="AK30" i="338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G6" i="446" a="1"/>
  <c r="G6" i="446"/>
  <c r="G5" i="446" a="1"/>
  <c r="G5" i="446"/>
  <c r="F6" i="446" a="1"/>
  <c r="F6" i="446"/>
  <c r="F5" i="446" a="1"/>
  <c r="F5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F8" i="446" a="1"/>
  <c r="F8" i="446"/>
  <c r="G12" i="446" a="1"/>
  <c r="G12" i="446"/>
  <c r="F20" i="446" a="1"/>
  <c r="F20" i="446"/>
  <c r="F11" i="446" a="1"/>
  <c r="F11" i="446"/>
  <c r="F25" i="446" a="1"/>
  <c r="F25" i="446"/>
  <c r="G20" i="446" a="1"/>
  <c r="G20" i="446"/>
  <c r="G37" i="446" a="1"/>
  <c r="G37" i="446"/>
  <c r="G29" i="446" a="1"/>
  <c r="G29" i="446"/>
  <c r="G28" i="446" a="1"/>
  <c r="G28" i="446"/>
  <c r="F37" i="446" a="1"/>
  <c r="F37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G31" i="446" a="1"/>
  <c r="G31" i="446"/>
  <c r="F45" i="446" a="1"/>
  <c r="F45" i="446"/>
  <c r="D37" i="446" a="1"/>
  <c r="D37" i="446"/>
  <c r="G43" i="446" a="1"/>
  <c r="G43" i="446"/>
  <c r="F44" i="446" a="1"/>
  <c r="F44" i="446"/>
  <c r="D45" i="446" a="1"/>
  <c r="D45" i="446"/>
  <c r="D31" i="446" a="1"/>
  <c r="D31" i="446"/>
  <c r="D44" i="446" a="1"/>
  <c r="D44" i="446"/>
  <c r="G45" i="446" a="1"/>
  <c r="G45" i="446"/>
  <c r="F43" i="446" a="1"/>
  <c r="F43" i="446"/>
  <c r="E224" i="89" a="1"/>
  <c r="E224" i="89"/>
  <c r="E34" i="89" a="1"/>
  <c r="E34" i="89"/>
  <c r="D75" i="89" a="1"/>
  <c r="D75" i="89"/>
  <c r="D81" i="89" a="1"/>
  <c r="D81" i="89"/>
  <c r="E7" i="89" a="1"/>
  <c r="E7" i="89"/>
  <c r="E81" i="89" a="1"/>
  <c r="E81" i="89"/>
  <c r="D224" i="89" a="1"/>
  <c r="D224" i="89"/>
  <c r="E225" i="89" a="1"/>
  <c r="E225" i="89"/>
  <c r="E75" i="89" a="1"/>
  <c r="E75" i="89"/>
  <c r="D34" i="89" a="1"/>
  <c r="D34" i="89"/>
  <c r="D225" i="89" a="1"/>
  <c r="D225" i="89"/>
  <c r="D7" i="89" a="1"/>
  <c r="D7" i="89"/>
  <c r="AJ37" i="338" a="1"/>
  <c r="AJ37" i="338"/>
  <c r="AH37" i="338" a="1"/>
  <c r="AH37" i="338"/>
  <c r="AJ36" i="338" a="1"/>
  <c r="AJ36" i="338"/>
  <c r="AK45" i="338" a="1"/>
  <c r="AK45" i="338"/>
  <c r="AF37" i="338"/>
  <c r="AF37" i="1"/>
  <c r="AH36" i="338" a="1"/>
  <c r="AH36" i="338"/>
  <c r="AG45" i="338"/>
  <c r="AF15" i="1"/>
  <c r="AF36" i="338"/>
  <c r="AF30" i="1"/>
  <c r="AI45" i="338" a="1"/>
  <c r="AI45" i="338"/>
  <c r="O6" i="252" a="1"/>
  <c r="O6" i="252"/>
  <c r="Y6" i="252" a="1"/>
  <c r="Y6" i="252"/>
  <c r="L6" i="252" a="1"/>
  <c r="L6" i="252"/>
  <c r="M6" i="252" a="1"/>
  <c r="M6" i="252"/>
  <c r="N6" i="252" a="1"/>
  <c r="N6" i="252"/>
  <c r="E205" i="89" a="1"/>
  <c r="E205" i="89"/>
  <c r="D205" i="89" a="1"/>
  <c r="D205" i="89"/>
  <c r="E82" i="89" a="1"/>
  <c r="E82" i="89"/>
  <c r="T82" i="89" a="1"/>
  <c r="T82" i="89"/>
  <c r="V82" i="89" a="1"/>
  <c r="V82" i="89"/>
  <c r="X55" i="338" a="1"/>
  <c r="X55" i="338"/>
  <c r="S55" i="338" a="1"/>
  <c r="S55" i="338"/>
  <c r="T55" i="338" a="1"/>
  <c r="T55" i="338"/>
  <c r="AK55" i="338" a="1"/>
  <c r="AK55" i="338"/>
  <c r="AK14" i="338" a="1"/>
  <c r="AK14" i="338"/>
  <c r="AJ55" i="338" a="1"/>
  <c r="AJ55" i="338"/>
  <c r="AI55" i="338" a="1"/>
  <c r="AI55" i="338"/>
  <c r="AI14" i="338" a="1"/>
  <c r="AI14" i="338"/>
  <c r="AH55" i="338" a="1"/>
  <c r="AH55" i="338"/>
  <c r="C82" i="89" a="1"/>
  <c r="C82" i="89"/>
  <c r="O82" i="89" a="1"/>
  <c r="O82" i="89"/>
  <c r="L55" i="338" a="1"/>
  <c r="L55" i="338"/>
  <c r="J55" i="338" a="1"/>
  <c r="J55" i="338"/>
  <c r="J14" i="338" a="1"/>
  <c r="J14" i="338"/>
  <c r="H55" i="338" a="1"/>
  <c r="H55" i="338"/>
  <c r="AC2" i="1" a="1"/>
  <c r="AC2" i="1"/>
  <c r="P55" i="338" a="1"/>
  <c r="P55" i="338"/>
  <c r="D82" i="89" a="1"/>
  <c r="D82" i="89"/>
  <c r="Z82" i="89" a="1"/>
  <c r="Z82" i="89"/>
  <c r="AA82" i="89" a="1"/>
  <c r="AA82" i="89"/>
  <c r="V55" i="338" a="1"/>
  <c r="V55" i="338"/>
  <c r="J1" i="24" a="1"/>
  <c r="J1" i="24"/>
  <c r="K2" i="2" a="1"/>
  <c r="K2" i="2"/>
  <c r="U55" i="338" a="1"/>
  <c r="U55" i="338"/>
  <c r="H195" i="89" l="1"/>
  <c r="K8" i="89" a="1"/>
  <c r="W197" i="89" a="1"/>
  <c r="W8" i="89" a="1"/>
  <c r="L8" i="89" a="1"/>
  <c r="F7" i="89" a="1"/>
  <c r="W7" i="89" a="1"/>
  <c r="F197" i="89" a="1"/>
  <c r="L197" i="89" a="1"/>
  <c r="L7" i="89" a="1"/>
  <c r="K197" i="89" a="1"/>
  <c r="F8" i="89" a="1"/>
  <c r="K7" i="89" a="1"/>
  <c r="W197" i="89" l="1"/>
  <c r="L197" i="89"/>
  <c r="K197" i="89"/>
  <c r="L7" i="89"/>
  <c r="K7" i="89"/>
  <c r="W7" i="89"/>
  <c r="F7" i="89"/>
  <c r="F197" i="89"/>
  <c r="L8" i="89"/>
  <c r="K8" i="89"/>
  <c r="F8" i="89"/>
  <c r="W8" i="89"/>
  <c r="AB102" i="89" a="1"/>
  <c r="AB62" i="89" a="1"/>
  <c r="AB195" i="89" a="1"/>
  <c r="AB213" i="89" a="1"/>
  <c r="AB19" i="89" a="1"/>
  <c r="AB8" i="89" a="1"/>
  <c r="AB197" i="89" a="1"/>
  <c r="AB169" i="89" a="1"/>
  <c r="W195" i="89" a="1"/>
  <c r="AB96" i="89" a="1"/>
  <c r="AB212" i="89" a="1"/>
  <c r="AB137" i="89" a="1"/>
  <c r="AB122" i="89" a="1"/>
  <c r="AB224" i="89" a="1"/>
  <c r="AB196" i="89" a="1"/>
  <c r="L195" i="89" a="1"/>
  <c r="K195" i="89" a="1"/>
  <c r="AB233" i="89" a="1"/>
  <c r="AB246" i="89" a="1"/>
  <c r="AB178" i="89" a="1"/>
  <c r="AB186" i="89" a="1"/>
  <c r="F195" i="89" a="1"/>
  <c r="AB211" i="89" a="1"/>
  <c r="AB68" i="89" a="1"/>
  <c r="AB75" i="89" a="1"/>
  <c r="AB211" i="89" l="1"/>
  <c r="AB186" i="89"/>
  <c r="AB178" i="89"/>
  <c r="AB246" i="89"/>
  <c r="AB233" i="89"/>
  <c r="AB196" i="89"/>
  <c r="AB224" i="89"/>
  <c r="AB122" i="89"/>
  <c r="AB137" i="89"/>
  <c r="AB212" i="89"/>
  <c r="AB96" i="89"/>
  <c r="AB169" i="89"/>
  <c r="AB197" i="89"/>
  <c r="AB19" i="89"/>
  <c r="AB213" i="89"/>
  <c r="AB195" i="89"/>
  <c r="AB102" i="89"/>
  <c r="AB8" i="89"/>
  <c r="AB62" i="89"/>
  <c r="AB75" i="89"/>
  <c r="AB68" i="89"/>
  <c r="W195" i="89"/>
  <c r="F195" i="89"/>
  <c r="L195" i="89"/>
  <c r="K195" i="89"/>
  <c r="W196" i="89" a="1"/>
  <c r="S225" i="89" a="1"/>
  <c r="S196" i="89"/>
  <c r="K196" i="89" a="1"/>
  <c r="F196" i="89" a="1"/>
  <c r="S26" i="89" a="1"/>
  <c r="S234" i="89" a="1"/>
  <c r="L196" i="89" a="1"/>
  <c r="S240" i="89" a="1"/>
  <c r="S14" i="89" a="1"/>
  <c r="S14" i="89" l="1"/>
  <c r="S240" i="89"/>
  <c r="S234" i="89"/>
  <c r="S26" i="89"/>
  <c r="S225" i="89"/>
  <c r="L196" i="89"/>
  <c r="F196" i="89"/>
  <c r="K196" i="89"/>
  <c r="W196" i="89"/>
  <c r="S2" i="527"/>
  <c r="R14" i="89" a="1"/>
  <c r="R240" i="89" a="1"/>
  <c r="R234" i="89" a="1"/>
  <c r="R26" i="89" a="1"/>
  <c r="R225" i="89" a="1"/>
  <c r="I18" i="1" a="1"/>
  <c r="I28" i="1" a="1"/>
  <c r="I14" i="1" a="1"/>
  <c r="I15" i="1" a="1"/>
  <c r="I32" i="1" a="1"/>
  <c r="I30" i="1" a="1"/>
  <c r="R196" i="89" a="1"/>
  <c r="R225" i="89" l="1"/>
  <c r="R26" i="89"/>
  <c r="R234" i="89"/>
  <c r="R240" i="89"/>
  <c r="R14" i="89"/>
  <c r="R196" i="89"/>
  <c r="I32" i="1"/>
  <c r="I18" i="1"/>
  <c r="I15" i="1"/>
  <c r="I30" i="1"/>
  <c r="I28" i="1"/>
  <c r="I14" i="1"/>
  <c r="F69" i="89" a="1"/>
  <c r="L69" i="89" a="1"/>
  <c r="W68" i="89" a="1"/>
  <c r="W69" i="89" a="1"/>
  <c r="K69" i="89" a="1"/>
  <c r="K68" i="89" a="1"/>
  <c r="F68" i="89" a="1"/>
  <c r="L68" i="89" a="1"/>
  <c r="W68" i="89" l="1"/>
  <c r="K69" i="89"/>
  <c r="F69" i="89"/>
  <c r="F68" i="89"/>
  <c r="W69" i="89"/>
  <c r="L68" i="89"/>
  <c r="K68" i="89"/>
  <c r="L69" i="89"/>
  <c r="S102" i="89" a="1"/>
  <c r="S102" i="89" l="1"/>
  <c r="J41" i="1"/>
  <c r="N41" i="1"/>
  <c r="N40" i="1"/>
  <c r="J40" i="1"/>
  <c r="R102" i="89" a="1"/>
  <c r="R102" i="89" l="1"/>
  <c r="W19" i="252"/>
  <c r="T19" i="252"/>
  <c r="W8" i="252"/>
  <c r="T10" i="252"/>
  <c r="T18" i="252"/>
  <c r="W10" i="252"/>
  <c r="T8" i="252"/>
  <c r="W18" i="252"/>
  <c r="W16" i="252" l="1"/>
  <c r="T16" i="252"/>
  <c r="W14" i="252"/>
  <c r="T14" i="252"/>
  <c r="W17" i="252"/>
  <c r="T17" i="252"/>
  <c r="T11" i="252"/>
  <c r="W11" i="252"/>
  <c r="J12" i="252" l="1" a="1"/>
  <c r="J11" i="252" a="1"/>
  <c r="J8" i="252" a="1"/>
  <c r="J7" i="252" a="1"/>
  <c r="J9" i="252" a="1"/>
  <c r="J10" i="252" a="1"/>
  <c r="J18" i="252" a="1"/>
  <c r="J14" i="252" a="1"/>
  <c r="J17" i="252" a="1"/>
  <c r="J15" i="252" a="1"/>
  <c r="J13" i="252" a="1"/>
  <c r="J19" i="252" a="1"/>
  <c r="J6" i="252" a="1"/>
  <c r="J20" i="252" a="1"/>
  <c r="J16" i="252" a="1"/>
  <c r="J16" i="252" l="1"/>
  <c r="J20" i="252"/>
  <c r="J6" i="252"/>
  <c r="J19" i="252"/>
  <c r="J13" i="252"/>
  <c r="J15" i="252"/>
  <c r="J17" i="252"/>
  <c r="J14" i="252"/>
  <c r="J18" i="252"/>
  <c r="J10" i="252"/>
  <c r="J9" i="252"/>
  <c r="J7" i="252"/>
  <c r="J8" i="252"/>
  <c r="J11" i="252"/>
  <c r="J12" i="252"/>
  <c r="W20" i="252" l="1"/>
  <c r="T20" i="252"/>
  <c r="W7" i="252"/>
  <c r="T7" i="252"/>
  <c r="S41" i="1" l="1"/>
  <c r="Q41" i="1"/>
  <c r="T41" i="1" s="1"/>
  <c r="S40" i="1"/>
  <c r="Q40" i="1"/>
  <c r="T40" i="1" s="1"/>
  <c r="S165" i="444" l="1"/>
  <c r="R165" i="444"/>
  <c r="T165" i="444" s="1"/>
  <c r="U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T162" i="444"/>
  <c r="U162" i="444" s="1"/>
  <c r="R162" i="444"/>
  <c r="S162" i="444" s="1"/>
  <c r="G162" i="444"/>
  <c r="T161" i="444"/>
  <c r="U161" i="444" s="1"/>
  <c r="R161" i="444"/>
  <c r="S161" i="444" s="1"/>
  <c r="G161" i="444"/>
  <c r="T160" i="444"/>
  <c r="U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V157" i="444" s="1"/>
  <c r="W157" i="444" s="1"/>
  <c r="S157" i="444"/>
  <c r="R157" i="444"/>
  <c r="G157" i="444"/>
  <c r="R156" i="444"/>
  <c r="T156" i="444" s="1"/>
  <c r="U156" i="444" s="1"/>
  <c r="G156" i="444"/>
  <c r="T155" i="444"/>
  <c r="U155" i="444" s="1"/>
  <c r="V155" i="444" s="1"/>
  <c r="W155" i="444" s="1"/>
  <c r="S155" i="444"/>
  <c r="R155" i="444"/>
  <c r="G155" i="444"/>
  <c r="T154" i="444"/>
  <c r="U154" i="444" s="1"/>
  <c r="V154" i="444" s="1"/>
  <c r="W154" i="444" s="1"/>
  <c r="S154" i="444"/>
  <c r="R154" i="444"/>
  <c r="G154" i="444"/>
  <c r="T153" i="444"/>
  <c r="U153" i="444" s="1"/>
  <c r="S153" i="444"/>
  <c r="R153" i="444"/>
  <c r="G153" i="444"/>
  <c r="T152" i="444"/>
  <c r="U152" i="444" s="1"/>
  <c r="R152" i="444"/>
  <c r="S152" i="444" s="1"/>
  <c r="G152" i="444"/>
  <c r="T151" i="444"/>
  <c r="U151" i="444" s="1"/>
  <c r="V151" i="444" s="1"/>
  <c r="W151" i="444" s="1"/>
  <c r="S151" i="444"/>
  <c r="R151" i="444"/>
  <c r="G151" i="444"/>
  <c r="T150" i="444"/>
  <c r="U150" i="444" s="1"/>
  <c r="R150" i="444"/>
  <c r="S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S145" i="444"/>
  <c r="R145" i="444"/>
  <c r="T145" i="444" s="1"/>
  <c r="U145" i="444" s="1"/>
  <c r="G145" i="444"/>
  <c r="S144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R142" i="444"/>
  <c r="S142" i="444" s="1"/>
  <c r="G142" i="444"/>
  <c r="T141" i="444"/>
  <c r="U141" i="444" s="1"/>
  <c r="R141" i="444"/>
  <c r="S141" i="444" s="1"/>
  <c r="G141" i="444"/>
  <c r="T140" i="444"/>
  <c r="U140" i="444" s="1"/>
  <c r="S140" i="444"/>
  <c r="R140" i="444"/>
  <c r="G140" i="444"/>
  <c r="R139" i="444"/>
  <c r="T139" i="444" s="1"/>
  <c r="U139" i="444" s="1"/>
  <c r="G139" i="444"/>
  <c r="S138" i="444"/>
  <c r="R138" i="444"/>
  <c r="T138" i="444" s="1"/>
  <c r="U138" i="444" s="1"/>
  <c r="G138" i="444"/>
  <c r="T137" i="444"/>
  <c r="U137" i="444" s="1"/>
  <c r="V137" i="444" s="1"/>
  <c r="W137" i="444" s="1"/>
  <c r="S137" i="444"/>
  <c r="R137" i="444"/>
  <c r="G137" i="444"/>
  <c r="R136" i="444"/>
  <c r="T136" i="444" s="1"/>
  <c r="U136" i="444" s="1"/>
  <c r="G136" i="444"/>
  <c r="T135" i="444"/>
  <c r="U135" i="444" s="1"/>
  <c r="V135" i="444" s="1"/>
  <c r="W135" i="444" s="1"/>
  <c r="S135" i="444"/>
  <c r="R135" i="444"/>
  <c r="G135" i="444"/>
  <c r="T134" i="444"/>
  <c r="U134" i="444" s="1"/>
  <c r="V134" i="444" s="1"/>
  <c r="W134" i="444" s="1"/>
  <c r="S134" i="444"/>
  <c r="R134" i="444"/>
  <c r="G134" i="444"/>
  <c r="T133" i="444"/>
  <c r="U133" i="444" s="1"/>
  <c r="S133" i="444"/>
  <c r="R133" i="444"/>
  <c r="G133" i="444"/>
  <c r="T132" i="444"/>
  <c r="U132" i="444" s="1"/>
  <c r="R132" i="444"/>
  <c r="S132" i="444" s="1"/>
  <c r="G132" i="444"/>
  <c r="T131" i="444"/>
  <c r="U131" i="444" s="1"/>
  <c r="V131" i="444" s="1"/>
  <c r="W131" i="444" s="1"/>
  <c r="S131" i="444"/>
  <c r="R131" i="444"/>
  <c r="G131" i="444"/>
  <c r="T130" i="444"/>
  <c r="U130" i="444" s="1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T126" i="444" s="1"/>
  <c r="U126" i="444" s="1"/>
  <c r="G126" i="444"/>
  <c r="S125" i="444"/>
  <c r="R125" i="444"/>
  <c r="T125" i="444" s="1"/>
  <c r="U125" i="444" s="1"/>
  <c r="G125" i="444"/>
  <c r="S124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R122" i="444"/>
  <c r="S122" i="444" s="1"/>
  <c r="G122" i="444"/>
  <c r="T121" i="444"/>
  <c r="U121" i="444" s="1"/>
  <c r="R121" i="444"/>
  <c r="S121" i="444" s="1"/>
  <c r="G121" i="444"/>
  <c r="T120" i="444"/>
  <c r="U120" i="444" s="1"/>
  <c r="S120" i="444"/>
  <c r="R120" i="444"/>
  <c r="G120" i="444"/>
  <c r="R119" i="444"/>
  <c r="T119" i="444" s="1"/>
  <c r="U119" i="444" s="1"/>
  <c r="G119" i="444"/>
  <c r="S118" i="444"/>
  <c r="R118" i="444"/>
  <c r="T118" i="444" s="1"/>
  <c r="U118" i="444" s="1"/>
  <c r="G118" i="444"/>
  <c r="T117" i="444"/>
  <c r="U117" i="444" s="1"/>
  <c r="V117" i="444" s="1"/>
  <c r="W117" i="444" s="1"/>
  <c r="S117" i="444"/>
  <c r="R117" i="444"/>
  <c r="G117" i="444"/>
  <c r="R116" i="444"/>
  <c r="T116" i="444" s="1"/>
  <c r="U116" i="444" s="1"/>
  <c r="G116" i="444"/>
  <c r="T115" i="444"/>
  <c r="U115" i="444" s="1"/>
  <c r="V115" i="444" s="1"/>
  <c r="W115" i="444" s="1"/>
  <c r="S115" i="444"/>
  <c r="R115" i="444"/>
  <c r="G115" i="444"/>
  <c r="T114" i="444"/>
  <c r="U114" i="444" s="1"/>
  <c r="V114" i="444" s="1"/>
  <c r="W114" i="444" s="1"/>
  <c r="S114" i="444"/>
  <c r="R114" i="444"/>
  <c r="G114" i="444"/>
  <c r="T113" i="444"/>
  <c r="U113" i="444" s="1"/>
  <c r="S113" i="444"/>
  <c r="R113" i="444"/>
  <c r="G113" i="444"/>
  <c r="T112" i="444"/>
  <c r="U112" i="444" s="1"/>
  <c r="R112" i="444"/>
  <c r="S112" i="444" s="1"/>
  <c r="G112" i="444"/>
  <c r="T111" i="444"/>
  <c r="U111" i="444" s="1"/>
  <c r="V111" i="444" s="1"/>
  <c r="W111" i="444" s="1"/>
  <c r="S111" i="444"/>
  <c r="R111" i="444"/>
  <c r="G111" i="444"/>
  <c r="T110" i="444"/>
  <c r="U110" i="444" s="1"/>
  <c r="R110" i="444"/>
  <c r="S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T106" i="444" s="1"/>
  <c r="U106" i="444" s="1"/>
  <c r="G106" i="444"/>
  <c r="S105" i="444"/>
  <c r="R105" i="444"/>
  <c r="T105" i="444" s="1"/>
  <c r="U105" i="444" s="1"/>
  <c r="G105" i="444"/>
  <c r="S104" i="444"/>
  <c r="R104" i="444"/>
  <c r="T104" i="444" s="1"/>
  <c r="U104" i="444" s="1"/>
  <c r="G104" i="444"/>
  <c r="R103" i="444"/>
  <c r="T103" i="444" s="1"/>
  <c r="U103" i="444" s="1"/>
  <c r="G103" i="444"/>
  <c r="T102" i="444"/>
  <c r="U102" i="444" s="1"/>
  <c r="R102" i="444"/>
  <c r="S102" i="444" s="1"/>
  <c r="G102" i="444"/>
  <c r="T101" i="444"/>
  <c r="U101" i="444" s="1"/>
  <c r="R101" i="444"/>
  <c r="S101" i="444" s="1"/>
  <c r="G101" i="444"/>
  <c r="T100" i="444"/>
  <c r="U100" i="444" s="1"/>
  <c r="S100" i="444"/>
  <c r="R100" i="444"/>
  <c r="G100" i="444"/>
  <c r="R99" i="444"/>
  <c r="T99" i="444" s="1"/>
  <c r="U99" i="444" s="1"/>
  <c r="G99" i="444"/>
  <c r="S98" i="444"/>
  <c r="R98" i="444"/>
  <c r="T98" i="444" s="1"/>
  <c r="U98" i="444" s="1"/>
  <c r="G98" i="444"/>
  <c r="T97" i="444"/>
  <c r="U97" i="444" s="1"/>
  <c r="V97" i="444" s="1"/>
  <c r="W97" i="444" s="1"/>
  <c r="S97" i="444"/>
  <c r="R97" i="444"/>
  <c r="G97" i="444"/>
  <c r="R96" i="444"/>
  <c r="T96" i="444" s="1"/>
  <c r="U96" i="444" s="1"/>
  <c r="G96" i="444"/>
  <c r="T95" i="444"/>
  <c r="U95" i="444" s="1"/>
  <c r="V95" i="444" s="1"/>
  <c r="W95" i="444" s="1"/>
  <c r="S95" i="444"/>
  <c r="R95" i="444"/>
  <c r="G95" i="444"/>
  <c r="T94" i="444"/>
  <c r="U94" i="444" s="1"/>
  <c r="R94" i="444"/>
  <c r="S94" i="444" s="1"/>
  <c r="G94" i="444"/>
  <c r="T93" i="444"/>
  <c r="U93" i="444" s="1"/>
  <c r="S93" i="444"/>
  <c r="R93" i="444"/>
  <c r="G93" i="444"/>
  <c r="T92" i="444"/>
  <c r="U92" i="444" s="1"/>
  <c r="R92" i="444"/>
  <c r="S92" i="444" s="1"/>
  <c r="G92" i="444"/>
  <c r="T91" i="444"/>
  <c r="U91" i="444" s="1"/>
  <c r="V91" i="444" s="1"/>
  <c r="W91" i="444" s="1"/>
  <c r="S91" i="444"/>
  <c r="R91" i="444"/>
  <c r="G91" i="444"/>
  <c r="T90" i="444"/>
  <c r="U90" i="444" s="1"/>
  <c r="R90" i="444"/>
  <c r="S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T86" i="444" s="1"/>
  <c r="U86" i="444" s="1"/>
  <c r="G86" i="444"/>
  <c r="S85" i="444"/>
  <c r="R85" i="444"/>
  <c r="T85" i="444" s="1"/>
  <c r="U85" i="444" s="1"/>
  <c r="G85" i="444"/>
  <c r="S84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R82" i="444"/>
  <c r="S82" i="444" s="1"/>
  <c r="G82" i="444"/>
  <c r="T81" i="444"/>
  <c r="U81" i="444" s="1"/>
  <c r="R81" i="444"/>
  <c r="S81" i="444" s="1"/>
  <c r="G81" i="444"/>
  <c r="T80" i="444"/>
  <c r="U80" i="444" s="1"/>
  <c r="S80" i="444"/>
  <c r="R80" i="444"/>
  <c r="G80" i="444"/>
  <c r="R79" i="444"/>
  <c r="T79" i="444" s="1"/>
  <c r="U79" i="444" s="1"/>
  <c r="G79" i="444"/>
  <c r="S78" i="444"/>
  <c r="R78" i="444"/>
  <c r="T78" i="444" s="1"/>
  <c r="U78" i="444" s="1"/>
  <c r="G78" i="444"/>
  <c r="T77" i="444"/>
  <c r="U77" i="444" s="1"/>
  <c r="V77" i="444" s="1"/>
  <c r="W77" i="444" s="1"/>
  <c r="S77" i="444"/>
  <c r="R77" i="444"/>
  <c r="G77" i="444"/>
  <c r="R76" i="444"/>
  <c r="T76" i="444" s="1"/>
  <c r="U76" i="444" s="1"/>
  <c r="G76" i="444"/>
  <c r="T75" i="444"/>
  <c r="U75" i="444" s="1"/>
  <c r="V75" i="444" s="1"/>
  <c r="W75" i="444" s="1"/>
  <c r="S75" i="444"/>
  <c r="R75" i="444"/>
  <c r="G75" i="444"/>
  <c r="T74" i="444"/>
  <c r="U74" i="444" s="1"/>
  <c r="R74" i="444"/>
  <c r="S74" i="444" s="1"/>
  <c r="G74" i="444"/>
  <c r="T73" i="444"/>
  <c r="U73" i="444" s="1"/>
  <c r="S73" i="444"/>
  <c r="R73" i="444"/>
  <c r="G73" i="444"/>
  <c r="T72" i="444"/>
  <c r="U72" i="444" s="1"/>
  <c r="R72" i="444"/>
  <c r="S72" i="444" s="1"/>
  <c r="G72" i="444"/>
  <c r="T71" i="444"/>
  <c r="U71" i="444" s="1"/>
  <c r="V71" i="444" s="1"/>
  <c r="W71" i="444" s="1"/>
  <c r="S71" i="444"/>
  <c r="R71" i="444"/>
  <c r="G71" i="444"/>
  <c r="T70" i="444"/>
  <c r="U70" i="444" s="1"/>
  <c r="R70" i="444"/>
  <c r="S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T66" i="444" s="1"/>
  <c r="U66" i="444" s="1"/>
  <c r="G66" i="444"/>
  <c r="S65" i="444"/>
  <c r="R65" i="444"/>
  <c r="T65" i="444" s="1"/>
  <c r="U65" i="444" s="1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T61" i="444"/>
  <c r="U61" i="444" s="1"/>
  <c r="R61" i="444"/>
  <c r="S61" i="444" s="1"/>
  <c r="G61" i="444"/>
  <c r="T60" i="444"/>
  <c r="U60" i="444" s="1"/>
  <c r="S60" i="444"/>
  <c r="R60" i="444"/>
  <c r="G60" i="444"/>
  <c r="R59" i="444"/>
  <c r="T59" i="444" s="1"/>
  <c r="U59" i="444" s="1"/>
  <c r="G59" i="444"/>
  <c r="S58" i="444"/>
  <c r="R58" i="444"/>
  <c r="T58" i="444" s="1"/>
  <c r="U58" i="444" s="1"/>
  <c r="G58" i="444"/>
  <c r="T57" i="444"/>
  <c r="U57" i="444" s="1"/>
  <c r="V57" i="444" s="1"/>
  <c r="W57" i="444" s="1"/>
  <c r="S57" i="444"/>
  <c r="R57" i="444"/>
  <c r="G57" i="444"/>
  <c r="R56" i="444"/>
  <c r="T56" i="444" s="1"/>
  <c r="U56" i="444" s="1"/>
  <c r="G56" i="444"/>
  <c r="T55" i="444"/>
  <c r="U55" i="444" s="1"/>
  <c r="V55" i="444" s="1"/>
  <c r="W55" i="444" s="1"/>
  <c r="S55" i="444"/>
  <c r="R55" i="444"/>
  <c r="G55" i="444"/>
  <c r="T54" i="444"/>
  <c r="U54" i="444" s="1"/>
  <c r="R54" i="444"/>
  <c r="S54" i="444" s="1"/>
  <c r="G54" i="444"/>
  <c r="T53" i="444"/>
  <c r="U53" i="444" s="1"/>
  <c r="S53" i="444"/>
  <c r="R53" i="444"/>
  <c r="G53" i="444"/>
  <c r="T52" i="444"/>
  <c r="U52" i="444" s="1"/>
  <c r="R52" i="444"/>
  <c r="S52" i="444" s="1"/>
  <c r="G52" i="444"/>
  <c r="T51" i="444"/>
  <c r="U51" i="444" s="1"/>
  <c r="V51" i="444" s="1"/>
  <c r="W51" i="444" s="1"/>
  <c r="S51" i="444"/>
  <c r="R51" i="444"/>
  <c r="G51" i="444"/>
  <c r="T50" i="444"/>
  <c r="U50" i="444" s="1"/>
  <c r="R50" i="444"/>
  <c r="S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T47" i="444" s="1"/>
  <c r="U47" i="444" s="1"/>
  <c r="G47" i="444"/>
  <c r="R46" i="444"/>
  <c r="T46" i="444" s="1"/>
  <c r="U46" i="444" s="1"/>
  <c r="G46" i="444"/>
  <c r="S45" i="444"/>
  <c r="R45" i="444"/>
  <c r="T45" i="444" s="1"/>
  <c r="U45" i="444" s="1"/>
  <c r="G45" i="444"/>
  <c r="S44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R39" i="444"/>
  <c r="T39" i="444" s="1"/>
  <c r="U39" i="444" s="1"/>
  <c r="G39" i="444"/>
  <c r="S38" i="444"/>
  <c r="R38" i="444"/>
  <c r="T38" i="444" s="1"/>
  <c r="U38" i="444" s="1"/>
  <c r="G38" i="444"/>
  <c r="T37" i="444"/>
  <c r="U37" i="444" s="1"/>
  <c r="V37" i="444" s="1"/>
  <c r="W37" i="444" s="1"/>
  <c r="S37" i="444"/>
  <c r="R37" i="444"/>
  <c r="G37" i="444"/>
  <c r="R36" i="444"/>
  <c r="T36" i="444" s="1"/>
  <c r="U36" i="444" s="1"/>
  <c r="G36" i="444"/>
  <c r="T35" i="444"/>
  <c r="U35" i="444" s="1"/>
  <c r="V35" i="444" s="1"/>
  <c r="W35" i="444" s="1"/>
  <c r="S35" i="444"/>
  <c r="R35" i="444"/>
  <c r="G35" i="444"/>
  <c r="T34" i="444"/>
  <c r="U34" i="444" s="1"/>
  <c r="R34" i="444"/>
  <c r="S34" i="444" s="1"/>
  <c r="G34" i="444"/>
  <c r="T33" i="444"/>
  <c r="U33" i="444" s="1"/>
  <c r="S33" i="444"/>
  <c r="R33" i="444"/>
  <c r="G33" i="444"/>
  <c r="T32" i="444"/>
  <c r="U32" i="444" s="1"/>
  <c r="R32" i="444"/>
  <c r="S32" i="444" s="1"/>
  <c r="G32" i="444"/>
  <c r="T31" i="444"/>
  <c r="U31" i="444" s="1"/>
  <c r="V31" i="444" s="1"/>
  <c r="W31" i="444" s="1"/>
  <c r="S31" i="444"/>
  <c r="R31" i="444"/>
  <c r="G31" i="444"/>
  <c r="T30" i="444"/>
  <c r="U30" i="444" s="1"/>
  <c r="R30" i="444"/>
  <c r="S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T27" i="444" s="1"/>
  <c r="U27" i="444" s="1"/>
  <c r="G27" i="444"/>
  <c r="R26" i="444"/>
  <c r="T26" i="444" s="1"/>
  <c r="U26" i="444" s="1"/>
  <c r="G26" i="444"/>
  <c r="S25" i="444"/>
  <c r="R25" i="444"/>
  <c r="T25" i="444" s="1"/>
  <c r="U25" i="444" s="1"/>
  <c r="G25" i="444"/>
  <c r="S24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R22" i="444"/>
  <c r="S22" i="444" s="1"/>
  <c r="G22" i="444"/>
  <c r="T21" i="444"/>
  <c r="U21" i="444" s="1"/>
  <c r="R21" i="444"/>
  <c r="S21" i="444" s="1"/>
  <c r="G21" i="444"/>
  <c r="T20" i="444"/>
  <c r="U20" i="444" s="1"/>
  <c r="S20" i="444"/>
  <c r="R20" i="444"/>
  <c r="G20" i="444"/>
  <c r="R19" i="444"/>
  <c r="T19" i="444" s="1"/>
  <c r="U19" i="444" s="1"/>
  <c r="G19" i="444"/>
  <c r="S18" i="444"/>
  <c r="R18" i="444"/>
  <c r="T18" i="444" s="1"/>
  <c r="U18" i="444" s="1"/>
  <c r="G18" i="444"/>
  <c r="T17" i="444"/>
  <c r="U17" i="444" s="1"/>
  <c r="V17" i="444" s="1"/>
  <c r="W17" i="444" s="1"/>
  <c r="S17" i="444"/>
  <c r="R17" i="444"/>
  <c r="G17" i="444"/>
  <c r="R16" i="444"/>
  <c r="T16" i="444" s="1"/>
  <c r="U16" i="444" s="1"/>
  <c r="G16" i="444"/>
  <c r="T15" i="444"/>
  <c r="U15" i="444" s="1"/>
  <c r="V15" i="444" s="1"/>
  <c r="W15" i="444" s="1"/>
  <c r="S15" i="444"/>
  <c r="R15" i="444"/>
  <c r="G15" i="444"/>
  <c r="T14" i="444"/>
  <c r="U14" i="444" s="1"/>
  <c r="R14" i="444"/>
  <c r="S14" i="444" s="1"/>
  <c r="G14" i="444"/>
  <c r="T13" i="444"/>
  <c r="U13" i="444" s="1"/>
  <c r="S13" i="444"/>
  <c r="R13" i="444"/>
  <c r="G13" i="444"/>
  <c r="T12" i="444"/>
  <c r="U12" i="444" s="1"/>
  <c r="R12" i="444"/>
  <c r="S12" i="444" s="1"/>
  <c r="G12" i="444"/>
  <c r="T11" i="444"/>
  <c r="U11" i="444" s="1"/>
  <c r="V11" i="444" s="1"/>
  <c r="W11" i="444" s="1"/>
  <c r="S11" i="444"/>
  <c r="R11" i="444"/>
  <c r="G11" i="444"/>
  <c r="T10" i="444"/>
  <c r="U10" i="444" s="1"/>
  <c r="R10" i="444"/>
  <c r="S10" i="444" s="1"/>
  <c r="G10" i="444"/>
  <c r="R9" i="444"/>
  <c r="T9" i="444" s="1"/>
  <c r="U9" i="444" s="1"/>
  <c r="G9" i="444"/>
  <c r="R8" i="444"/>
  <c r="T8" i="444" s="1"/>
  <c r="U8" i="444" s="1"/>
  <c r="G8" i="444"/>
  <c r="R7" i="444"/>
  <c r="T7" i="444" s="1"/>
  <c r="U7" i="444" s="1"/>
  <c r="G7" i="444"/>
  <c r="R6" i="444"/>
  <c r="T6" i="444" s="1"/>
  <c r="U6" i="444" s="1"/>
  <c r="G6" i="444"/>
  <c r="S5" i="444"/>
  <c r="R5" i="444"/>
  <c r="T5" i="444" s="1"/>
  <c r="U5" i="444" s="1"/>
  <c r="G5" i="444"/>
  <c r="S4" i="444"/>
  <c r="R4" i="444"/>
  <c r="T4" i="444" s="1"/>
  <c r="U4" i="444" s="1"/>
  <c r="G4" i="444"/>
  <c r="R3" i="444"/>
  <c r="T3" i="444" s="1"/>
  <c r="U3" i="444" s="1"/>
  <c r="G3" i="444"/>
  <c r="T2" i="444"/>
  <c r="U2" i="444" s="1"/>
  <c r="R2" i="444"/>
  <c r="S2" i="444" s="1"/>
  <c r="G2" i="444"/>
  <c r="B2" i="383"/>
  <c r="B3" i="383" s="1"/>
  <c r="C42" i="54"/>
  <c r="D42" i="54" s="1"/>
  <c r="C40" i="54"/>
  <c r="I31" i="54"/>
  <c r="I32" i="54" s="1"/>
  <c r="C31" i="54"/>
  <c r="D31" i="54" s="1"/>
  <c r="I30" i="54"/>
  <c r="C29" i="54"/>
  <c r="E23" i="54"/>
  <c r="I22" i="54"/>
  <c r="K21" i="54"/>
  <c r="K19" i="54"/>
  <c r="E18" i="54"/>
  <c r="E17" i="54"/>
  <c r="G14" i="54"/>
  <c r="H14" i="54" s="1"/>
  <c r="G13" i="54"/>
  <c r="H13" i="54" s="1"/>
  <c r="H12" i="54"/>
  <c r="G12" i="54"/>
  <c r="H11" i="54"/>
  <c r="G11" i="54"/>
  <c r="G10" i="54"/>
  <c r="H10" i="54" s="1"/>
  <c r="G9" i="54"/>
  <c r="H9" i="54" s="1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E43" i="415" s="1"/>
  <c r="D42" i="415"/>
  <c r="C42" i="415"/>
  <c r="E42" i="415" s="1"/>
  <c r="D17" i="415"/>
  <c r="C17" i="415"/>
  <c r="E17" i="415" s="1"/>
  <c r="D16" i="415"/>
  <c r="C16" i="415"/>
  <c r="D15" i="415"/>
  <c r="C15" i="415"/>
  <c r="D14" i="415"/>
  <c r="C14" i="415"/>
  <c r="E14" i="415" s="1"/>
  <c r="D13" i="415"/>
  <c r="C13" i="415"/>
  <c r="E13" i="415" s="1"/>
  <c r="D12" i="415"/>
  <c r="C12" i="415"/>
  <c r="D11" i="415"/>
  <c r="C11" i="415"/>
  <c r="D10" i="415"/>
  <c r="C10" i="415"/>
  <c r="D5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L14" i="385" s="1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L49" i="385" s="1"/>
  <c r="K4" i="414"/>
  <c r="O3" i="414"/>
  <c r="N3" i="414"/>
  <c r="M3" i="414"/>
  <c r="L3" i="414"/>
  <c r="K3" i="414"/>
  <c r="O2" i="414"/>
  <c r="N2" i="414"/>
  <c r="M2" i="414"/>
  <c r="L2" i="414"/>
  <c r="K23" i="38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P46" i="385" s="1"/>
  <c r="K4" i="384"/>
  <c r="O3" i="384"/>
  <c r="N3" i="384"/>
  <c r="M3" i="384"/>
  <c r="L3" i="384"/>
  <c r="K3" i="384"/>
  <c r="O2" i="384"/>
  <c r="N2" i="384"/>
  <c r="M2" i="384"/>
  <c r="L2" i="384"/>
  <c r="F18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S77" i="385"/>
  <c r="R77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S76" i="385"/>
  <c r="R76" i="385"/>
  <c r="Q76" i="385"/>
  <c r="P76" i="385"/>
  <c r="M76" i="385"/>
  <c r="L76" i="385"/>
  <c r="K76" i="385"/>
  <c r="J76" i="385"/>
  <c r="H76" i="385"/>
  <c r="G76" i="385"/>
  <c r="F76" i="385"/>
  <c r="E76" i="385"/>
  <c r="D76" i="385"/>
  <c r="C76" i="385"/>
  <c r="S75" i="385"/>
  <c r="R75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S74" i="385"/>
  <c r="R74" i="385"/>
  <c r="Q74" i="385"/>
  <c r="P74" i="385"/>
  <c r="M74" i="385"/>
  <c r="L74" i="385"/>
  <c r="K74" i="385"/>
  <c r="J74" i="385"/>
  <c r="H74" i="385"/>
  <c r="G74" i="385"/>
  <c r="F74" i="385"/>
  <c r="E74" i="385"/>
  <c r="D74" i="385"/>
  <c r="C74" i="385"/>
  <c r="S73" i="385"/>
  <c r="R73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S72" i="385"/>
  <c r="R72" i="385"/>
  <c r="Q72" i="385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S70" i="385" s="1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R69" i="385" s="1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S68" i="385" s="1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L57" i="385"/>
  <c r="K57" i="385"/>
  <c r="G57" i="385"/>
  <c r="F57" i="385"/>
  <c r="M57" i="385" s="1"/>
  <c r="D57" i="385"/>
  <c r="C57" i="385"/>
  <c r="Q56" i="385"/>
  <c r="L56" i="385"/>
  <c r="K56" i="385"/>
  <c r="G56" i="385"/>
  <c r="H56" i="385" s="1"/>
  <c r="F56" i="385"/>
  <c r="D56" i="385"/>
  <c r="C56" i="385"/>
  <c r="Q55" i="385"/>
  <c r="L55" i="385"/>
  <c r="K55" i="385"/>
  <c r="G55" i="385"/>
  <c r="F55" i="385"/>
  <c r="D55" i="385"/>
  <c r="C55" i="385"/>
  <c r="Q54" i="385"/>
  <c r="L54" i="385"/>
  <c r="K54" i="385"/>
  <c r="G54" i="385"/>
  <c r="F54" i="385"/>
  <c r="D54" i="385"/>
  <c r="C54" i="385"/>
  <c r="Q53" i="385"/>
  <c r="L53" i="385"/>
  <c r="K53" i="385"/>
  <c r="G53" i="385"/>
  <c r="F53" i="385"/>
  <c r="D53" i="385"/>
  <c r="C53" i="385"/>
  <c r="Q52" i="385"/>
  <c r="P52" i="385"/>
  <c r="C52" i="385"/>
  <c r="Q51" i="385"/>
  <c r="P51" i="385"/>
  <c r="C51" i="385"/>
  <c r="Q50" i="385"/>
  <c r="P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L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L30" i="385"/>
  <c r="C30" i="385"/>
  <c r="Q29" i="385"/>
  <c r="C29" i="385"/>
  <c r="Q28" i="385"/>
  <c r="C28" i="385"/>
  <c r="Q27" i="385"/>
  <c r="C27" i="385"/>
  <c r="Q26" i="385"/>
  <c r="L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L13" i="385"/>
  <c r="C13" i="385"/>
  <c r="Q12" i="385"/>
  <c r="P12" i="385"/>
  <c r="C12" i="385"/>
  <c r="Q11" i="385"/>
  <c r="P11" i="385"/>
  <c r="C11" i="385"/>
  <c r="Q10" i="385"/>
  <c r="C10" i="385"/>
  <c r="Q9" i="385"/>
  <c r="L9" i="385"/>
  <c r="C9" i="385"/>
  <c r="Q8" i="385"/>
  <c r="C8" i="385"/>
  <c r="Q7" i="385"/>
  <c r="C7" i="385"/>
  <c r="Q6" i="385"/>
  <c r="C6" i="385"/>
  <c r="Q5" i="385"/>
  <c r="C5" i="385"/>
  <c r="N1" i="385"/>
  <c r="AE251" i="89"/>
  <c r="R50" i="385" l="1"/>
  <c r="R71" i="385"/>
  <c r="S69" i="385"/>
  <c r="R68" i="385"/>
  <c r="M55" i="385"/>
  <c r="E55" i="385" s="1"/>
  <c r="H53" i="385"/>
  <c r="M56" i="385"/>
  <c r="E56" i="385" s="1"/>
  <c r="E57" i="385"/>
  <c r="M54" i="385"/>
  <c r="E54" i="385" s="1"/>
  <c r="R70" i="385"/>
  <c r="S71" i="385"/>
  <c r="H54" i="385"/>
  <c r="H55" i="385"/>
  <c r="M53" i="385"/>
  <c r="E53" i="385" s="1"/>
  <c r="H57" i="385"/>
  <c r="R16" i="385"/>
  <c r="I158" i="385"/>
  <c r="G52" i="385"/>
  <c r="F13" i="385"/>
  <c r="R52" i="385"/>
  <c r="I67" i="385"/>
  <c r="I38" i="385"/>
  <c r="R17" i="385"/>
  <c r="G36" i="385"/>
  <c r="F11" i="385"/>
  <c r="D22" i="385"/>
  <c r="I11" i="385"/>
  <c r="P61" i="385"/>
  <c r="R61" i="385" s="1"/>
  <c r="I30" i="385"/>
  <c r="P25" i="385"/>
  <c r="S25" i="385" s="1"/>
  <c r="F31" i="385"/>
  <c r="F29" i="385"/>
  <c r="I29" i="385"/>
  <c r="P23" i="385"/>
  <c r="S23" i="385" s="1"/>
  <c r="F6" i="385"/>
  <c r="D13" i="385"/>
  <c r="R18" i="385"/>
  <c r="I25" i="385"/>
  <c r="P40" i="385"/>
  <c r="S40" i="385" s="1"/>
  <c r="D6" i="385"/>
  <c r="I186" i="385"/>
  <c r="I59" i="385"/>
  <c r="D49" i="385"/>
  <c r="I57" i="385"/>
  <c r="J57" i="385" s="1"/>
  <c r="I102" i="385"/>
  <c r="S19" i="385"/>
  <c r="D20" i="385"/>
  <c r="D41" i="385"/>
  <c r="G20" i="385"/>
  <c r="D27" i="385"/>
  <c r="F27" i="385"/>
  <c r="I18" i="385"/>
  <c r="P27" i="385"/>
  <c r="R27" i="385" s="1"/>
  <c r="P21" i="385"/>
  <c r="S21" i="385" s="1"/>
  <c r="S51" i="385"/>
  <c r="P42" i="385"/>
  <c r="R42" i="385" s="1"/>
  <c r="R15" i="385"/>
  <c r="I36" i="385"/>
  <c r="K9" i="385"/>
  <c r="K26" i="385"/>
  <c r="K47" i="385"/>
  <c r="K31" i="385"/>
  <c r="E10" i="415"/>
  <c r="K37" i="385"/>
  <c r="L5" i="385"/>
  <c r="L22" i="385"/>
  <c r="E44" i="415"/>
  <c r="K27" i="385"/>
  <c r="K32" i="385"/>
  <c r="K43" i="385"/>
  <c r="K49" i="385"/>
  <c r="K10" i="385"/>
  <c r="L18" i="385"/>
  <c r="K14" i="385"/>
  <c r="L37" i="385"/>
  <c r="E11" i="415"/>
  <c r="D52" i="415"/>
  <c r="E45" i="415"/>
  <c r="L38" i="385"/>
  <c r="K15" i="385"/>
  <c r="K19" i="385"/>
  <c r="K33" i="385"/>
  <c r="K44" i="385"/>
  <c r="K6" i="385"/>
  <c r="K11" i="385"/>
  <c r="K28" i="385"/>
  <c r="L33" i="385"/>
  <c r="L50" i="385"/>
  <c r="K5" i="385"/>
  <c r="L10" i="385"/>
  <c r="L6" i="385"/>
  <c r="K39" i="385"/>
  <c r="K34" i="385"/>
  <c r="L45" i="385"/>
  <c r="L34" i="385"/>
  <c r="K51" i="385"/>
  <c r="K7" i="385"/>
  <c r="K29" i="385"/>
  <c r="K18" i="385"/>
  <c r="K24" i="385"/>
  <c r="K45" i="385"/>
  <c r="K16" i="385"/>
  <c r="K12" i="385"/>
  <c r="K20" i="385"/>
  <c r="K25" i="385"/>
  <c r="L29" i="385"/>
  <c r="L46" i="385"/>
  <c r="L17" i="385"/>
  <c r="K21" i="385"/>
  <c r="K41" i="385"/>
  <c r="D25" i="415"/>
  <c r="K22" i="385"/>
  <c r="K8" i="385"/>
  <c r="K17" i="385"/>
  <c r="L25" i="385"/>
  <c r="K35" i="385"/>
  <c r="K13" i="385"/>
  <c r="L21" i="385"/>
  <c r="K30" i="385"/>
  <c r="L41" i="385"/>
  <c r="C32" i="415"/>
  <c r="E12" i="415"/>
  <c r="E15" i="415"/>
  <c r="E16" i="415"/>
  <c r="V82" i="444"/>
  <c r="W82" i="444" s="1"/>
  <c r="V153" i="444"/>
  <c r="W153" i="444" s="1"/>
  <c r="V150" i="444"/>
  <c r="W150" i="444" s="1"/>
  <c r="V93" i="444"/>
  <c r="W93" i="444" s="1"/>
  <c r="V81" i="444"/>
  <c r="W81" i="444" s="1"/>
  <c r="S14" i="385"/>
  <c r="S50" i="385"/>
  <c r="V140" i="444"/>
  <c r="W140" i="444" s="1"/>
  <c r="S52" i="385"/>
  <c r="V33" i="444"/>
  <c r="W33" i="444" s="1"/>
  <c r="V80" i="444"/>
  <c r="W80" i="444" s="1"/>
  <c r="V13" i="444"/>
  <c r="W13" i="444" s="1"/>
  <c r="V121" i="444"/>
  <c r="W121" i="444" s="1"/>
  <c r="V141" i="444"/>
  <c r="W141" i="444" s="1"/>
  <c r="V110" i="444"/>
  <c r="W110" i="444" s="1"/>
  <c r="V41" i="444"/>
  <c r="W41" i="444" s="1"/>
  <c r="V70" i="444"/>
  <c r="W70" i="444" s="1"/>
  <c r="V102" i="444"/>
  <c r="W102" i="444" s="1"/>
  <c r="V122" i="444"/>
  <c r="W122" i="444" s="1"/>
  <c r="V21" i="444"/>
  <c r="W21" i="444" s="1"/>
  <c r="V30" i="444"/>
  <c r="W30" i="444" s="1"/>
  <c r="V10" i="444"/>
  <c r="W10" i="444" s="1"/>
  <c r="V72" i="444"/>
  <c r="W72" i="444" s="1"/>
  <c r="V52" i="444"/>
  <c r="W52" i="444" s="1"/>
  <c r="S15" i="385"/>
  <c r="S18" i="385"/>
  <c r="V130" i="444"/>
  <c r="W130" i="444" s="1"/>
  <c r="R11" i="385"/>
  <c r="V58" i="444"/>
  <c r="W58" i="444" s="1"/>
  <c r="V65" i="444"/>
  <c r="W65" i="444" s="1"/>
  <c r="V12" i="444"/>
  <c r="W12" i="444" s="1"/>
  <c r="V14" i="444"/>
  <c r="W14" i="444" s="1"/>
  <c r="V20" i="444"/>
  <c r="W20" i="444" s="1"/>
  <c r="V92" i="444"/>
  <c r="W92" i="444" s="1"/>
  <c r="V142" i="444"/>
  <c r="W142" i="444" s="1"/>
  <c r="V64" i="444"/>
  <c r="W64" i="444" s="1"/>
  <c r="R19" i="385"/>
  <c r="S16" i="385"/>
  <c r="V34" i="444"/>
  <c r="W34" i="444" s="1"/>
  <c r="V40" i="444"/>
  <c r="W40" i="444" s="1"/>
  <c r="V112" i="444"/>
  <c r="W112" i="444" s="1"/>
  <c r="S12" i="385"/>
  <c r="V73" i="444"/>
  <c r="W73" i="444" s="1"/>
  <c r="V54" i="444"/>
  <c r="W54" i="444" s="1"/>
  <c r="V132" i="444"/>
  <c r="W132" i="444" s="1"/>
  <c r="V74" i="444"/>
  <c r="W74" i="444" s="1"/>
  <c r="V42" i="444"/>
  <c r="W42" i="444" s="1"/>
  <c r="V94" i="444"/>
  <c r="W94" i="444" s="1"/>
  <c r="V100" i="444"/>
  <c r="W100" i="444" s="1"/>
  <c r="V152" i="444"/>
  <c r="W152" i="444" s="1"/>
  <c r="S13" i="385"/>
  <c r="S46" i="385"/>
  <c r="V32" i="444"/>
  <c r="W32" i="444" s="1"/>
  <c r="V90" i="444"/>
  <c r="W90" i="444" s="1"/>
  <c r="V101" i="444"/>
  <c r="W101" i="444" s="1"/>
  <c r="V120" i="444"/>
  <c r="W120" i="444" s="1"/>
  <c r="R14" i="385"/>
  <c r="I27" i="385"/>
  <c r="G29" i="385"/>
  <c r="P36" i="385"/>
  <c r="R46" i="385"/>
  <c r="P54" i="385"/>
  <c r="I60" i="385"/>
  <c r="V5" i="444"/>
  <c r="W5" i="444" s="1"/>
  <c r="I6" i="385"/>
  <c r="D8" i="385"/>
  <c r="P9" i="385"/>
  <c r="G13" i="385"/>
  <c r="F20" i="385"/>
  <c r="D33" i="385"/>
  <c r="P34" i="385"/>
  <c r="P38" i="385"/>
  <c r="D45" i="385"/>
  <c r="G49" i="385"/>
  <c r="D51" i="385"/>
  <c r="P64" i="385"/>
  <c r="V44" i="444"/>
  <c r="W44" i="444" s="1"/>
  <c r="I78" i="385"/>
  <c r="I174" i="385"/>
  <c r="C52" i="415"/>
  <c r="L31" i="385"/>
  <c r="L27" i="385"/>
  <c r="L23" i="385"/>
  <c r="L19" i="385"/>
  <c r="L15" i="385"/>
  <c r="L11" i="385"/>
  <c r="L7" i="385"/>
  <c r="L16" i="385"/>
  <c r="L12" i="385"/>
  <c r="L36" i="385"/>
  <c r="L32" i="385"/>
  <c r="L28" i="385"/>
  <c r="L24" i="385"/>
  <c r="L20" i="385"/>
  <c r="L8" i="385"/>
  <c r="K48" i="385"/>
  <c r="K52" i="385"/>
  <c r="K40" i="385"/>
  <c r="K36" i="385"/>
  <c r="K50" i="385"/>
  <c r="K46" i="385"/>
  <c r="K42" i="385"/>
  <c r="K38" i="385"/>
  <c r="V18" i="444"/>
  <c r="W18" i="444" s="1"/>
  <c r="V25" i="444"/>
  <c r="W25" i="444" s="1"/>
  <c r="V160" i="444"/>
  <c r="W160" i="444" s="1"/>
  <c r="D17" i="385"/>
  <c r="I22" i="385"/>
  <c r="I31" i="385"/>
  <c r="G33" i="385"/>
  <c r="D37" i="385"/>
  <c r="G41" i="385"/>
  <c r="D43" i="385"/>
  <c r="I47" i="385"/>
  <c r="R51" i="385"/>
  <c r="I56" i="385"/>
  <c r="J56" i="385" s="1"/>
  <c r="V38" i="444"/>
  <c r="W38" i="444" s="1"/>
  <c r="V45" i="444"/>
  <c r="W45" i="444" s="1"/>
  <c r="I106" i="385"/>
  <c r="I126" i="385"/>
  <c r="I154" i="385"/>
  <c r="I170" i="385"/>
  <c r="F22" i="385"/>
  <c r="P57" i="385"/>
  <c r="I8" i="385"/>
  <c r="F15" i="385"/>
  <c r="F24" i="385"/>
  <c r="I43" i="385"/>
  <c r="I45" i="385"/>
  <c r="P60" i="385"/>
  <c r="V84" i="444"/>
  <c r="W84" i="444" s="1"/>
  <c r="V161" i="444"/>
  <c r="W161" i="444" s="1"/>
  <c r="I13" i="385"/>
  <c r="I49" i="385"/>
  <c r="D10" i="385"/>
  <c r="S11" i="385"/>
  <c r="P20" i="385"/>
  <c r="D5" i="385"/>
  <c r="P6" i="385"/>
  <c r="F10" i="385"/>
  <c r="I15" i="385"/>
  <c r="F17" i="385"/>
  <c r="G24" i="385"/>
  <c r="D26" i="385"/>
  <c r="P29" i="385"/>
  <c r="P31" i="385"/>
  <c r="I33" i="385"/>
  <c r="D35" i="385"/>
  <c r="G37" i="385"/>
  <c r="D39" i="385"/>
  <c r="I41" i="385"/>
  <c r="P47" i="385"/>
  <c r="I51" i="385"/>
  <c r="I98" i="385"/>
  <c r="I122" i="385"/>
  <c r="I146" i="385"/>
  <c r="I137" i="385"/>
  <c r="I141" i="385"/>
  <c r="I149" i="385"/>
  <c r="I153" i="385"/>
  <c r="I157" i="385"/>
  <c r="I161" i="385"/>
  <c r="I169" i="385"/>
  <c r="I173" i="385"/>
  <c r="I181" i="385"/>
  <c r="I189" i="385"/>
  <c r="F51" i="385"/>
  <c r="F43" i="385"/>
  <c r="F39" i="385"/>
  <c r="F47" i="385"/>
  <c r="F41" i="385"/>
  <c r="F37" i="385"/>
  <c r="V104" i="444"/>
  <c r="W104" i="444" s="1"/>
  <c r="I165" i="385"/>
  <c r="I177" i="385"/>
  <c r="I185" i="385"/>
  <c r="F5" i="385"/>
  <c r="P8" i="385"/>
  <c r="I26" i="385"/>
  <c r="I35" i="385"/>
  <c r="I37" i="385"/>
  <c r="D52" i="385"/>
  <c r="P66" i="385"/>
  <c r="G50" i="385"/>
  <c r="V53" i="444"/>
  <c r="W53" i="444" s="1"/>
  <c r="V78" i="444"/>
  <c r="W78" i="444" s="1"/>
  <c r="V85" i="444"/>
  <c r="W85" i="444" s="1"/>
  <c r="V162" i="444"/>
  <c r="W162" i="444" s="1"/>
  <c r="D31" i="385"/>
  <c r="I82" i="385"/>
  <c r="I130" i="385"/>
  <c r="I190" i="385"/>
  <c r="D24" i="385"/>
  <c r="P43" i="385"/>
  <c r="I89" i="385"/>
  <c r="I121" i="385"/>
  <c r="D21" i="385"/>
  <c r="P39" i="385"/>
  <c r="P45" i="385"/>
  <c r="P56" i="385"/>
  <c r="B5" i="383"/>
  <c r="B4" i="383"/>
  <c r="I70" i="385"/>
  <c r="I110" i="385"/>
  <c r="I150" i="385"/>
  <c r="G45" i="385"/>
  <c r="I24" i="385"/>
  <c r="P53" i="385"/>
  <c r="I93" i="385"/>
  <c r="R13" i="385"/>
  <c r="P24" i="385"/>
  <c r="D30" i="385"/>
  <c r="D50" i="385"/>
  <c r="I55" i="385"/>
  <c r="J55" i="385" s="1"/>
  <c r="I65" i="385"/>
  <c r="V98" i="444"/>
  <c r="W98" i="444" s="1"/>
  <c r="V105" i="444"/>
  <c r="W105" i="444" s="1"/>
  <c r="V124" i="444"/>
  <c r="W124" i="444" s="1"/>
  <c r="F35" i="385"/>
  <c r="P49" i="385"/>
  <c r="I69" i="385"/>
  <c r="I109" i="385"/>
  <c r="I129" i="385"/>
  <c r="P22" i="385"/>
  <c r="G12" i="385"/>
  <c r="G28" i="385"/>
  <c r="P33" i="385"/>
  <c r="P35" i="385"/>
  <c r="P41" i="385"/>
  <c r="D48" i="385"/>
  <c r="F52" i="385"/>
  <c r="I5" i="385"/>
  <c r="D7" i="385"/>
  <c r="I12" i="385"/>
  <c r="D14" i="385"/>
  <c r="F19" i="385"/>
  <c r="F21" i="385"/>
  <c r="I28" i="385"/>
  <c r="F30" i="385"/>
  <c r="D32" i="385"/>
  <c r="D44" i="385"/>
  <c r="F50" i="385"/>
  <c r="I58" i="385"/>
  <c r="P59" i="385"/>
  <c r="V2" i="444"/>
  <c r="W2" i="444" s="1"/>
  <c r="V60" i="444"/>
  <c r="W60" i="444" s="1"/>
  <c r="I74" i="385"/>
  <c r="I142" i="385"/>
  <c r="I166" i="385"/>
  <c r="F8" i="385"/>
  <c r="P67" i="385"/>
  <c r="G6" i="385"/>
  <c r="G10" i="385"/>
  <c r="G8" i="385"/>
  <c r="I10" i="385"/>
  <c r="D28" i="385"/>
  <c r="P63" i="385"/>
  <c r="I85" i="385"/>
  <c r="I105" i="385"/>
  <c r="I117" i="385"/>
  <c r="I133" i="385"/>
  <c r="G5" i="385"/>
  <c r="D19" i="385"/>
  <c r="F28" i="385"/>
  <c r="F14" i="385"/>
  <c r="G21" i="385"/>
  <c r="I52" i="385"/>
  <c r="I68" i="385"/>
  <c r="I72" i="385"/>
  <c r="I80" i="385"/>
  <c r="I84" i="385"/>
  <c r="I88" i="385"/>
  <c r="I92" i="385"/>
  <c r="I96" i="385"/>
  <c r="I100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I14" i="385"/>
  <c r="D16" i="385"/>
  <c r="S17" i="385"/>
  <c r="D25" i="385"/>
  <c r="P26" i="385"/>
  <c r="P28" i="385"/>
  <c r="F32" i="385"/>
  <c r="D40" i="385"/>
  <c r="D42" i="385"/>
  <c r="F44" i="385"/>
  <c r="F46" i="385"/>
  <c r="G48" i="385"/>
  <c r="V22" i="444"/>
  <c r="W22" i="444" s="1"/>
  <c r="V118" i="444"/>
  <c r="W118" i="444" s="1"/>
  <c r="V125" i="444"/>
  <c r="W125" i="444" s="1"/>
  <c r="V144" i="444"/>
  <c r="W144" i="444" s="1"/>
  <c r="D12" i="385"/>
  <c r="F26" i="385"/>
  <c r="I39" i="385"/>
  <c r="I62" i="385"/>
  <c r="I73" i="385"/>
  <c r="I97" i="385"/>
  <c r="I113" i="385"/>
  <c r="I145" i="385"/>
  <c r="F12" i="385"/>
  <c r="I17" i="385"/>
  <c r="D9" i="385"/>
  <c r="D46" i="385"/>
  <c r="I50" i="385"/>
  <c r="P62" i="385"/>
  <c r="I76" i="385"/>
  <c r="F7" i="385"/>
  <c r="I7" i="385"/>
  <c r="F9" i="385"/>
  <c r="I21" i="385"/>
  <c r="D23" i="385"/>
  <c r="G32" i="385"/>
  <c r="D34" i="385"/>
  <c r="F42" i="385"/>
  <c r="G44" i="385"/>
  <c r="I46" i="385"/>
  <c r="I48" i="385"/>
  <c r="I61" i="385"/>
  <c r="V50" i="444"/>
  <c r="W50" i="444" s="1"/>
  <c r="V61" i="444"/>
  <c r="W61" i="444" s="1"/>
  <c r="V113" i="444"/>
  <c r="W113" i="444" s="1"/>
  <c r="V164" i="444"/>
  <c r="W164" i="444" s="1"/>
  <c r="I94" i="385"/>
  <c r="I134" i="385"/>
  <c r="F33" i="385"/>
  <c r="I81" i="385"/>
  <c r="I125" i="385"/>
  <c r="P10" i="385"/>
  <c r="I19" i="385"/>
  <c r="P37" i="385"/>
  <c r="F25" i="385"/>
  <c r="I32" i="385"/>
  <c r="D36" i="385"/>
  <c r="F40" i="385"/>
  <c r="I42" i="385"/>
  <c r="I44" i="385"/>
  <c r="P48" i="385"/>
  <c r="I54" i="385"/>
  <c r="J54" i="385" s="1"/>
  <c r="P55" i="385"/>
  <c r="P65" i="385"/>
  <c r="I63" i="385"/>
  <c r="I90" i="385"/>
  <c r="I114" i="385"/>
  <c r="I138" i="385"/>
  <c r="I162" i="385"/>
  <c r="I178" i="385"/>
  <c r="I20" i="385"/>
  <c r="I66" i="385"/>
  <c r="G17" i="385"/>
  <c r="I77" i="385"/>
  <c r="I101" i="385"/>
  <c r="F48" i="385"/>
  <c r="P5" i="385"/>
  <c r="G9" i="385"/>
  <c r="F16" i="385"/>
  <c r="F23" i="385"/>
  <c r="F34" i="385"/>
  <c r="D38" i="385"/>
  <c r="P7" i="385"/>
  <c r="R12" i="385"/>
  <c r="G16" i="385"/>
  <c r="I23" i="385"/>
  <c r="G25" i="385"/>
  <c r="I34" i="385"/>
  <c r="F38" i="385"/>
  <c r="G40" i="385"/>
  <c r="P58" i="385"/>
  <c r="I64" i="385"/>
  <c r="V138" i="444"/>
  <c r="W138" i="444" s="1"/>
  <c r="V145" i="444"/>
  <c r="W145" i="444" s="1"/>
  <c r="V24" i="444"/>
  <c r="W24" i="444" s="1"/>
  <c r="I53" i="385"/>
  <c r="J53" i="385" s="1"/>
  <c r="I86" i="385"/>
  <c r="I118" i="385"/>
  <c r="I182" i="385"/>
  <c r="D15" i="385"/>
  <c r="D47" i="385"/>
  <c r="I9" i="385"/>
  <c r="D11" i="385"/>
  <c r="I16" i="385"/>
  <c r="D18" i="385"/>
  <c r="D29" i="385"/>
  <c r="P30" i="385"/>
  <c r="P32" i="385"/>
  <c r="F36" i="385"/>
  <c r="I40" i="385"/>
  <c r="P44" i="385"/>
  <c r="I71" i="385"/>
  <c r="I75" i="385"/>
  <c r="I79" i="385"/>
  <c r="I83" i="385"/>
  <c r="I87" i="385"/>
  <c r="I91" i="385"/>
  <c r="I95" i="385"/>
  <c r="I99" i="385"/>
  <c r="I103" i="385"/>
  <c r="I107" i="385"/>
  <c r="I111" i="385"/>
  <c r="I115" i="385"/>
  <c r="I119" i="385"/>
  <c r="I123" i="385"/>
  <c r="I127" i="385"/>
  <c r="I131" i="385"/>
  <c r="I135" i="385"/>
  <c r="I139" i="385"/>
  <c r="I143" i="385"/>
  <c r="I147" i="385"/>
  <c r="I151" i="385"/>
  <c r="I155" i="385"/>
  <c r="I159" i="385"/>
  <c r="I163" i="385"/>
  <c r="I167" i="385"/>
  <c r="I171" i="385"/>
  <c r="I175" i="385"/>
  <c r="I179" i="385"/>
  <c r="I183" i="385"/>
  <c r="I187" i="385"/>
  <c r="I191" i="385"/>
  <c r="V4" i="444"/>
  <c r="W4" i="444" s="1"/>
  <c r="V62" i="444"/>
  <c r="W62" i="444" s="1"/>
  <c r="V133" i="444"/>
  <c r="W133" i="444" s="1"/>
  <c r="V165" i="444"/>
  <c r="W165" i="444" s="1"/>
  <c r="F45" i="385"/>
  <c r="F49" i="385"/>
  <c r="C6" i="415"/>
  <c r="D19" i="415"/>
  <c r="C26" i="415"/>
  <c r="D39" i="415"/>
  <c r="C46" i="415"/>
  <c r="D6" i="415"/>
  <c r="D26" i="415"/>
  <c r="C33" i="415"/>
  <c r="E33" i="415" s="1"/>
  <c r="D46" i="415"/>
  <c r="C53" i="415"/>
  <c r="E53" i="415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C20" i="415"/>
  <c r="D33" i="415"/>
  <c r="C40" i="415"/>
  <c r="E40" i="415" s="1"/>
  <c r="D53" i="415"/>
  <c r="S6" i="444"/>
  <c r="V6" i="444" s="1"/>
  <c r="W6" i="444" s="1"/>
  <c r="S26" i="444"/>
  <c r="V26" i="444" s="1"/>
  <c r="W26" i="444" s="1"/>
  <c r="S46" i="444"/>
  <c r="V46" i="444" s="1"/>
  <c r="W46" i="444" s="1"/>
  <c r="S66" i="444"/>
  <c r="V66" i="444" s="1"/>
  <c r="W66" i="444" s="1"/>
  <c r="S86" i="444"/>
  <c r="V86" i="444" s="1"/>
  <c r="W86" i="444" s="1"/>
  <c r="S106" i="444"/>
  <c r="V106" i="444" s="1"/>
  <c r="W106" i="444" s="1"/>
  <c r="S126" i="444"/>
  <c r="V126" i="444" s="1"/>
  <c r="W126" i="444" s="1"/>
  <c r="S146" i="444"/>
  <c r="V146" i="444" s="1"/>
  <c r="W146" i="444" s="1"/>
  <c r="C7" i="415"/>
  <c r="D20" i="415"/>
  <c r="C27" i="415"/>
  <c r="D40" i="415"/>
  <c r="C47" i="415"/>
  <c r="S9" i="444"/>
  <c r="V9" i="444" s="1"/>
  <c r="W9" i="444" s="1"/>
  <c r="S29" i="444"/>
  <c r="V29" i="444" s="1"/>
  <c r="W29" i="444" s="1"/>
  <c r="S49" i="444"/>
  <c r="V49" i="444" s="1"/>
  <c r="W49" i="444" s="1"/>
  <c r="S69" i="444"/>
  <c r="V69" i="444" s="1"/>
  <c r="W69" i="444" s="1"/>
  <c r="S89" i="444"/>
  <c r="V89" i="444" s="1"/>
  <c r="W89" i="444" s="1"/>
  <c r="S109" i="444"/>
  <c r="V109" i="444" s="1"/>
  <c r="W109" i="444" s="1"/>
  <c r="S129" i="444"/>
  <c r="V129" i="444" s="1"/>
  <c r="W129" i="444" s="1"/>
  <c r="S149" i="444"/>
  <c r="V149" i="444" s="1"/>
  <c r="W149" i="444" s="1"/>
  <c r="D7" i="415"/>
  <c r="D27" i="415"/>
  <c r="C34" i="415"/>
  <c r="D47" i="415"/>
  <c r="C54" i="415"/>
  <c r="C21" i="415"/>
  <c r="E21" i="415" s="1"/>
  <c r="D34" i="415"/>
  <c r="C41" i="415"/>
  <c r="D54" i="415"/>
  <c r="C8" i="415"/>
  <c r="D21" i="415"/>
  <c r="C28" i="415"/>
  <c r="D41" i="415"/>
  <c r="C48" i="415"/>
  <c r="S158" i="444"/>
  <c r="V158" i="444" s="1"/>
  <c r="W158" i="444" s="1"/>
  <c r="D8" i="415"/>
  <c r="D28" i="415"/>
  <c r="C35" i="415"/>
  <c r="D48" i="415"/>
  <c r="C22" i="415"/>
  <c r="D35" i="415"/>
  <c r="C9" i="415"/>
  <c r="E9" i="415" s="1"/>
  <c r="D22" i="415"/>
  <c r="C29" i="415"/>
  <c r="E29" i="415" s="1"/>
  <c r="C49" i="415"/>
  <c r="S7" i="444"/>
  <c r="V7" i="444" s="1"/>
  <c r="W7" i="444" s="1"/>
  <c r="S27" i="444"/>
  <c r="V27" i="444" s="1"/>
  <c r="W27" i="444" s="1"/>
  <c r="S47" i="444"/>
  <c r="V47" i="444" s="1"/>
  <c r="W47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D9" i="415"/>
  <c r="D29" i="415"/>
  <c r="C36" i="415"/>
  <c r="D49" i="415"/>
  <c r="G11" i="385"/>
  <c r="G15" i="385"/>
  <c r="G35" i="385"/>
  <c r="G39" i="385"/>
  <c r="L40" i="385"/>
  <c r="G43" i="385"/>
  <c r="L44" i="385"/>
  <c r="G47" i="385"/>
  <c r="L48" i="385"/>
  <c r="G51" i="385"/>
  <c r="L52" i="385"/>
  <c r="C23" i="415"/>
  <c r="D36" i="415"/>
  <c r="G7" i="385"/>
  <c r="G19" i="385"/>
  <c r="G23" i="385"/>
  <c r="G27" i="385"/>
  <c r="G31" i="385"/>
  <c r="D23" i="415"/>
  <c r="C30" i="415"/>
  <c r="C50" i="415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D30" i="415"/>
  <c r="C37" i="415"/>
  <c r="D50" i="415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C24" i="415"/>
  <c r="D37" i="415"/>
  <c r="D24" i="415"/>
  <c r="C31" i="415"/>
  <c r="E31" i="415" s="1"/>
  <c r="C51" i="415"/>
  <c r="G14" i="385"/>
  <c r="G18" i="385"/>
  <c r="G22" i="385"/>
  <c r="G26" i="385"/>
  <c r="G30" i="385"/>
  <c r="G34" i="385"/>
  <c r="L35" i="385"/>
  <c r="G38" i="385"/>
  <c r="L39" i="385"/>
  <c r="G42" i="385"/>
  <c r="L43" i="385"/>
  <c r="G46" i="385"/>
  <c r="L47" i="385"/>
  <c r="L51" i="385"/>
  <c r="C18" i="415"/>
  <c r="D31" i="415"/>
  <c r="C38" i="415"/>
  <c r="E38" i="415" s="1"/>
  <c r="D51" i="415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C5" i="415"/>
  <c r="E5" i="415" s="1"/>
  <c r="D18" i="415"/>
  <c r="C25" i="415"/>
  <c r="D38" i="415"/>
  <c r="C19" i="415"/>
  <c r="D32" i="415"/>
  <c r="E32" i="415" s="1"/>
  <c r="C39" i="415"/>
  <c r="M18" i="385" l="1"/>
  <c r="E18" i="385" s="1"/>
  <c r="M29" i="385"/>
  <c r="E29" i="385" s="1"/>
  <c r="R25" i="385"/>
  <c r="R40" i="385"/>
  <c r="H29" i="385"/>
  <c r="S61" i="385"/>
  <c r="M11" i="385"/>
  <c r="E11" i="385" s="1"/>
  <c r="J29" i="385"/>
  <c r="R23" i="385"/>
  <c r="R21" i="385"/>
  <c r="M6" i="385"/>
  <c r="E6" i="385" s="1"/>
  <c r="S27" i="385"/>
  <c r="S42" i="385"/>
  <c r="E49" i="415"/>
  <c r="E34" i="415"/>
  <c r="M13" i="385"/>
  <c r="E13" i="385" s="1"/>
  <c r="E25" i="415"/>
  <c r="E41" i="415"/>
  <c r="E52" i="415"/>
  <c r="E54" i="415"/>
  <c r="E20" i="415"/>
  <c r="E50" i="415"/>
  <c r="M31" i="385"/>
  <c r="E31" i="385" s="1"/>
  <c r="E30" i="415"/>
  <c r="E51" i="415"/>
  <c r="E24" i="415"/>
  <c r="E36" i="415"/>
  <c r="E39" i="415"/>
  <c r="M27" i="385"/>
  <c r="E27" i="385" s="1"/>
  <c r="E18" i="415"/>
  <c r="R39" i="385"/>
  <c r="S39" i="385"/>
  <c r="S5" i="385"/>
  <c r="R5" i="385"/>
  <c r="R63" i="385"/>
  <c r="S63" i="385"/>
  <c r="M21" i="385"/>
  <c r="E21" i="385" s="1"/>
  <c r="J21" i="385"/>
  <c r="H21" i="385"/>
  <c r="H10" i="385"/>
  <c r="M10" i="385"/>
  <c r="E10" i="385" s="1"/>
  <c r="J10" i="385"/>
  <c r="J18" i="385"/>
  <c r="M19" i="385"/>
  <c r="E19" i="385" s="1"/>
  <c r="J19" i="385"/>
  <c r="H19" i="385"/>
  <c r="S37" i="385"/>
  <c r="R37" i="385"/>
  <c r="R43" i="385"/>
  <c r="S43" i="385"/>
  <c r="M5" i="385"/>
  <c r="E5" i="385" s="1"/>
  <c r="J5" i="385"/>
  <c r="H5" i="385"/>
  <c r="S20" i="385"/>
  <c r="R20" i="385"/>
  <c r="H11" i="385"/>
  <c r="S9" i="385"/>
  <c r="R9" i="385"/>
  <c r="E46" i="415"/>
  <c r="E22" i="415"/>
  <c r="J11" i="385"/>
  <c r="M20" i="385"/>
  <c r="E20" i="385" s="1"/>
  <c r="J20" i="385"/>
  <c r="H20" i="385"/>
  <c r="S44" i="385"/>
  <c r="R44" i="385"/>
  <c r="S10" i="385"/>
  <c r="R10" i="385"/>
  <c r="E35" i="415"/>
  <c r="R58" i="385"/>
  <c r="S58" i="385"/>
  <c r="M9" i="385"/>
  <c r="E9" i="385" s="1"/>
  <c r="H9" i="385"/>
  <c r="J9" i="385"/>
  <c r="R67" i="385"/>
  <c r="S67" i="385"/>
  <c r="M52" i="385"/>
  <c r="E52" i="385" s="1"/>
  <c r="J52" i="385"/>
  <c r="H52" i="385"/>
  <c r="S24" i="385"/>
  <c r="R24" i="385"/>
  <c r="H18" i="385"/>
  <c r="M36" i="385"/>
  <c r="E36" i="385" s="1"/>
  <c r="J36" i="385"/>
  <c r="H36" i="385"/>
  <c r="M8" i="385"/>
  <c r="E8" i="385" s="1"/>
  <c r="H8" i="385"/>
  <c r="J8" i="385"/>
  <c r="M49" i="385"/>
  <c r="E49" i="385" s="1"/>
  <c r="H49" i="385"/>
  <c r="J49" i="385"/>
  <c r="S32" i="385"/>
  <c r="R32" i="385"/>
  <c r="H38" i="385"/>
  <c r="J38" i="385"/>
  <c r="M38" i="385"/>
  <c r="E38" i="385" s="1"/>
  <c r="M33" i="385"/>
  <c r="E33" i="385" s="1"/>
  <c r="J33" i="385"/>
  <c r="H33" i="385"/>
  <c r="M7" i="385"/>
  <c r="E7" i="385" s="1"/>
  <c r="J7" i="385"/>
  <c r="H7" i="385"/>
  <c r="S41" i="385"/>
  <c r="R41" i="385"/>
  <c r="M37" i="385"/>
  <c r="E37" i="385" s="1"/>
  <c r="H37" i="385"/>
  <c r="J37" i="385"/>
  <c r="R47" i="385"/>
  <c r="S47" i="385"/>
  <c r="S54" i="385"/>
  <c r="R54" i="385"/>
  <c r="M25" i="385"/>
  <c r="E25" i="385" s="1"/>
  <c r="H25" i="385"/>
  <c r="J25" i="385"/>
  <c r="H46" i="385"/>
  <c r="M46" i="385"/>
  <c r="E46" i="385" s="1"/>
  <c r="J46" i="385"/>
  <c r="S35" i="385"/>
  <c r="R35" i="385"/>
  <c r="S53" i="385"/>
  <c r="R53" i="385"/>
  <c r="H27" i="385"/>
  <c r="M41" i="385"/>
  <c r="E41" i="385" s="1"/>
  <c r="J41" i="385"/>
  <c r="H41" i="385"/>
  <c r="M40" i="385"/>
  <c r="E40" i="385" s="1"/>
  <c r="J40" i="385"/>
  <c r="H40" i="385"/>
  <c r="S6" i="385"/>
  <c r="R6" i="385"/>
  <c r="M45" i="385"/>
  <c r="E45" i="385" s="1"/>
  <c r="J45" i="385"/>
  <c r="H45" i="385"/>
  <c r="E48" i="415"/>
  <c r="S62" i="385"/>
  <c r="R62" i="385"/>
  <c r="M44" i="385"/>
  <c r="E44" i="385" s="1"/>
  <c r="J44" i="385"/>
  <c r="H44" i="385"/>
  <c r="S33" i="385"/>
  <c r="R33" i="385"/>
  <c r="J27" i="385"/>
  <c r="M47" i="385"/>
  <c r="E47" i="385" s="1"/>
  <c r="J47" i="385"/>
  <c r="H47" i="385"/>
  <c r="S60" i="385"/>
  <c r="R60" i="385"/>
  <c r="H6" i="385"/>
  <c r="H13" i="385"/>
  <c r="E26" i="415"/>
  <c r="R30" i="385"/>
  <c r="S30" i="385"/>
  <c r="E19" i="415"/>
  <c r="J6" i="385"/>
  <c r="M39" i="385"/>
  <c r="E39" i="385" s="1"/>
  <c r="J39" i="385"/>
  <c r="H39" i="385"/>
  <c r="S36" i="385"/>
  <c r="R36" i="385"/>
  <c r="J13" i="385"/>
  <c r="E28" i="415"/>
  <c r="E47" i="415"/>
  <c r="H14" i="385"/>
  <c r="M14" i="385"/>
  <c r="E14" i="385" s="1"/>
  <c r="J14" i="385"/>
  <c r="M43" i="385"/>
  <c r="E43" i="385" s="1"/>
  <c r="J43" i="385"/>
  <c r="H43" i="385"/>
  <c r="S64" i="385"/>
  <c r="R64" i="385"/>
  <c r="S65" i="385"/>
  <c r="R65" i="385"/>
  <c r="M32" i="385"/>
  <c r="E32" i="385" s="1"/>
  <c r="J32" i="385"/>
  <c r="H32" i="385"/>
  <c r="M28" i="385"/>
  <c r="E28" i="385" s="1"/>
  <c r="J28" i="385"/>
  <c r="H28" i="385"/>
  <c r="R59" i="385"/>
  <c r="S59" i="385"/>
  <c r="S22" i="385"/>
  <c r="R22" i="385"/>
  <c r="M51" i="385"/>
  <c r="E51" i="385" s="1"/>
  <c r="J51" i="385"/>
  <c r="H51" i="385"/>
  <c r="M24" i="385"/>
  <c r="E24" i="385" s="1"/>
  <c r="J24" i="385"/>
  <c r="H24" i="385"/>
  <c r="M48" i="385"/>
  <c r="E48" i="385" s="1"/>
  <c r="J48" i="385"/>
  <c r="H48" i="385"/>
  <c r="S8" i="385"/>
  <c r="R8" i="385"/>
  <c r="E8" i="415"/>
  <c r="E27" i="415"/>
  <c r="S7" i="385"/>
  <c r="R7" i="385"/>
  <c r="R55" i="385"/>
  <c r="S55" i="385"/>
  <c r="S28" i="385"/>
  <c r="R28" i="385"/>
  <c r="S31" i="385"/>
  <c r="R31" i="385"/>
  <c r="M15" i="385"/>
  <c r="E15" i="385" s="1"/>
  <c r="J15" i="385"/>
  <c r="H15" i="385"/>
  <c r="H42" i="385"/>
  <c r="J42" i="385"/>
  <c r="M42" i="385"/>
  <c r="E42" i="385" s="1"/>
  <c r="H26" i="385"/>
  <c r="M26" i="385"/>
  <c r="E26" i="385" s="1"/>
  <c r="J26" i="385"/>
  <c r="M12" i="385"/>
  <c r="E12" i="385" s="1"/>
  <c r="H12" i="385"/>
  <c r="J12" i="385"/>
  <c r="S26" i="385"/>
  <c r="R26" i="385"/>
  <c r="H50" i="385"/>
  <c r="M50" i="385"/>
  <c r="E50" i="385" s="1"/>
  <c r="J50" i="385"/>
  <c r="S29" i="385"/>
  <c r="R29" i="385"/>
  <c r="H31" i="385"/>
  <c r="E6" i="415"/>
  <c r="E23" i="415"/>
  <c r="E37" i="415"/>
  <c r="E7" i="415"/>
  <c r="H34" i="385"/>
  <c r="J34" i="385"/>
  <c r="M34" i="385"/>
  <c r="E34" i="385" s="1"/>
  <c r="S48" i="385"/>
  <c r="R48" i="385"/>
  <c r="J31" i="385"/>
  <c r="M23" i="385"/>
  <c r="E23" i="385" s="1"/>
  <c r="J23" i="385"/>
  <c r="H23" i="385"/>
  <c r="S49" i="385"/>
  <c r="R49" i="385"/>
  <c r="S56" i="385"/>
  <c r="R56" i="385"/>
  <c r="S66" i="385"/>
  <c r="R66" i="385"/>
  <c r="S57" i="385"/>
  <c r="R57" i="385"/>
  <c r="R38" i="385"/>
  <c r="S38" i="385"/>
  <c r="M16" i="385"/>
  <c r="E16" i="385" s="1"/>
  <c r="H16" i="385"/>
  <c r="J16" i="385"/>
  <c r="H30" i="385"/>
  <c r="M30" i="385"/>
  <c r="E30" i="385" s="1"/>
  <c r="J30" i="385"/>
  <c r="M35" i="385"/>
  <c r="E35" i="385" s="1"/>
  <c r="J35" i="385"/>
  <c r="H35" i="385"/>
  <c r="S45" i="385"/>
  <c r="R45" i="385"/>
  <c r="M17" i="385"/>
  <c r="E17" i="385" s="1"/>
  <c r="J17" i="385"/>
  <c r="H17" i="385"/>
  <c r="H22" i="385"/>
  <c r="M22" i="385"/>
  <c r="E22" i="385" s="1"/>
  <c r="J22" i="385"/>
  <c r="R34" i="385"/>
  <c r="S34" i="385"/>
  <c r="W251" i="89" a="1"/>
  <c r="W251" i="89" l="1"/>
  <c r="L251" i="89" a="1"/>
  <c r="L251" i="89" l="1"/>
  <c r="K251" i="89" a="1"/>
  <c r="K251" i="89" l="1"/>
  <c r="AH251" i="89" s="1"/>
  <c r="I251" i="89"/>
  <c r="AA251" i="89" a="1"/>
  <c r="F251" i="89" a="1"/>
  <c r="AA251" i="89" l="1"/>
  <c r="M251" i="89"/>
  <c r="F251" i="89"/>
  <c r="N251" i="89" a="1"/>
  <c r="N251" i="89" l="1"/>
  <c r="Z251" i="89" a="1"/>
  <c r="Z251" i="89" l="1"/>
  <c r="P251" i="89"/>
  <c r="Q251" i="89" s="1"/>
  <c r="AI251" i="89"/>
  <c r="AE250" i="89"/>
  <c r="S251" i="89" a="1"/>
  <c r="S251" i="89" l="1"/>
  <c r="R251" i="89" a="1"/>
  <c r="R251" i="89" l="1"/>
  <c r="AC251" i="89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AA250" i="89" a="1"/>
  <c r="F250" i="89" a="1"/>
  <c r="AA250" i="89" l="1"/>
  <c r="M250" i="89"/>
  <c r="F250" i="89"/>
  <c r="N250" i="89" a="1"/>
  <c r="N250" i="89" l="1"/>
  <c r="Z250" i="89" a="1"/>
  <c r="Z250" i="89" l="1"/>
  <c r="P250" i="89"/>
  <c r="Q250" i="89" s="1"/>
  <c r="AI250" i="89"/>
  <c r="AE249" i="89"/>
  <c r="AC250" i="89" l="1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AA249" i="89" a="1"/>
  <c r="F249" i="89" a="1"/>
  <c r="AA249" i="89" l="1"/>
  <c r="M249" i="89"/>
  <c r="F249" i="89"/>
  <c r="N249" i="89" a="1"/>
  <c r="N249" i="89" l="1"/>
  <c r="Z249" i="89" a="1"/>
  <c r="Z249" i="89" l="1"/>
  <c r="P249" i="89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AA248" i="89" a="1"/>
  <c r="F248" i="89" a="1"/>
  <c r="AA248" i="89" l="1"/>
  <c r="M248" i="89"/>
  <c r="F248" i="89"/>
  <c r="N248" i="89" a="1"/>
  <c r="N248" i="89" l="1"/>
  <c r="Z248" i="89" a="1"/>
  <c r="Z248" i="89" l="1"/>
  <c r="P248" i="89"/>
  <c r="Q248" i="89" s="1"/>
  <c r="AI248" i="89"/>
  <c r="A248" i="89"/>
  <c r="AE247" i="89"/>
  <c r="AC248" i="89" l="1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I247" i="89"/>
  <c r="AA247" i="89" a="1"/>
  <c r="F247" i="89" a="1"/>
  <c r="AA247" i="89" l="1"/>
  <c r="M247" i="89"/>
  <c r="F247" i="89"/>
  <c r="N247" i="89" a="1"/>
  <c r="N247" i="89" l="1"/>
  <c r="Z247" i="89" a="1"/>
  <c r="Z247" i="89" l="1"/>
  <c r="P247" i="89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M246" i="89"/>
  <c r="I246" i="89"/>
  <c r="AA246" i="89" a="1"/>
  <c r="F246" i="89" a="1"/>
  <c r="AA246" i="89" l="1"/>
  <c r="F246" i="89"/>
  <c r="N246" i="89" a="1"/>
  <c r="N246" i="89" l="1"/>
  <c r="Z246" i="89" a="1"/>
  <c r="Z246" i="89" l="1"/>
  <c r="P246" i="89"/>
  <c r="AI246" i="89"/>
  <c r="AI253" i="89" s="1"/>
  <c r="A246" i="89"/>
  <c r="I245" i="89"/>
  <c r="S246" i="89" a="1"/>
  <c r="S246" i="89" l="1"/>
  <c r="P253" i="89"/>
  <c r="Q246" i="89"/>
  <c r="R246" i="89" a="1"/>
  <c r="R246" i="89" l="1"/>
  <c r="AC246" i="89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/>
  <c r="I240" i="89"/>
  <c r="H240" i="89"/>
  <c r="AA240" i="89" a="1"/>
  <c r="F240" i="89" a="1"/>
  <c r="AA240" i="89" l="1"/>
  <c r="F240" i="89"/>
  <c r="AE240" i="89"/>
  <c r="N240" i="89" a="1"/>
  <c r="N240" i="89" l="1"/>
  <c r="D240" i="89"/>
  <c r="Z240" i="89" a="1"/>
  <c r="Z240" i="89" l="1"/>
  <c r="P240" i="89"/>
  <c r="Q240" i="89" s="1"/>
  <c r="AE239" i="89"/>
  <c r="AC240" i="89" l="1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F239" i="89" l="1"/>
  <c r="I239" i="89"/>
  <c r="M239" i="89"/>
  <c r="AA239" i="89" a="1"/>
  <c r="N239" i="89" a="1"/>
  <c r="AA239" i="89" l="1"/>
  <c r="N239" i="89"/>
  <c r="I242" i="89"/>
  <c r="I241" i="89"/>
  <c r="P239" i="89"/>
  <c r="Q239" i="89" s="1"/>
  <c r="D239" i="89"/>
  <c r="Z239" i="89" a="1"/>
  <c r="Z239" i="89" l="1"/>
  <c r="AE234" i="89"/>
  <c r="AC239" i="89" l="1"/>
  <c r="Y239" i="89"/>
  <c r="U239" i="89"/>
  <c r="J239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D234" i="89"/>
  <c r="Z234" i="89" a="1"/>
  <c r="Z234" i="89" l="1"/>
  <c r="P234" i="89"/>
  <c r="Q234" i="89" s="1"/>
  <c r="AE233" i="89"/>
  <c r="AC234" i="89" l="1"/>
  <c r="Y234" i="89"/>
  <c r="U234" i="89"/>
  <c r="J234" i="89"/>
  <c r="W233" i="89" a="1"/>
  <c r="W233" i="89" l="1"/>
  <c r="L233" i="89" a="1"/>
  <c r="L233" i="89" l="1"/>
  <c r="K233" i="89" a="1"/>
  <c r="K233" i="89" l="1"/>
  <c r="K236" i="89" s="1"/>
  <c r="I233" i="89"/>
  <c r="AA233" i="89" a="1"/>
  <c r="F233" i="89" a="1"/>
  <c r="AA233" i="89" l="1"/>
  <c r="M233" i="89"/>
  <c r="F233" i="89"/>
  <c r="I236" i="89"/>
  <c r="N233" i="89" a="1"/>
  <c r="N233" i="89" l="1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Z223" i="89" a="1"/>
  <c r="Z223" i="89" l="1"/>
  <c r="Q223" i="89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I226" i="89"/>
  <c r="M229" i="89" s="1"/>
  <c r="I228" i="89"/>
  <c r="I230" i="89" s="1"/>
  <c r="K228" i="89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N213" i="89" a="1"/>
  <c r="AA213" i="89" l="1"/>
  <c r="I218" i="89"/>
  <c r="N213" i="89"/>
  <c r="P213" i="89"/>
  <c r="Q213" i="89" s="1"/>
  <c r="Z213" i="89" a="1"/>
  <c r="S213" i="89" a="1"/>
  <c r="Z213" i="89" l="1"/>
  <c r="S213" i="89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N212" i="89" a="1"/>
  <c r="N212" i="89" l="1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AA211" i="89" a="1"/>
  <c r="N211" i="89" a="1"/>
  <c r="AA211" i="89" l="1"/>
  <c r="K217" i="89"/>
  <c r="I215" i="89"/>
  <c r="M218" i="89" s="1"/>
  <c r="I217" i="89"/>
  <c r="I219" i="89" s="1"/>
  <c r="N211" i="89"/>
  <c r="P211" i="89"/>
  <c r="W210" i="89"/>
  <c r="I210" i="89"/>
  <c r="Z211" i="89" a="1"/>
  <c r="S211" i="89" a="1"/>
  <c r="Z211" i="89" l="1"/>
  <c r="S211" i="89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AA205" i="89" a="1"/>
  <c r="N205" i="89" a="1"/>
  <c r="AA205" i="89" l="1"/>
  <c r="N205" i="89"/>
  <c r="P205" i="89"/>
  <c r="Q205" i="89" s="1"/>
  <c r="Z205" i="89" a="1"/>
  <c r="Z205" i="89" l="1"/>
  <c r="AE204" i="89"/>
  <c r="AC205" i="89" l="1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P204" i="89"/>
  <c r="Z204" i="89" a="1"/>
  <c r="Z204" i="89" l="1"/>
  <c r="Q204" i="89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H203" i="89"/>
  <c r="F203" i="89" a="1"/>
  <c r="I203" i="89" l="1"/>
  <c r="M203" i="89"/>
  <c r="F203" i="89"/>
  <c r="AE203" i="89"/>
  <c r="AA203" i="89" a="1"/>
  <c r="N203" i="89" a="1"/>
  <c r="AA203" i="89" l="1"/>
  <c r="I206" i="89"/>
  <c r="I208" i="89"/>
  <c r="N203" i="89"/>
  <c r="P203" i="89"/>
  <c r="Z203" i="89" a="1"/>
  <c r="Z203" i="89" l="1"/>
  <c r="P206" i="89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H197" i="89"/>
  <c r="I197" i="89" l="1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S197" i="89" a="1"/>
  <c r="S197" i="89" l="1"/>
  <c r="R197" i="89" a="1"/>
  <c r="R197" i="89" l="1"/>
  <c r="AC197" i="89"/>
  <c r="Y197" i="89"/>
  <c r="U197" i="89"/>
  <c r="J197" i="89"/>
  <c r="M196" i="89" l="1"/>
  <c r="K198" i="89"/>
  <c r="I196" i="89"/>
  <c r="AA196" i="89" a="1"/>
  <c r="N196" i="89" a="1"/>
  <c r="AA196" i="89" l="1"/>
  <c r="N196" i="89"/>
  <c r="Z196" i="89" a="1"/>
  <c r="Z196" i="89" l="1"/>
  <c r="P196" i="89"/>
  <c r="Q196" i="89" s="1"/>
  <c r="AC196" i="89" l="1"/>
  <c r="Y196" i="89"/>
  <c r="U196" i="89"/>
  <c r="J196" i="89"/>
  <c r="K199" i="89" l="1"/>
  <c r="I195" i="89" l="1"/>
  <c r="M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H180" i="89"/>
  <c r="F180" i="89" a="1"/>
  <c r="I180" i="89" l="1"/>
  <c r="F180" i="89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AA160" i="89" a="1"/>
  <c r="AA160" i="89" l="1"/>
  <c r="I162" i="89"/>
  <c r="I163" i="89" s="1"/>
  <c r="P160" i="89"/>
  <c r="Q160" i="89" s="1"/>
  <c r="Q162" i="89" s="1"/>
  <c r="K164" i="89"/>
  <c r="K163" i="89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I154" i="89"/>
  <c r="H154" i="89"/>
  <c r="AA154" i="89" a="1"/>
  <c r="F154" i="89" a="1"/>
  <c r="AA154" i="89" l="1"/>
  <c r="F154" i="89"/>
  <c r="AG154" i="89"/>
  <c r="N154" i="89" a="1"/>
  <c r="N154" i="89" l="1"/>
  <c r="Z154" i="89" a="1"/>
  <c r="Z154" i="89" l="1"/>
  <c r="P154" i="89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L157" i="89"/>
  <c r="L166" i="89" s="1"/>
  <c r="K155" i="89"/>
  <c r="M153" i="89"/>
  <c r="I153" i="89"/>
  <c r="AA153" i="89" a="1"/>
  <c r="F153" i="89" a="1"/>
  <c r="AA153" i="89" l="1"/>
  <c r="F153" i="89"/>
  <c r="I155" i="89"/>
  <c r="I156" i="89" s="1"/>
  <c r="K156" i="89"/>
  <c r="K157" i="89"/>
  <c r="K166" i="89" s="1"/>
  <c r="N153" i="89" a="1"/>
  <c r="N153" i="89" l="1"/>
  <c r="Z153" i="89" a="1"/>
  <c r="Z153" i="89" l="1"/>
  <c r="P153" i="89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I145" i="89" s="1"/>
  <c r="M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AA138" i="89" a="1"/>
  <c r="F138" i="89" a="1"/>
  <c r="AA138" i="89" l="1"/>
  <c r="F138" i="89"/>
  <c r="AG138" i="89"/>
  <c r="N138" i="89"/>
  <c r="Z138" i="89" s="1" a="1"/>
  <c r="Z138" i="89" l="1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AA129" i="89" a="1"/>
  <c r="F129" i="89" a="1"/>
  <c r="AA129" i="89" l="1"/>
  <c r="F129" i="89"/>
  <c r="I131" i="89"/>
  <c r="I132" i="89" s="1"/>
  <c r="K133" i="89"/>
  <c r="K132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AA123" i="89" a="1"/>
  <c r="N123" i="89"/>
  <c r="Z123" i="89" s="1" a="1"/>
  <c r="Z123" i="89" l="1"/>
  <c r="AA123" i="89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AA116" i="89" a="1"/>
  <c r="N116" i="89"/>
  <c r="Z116" i="89" s="1" a="1"/>
  <c r="Z116" i="89" l="1"/>
  <c r="AA116" i="89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P102" i="89" s="1"/>
  <c r="Q102" i="89" s="1"/>
  <c r="AG102" i="89"/>
  <c r="AA102" i="89" a="1"/>
  <c r="AA102" i="89" l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AA101" i="89" a="1"/>
  <c r="AA101" i="89" l="1"/>
  <c r="I103" i="89"/>
  <c r="I104" i="89" s="1"/>
  <c r="P101" i="89"/>
  <c r="Q101" i="89" s="1"/>
  <c r="Q103" i="89" s="1"/>
  <c r="K104" i="89"/>
  <c r="K105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M95" i="89" s="1"/>
  <c r="L99" i="89"/>
  <c r="L106" i="89" s="1"/>
  <c r="K97" i="89"/>
  <c r="I95" i="89"/>
  <c r="AA95" i="89" a="1"/>
  <c r="AA95" i="89" l="1"/>
  <c r="I97" i="89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I90" i="89" s="1"/>
  <c r="H90" i="89"/>
  <c r="AA90" i="89" a="1"/>
  <c r="F90" i="89" a="1"/>
  <c r="AA90" i="89" l="1"/>
  <c r="M90" i="89"/>
  <c r="F90" i="89"/>
  <c r="AG90" i="89"/>
  <c r="N90" i="89"/>
  <c r="Z90" i="89" s="1" a="1"/>
  <c r="Z90" i="89" l="1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AA89" i="89" a="1"/>
  <c r="F89" i="89" a="1"/>
  <c r="AA89" i="89" l="1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 s="1"/>
  <c r="H82" i="89"/>
  <c r="I82" i="89" l="1"/>
  <c r="P82" i="89" s="1"/>
  <c r="Q82" i="89" s="1"/>
  <c r="AE82" i="89"/>
  <c r="AE81" i="89" l="1"/>
  <c r="S82" i="89" a="1"/>
  <c r="AB82" i="89" a="1"/>
  <c r="AB82" i="89" l="1"/>
  <c r="S82" i="89"/>
  <c r="R82" i="89" a="1"/>
  <c r="R82" i="89" l="1"/>
  <c r="AC82" i="89"/>
  <c r="Y82" i="89"/>
  <c r="U82" i="89"/>
  <c r="J82" i="89"/>
  <c r="W81" i="89"/>
  <c r="T83" i="89" l="1"/>
  <c r="K81" i="89"/>
  <c r="L81" i="89"/>
  <c r="K84" i="89" l="1"/>
  <c r="K83" i="89"/>
  <c r="M81" i="89"/>
  <c r="I81" i="89"/>
  <c r="AA81" i="89" a="1"/>
  <c r="F81" i="89"/>
  <c r="AA81" i="89" l="1"/>
  <c r="I83" i="89"/>
  <c r="I84" i="89" s="1"/>
  <c r="N81" i="89" a="1"/>
  <c r="N81" i="89" l="1"/>
  <c r="AE76" i="89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I76" i="89"/>
  <c r="AA76" i="89" a="1"/>
  <c r="AA76" i="89" l="1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M75" i="89"/>
  <c r="I75" i="89"/>
  <c r="AA75" i="89" a="1"/>
  <c r="F75" i="89" a="1"/>
  <c r="AA75" i="89" l="1"/>
  <c r="F75" i="89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M69" i="89" l="1"/>
  <c r="I69" i="89"/>
  <c r="H69" i="89"/>
  <c r="AA69" i="89" a="1"/>
  <c r="AA69" i="89" l="1"/>
  <c r="AE69" i="89"/>
  <c r="N69" i="89" a="1"/>
  <c r="N69" i="89" l="1"/>
  <c r="Z69" i="89" a="1"/>
  <c r="Z69" i="89" l="1"/>
  <c r="P69" i="89"/>
  <c r="Q69" i="89" s="1"/>
  <c r="AE68" i="89" l="1"/>
  <c r="AC69" i="89" l="1"/>
  <c r="Y69" i="89"/>
  <c r="U69" i="89"/>
  <c r="J69" i="89"/>
  <c r="T70" i="89" l="1"/>
  <c r="K71" i="89" l="1"/>
  <c r="L72" i="89"/>
  <c r="K70" i="89"/>
  <c r="M68" i="89"/>
  <c r="I68" i="89"/>
  <c r="AA68" i="89" a="1"/>
  <c r="AA68" i="89" l="1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M63" i="89" l="1"/>
  <c r="I63" i="89"/>
  <c r="H63" i="89"/>
  <c r="AA63" i="89" a="1"/>
  <c r="AA63" i="89" l="1"/>
  <c r="AE63" i="89"/>
  <c r="N63" i="89" a="1"/>
  <c r="N63" i="89" l="1"/>
  <c r="Z63" i="89" a="1"/>
  <c r="Z63" i="89" l="1"/>
  <c r="P63" i="89"/>
  <c r="Q63" i="89" s="1"/>
  <c r="AE62" i="89" l="1"/>
  <c r="S63" i="89" a="1"/>
  <c r="S63" i="89" l="1"/>
  <c r="R63" i="89" a="1"/>
  <c r="R63" i="89" l="1"/>
  <c r="AC63" i="89"/>
  <c r="Y63" i="89"/>
  <c r="U63" i="89"/>
  <c r="J63" i="89"/>
  <c r="T64" i="89" l="1"/>
  <c r="K64" i="89" l="1"/>
  <c r="M62" i="89"/>
  <c r="I62" i="89"/>
  <c r="AA62" i="89" a="1"/>
  <c r="AA62" i="89" l="1"/>
  <c r="I64" i="89"/>
  <c r="I65" i="89" s="1"/>
  <c r="K72" i="89"/>
  <c r="K65" i="89"/>
  <c r="K73" i="89" s="1"/>
  <c r="N62" i="89" a="1"/>
  <c r="N62" i="89" l="1"/>
  <c r="P62" i="89" l="1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M56" i="89" l="1"/>
  <c r="H56" i="89"/>
  <c r="I56" i="89" l="1"/>
  <c r="AE56" i="89"/>
  <c r="AA56" i="89" a="1"/>
  <c r="N56" i="89" a="1"/>
  <c r="AA56" i="89" l="1"/>
  <c r="N56" i="89"/>
  <c r="P56" i="89"/>
  <c r="Q56" i="89" s="1"/>
  <c r="Z56" i="89" a="1"/>
  <c r="Z56" i="89" l="1"/>
  <c r="AE55" i="89"/>
  <c r="AC56" i="89" l="1"/>
  <c r="Y56" i="89"/>
  <c r="U56" i="89"/>
  <c r="J56" i="89"/>
  <c r="T57" i="89" l="1"/>
  <c r="K58" i="89" l="1"/>
  <c r="K57" i="89"/>
  <c r="I55" i="89"/>
  <c r="I57" i="89" s="1"/>
  <c r="AA55" i="89" a="1"/>
  <c r="G57" i="89" l="1"/>
  <c r="AA55" i="89"/>
  <c r="M55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R55" i="89" a="1"/>
  <c r="R55" i="89" l="1"/>
  <c r="AC55" i="89"/>
  <c r="Y55" i="89"/>
  <c r="Y58" i="89" s="1"/>
  <c r="Y59" i="89" s="1"/>
  <c r="U55" i="89"/>
  <c r="J55" i="89"/>
  <c r="J54" i="89" s="1"/>
  <c r="M50" i="89" l="1"/>
  <c r="H50" i="89"/>
  <c r="I50" i="89" l="1"/>
  <c r="AE50" i="89"/>
  <c r="AA50" i="89" a="1"/>
  <c r="N50" i="89" a="1"/>
  <c r="AA50" i="89" l="1"/>
  <c r="N50" i="89"/>
  <c r="P50" i="89"/>
  <c r="Q50" i="89" s="1"/>
  <c r="Z50" i="89" a="1"/>
  <c r="Z50" i="89" l="1"/>
  <c r="AE49" i="89"/>
  <c r="AC50" i="89" l="1"/>
  <c r="Y50" i="89"/>
  <c r="U50" i="89"/>
  <c r="J50" i="89"/>
  <c r="T51" i="89" l="1"/>
  <c r="I52" i="89" s="1"/>
  <c r="K52" i="89" l="1"/>
  <c r="K51" i="89"/>
  <c r="I49" i="89"/>
  <c r="AA49" i="89" a="1"/>
  <c r="AA49" i="89" l="1"/>
  <c r="M49" i="89"/>
  <c r="K60" i="89"/>
  <c r="K59" i="89"/>
  <c r="N49" i="89" a="1"/>
  <c r="N49" i="89" l="1"/>
  <c r="Z49" i="89" a="1"/>
  <c r="Z49" i="89" l="1"/>
  <c r="P49" i="89"/>
  <c r="Q49" i="89" s="1"/>
  <c r="Q51" i="89" s="1"/>
  <c r="I48" i="89"/>
  <c r="L46" i="89"/>
  <c r="K46" i="89"/>
  <c r="AE40" i="89"/>
  <c r="S49" i="89" a="1"/>
  <c r="P47" i="89" l="1"/>
  <c r="S49" i="89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Z40" i="89" a="1"/>
  <c r="Z40" i="89" l="1"/>
  <c r="P40" i="89"/>
  <c r="Q40" i="89" s="1"/>
  <c r="AE39" i="89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N39" i="89" a="1"/>
  <c r="N39" i="89" l="1"/>
  <c r="Z39" i="89" a="1"/>
  <c r="Z39" i="89" l="1"/>
  <c r="P39" i="89"/>
  <c r="P42" i="89" s="1"/>
  <c r="AE34" i="89"/>
  <c r="Q39" i="89" l="1"/>
  <c r="Q41" i="89" s="1"/>
  <c r="AC39" i="89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M34" i="89" s="1"/>
  <c r="I34" i="89"/>
  <c r="AA34" i="89" a="1"/>
  <c r="F34" i="89" a="1"/>
  <c r="AA34" i="89" l="1"/>
  <c r="F34" i="89"/>
  <c r="N34" i="89" a="1"/>
  <c r="N34" i="89" l="1"/>
  <c r="Z34" i="89" a="1"/>
  <c r="Z34" i="89" l="1"/>
  <c r="P34" i="89"/>
  <c r="Q34" i="89" s="1"/>
  <c r="AE33" i="89"/>
  <c r="S34" i="89" a="1"/>
  <c r="S34" i="89" l="1"/>
  <c r="R34" i="89" a="1"/>
  <c r="R34" i="89" l="1"/>
  <c r="AC34" i="89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I33" i="89"/>
  <c r="AA33" i="89" a="1"/>
  <c r="F33" i="89" a="1"/>
  <c r="AA33" i="89" l="1"/>
  <c r="M33" i="89"/>
  <c r="F33" i="89"/>
  <c r="K37" i="89"/>
  <c r="I35" i="89"/>
  <c r="L44" i="89"/>
  <c r="K44" i="89"/>
  <c r="K43" i="89"/>
  <c r="N33" i="89" a="1"/>
  <c r="N33" i="89" l="1"/>
  <c r="I36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I27" i="89"/>
  <c r="H27" i="89"/>
  <c r="AA27" i="89" a="1"/>
  <c r="F27" i="89" a="1"/>
  <c r="AA27" i="89" l="1"/>
  <c r="F27" i="89"/>
  <c r="AE27" i="89"/>
  <c r="N27" i="89" a="1"/>
  <c r="N27" i="89" l="1"/>
  <c r="Z27" i="89" a="1"/>
  <c r="Z27" i="89" l="1"/>
  <c r="P27" i="89"/>
  <c r="Q27" i="89" s="1"/>
  <c r="A27" i="89"/>
  <c r="AE26" i="89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I23" i="89"/>
  <c r="AE20" i="89"/>
  <c r="N20" i="89" a="1"/>
  <c r="N20" i="89" l="1"/>
  <c r="Z20" i="89" a="1"/>
  <c r="Z20" i="89" l="1"/>
  <c r="P20" i="89"/>
  <c r="Q20" i="89" s="1"/>
  <c r="AJ19" i="89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AA19" i="89" a="1"/>
  <c r="S19" i="89" a="1"/>
  <c r="F19" i="89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Z19" i="89" a="1"/>
  <c r="Z19" i="89" l="1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/>
  <c r="Q14" i="89" s="1"/>
  <c r="Z14" i="89" a="1"/>
  <c r="Z14" i="89" l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7" i="89"/>
  <c r="K16" i="89"/>
  <c r="N13" i="89" a="1"/>
  <c r="N13" i="89" l="1"/>
  <c r="Z13" i="89" a="1"/>
  <c r="Z13" i="89" l="1"/>
  <c r="P13" i="89"/>
  <c r="P16" i="89" s="1"/>
  <c r="AI12" i="89"/>
  <c r="AH12" i="89"/>
  <c r="AI11" i="89"/>
  <c r="AH11" i="89"/>
  <c r="AJ11" i="89" s="1"/>
  <c r="Q13" i="89" l="1"/>
  <c r="Q15" i="89" s="1"/>
  <c r="Q17" i="89" s="1"/>
  <c r="AC13" i="89" l="1"/>
  <c r="Y13" i="89"/>
  <c r="U13" i="89"/>
  <c r="J13" i="89"/>
  <c r="J17" i="89" s="1"/>
  <c r="Y15" i="89" l="1"/>
  <c r="Y16" i="89" l="1"/>
  <c r="P17" i="89"/>
  <c r="M8" i="89" l="1"/>
  <c r="H8" i="89"/>
  <c r="I8" i="89" l="1"/>
  <c r="AE8" i="89"/>
  <c r="AF8" i="89"/>
  <c r="AA8" i="89" a="1"/>
  <c r="N8" i="89" a="1"/>
  <c r="AA8" i="89" l="1"/>
  <c r="N8" i="89"/>
  <c r="Z8" i="89" a="1"/>
  <c r="Z8" i="89" l="1"/>
  <c r="P8" i="89"/>
  <c r="Q8" i="89" s="1"/>
  <c r="AF7" i="89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N7" i="89" a="1"/>
  <c r="N7" i="89" l="1"/>
  <c r="Z7" i="89" a="1"/>
  <c r="Z7" i="89" l="1"/>
  <c r="P7" i="89"/>
  <c r="P10" i="89" s="1"/>
  <c r="K5" i="89"/>
  <c r="H52" i="2"/>
  <c r="H51" i="2"/>
  <c r="H50" i="2"/>
  <c r="H49" i="2"/>
  <c r="J47" i="2"/>
  <c r="J46" i="2"/>
  <c r="J45" i="2"/>
  <c r="J44" i="2"/>
  <c r="J43" i="2"/>
  <c r="J42" i="2"/>
  <c r="J41" i="2"/>
  <c r="J40" i="2"/>
  <c r="I36" i="2"/>
  <c r="BA33" i="2"/>
  <c r="S7" i="89" a="1"/>
  <c r="Q7" i="89" l="1"/>
  <c r="Q9" i="89" s="1"/>
  <c r="Q11" i="89" s="1"/>
  <c r="J49" i="2"/>
  <c r="I49" i="2" s="1"/>
  <c r="J50" i="2"/>
  <c r="I50" i="2" s="1"/>
  <c r="J51" i="2"/>
  <c r="I51" i="2" s="1"/>
  <c r="J52" i="2"/>
  <c r="I52" i="2" s="1"/>
  <c r="S7" i="89"/>
  <c r="R7" i="89" a="1"/>
  <c r="Q5" i="89" l="1"/>
  <c r="R7" i="89"/>
  <c r="AC7" i="89"/>
  <c r="Y7" i="89"/>
  <c r="U7" i="89"/>
  <c r="J7" i="89"/>
  <c r="J11" i="89" s="1"/>
  <c r="Y9" i="89" l="1"/>
  <c r="Y10" i="89" l="1"/>
  <c r="P11" i="89"/>
  <c r="R33" i="2" l="1"/>
  <c r="J33" i="2" l="1"/>
  <c r="BB33" i="2" s="1"/>
  <c r="BC33" i="2" s="1"/>
  <c r="K33" i="2" l="1"/>
  <c r="O33" i="2" s="1"/>
  <c r="S33" i="2" a="1"/>
  <c r="S33" i="2" l="1"/>
  <c r="AO33" i="2" s="1"/>
  <c r="AP33" i="2"/>
  <c r="Z33" i="2"/>
  <c r="AV33" i="2" s="1" a="1"/>
  <c r="AV33" i="2" l="1"/>
  <c r="U33" i="2"/>
  <c r="AE33" i="2"/>
  <c r="AT33" i="2"/>
  <c r="AS33" i="2"/>
  <c r="AL33" i="2"/>
  <c r="AB33" i="2"/>
  <c r="M33" i="2"/>
  <c r="BA32" i="2"/>
  <c r="AM33" i="2" l="1"/>
  <c r="X33" i="2"/>
  <c r="Y33" i="2" s="1"/>
  <c r="R32" i="2" l="1"/>
  <c r="J32" i="2" l="1"/>
  <c r="J36" i="2" l="1"/>
  <c r="BB32" i="2"/>
  <c r="BC32" i="2" s="1"/>
  <c r="K32" i="2"/>
  <c r="K36" i="2" s="1"/>
  <c r="S32" i="2" a="1"/>
  <c r="O32" i="2" l="1"/>
  <c r="S32" i="2"/>
  <c r="AO32" i="2"/>
  <c r="U32" i="2"/>
  <c r="AP32" i="2"/>
  <c r="Z32" i="2"/>
  <c r="AV32" i="2" s="1" a="1"/>
  <c r="AV32" i="2" l="1"/>
  <c r="AE32" i="2"/>
  <c r="AT32" i="2"/>
  <c r="AS32" i="2"/>
  <c r="AL32" i="2"/>
  <c r="AB32" i="2"/>
  <c r="M32" i="2"/>
  <c r="BA28" i="2"/>
  <c r="AM32" i="2" l="1"/>
  <c r="X32" i="2"/>
  <c r="Y32" i="2" s="1"/>
  <c r="AF28" i="2" a="1"/>
  <c r="AF28" i="2" l="1"/>
  <c r="Q28" i="2" a="1"/>
  <c r="Q28" i="2" l="1"/>
  <c r="P28" i="2" a="1"/>
  <c r="P28" i="2" l="1"/>
  <c r="R28" i="2" s="1"/>
  <c r="J28" i="2" l="1"/>
  <c r="BB28" i="2" s="1"/>
  <c r="BC28" i="2" s="1"/>
  <c r="G28" i="2" a="1"/>
  <c r="G28" i="2" l="1"/>
  <c r="K28" i="2"/>
  <c r="O28" i="2"/>
  <c r="S28" i="2" a="1"/>
  <c r="S28" i="2" l="1"/>
  <c r="AO28" i="2" s="1"/>
  <c r="Z28" i="2"/>
  <c r="AV28" i="2" s="1" a="1"/>
  <c r="AV28" i="2" l="1"/>
  <c r="U28" i="2"/>
  <c r="AP28" i="2"/>
  <c r="AE28" i="2"/>
  <c r="AT28" i="2"/>
  <c r="AS28" i="2"/>
  <c r="AL28" i="2"/>
  <c r="AB28" i="2"/>
  <c r="M28" i="2"/>
  <c r="BA27" i="2"/>
  <c r="AM28" i="2" l="1"/>
  <c r="X28" i="2"/>
  <c r="Y28" i="2" s="1"/>
  <c r="AF27" i="2" a="1"/>
  <c r="AF27" i="2" l="1"/>
  <c r="Q27" i="2" a="1"/>
  <c r="Q27" i="2" l="1"/>
  <c r="P27" i="2" a="1"/>
  <c r="P27" i="2" l="1"/>
  <c r="R27" i="2" s="1"/>
  <c r="J27" i="2" l="1"/>
  <c r="BB27" i="2" s="1"/>
  <c r="BC27" i="2" s="1"/>
  <c r="G27" i="2" a="1"/>
  <c r="G27" i="2" l="1"/>
  <c r="K27" i="2"/>
  <c r="O27" i="2"/>
  <c r="S27" i="2" a="1"/>
  <c r="S27" i="2" l="1"/>
  <c r="AO27" i="2"/>
  <c r="AP27" i="2"/>
  <c r="U27" i="2"/>
  <c r="Z27" i="2"/>
  <c r="AV27" i="2" s="1" a="1"/>
  <c r="AV27" i="2" l="1"/>
  <c r="AE27" i="2"/>
  <c r="AT27" i="2"/>
  <c r="AS27" i="2"/>
  <c r="AL27" i="2"/>
  <c r="AB27" i="2"/>
  <c r="M27" i="2"/>
  <c r="BA26" i="2"/>
  <c r="AM27" i="2" l="1"/>
  <c r="X27" i="2"/>
  <c r="Y27" i="2" s="1"/>
  <c r="R26" i="2" l="1"/>
  <c r="J26" i="2" l="1"/>
  <c r="BB26" i="2" s="1"/>
  <c r="BC26" i="2" s="1"/>
  <c r="K26" i="2" l="1"/>
  <c r="O26" i="2"/>
  <c r="S26" i="2" a="1"/>
  <c r="S26" i="2" l="1"/>
  <c r="AO26" i="2" s="1"/>
  <c r="Z26" i="2"/>
  <c r="AV26" i="2" s="1" a="1"/>
  <c r="AV26" i="2" l="1"/>
  <c r="AP26" i="2"/>
  <c r="U26" i="2"/>
  <c r="AE26" i="2"/>
  <c r="AT26" i="2"/>
  <c r="AS26" i="2"/>
  <c r="AL26" i="2"/>
  <c r="AB26" i="2"/>
  <c r="M26" i="2"/>
  <c r="BA25" i="2"/>
  <c r="AM26" i="2" l="1"/>
  <c r="X26" i="2"/>
  <c r="Y26" i="2" s="1"/>
  <c r="AF25" i="2" a="1"/>
  <c r="AF25" i="2" l="1"/>
  <c r="Q25" i="2" a="1"/>
  <c r="Q25" i="2" l="1"/>
  <c r="P25" i="2" a="1"/>
  <c r="P25" i="2" l="1"/>
  <c r="R25" i="2" s="1"/>
  <c r="J25" i="2" l="1"/>
  <c r="BB25" i="2" s="1"/>
  <c r="BC25" i="2" s="1"/>
  <c r="G25" i="2" a="1"/>
  <c r="G25" i="2" l="1"/>
  <c r="K25" i="2"/>
  <c r="O25" i="2"/>
  <c r="S25" i="2" a="1"/>
  <c r="S25" i="2" l="1"/>
  <c r="AO25" i="2"/>
  <c r="AP25" i="2"/>
  <c r="U25" i="2"/>
  <c r="Z25" i="2"/>
  <c r="AV25" i="2" s="1" a="1"/>
  <c r="AV25" i="2" l="1"/>
  <c r="AE25" i="2"/>
  <c r="AT25" i="2"/>
  <c r="AS25" i="2"/>
  <c r="AL25" i="2"/>
  <c r="AB25" i="2"/>
  <c r="M25" i="2"/>
  <c r="BA24" i="2"/>
  <c r="AM25" i="2" l="1"/>
  <c r="X25" i="2"/>
  <c r="Y25" i="2" s="1"/>
  <c r="AF24" i="2" a="1"/>
  <c r="AF24" i="2" l="1"/>
  <c r="Q24" i="2" a="1"/>
  <c r="Q24" i="2" l="1"/>
  <c r="P24" i="2" a="1"/>
  <c r="P24" i="2" l="1"/>
  <c r="R24" i="2" s="1"/>
  <c r="J24" i="2" l="1"/>
  <c r="BB24" i="2" s="1"/>
  <c r="BC24" i="2" s="1"/>
  <c r="G24" i="2" a="1"/>
  <c r="G24" i="2" l="1"/>
  <c r="K24" i="2"/>
  <c r="O24" i="2" s="1"/>
  <c r="S24" i="2" a="1"/>
  <c r="S24" i="2" l="1"/>
  <c r="AO24" i="2"/>
  <c r="AP24" i="2"/>
  <c r="U24" i="2"/>
  <c r="Z24" i="2"/>
  <c r="AV24" i="2" s="1" a="1"/>
  <c r="AV24" i="2" l="1"/>
  <c r="AE24" i="2"/>
  <c r="AT24" i="2"/>
  <c r="AS24" i="2"/>
  <c r="AL24" i="2"/>
  <c r="AB24" i="2"/>
  <c r="M24" i="2"/>
  <c r="BA23" i="2"/>
  <c r="AM24" i="2" l="1"/>
  <c r="X24" i="2"/>
  <c r="Y24" i="2" s="1"/>
  <c r="AF23" i="2" a="1"/>
  <c r="AF23" i="2" l="1"/>
  <c r="Q23" i="2" a="1"/>
  <c r="Q23" i="2" l="1"/>
  <c r="P23" i="2" a="1"/>
  <c r="P23" i="2" l="1"/>
  <c r="R23" i="2" s="1"/>
  <c r="J23" i="2" l="1"/>
  <c r="BB23" i="2" s="1"/>
  <c r="BC23" i="2" s="1"/>
  <c r="G23" i="2" a="1"/>
  <c r="G23" i="2" l="1"/>
  <c r="K23" i="2"/>
  <c r="O23" i="2" s="1"/>
  <c r="S23" i="2" a="1"/>
  <c r="S23" i="2" l="1"/>
  <c r="AO23" i="2" s="1"/>
  <c r="AP23" i="2"/>
  <c r="Z23" i="2"/>
  <c r="AV23" i="2" s="1" a="1"/>
  <c r="AV23" i="2" l="1"/>
  <c r="U23" i="2"/>
  <c r="AE23" i="2"/>
  <c r="AT23" i="2"/>
  <c r="AS23" i="2"/>
  <c r="AL23" i="2"/>
  <c r="AB23" i="2"/>
  <c r="M23" i="2"/>
  <c r="BA20" i="2"/>
  <c r="AM23" i="2" l="1"/>
  <c r="X23" i="2"/>
  <c r="Y23" i="2" s="1"/>
  <c r="R20" i="2" l="1"/>
  <c r="J20" i="2" l="1"/>
  <c r="BB20" i="2" s="1"/>
  <c r="BC20" i="2" s="1"/>
  <c r="K20" i="2" l="1"/>
  <c r="O20" i="2" s="1"/>
  <c r="S20" i="2" a="1"/>
  <c r="S20" i="2" l="1"/>
  <c r="AO20" i="2"/>
  <c r="AP20" i="2"/>
  <c r="U20" i="2"/>
  <c r="AE20" i="2" l="1"/>
  <c r="AT20" i="2"/>
  <c r="AS20" i="2"/>
  <c r="AL20" i="2"/>
  <c r="AB20" i="2"/>
  <c r="M20" i="2"/>
  <c r="BA19" i="2"/>
  <c r="AM20" i="2" l="1"/>
  <c r="X20" i="2"/>
  <c r="Y20" i="2" s="1"/>
  <c r="R19" i="2" l="1"/>
  <c r="J19" i="2" l="1"/>
  <c r="BB19" i="2" s="1"/>
  <c r="BC19" i="2" s="1"/>
  <c r="K19" i="2" l="1"/>
  <c r="O19" i="2"/>
  <c r="S19" i="2" a="1"/>
  <c r="S19" i="2" l="1"/>
  <c r="U19" i="2" s="1"/>
  <c r="Z19" i="2"/>
  <c r="AV19" i="2" s="1" a="1"/>
  <c r="AV19" i="2" l="1"/>
  <c r="AP19" i="2"/>
  <c r="AO19" i="2"/>
  <c r="AE19" i="2"/>
  <c r="AT19" i="2"/>
  <c r="AS19" i="2"/>
  <c r="AL19" i="2"/>
  <c r="AB19" i="2"/>
  <c r="M19" i="2"/>
  <c r="BA17" i="2"/>
  <c r="AM19" i="2" l="1"/>
  <c r="X19" i="2"/>
  <c r="Y19" i="2" s="1"/>
  <c r="AN17" i="2" a="1"/>
  <c r="AN17" i="2" l="1"/>
  <c r="AF17" i="2" a="1"/>
  <c r="AF17" i="2" l="1"/>
  <c r="Q17" i="2" a="1"/>
  <c r="Q17" i="2" l="1"/>
  <c r="P17" i="2" a="1"/>
  <c r="P17" i="2" l="1"/>
  <c r="R17" i="2" s="1"/>
  <c r="L17" i="2" a="1"/>
  <c r="L17" i="2" l="1"/>
  <c r="J17" i="2"/>
  <c r="BB17" i="2" s="1"/>
  <c r="BC17" i="2" s="1"/>
  <c r="G17" i="2" a="1"/>
  <c r="G17" i="2" l="1"/>
  <c r="K17" i="2"/>
  <c r="O17" i="2" s="1"/>
  <c r="S17" i="2" a="1"/>
  <c r="S17" i="2" l="1"/>
  <c r="AO17" i="2" s="1"/>
  <c r="Z17" i="2"/>
  <c r="AV17" i="2" s="1" a="1"/>
  <c r="AV17" i="2" l="1"/>
  <c r="AP17" i="2"/>
  <c r="U17" i="2"/>
  <c r="AE17" i="2"/>
  <c r="AT17" i="2"/>
  <c r="AS17" i="2"/>
  <c r="AL17" i="2"/>
  <c r="AB17" i="2"/>
  <c r="M17" i="2"/>
  <c r="BA16" i="2"/>
  <c r="AM17" i="2" l="1"/>
  <c r="X17" i="2"/>
  <c r="Y17" i="2" s="1"/>
  <c r="R16" i="2" l="1"/>
  <c r="J16" i="2" l="1"/>
  <c r="BB16" i="2" s="1"/>
  <c r="BC16" i="2" s="1"/>
  <c r="K16" i="2" l="1"/>
  <c r="O16" i="2"/>
  <c r="S16" i="2" a="1"/>
  <c r="S16" i="2" l="1"/>
  <c r="AO16" i="2"/>
  <c r="U16" i="2"/>
  <c r="AP16" i="2"/>
  <c r="Z16" i="2"/>
  <c r="AE16" i="2" l="1"/>
  <c r="AT16" i="2"/>
  <c r="AS16" i="2"/>
  <c r="AL16" i="2"/>
  <c r="AB16" i="2"/>
  <c r="M16" i="2"/>
  <c r="BA15" i="2"/>
  <c r="AM16" i="2" l="1"/>
  <c r="X16" i="2"/>
  <c r="Y16" i="2" s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J15" i="2"/>
  <c r="BB15" i="2" s="1"/>
  <c r="BC15" i="2" s="1"/>
  <c r="G15" i="2" a="1"/>
  <c r="G15" i="2" l="1"/>
  <c r="K15" i="2"/>
  <c r="O15" i="2"/>
  <c r="S15" i="2" a="1"/>
  <c r="S15" i="2" l="1"/>
  <c r="AO15" i="2" s="1"/>
  <c r="Z15" i="2"/>
  <c r="U15" i="2" l="1"/>
  <c r="AP15" i="2"/>
  <c r="AE15" i="2"/>
  <c r="AT15" i="2"/>
  <c r="AS15" i="2"/>
  <c r="AL15" i="2"/>
  <c r="AB15" i="2"/>
  <c r="M15" i="2"/>
  <c r="BA12" i="2"/>
  <c r="AM15" i="2" l="1"/>
  <c r="X15" i="2"/>
  <c r="Y15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J12" i="2"/>
  <c r="BB12" i="2" s="1"/>
  <c r="BC12" i="2" s="1"/>
  <c r="G12" i="2" a="1"/>
  <c r="G12" i="2" l="1"/>
  <c r="K12" i="2"/>
  <c r="O12" i="2"/>
  <c r="S12" i="2" a="1"/>
  <c r="S12" i="2" l="1"/>
  <c r="AO12" i="2" s="1"/>
  <c r="Z12" i="2"/>
  <c r="AP12" i="2" l="1"/>
  <c r="U12" i="2"/>
  <c r="AE12" i="2"/>
  <c r="AT12" i="2"/>
  <c r="AS12" i="2"/>
  <c r="AL12" i="2"/>
  <c r="AB12" i="2"/>
  <c r="M12" i="2"/>
  <c r="AM12" i="2" l="1"/>
  <c r="X12" i="2"/>
  <c r="Y12" i="2" s="1"/>
  <c r="BA11" i="2" l="1"/>
  <c r="AF11" i="2" a="1"/>
  <c r="AF11" i="2" l="1"/>
  <c r="Q11" i="2" a="1"/>
  <c r="Q11" i="2" l="1"/>
  <c r="P11" i="2" a="1"/>
  <c r="P11" i="2" l="1"/>
  <c r="R11" i="2" s="1"/>
  <c r="J11" i="2" l="1"/>
  <c r="BB11" i="2" s="1"/>
  <c r="BC11" i="2" s="1"/>
  <c r="G11" i="2" a="1"/>
  <c r="G11" i="2" l="1"/>
  <c r="K11" i="2"/>
  <c r="O11" i="2" s="1"/>
  <c r="S11" i="2" a="1"/>
  <c r="S11" i="2" l="1"/>
  <c r="AP11" i="2" s="1"/>
  <c r="Z11" i="2"/>
  <c r="AV11" i="2" s="1" a="1"/>
  <c r="AV11" i="2" l="1"/>
  <c r="AO11" i="2"/>
  <c r="U11" i="2"/>
  <c r="AE11" i="2"/>
  <c r="AT11" i="2"/>
  <c r="AS11" i="2"/>
  <c r="AL11" i="2"/>
  <c r="AB11" i="2"/>
  <c r="M11" i="2"/>
  <c r="BA10" i="2"/>
  <c r="AM11" i="2" l="1"/>
  <c r="X11" i="2"/>
  <c r="Y11" i="2" s="1"/>
  <c r="AF10" i="2" a="1"/>
  <c r="AF10" i="2" l="1"/>
  <c r="Q10" i="2" a="1"/>
  <c r="Q10" i="2" l="1"/>
  <c r="P10" i="2" a="1"/>
  <c r="P10" i="2" l="1"/>
  <c r="R10" i="2" s="1"/>
  <c r="J10" i="2" l="1"/>
  <c r="BB10" i="2" s="1"/>
  <c r="BC10" i="2" s="1"/>
  <c r="G10" i="2" a="1"/>
  <c r="G10" i="2" l="1"/>
  <c r="K10" i="2"/>
  <c r="O10" i="2" s="1"/>
  <c r="S10" i="2" a="1"/>
  <c r="S10" i="2" l="1"/>
  <c r="AO10" i="2" s="1"/>
  <c r="Z10" i="2"/>
  <c r="AV10" i="2" s="1" a="1"/>
  <c r="AV10" i="2" l="1"/>
  <c r="U10" i="2"/>
  <c r="AP10" i="2"/>
  <c r="AE10" i="2"/>
  <c r="AT10" i="2"/>
  <c r="AS10" i="2"/>
  <c r="AL10" i="2"/>
  <c r="AB10" i="2"/>
  <c r="M10" i="2"/>
  <c r="BA9" i="2"/>
  <c r="AM10" i="2" l="1"/>
  <c r="X10" i="2"/>
  <c r="Y10" i="2" s="1"/>
  <c r="AF9" i="2" a="1"/>
  <c r="AF9" i="2" l="1"/>
  <c r="Q9" i="2" a="1"/>
  <c r="Q9" i="2" l="1"/>
  <c r="P9" i="2" a="1"/>
  <c r="P9" i="2" l="1"/>
  <c r="R9" i="2" s="1"/>
  <c r="J9" i="2" l="1"/>
  <c r="BB9" i="2" s="1"/>
  <c r="BC9" i="2" s="1"/>
  <c r="G9" i="2" a="1"/>
  <c r="G9" i="2" l="1"/>
  <c r="K9" i="2"/>
  <c r="O9" i="2"/>
  <c r="S9" i="2" a="1"/>
  <c r="S9" i="2" l="1"/>
  <c r="AO9" i="2"/>
  <c r="AP9" i="2"/>
  <c r="U9" i="2"/>
  <c r="Z9" i="2"/>
  <c r="AV9" i="2" s="1" a="1"/>
  <c r="AV9" i="2" l="1"/>
  <c r="AE9" i="2"/>
  <c r="AT9" i="2"/>
  <c r="AS9" i="2"/>
  <c r="AL9" i="2"/>
  <c r="AB9" i="2"/>
  <c r="M9" i="2"/>
  <c r="AM9" i="2" l="1"/>
  <c r="X9" i="2"/>
  <c r="Y9" i="2" s="1"/>
  <c r="BA4" i="2" l="1"/>
  <c r="AF4" i="2" a="1"/>
  <c r="AF4" i="2" l="1"/>
  <c r="Q4" i="2" a="1"/>
  <c r="Q4" i="2" l="1"/>
  <c r="P4" i="2" a="1"/>
  <c r="P4" i="2" l="1"/>
  <c r="R4" i="2" s="1"/>
  <c r="J4" i="2" l="1"/>
  <c r="BB4" i="2" s="1"/>
  <c r="BC4" i="2" s="1"/>
  <c r="G4" i="2" a="1"/>
  <c r="G4" i="2" l="1"/>
  <c r="K4" i="2"/>
  <c r="O4" i="2" s="1"/>
  <c r="S4" i="2" a="1"/>
  <c r="S4" i="2" l="1"/>
  <c r="AO4" i="2" s="1"/>
  <c r="AP4" i="2"/>
  <c r="U4" i="2"/>
  <c r="Z4" i="2"/>
  <c r="AV4" i="2" s="1" a="1"/>
  <c r="AV4" i="2" l="1"/>
  <c r="AE4" i="2"/>
  <c r="AT4" i="2"/>
  <c r="AS4" i="2"/>
  <c r="AL4" i="2"/>
  <c r="AB4" i="2"/>
  <c r="M4" i="2"/>
  <c r="BA8" i="2"/>
  <c r="AM4" i="2" l="1"/>
  <c r="X4" i="2"/>
  <c r="Y4" i="2" s="1"/>
  <c r="Q8" i="2" a="1"/>
  <c r="Q8" i="2" l="1"/>
  <c r="P8" i="2" a="1"/>
  <c r="P8" i="2" l="1"/>
  <c r="R8" i="2" s="1"/>
  <c r="J8" i="2" l="1"/>
  <c r="BB8" i="2" s="1"/>
  <c r="BC8" i="2" s="1"/>
  <c r="G8" i="2" a="1"/>
  <c r="G8" i="2" l="1"/>
  <c r="K8" i="2"/>
  <c r="O8" i="2"/>
  <c r="S8" i="2" a="1"/>
  <c r="S8" i="2" l="1"/>
  <c r="AO8" i="2" s="1"/>
  <c r="Z8" i="2"/>
  <c r="AV8" i="2" s="1" a="1"/>
  <c r="AV8" i="2" l="1"/>
  <c r="U8" i="2"/>
  <c r="AP8" i="2"/>
  <c r="AE8" i="2"/>
  <c r="AT8" i="2"/>
  <c r="AS8" i="2"/>
  <c r="AL8" i="2"/>
  <c r="AB8" i="2"/>
  <c r="M8" i="2"/>
  <c r="BA7" i="2"/>
  <c r="AM8" i="2" l="1"/>
  <c r="X8" i="2"/>
  <c r="Y8" i="2" s="1"/>
  <c r="AF7" i="2" a="1"/>
  <c r="AF7" i="2" l="1"/>
  <c r="Q7" i="2" a="1"/>
  <c r="Q7" i="2" l="1"/>
  <c r="P7" i="2" a="1"/>
  <c r="P7" i="2" l="1"/>
  <c r="R7" i="2" s="1"/>
  <c r="J7" i="2" l="1"/>
  <c r="BB7" i="2" s="1"/>
  <c r="BC7" i="2" s="1"/>
  <c r="G7" i="2" a="1"/>
  <c r="G7" i="2" l="1"/>
  <c r="K7" i="2"/>
  <c r="O7" i="2"/>
  <c r="S7" i="2" a="1"/>
  <c r="S7" i="2" l="1"/>
  <c r="AO7" i="2"/>
  <c r="AP7" i="2"/>
  <c r="U7" i="2"/>
  <c r="Z7" i="2"/>
  <c r="AV7" i="2" s="1" a="1"/>
  <c r="AV7" i="2" l="1"/>
  <c r="AE7" i="2"/>
  <c r="AT7" i="2"/>
  <c r="AS7" i="2"/>
  <c r="AL7" i="2"/>
  <c r="AB7" i="2"/>
  <c r="M7" i="2"/>
  <c r="BA6" i="2"/>
  <c r="AM7" i="2" l="1"/>
  <c r="X7" i="2"/>
  <c r="Y7" i="2" s="1"/>
  <c r="AF6" i="2" a="1"/>
  <c r="AF6" i="2" l="1"/>
  <c r="Q6" i="2" a="1"/>
  <c r="Q6" i="2" l="1"/>
  <c r="P6" i="2" a="1"/>
  <c r="P6" i="2" l="1"/>
  <c r="R6" i="2" s="1"/>
  <c r="J6" i="2" l="1"/>
  <c r="BB6" i="2" s="1"/>
  <c r="BC6" i="2" s="1"/>
  <c r="G6" i="2" a="1"/>
  <c r="G6" i="2" l="1"/>
  <c r="K6" i="2"/>
  <c r="O6" i="2"/>
  <c r="S6" i="2" a="1"/>
  <c r="S6" i="2" l="1"/>
  <c r="AP6" i="2" s="1"/>
  <c r="AO6" i="2" l="1"/>
  <c r="U6" i="2"/>
  <c r="Z6" i="2"/>
  <c r="AV6" i="2" s="1" a="1"/>
  <c r="AV6" i="2" l="1"/>
  <c r="AE6" i="2"/>
  <c r="AT6" i="2"/>
  <c r="AS6" i="2"/>
  <c r="AL6" i="2"/>
  <c r="AB6" i="2"/>
  <c r="M6" i="2"/>
  <c r="BA5" i="2"/>
  <c r="AM6" i="2" l="1"/>
  <c r="X6" i="2"/>
  <c r="Y6" i="2" s="1"/>
  <c r="AF5" i="2" a="1"/>
  <c r="AF5" i="2" l="1"/>
  <c r="Q5" i="2" a="1"/>
  <c r="Q5" i="2" l="1"/>
  <c r="P5" i="2" a="1"/>
  <c r="P5" i="2" l="1"/>
  <c r="R5" i="2" s="1"/>
  <c r="J5" i="2" l="1"/>
  <c r="BB5" i="2" s="1"/>
  <c r="BC5" i="2" s="1"/>
  <c r="G5" i="2" a="1"/>
  <c r="G5" i="2" l="1"/>
  <c r="K5" i="2"/>
  <c r="O5" i="2"/>
  <c r="S5" i="2" a="1"/>
  <c r="S5" i="2" l="1"/>
  <c r="AP5" i="2" s="1"/>
  <c r="AO5" i="2" l="1"/>
  <c r="U5" i="2"/>
  <c r="Z5" i="2"/>
  <c r="AV5" i="2" s="1" a="1"/>
  <c r="AV5" i="2" l="1"/>
  <c r="AE5" i="2"/>
  <c r="AT5" i="2"/>
  <c r="AS5" i="2"/>
  <c r="AL5" i="2"/>
  <c r="AB5" i="2"/>
  <c r="M5" i="2"/>
  <c r="U2" i="2"/>
  <c r="R2" i="2"/>
  <c r="Q2" i="2" a="1"/>
  <c r="Q2" i="2" l="1"/>
  <c r="S2" i="2"/>
  <c r="AM5" i="2"/>
  <c r="X5" i="2"/>
  <c r="Y5" i="2" s="1"/>
  <c r="P2" i="2" a="1"/>
  <c r="P2" i="2" l="1"/>
  <c r="I2" i="2" l="1"/>
  <c r="X1" i="2"/>
  <c r="R1" i="2"/>
  <c r="O1" i="2"/>
  <c r="H1" i="2"/>
  <c r="Q20" i="1" l="1"/>
  <c r="N20" i="1" l="1"/>
  <c r="J20" i="1"/>
  <c r="T20" i="1" l="1"/>
  <c r="Q37" i="1" l="1"/>
  <c r="N37" i="1" l="1"/>
  <c r="J37" i="1"/>
  <c r="T37" i="1" l="1"/>
  <c r="S36" i="1"/>
  <c r="Q36" i="1"/>
  <c r="N36" i="1" l="1"/>
  <c r="J36" i="1"/>
  <c r="T36" i="1" l="1"/>
  <c r="Q32" i="1"/>
  <c r="N32" i="1" l="1"/>
  <c r="J32" i="1"/>
  <c r="T32" i="1" l="1"/>
  <c r="Q30" i="1"/>
  <c r="N30" i="1" l="1"/>
  <c r="J30" i="1"/>
  <c r="T30" i="1" l="1"/>
  <c r="S39" i="1"/>
  <c r="Q39" i="1"/>
  <c r="N39" i="1" l="1"/>
  <c r="J39" i="1"/>
  <c r="T39" i="1" l="1"/>
  <c r="Q28" i="1"/>
  <c r="N28" i="1" l="1"/>
  <c r="J28" i="1"/>
  <c r="T28" i="1" l="1"/>
  <c r="S27" i="1"/>
  <c r="Q27" i="1"/>
  <c r="N27" i="1" l="1"/>
  <c r="J27" i="1"/>
  <c r="T27" i="1" l="1"/>
  <c r="S26" i="1"/>
  <c r="Q26" i="1"/>
  <c r="N26" i="1" l="1"/>
  <c r="J26" i="1"/>
  <c r="T26" i="1" l="1"/>
  <c r="S25" i="1"/>
  <c r="Q25" i="1"/>
  <c r="N25" i="1" l="1"/>
  <c r="J25" i="1"/>
  <c r="T25" i="1" l="1"/>
  <c r="Q24" i="1"/>
  <c r="N24" i="1" l="1"/>
  <c r="J24" i="1"/>
  <c r="T24" i="1" l="1"/>
  <c r="Q23" i="1"/>
  <c r="N23" i="1" l="1"/>
  <c r="J23" i="1"/>
  <c r="T23" i="1" l="1"/>
  <c r="S22" i="1"/>
  <c r="Q22" i="1"/>
  <c r="N22" i="1" l="1"/>
  <c r="J22" i="1"/>
  <c r="T22" i="1" l="1"/>
  <c r="S21" i="1"/>
  <c r="Q21" i="1"/>
  <c r="N21" i="1" l="1"/>
  <c r="J21" i="1"/>
  <c r="T21" i="1" l="1"/>
  <c r="S18" i="1"/>
  <c r="Q18" i="1"/>
  <c r="N18" i="1" l="1"/>
  <c r="J18" i="1"/>
  <c r="T18" i="1" l="1"/>
  <c r="S17" i="1"/>
  <c r="Q17" i="1"/>
  <c r="N17" i="1" l="1"/>
  <c r="J17" i="1"/>
  <c r="T17" i="1" l="1"/>
  <c r="S15" i="1" l="1"/>
  <c r="Q15" i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BD18" i="2" l="1"/>
  <c r="BD29" i="2"/>
  <c r="BD31" i="2"/>
  <c r="BD21" i="2"/>
  <c r="BD14" i="2"/>
  <c r="BD13" i="2"/>
  <c r="BD30" i="2"/>
  <c r="BD22" i="2"/>
  <c r="AI30" i="2"/>
  <c r="P38" i="1"/>
  <c r="V21" i="2"/>
  <c r="AK13" i="2"/>
  <c r="V18" i="2"/>
  <c r="AI13" i="2"/>
  <c r="V14" i="2"/>
  <c r="AK30" i="2"/>
  <c r="P35" i="1"/>
  <c r="AK18" i="2"/>
  <c r="AK14" i="2"/>
  <c r="P31" i="1"/>
  <c r="AK21" i="2"/>
  <c r="AK29" i="2"/>
  <c r="V13" i="2"/>
  <c r="P34" i="1"/>
  <c r="V31" i="2"/>
  <c r="V29" i="2"/>
  <c r="AI18" i="2"/>
  <c r="AI29" i="2"/>
  <c r="V30" i="2"/>
  <c r="P33" i="1"/>
  <c r="AI21" i="2"/>
  <c r="V22" i="2"/>
  <c r="AK22" i="2"/>
  <c r="AI31" i="2"/>
  <c r="AK31" i="2"/>
  <c r="AI14" i="2"/>
  <c r="P29" i="1"/>
  <c r="AI22" i="2"/>
  <c r="P16" i="1"/>
  <c r="P19" i="1"/>
  <c r="W14" i="2"/>
  <c r="W30" i="2"/>
  <c r="AH19" i="1"/>
  <c r="W18" i="2"/>
  <c r="AH29" i="1"/>
  <c r="AH33" i="1"/>
  <c r="AH31" i="1"/>
  <c r="W21" i="2"/>
  <c r="AH35" i="1"/>
  <c r="W13" i="2"/>
  <c r="W22" i="2"/>
  <c r="AH16" i="1"/>
  <c r="AH34" i="1"/>
  <c r="W29" i="2"/>
  <c r="W31" i="2"/>
  <c r="AH38" i="1"/>
  <c r="P41" i="1"/>
  <c r="P40" i="1"/>
  <c r="AH40" i="1"/>
  <c r="AH41" i="1"/>
  <c r="BD33" i="2"/>
  <c r="AK33" i="2"/>
  <c r="AI33" i="2"/>
  <c r="V33" i="2"/>
  <c r="W33" i="2"/>
  <c r="BD32" i="2"/>
  <c r="V32" i="2"/>
  <c r="AI32" i="2"/>
  <c r="AK32" i="2"/>
  <c r="W32" i="2"/>
  <c r="BD28" i="2"/>
  <c r="AK28" i="2"/>
  <c r="V28" i="2"/>
  <c r="AI28" i="2"/>
  <c r="W28" i="2"/>
  <c r="BD27" i="2"/>
  <c r="AK27" i="2"/>
  <c r="V27" i="2"/>
  <c r="AI27" i="2"/>
  <c r="W27" i="2"/>
  <c r="BD26" i="2"/>
  <c r="AK26" i="2"/>
  <c r="V26" i="2"/>
  <c r="W26" i="2"/>
  <c r="BD25" i="2"/>
  <c r="AK25" i="2"/>
  <c r="V25" i="2"/>
  <c r="AI25" i="2"/>
  <c r="W25" i="2"/>
  <c r="BD24" i="2"/>
  <c r="AK24" i="2"/>
  <c r="V24" i="2"/>
  <c r="AI24" i="2"/>
  <c r="W24" i="2"/>
  <c r="BD23" i="2"/>
  <c r="AK23" i="2"/>
  <c r="V23" i="2"/>
  <c r="AI23" i="2"/>
  <c r="W23" i="2"/>
  <c r="BD20" i="2"/>
  <c r="AK20" i="2"/>
  <c r="AI20" i="2"/>
  <c r="V20" i="2"/>
  <c r="W20" i="2"/>
  <c r="BD19" i="2"/>
  <c r="V19" i="2"/>
  <c r="AI19" i="2"/>
  <c r="AK19" i="2"/>
  <c r="W19" i="2"/>
  <c r="BD17" i="2"/>
  <c r="AK17" i="2"/>
  <c r="V17" i="2"/>
  <c r="AI17" i="2"/>
  <c r="W17" i="2"/>
  <c r="BD16" i="2"/>
  <c r="V16" i="2"/>
  <c r="AK16" i="2"/>
  <c r="AI16" i="2"/>
  <c r="W16" i="2"/>
  <c r="BD15" i="2"/>
  <c r="V15" i="2"/>
  <c r="AK15" i="2"/>
  <c r="AI15" i="2"/>
  <c r="W15" i="2"/>
  <c r="BD12" i="2"/>
  <c r="V12" i="2"/>
  <c r="AK12" i="2"/>
  <c r="AI12" i="2"/>
  <c r="W12" i="2"/>
  <c r="BD11" i="2"/>
  <c r="AK11" i="2"/>
  <c r="V11" i="2"/>
  <c r="AI11" i="2"/>
  <c r="W11" i="2"/>
  <c r="BD10" i="2"/>
  <c r="V10" i="2"/>
  <c r="AK10" i="2"/>
  <c r="AI10" i="2"/>
  <c r="W10" i="2"/>
  <c r="BD9" i="2"/>
  <c r="AK9" i="2"/>
  <c r="V9" i="2"/>
  <c r="AI9" i="2"/>
  <c r="W9" i="2"/>
  <c r="BD4" i="2"/>
  <c r="V4" i="2"/>
  <c r="AI4" i="2"/>
  <c r="AK4" i="2"/>
  <c r="W4" i="2"/>
  <c r="BD8" i="2"/>
  <c r="V8" i="2"/>
  <c r="AK8" i="2"/>
  <c r="W8" i="2"/>
  <c r="BD7" i="2"/>
  <c r="V7" i="2"/>
  <c r="AK7" i="2"/>
  <c r="AI7" i="2"/>
  <c r="W7" i="2"/>
  <c r="BD6" i="2"/>
  <c r="AK6" i="2"/>
  <c r="V6" i="2"/>
  <c r="AI6" i="2"/>
  <c r="W6" i="2"/>
  <c r="BD5" i="2"/>
  <c r="AK5" i="2"/>
  <c r="AI5" i="2"/>
  <c r="V5" i="2"/>
  <c r="W5" i="2"/>
  <c r="P20" i="1"/>
  <c r="AH20" i="1"/>
  <c r="P37" i="1"/>
  <c r="AH37" i="1"/>
  <c r="P36" i="1"/>
  <c r="AH36" i="1"/>
  <c r="P32" i="1"/>
  <c r="AH32" i="1"/>
  <c r="P30" i="1"/>
  <c r="AH30" i="1"/>
  <c r="P39" i="1"/>
  <c r="AH39" i="1"/>
  <c r="P28" i="1"/>
  <c r="AH28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AH21" i="1"/>
  <c r="P18" i="1"/>
  <c r="AH18" i="1"/>
  <c r="P17" i="1"/>
  <c r="AH17" i="1"/>
  <c r="P15" i="1"/>
  <c r="AH15" i="1"/>
  <c r="P14" i="1"/>
  <c r="AH14" i="1"/>
  <c r="P13" i="1"/>
  <c r="AH13" i="1"/>
  <c r="P12" i="1"/>
  <c r="AH12" i="1"/>
  <c r="AH10" i="1" s="1"/>
  <c r="AD8" i="1"/>
  <c r="S38" i="1" l="1"/>
  <c r="V34" i="1"/>
  <c r="AD34" i="1"/>
  <c r="AD19" i="1"/>
  <c r="V19" i="1"/>
  <c r="AD31" i="1"/>
  <c r="V31" i="1"/>
  <c r="V33" i="1"/>
  <c r="AD33" i="1"/>
  <c r="V16" i="1"/>
  <c r="AD16" i="1"/>
  <c r="AJ22" i="2"/>
  <c r="AD29" i="1"/>
  <c r="V29" i="1"/>
  <c r="AD35" i="1"/>
  <c r="V35" i="1"/>
  <c r="AJ18" i="2"/>
  <c r="AJ14" i="2"/>
  <c r="AD38" i="1"/>
  <c r="V38" i="1"/>
  <c r="AD40" i="1"/>
  <c r="V40" i="1"/>
  <c r="AD41" i="1"/>
  <c r="V41" i="1"/>
  <c r="S14" i="1"/>
  <c r="V14" i="1" s="1"/>
  <c r="S28" i="1"/>
  <c r="V28" i="1" s="1"/>
  <c r="S37" i="1"/>
  <c r="V37" i="1" s="1"/>
  <c r="S30" i="1"/>
  <c r="V30" i="1" s="1"/>
  <c r="S20" i="1"/>
  <c r="V20" i="1" s="1"/>
  <c r="S23" i="1"/>
  <c r="V23" i="1" s="1"/>
  <c r="V1" i="2"/>
  <c r="S24" i="1"/>
  <c r="V24" i="1" s="1"/>
  <c r="W1" i="2"/>
  <c r="S32" i="1"/>
  <c r="J7" i="1"/>
  <c r="AD18" i="1"/>
  <c r="V18" i="1"/>
  <c r="AD30" i="1"/>
  <c r="AD17" i="1"/>
  <c r="V17" i="1"/>
  <c r="AD21" i="1"/>
  <c r="V21" i="1"/>
  <c r="AD32" i="1"/>
  <c r="AD36" i="1"/>
  <c r="V36" i="1"/>
  <c r="AI1" i="2"/>
  <c r="AJ30" i="2" s="1"/>
  <c r="AD27" i="1"/>
  <c r="V27" i="1"/>
  <c r="AD37" i="1"/>
  <c r="AD28" i="1"/>
  <c r="AD14" i="1"/>
  <c r="AD23" i="1"/>
  <c r="AD22" i="1"/>
  <c r="V22" i="1"/>
  <c r="AD15" i="1"/>
  <c r="V15" i="1"/>
  <c r="AD20" i="1"/>
  <c r="AD12" i="1"/>
  <c r="V12" i="1"/>
  <c r="P10" i="1"/>
  <c r="P7" i="1"/>
  <c r="AD13" i="1"/>
  <c r="V13" i="1"/>
  <c r="AD24" i="1"/>
  <c r="AD25" i="1"/>
  <c r="V25" i="1"/>
  <c r="AD39" i="1"/>
  <c r="V39" i="1"/>
  <c r="AD26" i="1"/>
  <c r="V26" i="1"/>
  <c r="AJ31" i="2" l="1"/>
  <c r="AJ21" i="2"/>
  <c r="AJ13" i="2"/>
  <c r="AJ29" i="2"/>
  <c r="AJ7" i="2"/>
  <c r="S7" i="1"/>
  <c r="AJ20" i="2"/>
  <c r="V32" i="1"/>
  <c r="T1" i="1" s="1"/>
  <c r="S10" i="1"/>
  <c r="AJ32" i="2"/>
  <c r="AD10" i="1"/>
  <c r="AJ33" i="2"/>
  <c r="AJ23" i="2"/>
  <c r="AJ25" i="2"/>
  <c r="AJ28" i="2"/>
  <c r="AJ17" i="2"/>
  <c r="AJ15" i="2"/>
  <c r="AJ6" i="2"/>
  <c r="AJ19" i="2"/>
  <c r="AJ5" i="2"/>
  <c r="AJ24" i="2"/>
  <c r="AJ9" i="2"/>
  <c r="AJ10" i="2"/>
  <c r="AJ11" i="2"/>
  <c r="AJ16" i="2"/>
  <c r="AJ12" i="2"/>
  <c r="AJ4" i="2"/>
  <c r="AJ27" i="2"/>
  <c r="D7" i="1" l="1"/>
  <c r="AE6" i="1"/>
  <c r="V6" i="1"/>
  <c r="S6" i="1"/>
  <c r="P6" i="1"/>
  <c r="J6" i="1" l="1"/>
  <c r="D6" i="1" l="1"/>
  <c r="AE5" i="1"/>
  <c r="V5" i="1"/>
  <c r="V7" i="1" s="1"/>
  <c r="S5" i="1"/>
  <c r="P5" i="1"/>
  <c r="X251" i="89" l="1"/>
  <c r="AD251" i="89"/>
  <c r="X250" i="89"/>
  <c r="AD250" i="89"/>
  <c r="X249" i="89"/>
  <c r="AD249" i="89"/>
  <c r="X248" i="89"/>
  <c r="AD248" i="89"/>
  <c r="X247" i="89"/>
  <c r="AD247" i="89"/>
  <c r="X246" i="89"/>
  <c r="X253" i="89" s="1"/>
  <c r="AD246" i="89"/>
  <c r="X240" i="89"/>
  <c r="AD240" i="89"/>
  <c r="X239" i="89"/>
  <c r="AD239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X169" i="89"/>
  <c r="AD169" i="89"/>
  <c r="X160" i="89"/>
  <c r="X162" i="89" s="1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X103" i="89" s="1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AD50" i="89"/>
  <c r="X50" i="89"/>
  <c r="X49" i="89"/>
  <c r="AD49" i="89"/>
  <c r="AD51" i="89" s="1"/>
  <c r="AD40" i="89"/>
  <c r="X40" i="89"/>
  <c r="X39" i="89"/>
  <c r="AD39" i="89"/>
  <c r="AD41" i="89" s="1"/>
  <c r="AD34" i="89"/>
  <c r="X34" i="89"/>
  <c r="AD33" i="89"/>
  <c r="AD35" i="89" s="1"/>
  <c r="X33" i="89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V10" i="1"/>
  <c r="B1" i="2" s="1"/>
  <c r="O31" i="1" l="1"/>
  <c r="O16" i="1"/>
  <c r="O19" i="1"/>
  <c r="O35" i="1"/>
  <c r="O34" i="1"/>
  <c r="O33" i="1"/>
  <c r="O29" i="1"/>
  <c r="O38" i="1"/>
  <c r="U35" i="1"/>
  <c r="AG13" i="2"/>
  <c r="AG31" i="2"/>
  <c r="AG14" i="2"/>
  <c r="AH30" i="2"/>
  <c r="AG21" i="2"/>
  <c r="AH22" i="2"/>
  <c r="AH29" i="2"/>
  <c r="U19" i="1"/>
  <c r="U29" i="1"/>
  <c r="AH31" i="2"/>
  <c r="AH21" i="2"/>
  <c r="AG30" i="2"/>
  <c r="U34" i="1"/>
  <c r="AG18" i="2"/>
  <c r="AG29" i="2"/>
  <c r="AG22" i="2"/>
  <c r="U31" i="1"/>
  <c r="AH14" i="2"/>
  <c r="U16" i="1"/>
  <c r="AH18" i="2"/>
  <c r="U33" i="1"/>
  <c r="AH13" i="2"/>
  <c r="R38" i="1"/>
  <c r="U38" i="1"/>
  <c r="X91" i="89"/>
  <c r="X124" i="89"/>
  <c r="X110" i="89"/>
  <c r="O40" i="1"/>
  <c r="O41" i="1"/>
  <c r="R40" i="1"/>
  <c r="R41" i="1"/>
  <c r="U40" i="1"/>
  <c r="U41" i="1"/>
  <c r="X77" i="89"/>
  <c r="X57" i="89"/>
  <c r="X70" i="89"/>
  <c r="X9" i="89"/>
  <c r="X21" i="89"/>
  <c r="X35" i="89"/>
  <c r="X146" i="89"/>
  <c r="X206" i="89"/>
  <c r="X208" i="89" s="1"/>
  <c r="X15" i="89"/>
  <c r="X41" i="89"/>
  <c r="X83" i="89"/>
  <c r="J5" i="1"/>
  <c r="X215" i="89"/>
  <c r="X181" i="89"/>
  <c r="X51" i="89"/>
  <c r="X117" i="89"/>
  <c r="X155" i="89"/>
  <c r="X189" i="89"/>
  <c r="AG33" i="2"/>
  <c r="AH33" i="2"/>
  <c r="AG32" i="2"/>
  <c r="AH32" i="2"/>
  <c r="AG28" i="2"/>
  <c r="AH28" i="2"/>
  <c r="AG27" i="2"/>
  <c r="AH27" i="2"/>
  <c r="AG25" i="2"/>
  <c r="AH25" i="2"/>
  <c r="AG24" i="2"/>
  <c r="AH24" i="2"/>
  <c r="AG23" i="2"/>
  <c r="AH23" i="2"/>
  <c r="AG20" i="2"/>
  <c r="AH20" i="2"/>
  <c r="AG19" i="2"/>
  <c r="AH19" i="2"/>
  <c r="AG17" i="2"/>
  <c r="AH17" i="2"/>
  <c r="AG16" i="2"/>
  <c r="AH16" i="2"/>
  <c r="AG15" i="2"/>
  <c r="AH15" i="2"/>
  <c r="AG12" i="2"/>
  <c r="AH12" i="2"/>
  <c r="AG11" i="2"/>
  <c r="AH11" i="2"/>
  <c r="AG10" i="2"/>
  <c r="AH10" i="2"/>
  <c r="AG9" i="2"/>
  <c r="AH9" i="2"/>
  <c r="AG4" i="2"/>
  <c r="AH4" i="2"/>
  <c r="AG7" i="2"/>
  <c r="AH7" i="2"/>
  <c r="AG6" i="2"/>
  <c r="AH6" i="2"/>
  <c r="AG5" i="2"/>
  <c r="AH5" i="2"/>
  <c r="R20" i="1"/>
  <c r="O20" i="1"/>
  <c r="U20" i="1"/>
  <c r="R37" i="1"/>
  <c r="O37" i="1"/>
  <c r="R36" i="1"/>
  <c r="U37" i="1"/>
  <c r="O36" i="1"/>
  <c r="R32" i="1"/>
  <c r="U36" i="1"/>
  <c r="O32" i="1"/>
  <c r="R30" i="1"/>
  <c r="U32" i="1"/>
  <c r="O30" i="1"/>
  <c r="R39" i="1"/>
  <c r="U30" i="1"/>
  <c r="O39" i="1"/>
  <c r="R28" i="1"/>
  <c r="U39" i="1"/>
  <c r="O28" i="1"/>
  <c r="R27" i="1"/>
  <c r="U28" i="1"/>
  <c r="O27" i="1"/>
  <c r="R26" i="1"/>
  <c r="U27" i="1"/>
  <c r="O26" i="1"/>
  <c r="R25" i="1"/>
  <c r="U26" i="1"/>
  <c r="O25" i="1"/>
  <c r="R24" i="1"/>
  <c r="U25" i="1"/>
  <c r="O24" i="1"/>
  <c r="R23" i="1"/>
  <c r="U24" i="1"/>
  <c r="O23" i="1"/>
  <c r="R22" i="1"/>
  <c r="U23" i="1"/>
  <c r="O22" i="1"/>
  <c r="R21" i="1"/>
  <c r="U22" i="1"/>
  <c r="O21" i="1"/>
  <c r="R18" i="1"/>
  <c r="U21" i="1"/>
  <c r="O18" i="1"/>
  <c r="R17" i="1"/>
  <c r="U18" i="1"/>
  <c r="O17" i="1"/>
  <c r="U17" i="1"/>
  <c r="R15" i="1"/>
  <c r="O15" i="1"/>
  <c r="R14" i="1"/>
  <c r="U15" i="1"/>
  <c r="O14" i="1"/>
  <c r="U14" i="1"/>
  <c r="R13" i="1"/>
  <c r="O13" i="1"/>
  <c r="U13" i="1"/>
  <c r="R12" i="1"/>
  <c r="W10" i="1"/>
  <c r="O12" i="1"/>
  <c r="U12" i="1"/>
  <c r="X226" i="89"/>
  <c r="X198" i="89"/>
  <c r="X200" i="89" s="1"/>
  <c r="X139" i="89"/>
  <c r="X28" i="89"/>
  <c r="X64" i="89"/>
  <c r="X97" i="89"/>
  <c r="X172" i="89"/>
  <c r="X12" i="89" s="1"/>
  <c r="AA19" i="1" l="1"/>
  <c r="Z19" i="1"/>
  <c r="Y19" i="1"/>
  <c r="W16" i="1"/>
  <c r="W33" i="1"/>
  <c r="W29" i="1"/>
  <c r="W35" i="1"/>
  <c r="W38" i="1"/>
  <c r="W34" i="1"/>
  <c r="W31" i="1"/>
  <c r="W19" i="1"/>
  <c r="AA38" i="1"/>
  <c r="Z38" i="1"/>
  <c r="Y38" i="1"/>
  <c r="AA33" i="1"/>
  <c r="Z33" i="1"/>
  <c r="Y33" i="1"/>
  <c r="AA35" i="1"/>
  <c r="Z35" i="1"/>
  <c r="Y35" i="1"/>
  <c r="AA16" i="1"/>
  <c r="Z16" i="1"/>
  <c r="Y16" i="1"/>
  <c r="AA31" i="1"/>
  <c r="Z31" i="1"/>
  <c r="Y31" i="1"/>
  <c r="AA34" i="1"/>
  <c r="Z34" i="1"/>
  <c r="Y34" i="1"/>
  <c r="AA29" i="1"/>
  <c r="Z29" i="1"/>
  <c r="Y29" i="1"/>
  <c r="R1" i="1"/>
  <c r="Y41" i="1"/>
  <c r="AA41" i="1"/>
  <c r="Z41" i="1"/>
  <c r="AA40" i="1"/>
  <c r="Z40" i="1"/>
  <c r="Y40" i="1"/>
  <c r="W41" i="1"/>
  <c r="W40" i="1"/>
  <c r="AA24" i="1"/>
  <c r="Z24" i="1"/>
  <c r="Y24" i="1"/>
  <c r="AA30" i="1"/>
  <c r="Z30" i="1"/>
  <c r="Y30" i="1"/>
  <c r="AA36" i="1"/>
  <c r="Z36" i="1"/>
  <c r="Y36" i="1"/>
  <c r="O6" i="1"/>
  <c r="O5" i="1"/>
  <c r="Y17" i="1"/>
  <c r="AA17" i="1"/>
  <c r="Z17" i="1"/>
  <c r="Z32" i="1"/>
  <c r="AA32" i="1"/>
  <c r="Y32" i="1"/>
  <c r="W20" i="1"/>
  <c r="W37" i="1"/>
  <c r="W36" i="1"/>
  <c r="W32" i="1"/>
  <c r="W30" i="1"/>
  <c r="W39" i="1"/>
  <c r="W28" i="1"/>
  <c r="W27" i="1"/>
  <c r="W26" i="1"/>
  <c r="W25" i="1"/>
  <c r="W24" i="1"/>
  <c r="W23" i="1"/>
  <c r="W22" i="1"/>
  <c r="W21" i="1"/>
  <c r="W18" i="1"/>
  <c r="W17" i="1"/>
  <c r="W15" i="1"/>
  <c r="W14" i="1"/>
  <c r="W13" i="1"/>
  <c r="W12" i="1"/>
  <c r="AA26" i="1"/>
  <c r="Y26" i="1"/>
  <c r="Z26" i="1"/>
  <c r="AA14" i="1"/>
  <c r="Z14" i="1"/>
  <c r="Y14" i="1"/>
  <c r="Z21" i="1"/>
  <c r="Y21" i="1"/>
  <c r="AA21" i="1"/>
  <c r="AA39" i="1"/>
  <c r="Z39" i="1"/>
  <c r="Y39" i="1"/>
  <c r="AA12" i="1"/>
  <c r="Y12" i="1"/>
  <c r="Z12" i="1"/>
  <c r="AA28" i="1"/>
  <c r="Y28" i="1"/>
  <c r="Z28" i="1"/>
  <c r="AA25" i="1"/>
  <c r="Z25" i="1"/>
  <c r="Y25" i="1"/>
  <c r="Z15" i="1"/>
  <c r="Y15" i="1"/>
  <c r="AA15" i="1"/>
  <c r="U6" i="1"/>
  <c r="AA20" i="1"/>
  <c r="Z20" i="1"/>
  <c r="Y20" i="1"/>
  <c r="AA23" i="1"/>
  <c r="Z23" i="1"/>
  <c r="Y23" i="1"/>
  <c r="R6" i="1"/>
  <c r="R5" i="1"/>
  <c r="Z37" i="1"/>
  <c r="AA37" i="1"/>
  <c r="Y37" i="1"/>
  <c r="Z13" i="1"/>
  <c r="AA13" i="1"/>
  <c r="Y13" i="1"/>
  <c r="Y18" i="1"/>
  <c r="Z18" i="1"/>
  <c r="AA18" i="1"/>
  <c r="U5" i="1"/>
  <c r="AA27" i="1"/>
  <c r="Y27" i="1"/>
  <c r="Z27" i="1"/>
  <c r="AA22" i="1"/>
  <c r="Y22" i="1"/>
  <c r="Z22" i="1"/>
  <c r="AA6" i="1" l="1"/>
  <c r="AB6" i="1" s="1"/>
  <c r="AA5" i="1"/>
  <c r="Z10" i="1"/>
  <c r="D5" i="1"/>
  <c r="W6" i="1"/>
  <c r="R8" i="1"/>
  <c r="R7" i="1"/>
  <c r="O8" i="1"/>
  <c r="O7" i="1"/>
  <c r="U8" i="1"/>
  <c r="U7" i="1"/>
  <c r="W5" i="1"/>
  <c r="AA8" i="1" l="1"/>
  <c r="AB5" i="1"/>
  <c r="AA7" i="1"/>
  <c r="AA10" i="1" s="1"/>
  <c r="U10" i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/>
  <c r="D3" i="1" l="1"/>
  <c r="W2" i="1" l="1"/>
  <c r="J2" i="1" l="1"/>
  <c r="D2" i="1" l="1"/>
  <c r="J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M9" i="529"/>
  <c r="K9" i="529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N54" i="338" s="1"/>
  <c r="AD54" i="338"/>
  <c r="Z54" i="338"/>
  <c r="AB54" i="338"/>
  <c r="I53" i="338" a="1"/>
  <c r="I53" i="338" l="1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U52" i="338" a="1"/>
  <c r="V52" i="338" a="1"/>
  <c r="L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N51" i="338" s="1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U50" i="338" a="1"/>
  <c r="V50" i="338" a="1"/>
  <c r="L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Z49" i="338"/>
  <c r="AD49" i="338"/>
  <c r="AB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Z48" i="338"/>
  <c r="AB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L44" i="338" l="1"/>
  <c r="N44" i="338" s="1"/>
  <c r="V44" i="338"/>
  <c r="U44" i="338"/>
  <c r="AD44" i="338"/>
  <c r="Z44" i="338"/>
  <c r="AB44" i="338"/>
  <c r="O42" i="338" l="1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Z42" i="338"/>
  <c r="AB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L41" i="338" l="1"/>
  <c r="N41" i="338" s="1"/>
  <c r="U41" i="338"/>
  <c r="V41" i="338"/>
  <c r="AD41" i="338"/>
  <c r="AB41" i="338"/>
  <c r="Z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AB40" i="338"/>
  <c r="Z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N38" i="338" s="1"/>
  <c r="AD38" i="338"/>
  <c r="AB38" i="338"/>
  <c r="Z38" i="338"/>
  <c r="I37" i="338" a="1"/>
  <c r="I37" i="338" l="1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L36" i="338" l="1"/>
  <c r="U36" i="338"/>
  <c r="V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Z35" i="338"/>
  <c r="AB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Z31" i="338"/>
  <c r="AB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Z29" i="338"/>
  <c r="AB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N17" i="338" s="1"/>
  <c r="AD17" i="338"/>
  <c r="AB17" i="338"/>
  <c r="Z17" i="338"/>
  <c r="I16" i="338" a="1"/>
  <c r="I16" i="338" l="1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N15" i="338" s="1"/>
  <c r="U15" i="338"/>
  <c r="V15" i="338"/>
  <c r="AD15" i="338"/>
  <c r="AB15" i="338"/>
  <c r="Z15" i="338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Z11" i="338"/>
  <c r="AB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N9" i="338" s="1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17" i="338" a="1"/>
  <c r="AU39" i="338" a="1"/>
  <c r="AP46" i="338" a="1"/>
  <c r="AP30" i="338" a="1"/>
  <c r="AU11" i="338" a="1"/>
  <c r="AU32" i="338" a="1"/>
  <c r="AU47" i="338" a="1"/>
  <c r="AU13" i="338" a="1"/>
  <c r="AP35" i="338" a="1"/>
  <c r="AU31" i="338" a="1"/>
  <c r="AP38" i="338" a="1"/>
  <c r="AP51" i="338" a="1"/>
  <c r="AP40" i="338" a="1"/>
  <c r="AU30" i="338" a="1"/>
  <c r="AU51" i="338" a="1"/>
  <c r="AP29" i="338" a="1"/>
  <c r="AP49" i="338" a="1"/>
  <c r="AU33" i="338" a="1"/>
  <c r="AP50" i="338" a="1"/>
  <c r="AU41" i="338" a="1"/>
  <c r="AU50" i="338" a="1"/>
  <c r="AU8" i="338" a="1"/>
  <c r="AP12" i="338" a="1"/>
  <c r="AU15" i="338" a="1"/>
  <c r="AU35" i="338" a="1"/>
  <c r="AP8" i="338" a="1"/>
  <c r="AU12" i="338" a="1"/>
  <c r="AP45" i="338" a="1"/>
  <c r="AU18" i="338" a="1"/>
  <c r="AU34" i="338" a="1"/>
  <c r="AU48" i="338" a="1"/>
  <c r="AU38" i="338" a="1"/>
  <c r="AU44" i="338" a="1"/>
  <c r="AU52" i="338" a="1"/>
  <c r="AU16" i="338" a="1"/>
  <c r="AU49" i="338" a="1"/>
  <c r="AP36" i="338" a="1"/>
  <c r="AU37" i="338" a="1"/>
  <c r="AP14" i="338" a="1"/>
  <c r="AP16" i="338" a="1"/>
  <c r="AU46" i="338" a="1"/>
  <c r="AU36" i="338" a="1"/>
  <c r="AP9" i="338" a="1"/>
  <c r="AU29" i="338" a="1"/>
  <c r="AP11" i="338" a="1"/>
  <c r="AP48" i="338" a="1"/>
  <c r="AU45" i="338" a="1"/>
  <c r="AP52" i="338" a="1"/>
  <c r="AP44" i="338" a="1"/>
  <c r="AP47" i="338" a="1"/>
  <c r="AP33" i="338" a="1"/>
  <c r="AU53" i="338" a="1"/>
  <c r="AP41" i="338" a="1"/>
  <c r="AP42" i="338" a="1"/>
  <c r="AP53" i="338" a="1"/>
  <c r="AP54" i="338" a="1"/>
  <c r="AP10" i="338" a="1"/>
  <c r="AU10" i="338" a="1"/>
  <c r="AU40" i="338" a="1"/>
  <c r="AP17" i="338" a="1"/>
  <c r="AU42" i="338" a="1"/>
  <c r="AP13" i="338" a="1"/>
  <c r="AP32" i="338" a="1"/>
  <c r="AU9" i="338" a="1"/>
  <c r="AP37" i="338" a="1"/>
  <c r="AP15" i="338" a="1"/>
  <c r="AU54" i="338" a="1"/>
  <c r="AP34" i="338" a="1"/>
  <c r="AP18" i="338" a="1"/>
  <c r="AP39" i="338" a="1"/>
  <c r="AP31" i="338" a="1"/>
  <c r="H8" i="338" l="1"/>
  <c r="AP9" i="338"/>
  <c r="AU36" i="338"/>
  <c r="AU46" i="338"/>
  <c r="AP16" i="338"/>
  <c r="AP14" i="338"/>
  <c r="AU37" i="338"/>
  <c r="AP36" i="338"/>
  <c r="AU49" i="338"/>
  <c r="AU16" i="338"/>
  <c r="AU52" i="338"/>
  <c r="AU44" i="338"/>
  <c r="AU38" i="338"/>
  <c r="AU48" i="338"/>
  <c r="AU34" i="338"/>
  <c r="AU18" i="338"/>
  <c r="AP45" i="338"/>
  <c r="AU12" i="338"/>
  <c r="AP8" i="338"/>
  <c r="AU35" i="338"/>
  <c r="AU15" i="338"/>
  <c r="AP12" i="338"/>
  <c r="AU8" i="338"/>
  <c r="AU50" i="338"/>
  <c r="AU41" i="338"/>
  <c r="AP50" i="338"/>
  <c r="AU33" i="338"/>
  <c r="AP49" i="338"/>
  <c r="AP29" i="338"/>
  <c r="AU51" i="338"/>
  <c r="AU30" i="338"/>
  <c r="AP40" i="338"/>
  <c r="AP51" i="338"/>
  <c r="AP38" i="338"/>
  <c r="AU31" i="338"/>
  <c r="AP35" i="338"/>
  <c r="AU13" i="338"/>
  <c r="AU47" i="338"/>
  <c r="AU32" i="338"/>
  <c r="AU11" i="338"/>
  <c r="AP30" i="338"/>
  <c r="AP46" i="338"/>
  <c r="AU39" i="338"/>
  <c r="AU17" i="338"/>
  <c r="AU10" i="338"/>
  <c r="AP10" i="338"/>
  <c r="AP54" i="338"/>
  <c r="AP53" i="338"/>
  <c r="AP42" i="338"/>
  <c r="AP41" i="338"/>
  <c r="AU53" i="338"/>
  <c r="AP33" i="338"/>
  <c r="AP47" i="338"/>
  <c r="AP44" i="338"/>
  <c r="AP52" i="338"/>
  <c r="AU45" i="338"/>
  <c r="AP48" i="338"/>
  <c r="AP11" i="338"/>
  <c r="AU29" i="338"/>
  <c r="AP31" i="338"/>
  <c r="AP39" i="338"/>
  <c r="AP18" i="338"/>
  <c r="AP34" i="338"/>
  <c r="AU54" i="338"/>
  <c r="AP15" i="338"/>
  <c r="AP37" i="338"/>
  <c r="AU9" i="338"/>
  <c r="AP32" i="338"/>
  <c r="AP13" i="338"/>
  <c r="AU42" i="338"/>
  <c r="AP17" i="338"/>
  <c r="AU40" i="338"/>
  <c r="AN3" i="338"/>
  <c r="E4" i="338"/>
  <c r="E1" i="338" s="1"/>
  <c r="V20" i="252"/>
  <c r="U20" i="252"/>
  <c r="O8" i="338"/>
  <c r="Q2" i="338"/>
  <c r="Q4" i="338" s="1"/>
  <c r="AM3" i="338"/>
  <c r="K8" i="338"/>
  <c r="U8" i="338" a="1"/>
  <c r="V8" i="338" a="1"/>
  <c r="L8" i="338" a="1"/>
  <c r="AN12" i="338"/>
  <c r="AS50" i="338"/>
  <c r="AN10" i="338"/>
  <c r="AN42" i="338"/>
  <c r="AN40" i="338"/>
  <c r="AS11" i="338"/>
  <c r="AS8" i="338"/>
  <c r="AN34" i="338"/>
  <c r="AN16" i="338"/>
  <c r="AS9" i="338"/>
  <c r="AN41" i="338"/>
  <c r="AS30" i="338"/>
  <c r="AN38" i="338"/>
  <c r="AS45" i="338"/>
  <c r="AS13" i="338"/>
  <c r="AS32" i="338"/>
  <c r="AS29" i="338"/>
  <c r="AS46" i="338"/>
  <c r="AS54" i="338"/>
  <c r="AN37" i="338"/>
  <c r="AN13" i="338"/>
  <c r="AN33" i="338"/>
  <c r="AN35" i="338"/>
  <c r="AN11" i="338"/>
  <c r="AN14" i="338"/>
  <c r="AS18" i="338"/>
  <c r="Q51" i="338" a="1"/>
  <c r="Q31" i="338" a="1"/>
  <c r="Q41" i="338" a="1"/>
  <c r="Q47" i="338" a="1"/>
  <c r="Q33" i="338" a="1"/>
  <c r="Q44" i="338" a="1"/>
  <c r="Q52" i="338" a="1"/>
  <c r="Q39" i="338" a="1"/>
  <c r="Q15" i="338" a="1"/>
  <c r="Q17" i="338" a="1"/>
  <c r="Q38" i="338" a="1"/>
  <c r="Q16" i="338" a="1"/>
  <c r="AN15" i="338"/>
  <c r="AN49" i="338"/>
  <c r="AM35" i="338"/>
  <c r="AM42" i="338"/>
  <c r="AM14" i="338"/>
  <c r="AM33" i="338"/>
  <c r="AR11" i="338"/>
  <c r="AR30" i="338"/>
  <c r="AS47" i="338"/>
  <c r="AS31" i="338"/>
  <c r="AN45" i="338"/>
  <c r="AN46" i="338"/>
  <c r="AM10" i="338"/>
  <c r="AM37" i="338"/>
  <c r="AR13" i="338"/>
  <c r="AS33" i="338"/>
  <c r="AM12" i="338"/>
  <c r="AM13" i="338"/>
  <c r="AS40" i="338"/>
  <c r="AR45" i="338"/>
  <c r="AS51" i="338"/>
  <c r="AM34" i="338"/>
  <c r="Q42" i="338" a="1"/>
  <c r="Q29" i="338" a="1"/>
  <c r="Q18" i="338" a="1"/>
  <c r="Q45" i="338" a="1"/>
  <c r="Q11" i="338" a="1"/>
  <c r="Q53" i="338" a="1"/>
  <c r="Q10" i="338" a="1"/>
  <c r="AM41" i="338"/>
  <c r="AS41" i="338"/>
  <c r="AN39" i="338"/>
  <c r="AM11" i="338"/>
  <c r="AR18" i="338"/>
  <c r="AR31" i="338"/>
  <c r="AR40" i="338"/>
  <c r="AM16" i="338"/>
  <c r="AR46" i="338"/>
  <c r="AM39" i="338"/>
  <c r="AM45" i="338"/>
  <c r="AR51" i="338"/>
  <c r="AR41" i="338"/>
  <c r="AR54" i="338"/>
  <c r="AM49" i="338"/>
  <c r="AR33" i="338"/>
  <c r="AR9" i="338"/>
  <c r="AM40" i="338"/>
  <c r="AR29" i="338"/>
  <c r="AM38" i="338"/>
  <c r="Q37" i="338" a="1"/>
  <c r="Q36" i="338" a="1"/>
  <c r="Q35" i="338" a="1"/>
  <c r="Q34" i="338" a="1"/>
  <c r="Q40" i="338" a="1"/>
  <c r="Q14" i="338" a="1"/>
  <c r="Q49" i="338" a="1"/>
  <c r="Q48" i="338" a="1"/>
  <c r="Q9" i="338" a="1"/>
  <c r="Q50" i="338" a="1"/>
  <c r="Q46" i="338" a="1"/>
  <c r="Q8" i="338" a="1"/>
  <c r="Q32" i="338" a="1"/>
  <c r="Q13" i="338" a="1"/>
  <c r="Q12" i="338" a="1"/>
  <c r="Q54" i="338" a="1"/>
  <c r="Q30" i="338" a="1"/>
  <c r="AR8" i="338"/>
  <c r="AR32" i="338"/>
  <c r="AM46" i="338"/>
  <c r="AM15" i="338"/>
  <c r="AR50" i="338"/>
  <c r="AR47" i="338"/>
  <c r="Q55" i="338" a="1"/>
  <c r="L8" i="338" l="1"/>
  <c r="V8" i="338"/>
  <c r="U8" i="338"/>
  <c r="Q16" i="338"/>
  <c r="Q38" i="338"/>
  <c r="Q17" i="338"/>
  <c r="Q15" i="338"/>
  <c r="Q39" i="338"/>
  <c r="Q52" i="338"/>
  <c r="Q44" i="338"/>
  <c r="Q33" i="338"/>
  <c r="Q47" i="338"/>
  <c r="Q41" i="338"/>
  <c r="Q31" i="338"/>
  <c r="Q51" i="338"/>
  <c r="Q10" i="338"/>
  <c r="Q53" i="338"/>
  <c r="Q11" i="338"/>
  <c r="Q45" i="338"/>
  <c r="Q18" i="338"/>
  <c r="Q29" i="338"/>
  <c r="Q42" i="338"/>
  <c r="Q30" i="338"/>
  <c r="Q54" i="338"/>
  <c r="Q12" i="338"/>
  <c r="Q13" i="338"/>
  <c r="Q32" i="338"/>
  <c r="Q8" i="338"/>
  <c r="Q46" i="338"/>
  <c r="Q50" i="338"/>
  <c r="Q9" i="338"/>
  <c r="Q48" i="338"/>
  <c r="Q49" i="338"/>
  <c r="Q14" i="338"/>
  <c r="Q40" i="338"/>
  <c r="Q34" i="338"/>
  <c r="Q35" i="338"/>
  <c r="Q36" i="338"/>
  <c r="Q37" i="338"/>
  <c r="Q55" i="338"/>
  <c r="E2" i="338"/>
  <c r="AO29" i="338"/>
  <c r="AT35" i="338"/>
  <c r="AT50" i="338"/>
  <c r="AO37" i="338"/>
  <c r="AT17" i="338"/>
  <c r="AT18" i="338"/>
  <c r="AO51" i="338"/>
  <c r="AT15" i="338"/>
  <c r="AO16" i="338"/>
  <c r="AT16" i="338"/>
  <c r="AO17" i="338"/>
  <c r="AO49" i="338"/>
  <c r="AT38" i="338"/>
  <c r="AT8" i="338"/>
  <c r="AO50" i="338"/>
  <c r="AO9" i="338"/>
  <c r="AT39" i="338"/>
  <c r="AT9" i="338"/>
  <c r="AO40" i="338"/>
  <c r="AO10" i="338"/>
  <c r="AT30" i="338"/>
  <c r="AT40" i="338"/>
  <c r="AT51" i="338"/>
  <c r="AO36" i="338"/>
  <c r="AO48" i="338"/>
  <c r="AT37" i="338"/>
  <c r="AO18" i="338"/>
  <c r="AT49" i="338"/>
  <c r="AO39" i="338"/>
  <c r="AT29" i="338"/>
  <c r="AO30" i="338"/>
  <c r="AT10" i="338"/>
  <c r="AO31" i="338"/>
  <c r="AO41" i="338"/>
  <c r="AO52" i="338"/>
  <c r="AO47" i="338"/>
  <c r="AO38" i="338"/>
  <c r="AO11" i="338"/>
  <c r="AT31" i="338"/>
  <c r="AT41" i="338"/>
  <c r="AT52" i="338"/>
  <c r="AT47" i="338"/>
  <c r="AT11" i="338"/>
  <c r="AO32" i="338"/>
  <c r="AO42" i="338"/>
  <c r="AO53" i="338"/>
  <c r="AT48" i="338"/>
  <c r="AO12" i="338"/>
  <c r="AT32" i="338"/>
  <c r="AT42" i="338"/>
  <c r="AT53" i="338"/>
  <c r="AD8" i="338"/>
  <c r="AB8" i="338"/>
  <c r="Z8" i="338"/>
  <c r="AT12" i="338"/>
  <c r="AO33" i="338"/>
  <c r="AO44" i="338"/>
  <c r="AO54" i="338"/>
  <c r="AT46" i="338"/>
  <c r="AO8" i="338"/>
  <c r="AO13" i="338"/>
  <c r="AT33" i="338"/>
  <c r="AT44" i="338"/>
  <c r="AT54" i="338"/>
  <c r="AT13" i="338"/>
  <c r="AO34" i="338"/>
  <c r="AO45" i="338"/>
  <c r="AO14" i="338"/>
  <c r="AT34" i="338"/>
  <c r="AT45" i="338"/>
  <c r="AT36" i="338"/>
  <c r="AO15" i="338"/>
  <c r="AO35" i="338"/>
  <c r="AO46" i="338"/>
  <c r="AR52" i="338"/>
  <c r="AR49" i="338"/>
  <c r="AM44" i="338"/>
  <c r="AN32" i="338"/>
  <c r="AN30" i="338"/>
  <c r="AM52" i="338"/>
  <c r="AM30" i="338"/>
  <c r="AN53" i="338"/>
  <c r="AS44" i="338"/>
  <c r="AS16" i="338"/>
  <c r="AR34" i="338"/>
  <c r="AS15" i="338"/>
  <c r="AN50" i="338"/>
  <c r="AN17" i="338"/>
  <c r="AM47" i="338"/>
  <c r="AM17" i="338"/>
  <c r="AS35" i="338"/>
  <c r="AS53" i="338"/>
  <c r="AM51" i="338"/>
  <c r="AR37" i="338"/>
  <c r="AN52" i="338"/>
  <c r="AM9" i="338"/>
  <c r="AN47" i="338"/>
  <c r="AM50" i="338"/>
  <c r="AR35" i="338"/>
  <c r="AM32" i="338"/>
  <c r="AN54" i="338"/>
  <c r="AN51" i="338"/>
  <c r="AM48" i="338"/>
  <c r="AN29" i="338"/>
  <c r="AS12" i="338"/>
  <c r="AN48" i="338"/>
  <c r="AM29" i="338"/>
  <c r="AM53" i="338"/>
  <c r="AR44" i="338"/>
  <c r="AR16" i="338"/>
  <c r="AM54" i="338"/>
  <c r="AN36" i="338"/>
  <c r="AR10" i="338"/>
  <c r="AS34" i="338"/>
  <c r="AN9" i="338"/>
  <c r="AR12" i="338"/>
  <c r="AR53" i="338"/>
  <c r="AS42" i="338"/>
  <c r="AM36" i="338"/>
  <c r="AR15" i="338"/>
  <c r="AS10" i="338"/>
  <c r="AS17" i="338"/>
  <c r="AR17" i="338"/>
  <c r="AN31" i="338"/>
  <c r="AM31" i="338"/>
  <c r="AS38" i="338"/>
  <c r="AS37" i="338"/>
  <c r="AR38" i="338"/>
  <c r="AN18" i="338"/>
  <c r="AM18" i="338"/>
  <c r="AR42" i="338"/>
  <c r="AR36" i="338"/>
  <c r="AS36" i="338"/>
  <c r="AS39" i="338"/>
  <c r="AN8" i="338"/>
  <c r="AS48" i="338"/>
  <c r="AM8" i="338"/>
  <c r="AR48" i="338"/>
  <c r="AS49" i="338"/>
  <c r="AR39" i="338"/>
  <c r="AS52" i="338"/>
  <c r="AN44" i="338"/>
  <c r="N8" i="338" l="1"/>
  <c r="R20" i="252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B15" i="252" s="1"/>
  <c r="C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B12" i="252" s="1"/>
  <c r="C12" i="252" l="1"/>
  <c r="A12" i="252" s="1"/>
  <c r="V11" i="252"/>
  <c r="U11" i="252"/>
  <c r="K12" i="252"/>
  <c r="I12" i="252"/>
  <c r="Q11" i="252" l="1"/>
  <c r="R11" i="252"/>
  <c r="H11" i="252" a="1"/>
  <c r="H11" i="252" l="1"/>
  <c r="K11" i="252" l="1"/>
  <c r="I11" i="252"/>
  <c r="V10" i="252" l="1"/>
  <c r="U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F42" i="530"/>
  <c r="F41" i="530"/>
  <c r="I42" i="530"/>
  <c r="I41" i="530"/>
  <c r="K16" i="530"/>
  <c r="L16" i="530"/>
  <c r="J42" i="530"/>
  <c r="J41" i="530"/>
  <c r="G41" i="530"/>
  <c r="G42" i="530"/>
  <c r="H42" i="530"/>
  <c r="H41" i="530"/>
  <c r="K6" i="252"/>
  <c r="I6" i="252"/>
  <c r="S1" i="1"/>
  <c r="L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<sst xmlns="http://schemas.openxmlformats.org/spreadsheetml/2006/main" count="16528" uniqueCount="2383">
  <si>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</si>
  <si>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</si>
  <si>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</si>
  <si>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</si>
  <si>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</si>
  <si>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</si>
  <si>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</si>
  <si>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</si>
  <si>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</si>
  <si>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</si>
  <si>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</si>
  <si>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</si>
  <si>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</si>
  <si>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</si>
  <si>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</si>
  <si>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</si>
  <si>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</si>
  <si>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</si>
  <si>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</si>
  <si>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</si>
  <si>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</si>
  <si>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</si>
  <si>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</si>
  <si>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</si>
  <si>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</si>
  <si>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</si>
  <si>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</si>
  <si>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</si>
  <si>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</si>
  <si>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</si>
  <si>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</si>
  <si>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</si>
  <si>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</si>
  <si>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</si>
  <si>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</si>
  <si>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</si>
  <si>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</si>
  <si>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</si>
  <si>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</si>
  <si>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</si>
  <si>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</si>
  <si>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</si>
  <si>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</si>
  <si>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</si>
  <si>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</si>
  <si>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</si>
  <si>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</si>
  <si>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</si>
  <si>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</si>
  <si>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</si>
  <si>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</si>
  <si>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</si>
  <si>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</si>
  <si>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</si>
  <si>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</si>
  <si>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</si>
  <si>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</si>
  <si>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</si>
  <si>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</si>
  <si>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</si>
  <si>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</si>
  <si>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</si>
  <si>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</si>
  <si>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</si>
  <si>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</si>
  <si>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</si>
  <si>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</si>
  <si>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</si>
  <si>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</si>
  <si>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</si>
  <si>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</si>
  <si>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</si>
  <si>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</si>
  <si>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</si>
  <si>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</si>
  <si>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</si>
  <si>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</si>
  <si>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</si>
  <si>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</si>
  <si>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</si>
  <si>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</si>
  <si>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</si>
  <si>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</si>
  <si>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</si>
  <si>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</si>
  <si>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</si>
  <si>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</si>
  <si>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</si>
  <si>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</si>
  <si>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</si>
  <si>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</si>
  <si>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</si>
  <si>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</si>
  <si>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</si>
  <si>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</si>
  <si>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</si>
  <si>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</si>
  <si>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</si>
  <si>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</si>
  <si>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</si>
  <si>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</si>
  <si>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</si>
  <si>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</si>
  <si>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</si>
  <si>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</si>
  <si>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</si>
  <si>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</si>
  <si>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</si>
  <si>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</si>
  <si>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</si>
  <si>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</si>
  <si>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</si>
  <si>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</si>
  <si>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</si>
  <si>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</si>
  <si>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</si>
  <si>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</si>
  <si>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</si>
  <si>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</si>
  <si>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</si>
  <si>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</si>
  <si>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</si>
  <si>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</si>
  <si>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</si>
  <si>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</si>
  <si>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</si>
  <si>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</si>
  <si>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</si>
  <si>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</si>
  <si>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</si>
  <si>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</si>
  <si>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</si>
  <si>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</si>
  <si>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</si>
  <si>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</si>
  <si>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</si>
  <si>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</si>
  <si>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</si>
  <si>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</si>
  <si>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</si>
  <si>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</si>
  <si>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</si>
  <si>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</si>
  <si>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</si>
  <si>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</si>
  <si>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</si>
  <si>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</si>
  <si>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</si>
  <si>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</si>
  <si>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</si>
  <si>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</si>
  <si>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</si>
  <si>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</si>
  <si>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</si>
  <si>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</si>
  <si>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</si>
  <si>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</si>
  <si>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</si>
  <si>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</si>
  <si>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</si>
  <si>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</si>
  <si>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</si>
  <si>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</si>
  <si>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</si>
  <si>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</si>
  <si>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</si>
  <si>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</si>
  <si>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</si>
  <si>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</si>
  <si>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</si>
  <si>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</si>
  <si>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</si>
  <si>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</si>
  <si>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</si>
  <si>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</si>
  <si>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</si>
  <si>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</si>
  <si>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</si>
  <si>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</si>
  <si>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</si>
  <si>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</si>
  <si>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</si>
  <si>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</si>
  <si>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</si>
  <si>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</si>
  <si>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</si>
  <si>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</si>
  <si>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</si>
  <si>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</si>
  <si>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</si>
  <si>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</si>
  <si>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</si>
  <si>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</si>
  <si>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</si>
  <si>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</si>
  <si>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</si>
  <si>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</si>
  <si>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</si>
  <si>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</si>
  <si>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</si>
  <si>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</si>
  <si>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</si>
  <si>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</si>
  <si>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</si>
  <si>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</si>
  <si>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</si>
  <si>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</si>
  <si>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</si>
  <si>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</si>
  <si>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</si>
  <si>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</si>
  <si>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</si>
  <si>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</si>
  <si>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</si>
  <si>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</si>
  <si>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</si>
  <si>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</si>
  <si>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</si>
  <si>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</si>
  <si>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</si>
  <si>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</si>
  <si>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</si>
  <si>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</si>
  <si>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</si>
  <si>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</si>
  <si>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</si>
  <si>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</si>
  <si>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</si>
  <si>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</si>
  <si>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</si>
  <si>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</si>
  <si>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</si>
  <si>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</si>
  <si>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</si>
  <si>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</si>
  <si>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</si>
  <si>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</si>
  <si>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</si>
  <si>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</si>
  <si>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</si>
  <si>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</si>
  <si>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</si>
  <si>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</si>
  <si>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</si>
  <si>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</si>
  <si>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</si>
  <si>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</si>
  <si>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</si>
  <si>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</si>
  <si>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</si>
  <si>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</si>
  <si>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</si>
  <si>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</si>
  <si>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</si>
  <si>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</si>
  <si>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</si>
  <si>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</si>
  <si>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</si>
  <si>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</si>
  <si>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</si>
  <si>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</si>
  <si>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</si>
  <si>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</si>
  <si>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</si>
  <si>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</si>
  <si>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</si>
  <si>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</si>
  <si>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</si>
  <si>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</si>
  <si>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</si>
  <si>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</si>
  <si>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</si>
  <si>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</si>
  <si>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</si>
  <si>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</si>
  <si>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</si>
  <si>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</si>
  <si>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</si>
  <si>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</si>
  <si>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</si>
  <si>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</si>
  <si>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</si>
  <si>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</si>
  <si>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</si>
  <si>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</si>
  <si>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</si>
  <si>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</si>
  <si>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</si>
  <si>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</si>
  <si>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</si>
  <si>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</si>
  <si>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</si>
  <si>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</si>
  <si>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</si>
  <si>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</si>
  <si>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</si>
  <si>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</si>
  <si>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</si>
  <si>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</si>
  <si>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</si>
  <si>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</si>
  <si>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</si>
  <si>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</si>
  <si>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</si>
  <si>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</si>
  <si>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</si>
  <si>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</si>
  <si>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</si>
  <si>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</si>
  <si>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</si>
  <si>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</si>
  <si>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</si>
  <si>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</si>
  <si>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</si>
  <si>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</si>
  <si>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</si>
  <si>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</si>
  <si>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</si>
  <si>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</si>
  <si>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</si>
  <si>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</si>
  <si>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</si>
  <si>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</si>
  <si>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</si>
  <si>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</si>
  <si>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</si>
  <si>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</si>
  <si>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</si>
  <si>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</si>
  <si>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</si>
  <si>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</si>
  <si>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</si>
  <si>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</si>
  <si>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</si>
  <si>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</si>
  <si>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</si>
  <si>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</si>
  <si>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</si>
  <si>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</si>
  <si>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</si>
  <si>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</si>
  <si>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</si>
  <si>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</si>
  <si>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</si>
  <si>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</si>
  <si>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</si>
  <si>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</si>
  <si>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</si>
  <si>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</si>
  <si>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</si>
  <si>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</si>
  <si>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</si>
  <si>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</si>
  <si>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</si>
  <si>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</si>
  <si>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</si>
  <si>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</si>
  <si>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</si>
  <si>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</si>
  <si>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</si>
  <si>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</si>
  <si>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</si>
  <si>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</si>
  <si>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</si>
  <si>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</si>
  <si>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</si>
  <si>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</si>
  <si>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</si>
  <si>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</si>
  <si>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</si>
  <si>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</si>
  <si>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</si>
  <si>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</si>
  <si>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</si>
  <si>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</si>
  <si>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</si>
  <si>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</si>
  <si>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</si>
  <si>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</si>
  <si>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</si>
  <si>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</si>
  <si>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</si>
  <si>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</si>
  <si>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</si>
  <si>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</si>
  <si>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</si>
  <si>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</si>
  <si>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</si>
  <si>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</si>
  <si>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</si>
  <si>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</si>
  <si>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</si>
  <si>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</si>
  <si>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</si>
  <si>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</si>
  <si>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</si>
  <si>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</si>
  <si>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</si>
  <si>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</si>
  <si>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</si>
  <si>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</si>
  <si>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</si>
  <si>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</si>
  <si>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</si>
  <si>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</si>
  <si>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</si>
  <si>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</si>
  <si>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</si>
  <si>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</si>
  <si>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</si>
  <si>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</si>
  <si>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</si>
  <si>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</si>
  <si>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</si>
  <si>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</si>
  <si>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</si>
  <si>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</si>
  <si>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</si>
  <si>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</si>
  <si>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</si>
  <si>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</si>
  <si>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</si>
  <si>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</si>
  <si>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</si>
  <si>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</si>
  <si>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</si>
  <si>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</si>
  <si>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</si>
  <si>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</si>
  <si>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</si>
  <si>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</si>
  <si>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</si>
  <si>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</si>
  <si>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</si>
  <si>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</si>
  <si>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</si>
  <si>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</si>
  <si>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</si>
  <si>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</si>
  <si>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</si>
  <si>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</si>
  <si>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</si>
  <si>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</si>
  <si>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</si>
  <si>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</si>
  <si>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</si>
  <si>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</si>
  <si>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</si>
  <si>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</si>
  <si>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</si>
  <si>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</si>
  <si>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</si>
  <si>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</si>
  <si>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</si>
  <si>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</si>
  <si>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</si>
  <si>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</si>
  <si>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</si>
  <si>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</si>
  <si>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</si>
  <si>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</si>
  <si>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</si>
  <si>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</si>
  <si>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</si>
  <si>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</si>
  <si>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</si>
  <si>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</si>
  <si>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</si>
  <si>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</si>
  <si>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</si>
  <si>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</si>
  <si>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</si>
  <si>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</si>
  <si>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</si>
  <si>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</si>
  <si>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</si>
  <si>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</si>
  <si>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</si>
  <si>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</si>
  <si>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</si>
  <si>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</si>
  <si>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</si>
  <si>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</si>
  <si>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</si>
  <si>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</si>
  <si>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</si>
  <si>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</si>
  <si>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</si>
  <si>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</si>
  <si>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</si>
  <si>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</si>
  <si>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</si>
  <si>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</si>
  <si>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</si>
  <si>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</si>
  <si>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</si>
  <si>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</si>
  <si>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</si>
  <si>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</si>
  <si>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</si>
  <si>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</si>
  <si>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</si>
  <si>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</si>
  <si>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</si>
  <si>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</si>
  <si>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</si>
  <si>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</si>
  <si>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</si>
  <si>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</si>
  <si>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</si>
  <si>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</si>
  <si>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</si>
  <si>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</si>
  <si>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</si>
  <si>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</si>
  <si>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</si>
  <si>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</si>
  <si>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</si>
  <si>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</si>
  <si>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</si>
  <si>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</si>
  <si>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</si>
  <si>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</si>
  <si>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</si>
  <si>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</si>
  <si>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</si>
  <si>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</si>
  <si>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</si>
  <si>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</si>
  <si>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</si>
  <si>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</si>
  <si>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</si>
  <si>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</si>
  <si>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</si>
  <si>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</si>
  <si>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</si>
  <si>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</si>
  <si>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</si>
  <si>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</si>
  <si>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</si>
  <si>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</si>
  <si>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</si>
  <si>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</si>
  <si>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</si>
  <si>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</si>
  <si>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</si>
  <si>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</si>
  <si>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</si>
  <si>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</si>
  <si>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</si>
  <si>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</si>
  <si>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</si>
  <si>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</si>
  <si>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</si>
  <si>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</si>
  <si>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</si>
  <si>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</si>
  <si>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</si>
  <si>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</si>
  <si>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</si>
  <si>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</si>
  <si>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</si>
  <si>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</si>
  <si>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</si>
  <si>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</si>
  <si>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</si>
  <si>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</si>
  <si>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</si>
  <si>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</si>
  <si>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</si>
  <si>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</si>
  <si>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</si>
  <si>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</si>
  <si>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</si>
  <si>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</si>
  <si>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</si>
  <si>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</si>
  <si>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</si>
  <si>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</si>
  <si>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</si>
  <si>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</si>
  <si>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</si>
  <si>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</si>
  <si>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</si>
  <si>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</si>
  <si>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</si>
  <si>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</si>
  <si>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</si>
  <si>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</si>
  <si>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</si>
  <si>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</si>
  <si>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</si>
  <si>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</si>
  <si>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</si>
  <si>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</si>
  <si>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</si>
  <si>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</si>
  <si>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</si>
  <si>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</si>
  <si>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</si>
  <si>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</si>
  <si>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</si>
  <si>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</si>
  <si>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</si>
  <si>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</si>
  <si>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</si>
  <si>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</si>
  <si>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</si>
  <si>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</si>
  <si>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</si>
  <si>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</si>
  <si>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</si>
  <si>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</si>
  <si>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</si>
  <si>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</si>
  <si>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</si>
  <si>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</si>
  <si>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</si>
  <si>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</si>
  <si>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</si>
  <si>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</si>
  <si>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</si>
  <si>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</si>
  <si>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</si>
  <si>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</si>
  <si>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</si>
  <si>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</si>
  <si>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</si>
  <si>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</si>
  <si>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</si>
  <si>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</si>
  <si>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</si>
  <si>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</si>
  <si>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</si>
  <si>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</si>
  <si>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</si>
  <si>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</si>
  <si>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</si>
  <si>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</si>
  <si>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</si>
  <si>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</si>
  <si>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</si>
  <si>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</si>
  <si>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</si>
  <si>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</si>
  <si>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</si>
  <si>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</si>
  <si>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</si>
  <si>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</si>
  <si>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</si>
  <si>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</si>
  <si>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</si>
  <si>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</si>
  <si>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</si>
  <si>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</si>
  <si>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</si>
  <si>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</si>
  <si>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</si>
  <si>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</si>
  <si>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</si>
  <si>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</si>
  <si>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</si>
  <si>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</si>
  <si>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</si>
  <si>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</si>
  <si>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</si>
  <si>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</si>
  <si>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</si>
  <si>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</si>
  <si>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</si>
  <si>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</si>
  <si>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</si>
  <si>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</si>
  <si>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</si>
  <si>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</si>
  <si>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</si>
  <si>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</si>
  <si>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</si>
  <si>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</si>
  <si>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</si>
  <si>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</si>
  <si>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</si>
  <si>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</si>
  <si>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</si>
  <si>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</si>
  <si>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</si>
  <si>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</si>
  <si>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</si>
  <si>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</si>
  <si>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</si>
  <si>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</si>
  <si>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</si>
  <si>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</si>
  <si>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</si>
  <si>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</si>
  <si>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</si>
  <si>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</si>
  <si>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</si>
  <si>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</si>
  <si>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</si>
  <si>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</si>
  <si>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</si>
  <si>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</si>
  <si>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</si>
  <si>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</si>
  <si>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</si>
  <si>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</si>
  <si>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</si>
  <si>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</si>
  <si>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</si>
  <si>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</si>
  <si>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</si>
  <si>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</si>
  <si>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</si>
  <si>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</si>
  <si>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</si>
  <si>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</si>
  <si>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</si>
  <si>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</si>
  <si>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</si>
  <si>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</si>
  <si>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</si>
  <si>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</si>
  <si>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</si>
  <si>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</si>
  <si>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</si>
  <si>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</si>
  <si>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</si>
  <si>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</si>
  <si>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</si>
  <si>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</si>
  <si>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</si>
  <si>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</si>
  <si>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</si>
  <si>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</si>
  <si>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</si>
  <si>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</si>
  <si>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</si>
  <si>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</si>
  <si>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</si>
  <si>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</si>
  <si>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</si>
  <si>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</si>
  <si>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</si>
  <si>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</si>
  <si>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</si>
  <si>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</si>
  <si>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</si>
  <si>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</si>
  <si>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</si>
  <si>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</si>
  <si>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</si>
  <si>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</si>
  <si>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</si>
  <si>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</si>
  <si>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</si>
  <si>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</si>
  <si>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</si>
  <si>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</si>
  <si>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</si>
  <si>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</si>
  <si>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</si>
  <si>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</si>
  <si>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</si>
  <si>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</si>
  <si>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</si>
  <si>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</si>
  <si>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</si>
  <si>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</si>
  <si>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</si>
  <si>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</si>
  <si>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</si>
  <si>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</si>
  <si>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</si>
  <si>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</si>
  <si>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</si>
  <si>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</si>
  <si>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</si>
  <si>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</si>
  <si>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</si>
  <si>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</si>
  <si>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</si>
  <si>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</si>
  <si>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</si>
  <si>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</si>
  <si>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</si>
  <si>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</si>
  <si>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</si>
  <si>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</si>
  <si>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</si>
  <si>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</si>
  <si>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</si>
  <si>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</si>
  <si>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</si>
  <si>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</si>
  <si>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</si>
  <si>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</si>
  <si>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</si>
  <si>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</si>
  <si>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</si>
  <si>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</si>
  <si>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</si>
  <si>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</si>
  <si>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</si>
  <si>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</si>
  <si>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</si>
  <si>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</si>
  <si>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</si>
  <si>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</si>
  <si>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</si>
  <si>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</si>
  <si>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</si>
  <si>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</si>
  <si>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</si>
  <si>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</si>
  <si>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</si>
  <si>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</si>
  <si>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</si>
  <si>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</si>
  <si>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</si>
  <si>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</si>
  <si>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</si>
  <si>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</si>
  <si>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</si>
  <si>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</si>
  <si>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</si>
  <si>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</si>
  <si>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</si>
  <si>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</si>
  <si>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</si>
  <si>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</si>
  <si>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</si>
  <si>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</si>
  <si>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</si>
  <si>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</si>
  <si>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</si>
  <si>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</si>
  <si>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</si>
  <si>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</si>
  <si>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</si>
  <si>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</si>
  <si>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</si>
  <si>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</si>
  <si>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</si>
  <si>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</si>
  <si>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</si>
  <si>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</si>
  <si>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</si>
  <si>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</si>
  <si>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</si>
  <si>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</si>
  <si>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</si>
  <si>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</si>
  <si>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</si>
  <si>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</si>
  <si>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</si>
  <si>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</si>
  <si>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</si>
  <si>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</si>
  <si>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</si>
  <si>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</si>
  <si>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</si>
  <si>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</si>
  <si>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</si>
  <si>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</si>
  <si>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</si>
  <si>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</si>
  <si>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</si>
  <si>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</si>
  <si>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</si>
  <si>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</si>
  <si>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</si>
  <si>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</si>
  <si>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</si>
  <si>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</si>
  <si>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</si>
  <si>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</si>
  <si>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</si>
  <si>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</si>
  <si>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</si>
  <si>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</si>
  <si>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</si>
  <si>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</si>
  <si>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</si>
  <si>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</si>
  <si>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</si>
  <si>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</si>
  <si>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</si>
  <si>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</si>
  <si>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</si>
  <si>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</si>
  <si>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</si>
  <si>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</si>
  <si>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</si>
  <si>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</si>
  <si>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</si>
  <si>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</si>
  <si>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</si>
  <si>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</si>
  <si>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</si>
  <si>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</si>
  <si>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</si>
  <si>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</si>
  <si>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</si>
  <si>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</si>
  <si>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</si>
  <si>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</si>
  <si>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</si>
  <si>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</si>
  <si>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</si>
  <si>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</si>
  <si>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</si>
  <si>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</si>
  <si>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</si>
  <si>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</si>
  <si>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</si>
  <si>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</si>
  <si>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</si>
  <si>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</si>
  <si>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</si>
  <si>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</si>
  <si>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</si>
  <si>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</si>
  <si>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</si>
  <si>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</si>
  <si>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</si>
  <si>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</si>
  <si>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</si>
  <si>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</si>
  <si>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</si>
  <si>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</si>
  <si>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</si>
  <si>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</si>
  <si>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</si>
  <si>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</si>
  <si>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</si>
  <si>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</si>
  <si>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</si>
  <si>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</si>
  <si>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</si>
  <si>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</si>
  <si>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</si>
  <si>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</si>
  <si>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</si>
  <si>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</si>
  <si>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</si>
  <si>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</si>
  <si>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</si>
  <si>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</si>
  <si>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</si>
  <si>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</si>
  <si>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</si>
  <si>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</si>
  <si>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</si>
  <si>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</si>
  <si>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</si>
  <si>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</si>
  <si>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</si>
  <si>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</si>
  <si>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</si>
  <si>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</si>
  <si>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</si>
  <si>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</si>
  <si>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</si>
  <si>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</si>
  <si>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</si>
  <si>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</si>
  <si>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</si>
  <si>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</si>
  <si>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</si>
  <si>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</si>
  <si>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</si>
  <si>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</si>
  <si>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</si>
  <si>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</si>
  <si>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</si>
  <si>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</si>
  <si>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</si>
  <si>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</si>
  <si>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</si>
  <si>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</si>
  <si>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</si>
  <si>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</si>
  <si>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</si>
  <si>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</si>
  <si>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</si>
  <si>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</si>
  <si>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</si>
  <si>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</si>
  <si>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</si>
  <si>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</si>
  <si>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</si>
  <si>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</si>
  <si>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</si>
  <si>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</si>
  <si>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</si>
  <si>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</si>
  <si>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</si>
  <si>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</si>
  <si>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</si>
  <si>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</si>
  <si>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</si>
  <si>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</si>
  <si>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</si>
  <si>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</si>
  <si>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</si>
  <si>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</si>
  <si>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</si>
  <si>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</si>
  <si>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</si>
  <si>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</si>
  <si>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</si>
  <si>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</si>
  <si>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</si>
  <si>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</si>
  <si>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</si>
  <si>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</si>
  <si>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</si>
  <si>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</si>
  <si>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</si>
  <si>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</si>
  <si>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</si>
  <si>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</si>
  <si>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</si>
  <si>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</si>
  <si>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</si>
  <si>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</si>
  <si>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</si>
  <si>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</si>
  <si>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</si>
  <si>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</si>
  <si>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</si>
  <si>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</si>
  <si>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</si>
  <si>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</si>
  <si>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</si>
  <si>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</si>
  <si>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</si>
  <si>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</si>
  <si>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</si>
  <si>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</si>
  <si>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</si>
  <si>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</si>
  <si>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</si>
  <si>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</si>
  <si>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</si>
  <si>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</si>
  <si>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</si>
  <si>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</si>
  <si>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</si>
  <si>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</si>
  <si>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</si>
  <si>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</si>
  <si>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</si>
  <si>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</si>
  <si>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</si>
  <si>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</si>
  <si>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</si>
  <si>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</si>
  <si>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</si>
  <si>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</si>
  <si>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</si>
  <si>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</si>
  <si>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</si>
  <si>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</si>
  <si>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</si>
  <si>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</si>
  <si>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</si>
  <si>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</si>
  <si>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</si>
  <si>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</si>
  <si>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</si>
  <si>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</si>
  <si>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</si>
  <si>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</si>
  <si>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</si>
  <si>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</si>
  <si>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</si>
  <si>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</si>
  <si>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</si>
  <si>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</si>
  <si>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</si>
  <si>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</si>
  <si>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</si>
  <si>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</si>
  <si>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</si>
  <si>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</si>
  <si>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</si>
  <si>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</si>
  <si>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</si>
  <si>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</si>
  <si>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</si>
  <si>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</si>
  <si>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</si>
  <si>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</si>
  <si>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</si>
  <si>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</si>
  <si>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</si>
  <si>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</si>
  <si>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</si>
  <si>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</si>
  <si>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</si>
  <si>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</si>
  <si>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</si>
  <si>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</si>
  <si>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</si>
  <si>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</si>
  <si>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</si>
  <si>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</si>
  <si>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</si>
  <si>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</si>
  <si>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</si>
  <si>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</si>
  <si>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</si>
  <si>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</si>
  <si>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</si>
  <si>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</si>
  <si>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</si>
  <si>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</si>
  <si>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</si>
  <si>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</si>
  <si>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</si>
  <si>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</si>
  <si>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</si>
  <si>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</si>
  <si>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</si>
  <si>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</si>
  <si>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</si>
  <si>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</si>
  <si>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</si>
  <si>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</si>
  <si>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</si>
  <si>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</si>
  <si>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</si>
  <si>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</si>
  <si>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</si>
  <si>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</si>
  <si>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</si>
  <si>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</si>
  <si>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</si>
  <si>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</si>
  <si>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</si>
  <si>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</si>
  <si>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</si>
  <si>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</si>
  <si>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</si>
  <si>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</si>
  <si>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</si>
  <si>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</si>
  <si>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</si>
  <si>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</si>
  <si>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</si>
  <si>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</si>
  <si>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</si>
  <si>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</si>
  <si>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</si>
  <si>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</si>
  <si>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</si>
  <si>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</si>
  <si>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</si>
  <si>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</si>
  <si>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</si>
  <si>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</si>
  <si>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</si>
  <si>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</si>
  <si>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</si>
  <si>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</si>
  <si>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</si>
  <si>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</si>
  <si>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</si>
  <si>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</si>
  <si>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</si>
  <si>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</si>
  <si>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</si>
  <si>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</si>
  <si>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</si>
  <si>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</si>
  <si>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</si>
  <si>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</si>
  <si>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</si>
  <si>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</si>
  <si>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</si>
  <si>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</si>
  <si>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</si>
  <si>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</si>
  <si>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</si>
  <si>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</si>
  <si>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</si>
  <si>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</si>
  <si>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</si>
  <si>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</si>
  <si>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</si>
  <si>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</si>
  <si>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</si>
  <si>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</si>
  <si>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</si>
  <si>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</si>
  <si>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</si>
  <si>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</si>
  <si>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</si>
  <si>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</si>
  <si>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</si>
  <si>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</si>
  <si>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</si>
  <si>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</si>
  <si>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</si>
  <si>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</si>
  <si>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</si>
  <si>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</si>
  <si>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</si>
  <si>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</si>
  <si>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</si>
  <si>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</si>
  <si>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</si>
  <si>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</si>
  <si>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</si>
  <si>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</si>
  <si>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</si>
  <si>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</si>
  <si>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</si>
  <si>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</si>
  <si>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</si>
  <si>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</si>
  <si>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</si>
  <si>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</si>
  <si>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</si>
  <si>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</si>
  <si>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</si>
  <si>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</si>
  <si>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</si>
  <si>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</si>
  <si>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</si>
  <si>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</si>
  <si>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</si>
  <si>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</si>
  <si>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</si>
  <si>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</si>
  <si>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</si>
  <si>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</si>
  <si>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</si>
  <si>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</si>
  <si>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</si>
  <si>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</si>
  <si>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</si>
  <si>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</si>
  <si>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</si>
  <si>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</si>
  <si>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</si>
  <si>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</si>
  <si>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</si>
  <si>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</si>
  <si>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</si>
  <si>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</si>
  <si>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</si>
  <si>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</si>
  <si>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</si>
  <si>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</si>
  <si>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</si>
  <si>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</si>
  <si>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</si>
  <si>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</si>
  <si>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</si>
  <si>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</si>
  <si>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</si>
  <si>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</si>
  <si>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</si>
  <si>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</si>
  <si>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</si>
  <si>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</si>
  <si>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</si>
  <si>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</si>
  <si>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</si>
  <si>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</si>
  <si>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</si>
  <si>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</si>
  <si>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</si>
  <si>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</si>
  <si>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</si>
  <si>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</si>
  <si>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</si>
  <si>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</si>
  <si>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</si>
  <si>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</si>
  <si>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</si>
  <si>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</si>
  <si>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</si>
  <si>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</si>
  <si>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</si>
  <si>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</si>
  <si>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</si>
  <si>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</si>
  <si>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</si>
  <si>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</si>
  <si>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</si>
  <si>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</si>
  <si>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</si>
  <si>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</si>
  <si>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</si>
  <si>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</si>
  <si>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</si>
  <si>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</si>
  <si>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</si>
  <si>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</si>
  <si>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</si>
  <si>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</si>
  <si>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</si>
  <si>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</si>
  <si>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</si>
  <si>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</si>
  <si>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</si>
  <si>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</si>
  <si>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</si>
  <si>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</si>
  <si>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</si>
  <si>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</si>
  <si>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</si>
  <si>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</si>
  <si>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</si>
  <si>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</si>
  <si>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</si>
  <si>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</si>
  <si>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</si>
  <si>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</si>
  <si>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</si>
  <si>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</si>
  <si>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</si>
  <si>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</si>
  <si>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</si>
  <si>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</si>
  <si>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</si>
  <si>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</si>
  <si>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</si>
  <si>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</si>
  <si>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</si>
  <si>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</si>
  <si>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</si>
  <si>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</si>
  <si>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</si>
  <si>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</si>
  <si>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</si>
  <si>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</si>
  <si>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</si>
  <si>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</si>
  <si>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</si>
  <si>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</si>
  <si>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</si>
  <si>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</si>
  <si>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</si>
  <si>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</si>
  <si>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</si>
  <si>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</si>
  <si>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</si>
  <si>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</si>
  <si>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</si>
  <si>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</si>
  <si>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</si>
  <si>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</si>
  <si>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</si>
  <si>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</si>
  <si>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</si>
  <si>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</si>
  <si>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</si>
  <si>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</si>
  <si>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</si>
  <si>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</si>
  <si>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</si>
  <si>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</si>
  <si>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</si>
  <si>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</si>
  <si>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</si>
  <si>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</si>
  <si>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</si>
  <si>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</si>
  <si>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</si>
  <si>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</si>
  <si>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</si>
  <si>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</si>
  <si>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</si>
  <si>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</si>
  <si>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</si>
  <si>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</si>
  <si>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</si>
  <si>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</si>
  <si>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</si>
  <si>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</si>
  <si>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</si>
  <si>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</si>
  <si>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</si>
  <si>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</si>
  <si>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</si>
  <si>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</si>
  <si>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</si>
  <si>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</si>
  <si>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</si>
  <si>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</si>
  <si>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</si>
  <si>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</si>
  <si>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</si>
  <si>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</si>
  <si>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</si>
  <si>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</si>
  <si>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</si>
  <si>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</si>
  <si>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</si>
  <si>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</si>
  <si>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</si>
  <si>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</si>
  <si>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</si>
  <si>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</si>
  <si>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</si>
  <si>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</si>
  <si>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</si>
  <si>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</si>
  <si>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</si>
  <si>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</si>
  <si>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</si>
  <si>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</si>
  <si>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</si>
  <si>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</si>
  <si>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</si>
  <si>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</si>
  <si>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</si>
  <si>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</si>
  <si>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</si>
  <si>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</si>
  <si>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</si>
  <si>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</si>
  <si>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</si>
  <si>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</si>
  <si>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</si>
  <si>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</si>
  <si>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</si>
  <si>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</si>
  <si>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</si>
  <si>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</si>
  <si>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</si>
  <si>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</si>
  <si>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</si>
  <si>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</si>
  <si>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</si>
  <si>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</si>
  <si>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</si>
  <si>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</si>
  <si>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</si>
  <si>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</si>
  <si>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</si>
  <si>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</si>
  <si>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</si>
  <si>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</si>
  <si>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</si>
  <si>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</si>
  <si>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</si>
  <si>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</si>
  <si>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</si>
  <si>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</si>
  <si>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</si>
  <si>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</si>
  <si>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</si>
  <si>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</si>
  <si>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</si>
  <si>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</si>
  <si>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</si>
  <si>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</si>
  <si>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</si>
  <si>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</si>
  <si>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</si>
  <si>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</si>
  <si>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</si>
  <si>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</si>
  <si>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</si>
  <si>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</si>
  <si>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</si>
  <si>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</si>
  <si>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</si>
  <si>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</si>
  <si>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</si>
  <si>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</si>
  <si>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</si>
  <si>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</si>
  <si>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</si>
  <si>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</si>
  <si>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</si>
  <si>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</si>
  <si>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</si>
  <si>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</si>
  <si>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</si>
  <si>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</si>
  <si>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</si>
  <si>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</si>
  <si>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</si>
  <si>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</si>
  <si>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</si>
  <si>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</si>
  <si>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</si>
  <si>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</si>
  <si>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</si>
  <si>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</si>
  <si>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</si>
  <si>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</si>
  <si>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</si>
  <si>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</si>
  <si>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</si>
  <si>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</si>
  <si>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</si>
  <si>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</si>
  <si>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</si>
  <si>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</si>
  <si>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</si>
  <si>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</si>
  <si>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</si>
  <si>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</si>
  <si>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</si>
  <si>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</si>
  <si>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</si>
  <si>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</si>
  <si>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</si>
  <si>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</si>
  <si>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</si>
  <si>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</si>
  <si>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</si>
  <si>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</si>
  <si>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</si>
  <si>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</si>
  <si>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</si>
  <si>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</si>
  <si>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</si>
  <si>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</si>
  <si>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</si>
  <si>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</si>
  <si>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</si>
  <si>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</si>
  <si>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</si>
  <si>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</si>
  <si>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</si>
  <si>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</si>
  <si>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</si>
  <si>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</si>
  <si>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</si>
  <si>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</si>
  <si>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</si>
  <si>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</si>
  <si>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</si>
  <si>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</si>
  <si>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</si>
  <si>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</si>
  <si>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</si>
  <si>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</si>
  <si>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</si>
  <si>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</si>
  <si>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</si>
  <si>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</si>
  <si>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</si>
  <si>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</si>
  <si>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</si>
  <si>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</si>
  <si>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</si>
  <si>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</si>
  <si>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</si>
  <si>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</si>
  <si>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</si>
  <si>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</si>
  <si>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</si>
  <si>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</si>
  <si>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</si>
  <si>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</si>
  <si>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</si>
  <si>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</si>
  <si>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</si>
  <si>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</si>
  <si>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</si>
  <si>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</si>
  <si>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</si>
  <si>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</si>
  <si>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</si>
  <si>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</si>
  <si>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</si>
  <si>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</si>
  <si>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</si>
  <si>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</si>
  <si>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</si>
  <si>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</si>
  <si>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</si>
  <si>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</si>
  <si>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</si>
  <si>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</si>
  <si>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</si>
  <si>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</si>
  <si>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</si>
  <si>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</si>
  <si>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</si>
  <si>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</si>
  <si>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</si>
  <si>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</si>
  <si>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</si>
  <si>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</si>
  <si>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</si>
  <si>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</si>
  <si>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</si>
  <si>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</si>
  <si>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</si>
  <si>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</si>
  <si>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</si>
  <si>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</si>
  <si>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</si>
  <si>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</si>
  <si>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</si>
  <si>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</si>
  <si>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</si>
  <si>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</si>
  <si>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</si>
  <si>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</si>
  <si>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</si>
  <si>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</si>
  <si>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</si>
  <si>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</si>
  <si>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</si>
  <si>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</si>
  <si>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</si>
  <si>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</si>
  <si>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</si>
  <si>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</si>
  <si>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</si>
  <si>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</si>
  <si>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</si>
  <si>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</si>
  <si>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</si>
  <si>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</si>
  <si>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</si>
  <si>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</si>
  <si>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</si>
  <si>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</si>
  <si>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</si>
  <si>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</si>
  <si>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</si>
  <si>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</si>
  <si>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</si>
  <si>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</si>
  <si>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</si>
  <si>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</si>
  <si>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</si>
  <si>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</si>
  <si>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</si>
  <si>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</si>
  <si>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</si>
  <si>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</si>
  <si>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</si>
  <si>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</si>
  <si>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</si>
  <si>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</si>
  <si>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</si>
  <si>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</si>
  <si>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</si>
  <si>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</si>
  <si>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</si>
  <si>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</si>
  <si>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</si>
  <si>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</si>
  <si>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</si>
  <si>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</si>
  <si>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</si>
  <si>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</si>
  <si>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</si>
  <si>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</si>
  <si>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</si>
  <si>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</si>
  <si>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</si>
  <si>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</si>
  <si>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</si>
  <si>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</si>
  <si>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</si>
  <si>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</si>
  <si>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</si>
  <si>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</si>
  <si>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</si>
  <si>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</si>
  <si>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</si>
  <si>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</si>
  <si>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</si>
  <si>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</si>
  <si>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</si>
  <si>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</si>
  <si>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</si>
  <si>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</si>
  <si>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</si>
  <si>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</si>
  <si>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</si>
  <si>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</si>
  <si>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</si>
  <si>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</si>
  <si>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</si>
  <si>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</si>
  <si>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</si>
  <si>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</si>
  <si>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</si>
  <si>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</si>
  <si>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</si>
  <si>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</si>
  <si>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</si>
  <si>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</si>
  <si>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</si>
  <si>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</si>
  <si>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</si>
  <si>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</si>
  <si>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</si>
  <si>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</si>
  <si>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</si>
  <si>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</si>
  <si>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</si>
  <si>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</si>
  <si>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</si>
  <si>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</si>
  <si>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</si>
  <si>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</si>
  <si>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</si>
  <si>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</si>
  <si>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</si>
  <si>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</si>
  <si>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</si>
  <si>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</si>
  <si>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</si>
  <si>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</si>
  <si>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</si>
  <si>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</si>
  <si>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</si>
  <si>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</si>
  <si>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</si>
  <si>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</si>
  <si>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</si>
  <si>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</si>
  <si>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</si>
  <si>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</si>
  <si>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</si>
  <si>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</si>
  <si>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</si>
  <si>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</si>
  <si>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</si>
  <si>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</si>
  <si>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</si>
  <si>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</si>
  <si>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</si>
  <si>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</si>
  <si>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</si>
  <si>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</si>
  <si>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</si>
  <si>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</si>
  <si>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</si>
  <si>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</si>
  <si>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</si>
  <si>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</si>
  <si>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</si>
  <si>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</si>
  <si>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</si>
  <si>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</si>
  <si>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</si>
  <si>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</si>
  <si>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</si>
  <si>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</si>
  <si>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</si>
  <si>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</si>
  <si>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</si>
  <si>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</si>
  <si>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</si>
  <si>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</si>
  <si>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</si>
  <si>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</si>
  <si>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</si>
  <si>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</si>
  <si>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</si>
  <si>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</si>
  <si>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</si>
  <si>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</si>
  <si>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</si>
  <si>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</si>
  <si>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</si>
  <si>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</si>
  <si>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</si>
  <si>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</si>
  <si>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</si>
  <si>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</si>
  <si>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</si>
  <si>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</si>
  <si>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</si>
  <si>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</si>
  <si>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</si>
  <si>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</si>
  <si>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</si>
  <si>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</si>
  <si>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</si>
  <si>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</si>
  <si>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</si>
  <si>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</si>
  <si>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</si>
  <si>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</si>
  <si>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</si>
  <si>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</si>
  <si>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</si>
  <si>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</si>
  <si>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</si>
  <si>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</si>
  <si>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</si>
  <si>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</si>
  <si>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</si>
  <si>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</si>
  <si>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</si>
  <si>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</si>
  <si>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</si>
  <si>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</si>
  <si>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</si>
  <si>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</si>
  <si>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</si>
  <si>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</si>
  <si>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</si>
  <si>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</si>
  <si>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</si>
  <si>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</si>
  <si>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</si>
  <si>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</si>
  <si>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</si>
  <si>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</si>
  <si>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</si>
  <si>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</si>
  <si>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</si>
  <si>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</si>
  <si>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</si>
  <si>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</si>
  <si>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</si>
  <si>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</si>
  <si>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</si>
  <si>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</si>
  <si>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</si>
  <si>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</si>
  <si>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</si>
  <si>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</si>
  <si>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</si>
  <si>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</si>
  <si>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</si>
  <si>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</si>
  <si>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</si>
  <si>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</si>
  <si>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</si>
  <si>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</si>
  <si>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</si>
  <si>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</si>
  <si>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</si>
  <si>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</si>
  <si>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</si>
  <si>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</si>
  <si>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</si>
  <si>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</si>
  <si>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</si>
  <si>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</si>
  <si>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</si>
  <si>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</si>
  <si>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</si>
  <si>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</si>
  <si>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</si>
  <si>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</si>
  <si>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</si>
  <si>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</si>
  <si>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</si>
  <si>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</si>
  <si>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</si>
  <si>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</si>
  <si>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</si>
  <si>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</si>
  <si>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</si>
  <si>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</si>
  <si>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</si>
  <si>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</si>
  <si>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</si>
  <si>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</si>
  <si>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</si>
  <si>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</si>
  <si>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</si>
  <si>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</si>
  <si>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</si>
  <si>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</si>
  <si>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</si>
  <si>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</si>
  <si>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</si>
  <si>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</si>
  <si>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</si>
  <si>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</si>
  <si>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</si>
  <si>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</si>
  <si>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</si>
  <si>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</si>
  <si>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</si>
  <si>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</si>
  <si>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</si>
  <si>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</si>
  <si>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</si>
  <si>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</si>
  <si>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</si>
  <si>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</si>
  <si>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</si>
  <si>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</si>
  <si>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</si>
  <si>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</si>
  <si>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</si>
  <si>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</si>
  <si>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</si>
  <si>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</si>
  <si>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</si>
  <si>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</si>
  <si>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</si>
  <si>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</si>
  <si>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</si>
  <si>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</si>
  <si>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</si>
  <si>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</si>
  <si>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</si>
  <si>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</si>
  <si>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</si>
  <si>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</si>
  <si>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</si>
  <si>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</si>
  <si>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</si>
  <si>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</si>
  <si>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</si>
  <si>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</si>
  <si>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</si>
  <si>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</si>
  <si>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</si>
  <si>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</si>
  <si>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</si>
  <si>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</si>
  <si>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</si>
  <si>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</si>
  <si>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</si>
  <si>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</si>
  <si>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</si>
  <si>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</si>
  <si>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</si>
  <si>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</si>
  <si>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</si>
  <si>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</si>
  <si>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</si>
  <si>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</si>
  <si>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</si>
  <si>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</si>
  <si>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</si>
  <si>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</si>
  <si>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</si>
  <si>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</si>
  <si>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</si>
  <si>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</si>
  <si>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</si>
  <si>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</si>
  <si>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</si>
  <si>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</si>
  <si>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</si>
  <si>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</si>
  <si>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</si>
  <si>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</si>
  <si>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</si>
  <si>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</si>
  <si>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</si>
  <si>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</si>
  <si>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</si>
  <si>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</si>
  <si>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</si>
  <si>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</si>
  <si>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</si>
  <si>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</si>
  <si>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</si>
  <si>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</si>
  <si>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</si>
  <si>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</si>
  <si>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</si>
  <si>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</si>
  <si>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</si>
  <si>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</si>
  <si>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</si>
  <si>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</si>
  <si>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</si>
  <si>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</si>
  <si>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</si>
  <si>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</si>
  <si>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</si>
  <si>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</si>
  <si>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</si>
  <si>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</si>
  <si>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</si>
  <si>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</si>
  <si>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</si>
  <si>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</si>
  <si>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</si>
  <si>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</si>
  <si>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</si>
  <si>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</si>
  <si>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</si>
  <si>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</si>
  <si>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</si>
  <si>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</si>
  <si>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</si>
  <si>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</si>
  <si>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</si>
  <si>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</si>
  <si>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</si>
  <si>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</si>
  <si>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</si>
  <si>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</si>
  <si>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</si>
  <si>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</si>
  <si>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</si>
  <si>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</si>
  <si>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</si>
  <si>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</si>
  <si>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</si>
  <si>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</si>
  <si>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</si>
  <si>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</si>
  <si>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</si>
  <si>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</si>
  <si>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</si>
  <si>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</si>
  <si>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</si>
  <si>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</si>
  <si>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</si>
  <si>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</si>
  <si>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</si>
  <si>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</si>
  <si>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</si>
  <si>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</si>
  <si>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</si>
  <si>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</si>
  <si>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</si>
  <si>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</si>
  <si>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</si>
  <si>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</si>
  <si>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</si>
  <si>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</si>
  <si>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</si>
  <si>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</si>
  <si>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</si>
  <si>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</si>
  <si>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</si>
  <si>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</si>
  <si>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</si>
  <si>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</si>
  <si>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</si>
  <si>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</si>
  <si>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</si>
  <si>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</si>
  <si>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</si>
  <si>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</si>
  <si>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</si>
  <si>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</si>
  <si>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</si>
  <si>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</si>
  <si>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</si>
  <si>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</si>
  <si>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</si>
  <si>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</si>
  <si>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</si>
  <si>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</si>
  <si>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</si>
  <si>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</si>
  <si>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</si>
  <si>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</si>
  <si>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</si>
  <si>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</si>
  <si>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</si>
  <si>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</si>
  <si>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</si>
  <si>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</si>
  <si>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</si>
  <si>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</si>
  <si>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</si>
  <si>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</si>
  <si>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</si>
  <si>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</si>
  <si>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</si>
  <si>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</si>
  <si>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</si>
  <si>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</si>
  <si>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</si>
  <si>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</si>
  <si>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</si>
  <si>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</si>
  <si>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</si>
  <si>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</si>
  <si>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</si>
  <si>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</si>
  <si>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</si>
  <si>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</si>
  <si>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</si>
  <si>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</si>
  <si>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</si>
  <si>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</si>
  <si>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</si>
  <si>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</si>
  <si>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</si>
  <si>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</si>
  <si>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</si>
  <si>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</si>
  <si>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</si>
  <si>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</si>
  <si>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</si>
  <si>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</si>
  <si>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</si>
  <si>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</si>
  <si>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</si>
  <si>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</si>
  <si>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</si>
  <si>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</si>
  <si>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</si>
  <si>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</si>
  <si>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</si>
  <si>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</si>
  <si>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</si>
  <si>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</si>
  <si>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</si>
  <si>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</si>
  <si>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</si>
  <si>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</si>
  <si>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</si>
  <si>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</si>
  <si>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</si>
  <si>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</si>
  <si>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</si>
  <si>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</si>
  <si>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</si>
  <si>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</si>
  <si>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</si>
  <si>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</si>
  <si>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</si>
  <si>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</si>
  <si>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</si>
  <si>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</si>
  <si>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</si>
  <si>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</si>
  <si>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</si>
  <si>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</si>
  <si>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</si>
  <si>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</si>
  <si>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</si>
  <si>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</si>
  <si>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</si>
  <si>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</si>
  <si>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</si>
  <si>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</si>
  <si>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</si>
  <si>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</si>
  <si>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</si>
  <si>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</si>
  <si>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</si>
  <si>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</si>
  <si>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</si>
  <si>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</si>
  <si>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</si>
  <si>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</si>
  <si>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</si>
  <si>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</si>
  <si>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</si>
  <si>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</si>
  <si>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</si>
  <si>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</si>
  <si>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</si>
  <si>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</si>
  <si>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</si>
  <si>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MU US 03/20/26 P350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</si>
  <si>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</si>
  <si>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</si>
  <si>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</si>
  <si>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</si>
  <si>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</si>
  <si>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</si>
  <si>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</si>
  <si>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</si>
  <si>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</si>
  <si>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</si>
  <si>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</si>
  <si>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</si>
  <si>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</si>
  <si>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</si>
  <si>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</si>
  <si>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</si>
  <si>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SMH US 01/09/26 P355</t>
  </si>
  <si>
    <t>Cash CNY</t>
  </si>
  <si>
    <t>SPY DIVIDEND_</t>
  </si>
  <si>
    <t>SPXW US 12/31/25 C6950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</si>
  <si>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</si>
  <si>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</si>
  <si>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</si>
  <si>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</si>
  <si>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</si>
  <si>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</si>
  <si>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RIOT</t>
  </si>
  <si>
    <t xml:space="preserve">Power 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</si>
  <si>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</si>
  <si>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</si>
  <si>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</si>
  <si>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</si>
  <si>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</si>
  <si>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</si>
  <si>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</si>
  <si>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</si>
  <si>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</si>
  <si>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</si>
  <si>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</si>
  <si>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</si>
  <si>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</si>
  <si>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</si>
  <si>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</si>
  <si>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</si>
  <si>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</si>
  <si>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</si>
  <si>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</si>
  <si>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</si>
  <si>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</si>
  <si>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</si>
  <si>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</si>
  <si>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</si>
  <si>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BIDU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</si>
  <si>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</si>
  <si>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</si>
  <si>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</si>
  <si>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</si>
  <si>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</si>
  <si>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</si>
  <si>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</si>
  <si>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</si>
  <si>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</si>
  <si>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</si>
  <si>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</si>
  <si>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</si>
  <si>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</si>
  <si>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</si>
  <si>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</si>
  <si>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</si>
  <si>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</si>
  <si>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</si>
  <si>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</si>
  <si>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</si>
  <si>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</si>
  <si>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</si>
  <si>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</si>
  <si>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</si>
  <si>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</si>
  <si>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</si>
  <si>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</si>
  <si>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</si>
  <si>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</si>
  <si>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265</t>
  </si>
  <si>
    <t>215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</si>
  <si>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</si>
  <si>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</si>
  <si>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</si>
  <si>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</si>
  <si>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</si>
  <si>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</si>
  <si>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</si>
  <si>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</si>
  <si>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</si>
  <si>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</si>
  <si>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</si>
  <si>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</si>
  <si>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</si>
  <si>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</si>
  <si>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</si>
  <si>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</si>
  <si>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</si>
  <si>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</si>
  <si>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</si>
  <si>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</si>
  <si>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46</t>
  </si>
  <si>
    <t>131.5</t>
  </si>
  <si>
    <t>32</t>
  </si>
  <si>
    <t>12.86</t>
  </si>
  <si>
    <t>41.89</t>
  </si>
  <si>
    <t>36.25</t>
  </si>
  <si>
    <t>39.25</t>
  </si>
  <si>
    <t>27.57</t>
  </si>
  <si>
    <t>21.57</t>
  </si>
  <si>
    <t>24.07</t>
  </si>
  <si>
    <t>24.99</t>
  </si>
  <si>
    <t>20.99</t>
  </si>
  <si>
    <t>22.99</t>
  </si>
  <si>
    <t>37.93</t>
  </si>
  <si>
    <t>32.18</t>
  </si>
  <si>
    <t>34.43</t>
  </si>
  <si>
    <t>12.61</t>
  </si>
  <si>
    <t>13.61</t>
  </si>
  <si>
    <t>28.32</t>
  </si>
  <si>
    <t>23.82</t>
  </si>
  <si>
    <t>26.32</t>
  </si>
  <si>
    <t>19.00</t>
  </si>
  <si>
    <t>20.50</t>
  </si>
  <si>
    <t>157000</t>
  </si>
  <si>
    <t>164000</t>
  </si>
  <si>
    <t>152000</t>
  </si>
  <si>
    <t>158000</t>
  </si>
  <si>
    <t>12.11</t>
  </si>
  <si>
    <t>13.36</t>
  </si>
  <si>
    <t>67.20</t>
  </si>
  <si>
    <t>57.70</t>
  </si>
  <si>
    <t>62.70</t>
  </si>
  <si>
    <t>111</t>
  </si>
  <si>
    <t>11.75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</si>
  <si>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</si>
  <si>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</si>
  <si>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</si>
  <si>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</si>
  <si>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</si>
  <si>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</si>
  <si>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</si>
  <si>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</si>
  <si>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</si>
  <si>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</si>
  <si>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</si>
  <si>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</si>
  <si>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</si>
  <si>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</si>
  <si>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</si>
  <si>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</si>
  <si>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</si>
  <si>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</si>
  <si>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</si>
  <si>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</si>
  <si>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</si>
  <si>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</si>
  <si>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</si>
  <si>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</si>
  <si>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</si>
  <si>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</si>
  <si>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</si>
  <si>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</si>
  <si>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</si>
  <si>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</si>
  <si>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</si>
  <si>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</si>
  <si>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</si>
  <si>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</si>
  <si>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</si>
  <si>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</si>
  <si>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</si>
  <si>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</si>
  <si>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</si>
  <si>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</si>
  <si>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ASHR US 07/17/26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</si>
  <si>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</si>
  <si>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</si>
  <si>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</si>
  <si>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</si>
  <si>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</si>
  <si>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</si>
  <si>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</si>
  <si>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</si>
  <si>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</si>
  <si>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</si>
  <si>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</si>
  <si>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</si>
  <si>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</si>
  <si>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Payts</t>
  </si>
  <si>
    <t>QQQ US 01/13/26 P623</t>
  </si>
  <si>
    <t>QQQ US 01/13/26 P622</t>
  </si>
  <si>
    <t>QQQ US 01/13/26 P622 Equity</t>
  </si>
  <si>
    <t>622</t>
  </si>
  <si>
    <t>QQQ US 01/13/26 P623 Equity</t>
  </si>
  <si>
    <t>623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</si>
  <si>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</si>
  <si>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</si>
  <si>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</si>
  <si>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</si>
  <si>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</si>
  <si>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</si>
  <si>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</si>
  <si>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</si>
  <si>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TSM US 01/16/26 P325</t>
  </si>
  <si>
    <t>TSM US 01/16/26 C335</t>
  </si>
  <si>
    <t>TSM US 01/16/26 P315</t>
  </si>
  <si>
    <t>QQQ US 01/16/26 C630</t>
  </si>
  <si>
    <t>QQQ US 01/16/26 C625</t>
  </si>
  <si>
    <t>ASML US 01/23/26 P1200</t>
  </si>
  <si>
    <t>ASML US 01/23/26 P1100</t>
  </si>
  <si>
    <t>AMAT US 01/23/26 P280</t>
  </si>
  <si>
    <t>AMAT US 01/23/26 P290</t>
  </si>
  <si>
    <t>AMAT US 01/16/26 P290</t>
  </si>
  <si>
    <t>AMAT US 01/16/26 P280</t>
  </si>
  <si>
    <t>AMAT</t>
  </si>
  <si>
    <t>Internet/SW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</si>
</sst>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37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5" fillId="88" borderId="0" xfId="0" applyFont="1" applyFill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5" borderId="49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  <xf numFmtId="0" fontId="15" fillId="0" borderId="0" xfId="0" quotePrefix="1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left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0" fontId="86" fillId="0" borderId="0" xfId="0" applyFont="1" applyAlignment="1">
      <alignment horizontal="center"/>
    </xf>
    <xf numFmtId="3" fontId="0" fillId="6" borderId="0" xfId="190" applyNumberFormat="1" applyFont="1" applyFill="1"/>
    <xf numFmtId="172" fontId="0" fillId="6" borderId="0" xfId="1" applyNumberFormat="1" applyFont="1" applyFill="1"/>
    <xf numFmtId="0" fontId="0" fillId="6" borderId="0" xfId="0" applyFill="1"/>
    <xf numFmtId="0" fontId="0" fillId="6" borderId="0" xfId="0" applyFill="1" applyAlignment="1">
      <alignment horizontal="center"/>
    </xf>
    <xf numFmtId="166" fontId="0" fillId="6" borderId="0" xfId="190" applyNumberFormat="1" applyFont="1" applyFill="1"/>
    <xf numFmtId="166" fontId="0" fillId="6" borderId="0" xfId="0" applyNumberFormat="1" applyFill="1" applyAlignment="1">
      <alignment horizontal="right"/>
    </xf>
    <xf numFmtId="10" fontId="0" fillId="6" borderId="1" xfId="1" applyNumberFormat="1" applyFont="1" applyFill="1" applyBorder="1"/>
    <xf numFmtId="43" fontId="0" fillId="6" borderId="19" xfId="190" applyNumberFormat="1" applyFont="1" applyFill="1" applyBorder="1" applyAlignment="1">
      <alignment horizontal="right"/>
    </xf>
    <xf numFmtId="168" fontId="0" fillId="6" borderId="0" xfId="190" applyNumberFormat="1" applyFont="1" applyFill="1"/>
    <xf numFmtId="166" fontId="0" fillId="6" borderId="1" xfId="190" applyNumberFormat="1" applyFont="1" applyFill="1" applyBorder="1"/>
    <xf numFmtId="198" fontId="0" fillId="6" borderId="0" xfId="1" applyNumberFormat="1" applyFont="1" applyFill="1"/>
    <xf numFmtId="170" fontId="0" fillId="6" borderId="1" xfId="190" applyNumberFormat="1" applyFont="1" applyFill="1" applyBorder="1"/>
    <xf numFmtId="10" fontId="0" fillId="6" borderId="0" xfId="1" applyNumberFormat="1" applyFont="1" applyFill="1"/>
    <xf numFmtId="166" fontId="0" fillId="6" borderId="0" xfId="0" applyNumberFormat="1" applyFill="1"/>
    <xf numFmtId="173" fontId="0" fillId="6" borderId="0" xfId="1" applyNumberFormat="1" applyFont="1" applyFill="1"/>
    <xf numFmtId="3" fontId="0" fillId="6" borderId="0" xfId="190" applyNumberFormat="1" applyFont="1" applyFill="1" applyAlignment="1">
      <alignment horizontal="center"/>
    </xf>
    <xf numFmtId="170" fontId="0" fillId="6" borderId="0" xfId="1" applyNumberFormat="1" applyFont="1" applyFill="1"/>
    <xf numFmtId="4" fontId="0" fillId="6" borderId="0" xfId="190" applyFont="1" applyFill="1"/>
    <xf numFmtId="170" fontId="0" fillId="6" borderId="0" xfId="190" applyNumberFormat="1" applyFont="1" applyFill="1" applyBorder="1"/>
    <xf numFmtId="10" fontId="0" fillId="6" borderId="0" xfId="1" applyNumberFormat="1" applyFont="1" applyFill="1" applyBorder="1"/>
    <xf numFmtId="196" fontId="0" fillId="6" borderId="0" xfId="0" applyNumberFormat="1" applyFill="1"/>
    <xf numFmtId="4" fontId="28" fillId="6" borderId="0" xfId="190" applyFont="1" applyFill="1"/>
    <xf numFmtId="4" fontId="86" fillId="6" borderId="0" xfId="190" applyFont="1" applyFill="1"/>
    <xf numFmtId="9" fontId="0" fillId="6" borderId="0" xfId="1" applyFont="1" applyFill="1"/>
    <xf numFmtId="170" fontId="1" fillId="6" borderId="0" xfId="190" applyNumberFormat="1" applyFont="1" applyFill="1"/>
    <xf numFmtId="43" fontId="0" fillId="6" borderId="0" xfId="190" quotePrefix="1" applyNumberFormat="1" applyFont="1" applyFill="1"/>
    <xf numFmtId="4" fontId="1" fillId="6" borderId="0" xfId="190" applyFont="1" applyFill="1" applyAlignment="1">
      <alignment horizontal="right"/>
    </xf>
    <xf numFmtId="167" fontId="0" fillId="6" borderId="0" xfId="190" applyNumberFormat="1" applyFont="1" applyFill="1"/>
    <xf numFmtId="195" fontId="0" fillId="6" borderId="0" xfId="190" applyNumberFormat="1" applyFont="1" applyFill="1"/>
    <xf numFmtId="170" fontId="0" fillId="6" borderId="0" xfId="190" applyNumberFormat="1" applyFont="1" applyFill="1"/>
    <xf numFmtId="171" fontId="0" fillId="6" borderId="0" xfId="190" applyNumberFormat="1" applyFont="1" applyFill="1"/>
    <xf numFmtId="172" fontId="0" fillId="6" borderId="0" xfId="0" applyNumberFormat="1" applyFill="1"/>
    <xf numFmtId="169" fontId="0" fillId="6" borderId="0" xfId="190" applyNumberFormat="1" applyFont="1" applyFill="1"/>
    <xf numFmtId="2" fontId="0" fillId="6" borderId="0" xfId="0" applyNumberFormat="1" applyFill="1"/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-0.13581617176532745</v>
        <stp/>
        <stp>BDP|7089862060470095058|22</stp>
        <stp>TSM US 03/20/26 C300 Equity</stp>
        <stp>theta_mid_rt</stp>
        <tr r="AN32" s="2"/>
      </tp>
      <tp>
        <v>26999.81</v>
        <stp/>
        <stp>BDP|17098946093906753306|22</stp>
        <stp>HSI Index</stp>
        <stp>LAST_PRICE</stp>
        <tr r="H18" s="252"/>
        <tr r="H18" s="252"/>
      </tp>
      <tp>
        <v>32.299999999999997</v>
        <stp/>
        <stp>BDP|3309468697196509506|22</stp>
        <stp>META US 04/17/26 P600 Equity</stp>
        <stp>ask</stp>
        <tr r="Q10" s="2"/>
        <tr r="L180" s="89"/>
      </tp>
      <tp>
        <v>388.35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>
        <v>3.53</v>
        <stp/>
        <stp>BDP|6734297528663565888|22</stp>
        <stp>AMAT US 01/23/26 P290 Equity</stp>
        <stp>mid</stp>
        <tr r="L21" s="2"/>
      </tp>
      <tp t="s">
        <v>#N/A Real Time</v>
        <stp/>
        <stp>BDP|9106857053131827566|22</stp>
        <stp>SPXW US 12/31/25 C6950 Index</stp>
        <stp>DELTA_MID_RT</stp>
        <tr r="W160" s="89"/>
      </tp>
      <tp>
        <v>0.29866752028465271</v>
        <stp/>
        <stp>BDP|16080044180315030458|22</stp>
        <stp>META US 04/17/26 C690 Equity</stp>
        <stp>DELTA_MID_RT</stp>
        <tr r="AF9" s="2"/>
        <tr r="W170" s="89"/>
        <tr r="W179" s="89"/>
      </tp>
      <tp>
        <v>2.4700000000000002</v>
        <stp/>
        <stp>BDP|9946810605715956638|22</stp>
        <stp>AMAT US 01/23/26 P280 Equity</stp>
        <stp>ask</stp>
        <tr r="L56" s="89"/>
        <tr r="Q22" s="2"/>
      </tp>
      <tp t="s">
        <v>#N/A Real Time</v>
        <stp/>
        <stp>BDP|11300741965508391655|22</stp>
        <stp>4OZ5C 25750 Index</stp>
        <stp>ask</stp>
        <tr r="L153" s="89"/>
        <tr r="L154" s="89"/>
      </tp>
      <tp>
        <v>-0.15959140658378601</v>
        <stp/>
        <stp>BDP|4229576050417615933|22</stp>
        <stp>TSM US 03/20/26 C330 Equity</stp>
        <stp>theta_mid_rt</stp>
        <tr r="AN33" s="2"/>
      </tp>
      <tp t="s">
        <v>#N/A Real Time</v>
        <stp/>
        <stp>BDP|16888886214969650580|22</stp>
        <stp>AMZN US 10/03/25 P220 Equity</stp>
        <stp>DELTA_MID_RT</stp>
        <tr r="W248" s="89"/>
      </tp>
      <tp t="s">
        <v>#N/A Real Time</v>
        <stp/>
        <stp>BDP|17004938457418083954|22</stp>
        <stp>META US 10/03/25 P730 Equity</stp>
        <stp>DELTA_MID_RT</stp>
        <tr r="W249" s="89"/>
      </tp>
      <tp>
        <v>0.52554434537887573</v>
        <stp/>
        <stp>BDP|594663736070453413|22</stp>
        <stp>TSM US 03/20/26 C330 Equity</stp>
        <stp>DELTA_MID_RT</stp>
        <tr r="AF33" s="2"/>
      </tp>
      <tp t="s">
        <v>#N/A Real Time</v>
        <stp/>
        <stp>BDP|4173700437419483715|22</stp>
        <stp>IMBWK5C4 5880 Index</stp>
        <stp>bid</stp>
        <tr r="K90" s="89"/>
      </tp>
      <tp>
        <v>3.35</v>
        <stp/>
        <stp>BDP|1660304564695201690|22</stp>
        <stp>AMAT US 01/23/26 P290 Equity</stp>
        <stp>bid</stp>
        <tr r="K55" s="89"/>
        <tr r="P21" s="2"/>
      </tp>
      <tp>
        <v>21</v>
        <stp/>
        <stp>BDP|2905463583307910060|22</stp>
        <stp>META US 04/17/26 P570 Equity</stp>
        <stp>ask</stp>
        <tr r="Q11" s="2"/>
        <tr r="L234" s="89"/>
      </tp>
      <tp>
        <v>-0.2839195728302002</v>
        <stp/>
        <stp>BDP|16178066503720423746|22</stp>
        <stp>META US 04/17/26 P570 Equity</stp>
        <stp>DELTA_MID_RT</stp>
        <tr r="AF11" s="2"/>
        <tr r="W234" s="89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6" s="2"/>
      </tp>
      <tp>
        <v>12.65</v>
        <stp/>
        <stp>BDP|6325338273908007494|22</stp>
        <stp>W US 05/15/26 C125 Equity</stp>
        <stp>bid</stp>
        <tr r="K40" s="89"/>
      </tp>
      <tp>
        <v>14.95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-0.31203398108482361</v>
        <stp/>
        <stp>BDP|11545238209792372403|22</stp>
        <stp>NFLX US 03/20/26 P83 Equity</stp>
        <stp>DELTA_MID_RT</stp>
        <tr r="AF25" s="2"/>
        <tr r="W205" s="89"/>
      </tp>
      <tp>
        <v>3.8</v>
        <stp/>
        <stp>BDP|2625818374220724115|22</stp>
        <stp>MSFT US 06/18/26 C585 Equity</stp>
        <stp>ask</stp>
        <tr r="L211" s="89"/>
      </tp>
      <tp>
        <v>-9.9360361695289612E-2</v>
        <stp/>
        <stp>BDP|2162853239863021436|22</stp>
        <stp>TSM US 06/18/26 C380 Equity</stp>
        <stp>theta_mid_rt</stp>
        <tr r="AN28" s="2"/>
      </tp>
      <tp>
        <v>41.7</v>
        <stp/>
        <stp>BDP|4238048935133024019|22</stp>
        <stp>AVGO US 06/18/26 C350 Equity</stp>
        <stp>mid</stp>
        <tr r="L6" s="2"/>
      </tp>
      <tp>
        <v>1.17</v>
        <stp/>
        <stp>BDP|7439765758104486583|22</stp>
        <stp>AMAT US 01/23/26 P280 Equity</stp>
        <stp>bid</stp>
        <tr r="K56" s="89"/>
        <tr r="P22" s="2"/>
      </tp>
      <tp>
        <v>27.45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>
        <v>0.22993560135364532</v>
        <stp/>
        <stp>BDP|12418268095423708895|22</stp>
        <stp>LITE US 02/20/26 C450 Equity</stp>
        <stp>DELTA_MID_RT</stp>
        <tr r="W27" s="89"/>
      </tp>
      <tp>
        <v>4.95</v>
        <stp/>
        <stp>BDP|7193738401945199132|22</stp>
        <stp>MSFT US 03/20/26 C515 Equity</stp>
        <stp>bid</stp>
        <tr r="P17" s="2"/>
        <tr r="P18" s="2"/>
      </tp>
      <tp>
        <v>13.9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54.15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0.29355892539024353</v>
        <stp/>
        <stp>BDP|14091170888152008254|22</stp>
        <stp>ASHR US 02/20/26 C35 Equity</stp>
        <stp>DELTA_MID_RT</stp>
        <tr r="AF4" s="2"/>
        <tr r="W33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>
        <v>10.7</v>
        <stp/>
        <stp>BDP|5417705247970728008|22</stp>
        <stp>MSFT US 03/20/26 C490 Equity</stp>
        <stp>bid</stp>
        <tr r="P19" s="2"/>
      </tp>
      <tp>
        <v>459.38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>
        <v>-0.85271358489990234</v>
        <stp/>
        <stp>BDP|4492896782089510873|22</stp>
        <stp>TSM US 01/16/26 P315 Equity</stp>
        <stp>theta_mid_rt</stp>
        <tr r="AN31" s="2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>
        <v>0.5314975380897522</v>
        <stp/>
        <stp>BDP|17088747555418705084|22</stp>
        <stp>ASHR US 07/17/26 C35 Equity</stp>
        <stp>DELTA_MID_RT</stp>
        <tr r="W34" s="89"/>
      </tp>
      <tp>
        <v>22.67</v>
        <stp/>
        <stp>BDP|9846539138093835445|22</stp>
        <stp>RKT US Equity</stp>
        <stp>LAST_PRICE</stp>
        <tr r="S39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BDP|7525271008399615963|22</stp>
        <stp>MRVL US 03/20/26 P80 Equity</stp>
        <stp>QUOTED_CURRENCY_REALTIME</stp>
        <tr r="G15" s="2"/>
        <tr r="G14" s="2"/>
      </tp>
      <tp>
        <v>-0.49155625700950623</v>
        <stp/>
        <stp>BDP|14063713080232141765|22</stp>
        <stp>NFLX US 03/20/26 P90 Equity</stp>
        <stp>DELTA_MID_RT</stp>
        <tr r="W187" s="89"/>
      </tp>
      <tp>
        <v>66.98</v>
        <stp/>
        <stp>BDP|3505174117914270567|22</stp>
        <stp>KRE Equity</stp>
        <stp>LAST PRICE</stp>
        <tr r="I54" s="338"/>
      </tp>
      <tp>
        <v>0.34982267022132874</v>
        <stp/>
        <stp>BDP|18353628177462926305|22</stp>
        <stp>LITE US 02/20/26 C400 Equity</stp>
        <stp>DELTA_MID_RT</stp>
        <tr r="AF7" s="2"/>
        <tr r="W26" s="89"/>
      </tp>
      <tp>
        <v>263.19</v>
        <stp/>
        <stp>BDP|9630309169962502325|22</stp>
        <stp>IWM Equity</stp>
        <stp>LAST PRICE</stp>
        <tr r="I48" s="338"/>
        <tr r="I49" s="338"/>
      </tp>
      <tp>
        <v>5.03</v>
        <stp/>
        <stp>BDP|8205096055982383319|22</stp>
        <stp>MSFT US 03/20/26 C515 Equity</stp>
        <stp>mid</stp>
        <tr r="L17" s="2"/>
        <tr r="L18" s="2"/>
      </tp>
      <tp>
        <v>14.75</v>
        <stp/>
        <stp>BDP|2923899285165842182|22</stp>
        <stp>MSFT US 06/18/26 C515 Equity</stp>
        <stp>bid</stp>
        <tr r="K212" s="89"/>
      </tp>
      <tp t="s">
        <v>#N/A Requesting Data...3290151967</v>
        <stp/>
        <stp>BDP|15582332073698885344</stp>
        <tr r="G19" s="446"/>
      </tp>
      <tp t="s">
        <v>#N/A N/A</v>
        <stp/>
        <stp>BDP|18146375769712507536</stp>
        <tr r="E2" s="1"/>
        <tr r="K36" s="1"/>
      </tp>
      <tp t="s">
        <v>#N/A Requesting Data...4212231142</v>
        <stp/>
        <stp>BDP|13135230879275111937</stp>
        <tr r="AJ12" s="338"/>
      </tp>
      <tp t="s">
        <v>#N/A Requesting Data...3494079989</v>
        <stp/>
        <stp>BDP|17278629169738623577</stp>
        <tr r="N19" s="252"/>
        <tr r="N19" s="252"/>
      </tp>
      <tp t="s">
        <v>#N/A Requesting Data...1324345901</v>
        <stp/>
        <stp>BDP|15581562198526337530</stp>
        <tr r="AK12" s="338"/>
      </tp>
      <tp t="s">
        <v>#N/A Requesting Data...2954647279</v>
        <stp/>
        <stp>BDP|13286384604342093849</stp>
        <tr r="X45" s="338"/>
      </tp>
      <tp t="s">
        <v>#N/A N/A</v>
        <stp/>
        <stp>BDP|15717048336038730484</stp>
        <tr r="AD20" s="2"/>
      </tp>
      <tp t="s">
        <v>#N/A Requesting Data...3221724207</v>
        <stp/>
        <stp>BDP|15426497491766249441</stp>
        <tr r="C8" s="89"/>
      </tp>
      <tp t="s">
        <v>#N/A N/A</v>
        <stp/>
        <stp>BDP|15599247768549271262</stp>
        <tr r="AD17" s="2"/>
        <tr r="AD18" s="2"/>
      </tp>
      <tp t="s">
        <v>#N/A Requesting Data...3068485034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Data...2105585265</v>
        <stp/>
        <stp>BDP|18304888293894101754</stp>
        <tr r="S9" s="338"/>
      </tp>
      <tp t="s">
        <v>#N/A Requesting Data...1951692184</v>
        <stp/>
        <stp>BDP|10639276692284852548</stp>
        <tr r="F28" s="446"/>
      </tp>
      <tp t="s">
        <v>#N/A N/A</v>
        <stp/>
        <stp>BDP|10905454282945565359</stp>
        <tr r="AR33" s="2"/>
      </tp>
      <tp t="s">
        <v>#N/A Requesting Data...4115053762</v>
        <stp/>
        <stp>BDP|10749518787913680498</stp>
        <tr r="G41" s="446"/>
      </tp>
      <tp t="s">
        <v>#N/A Requesting Data...3105504302</v>
        <stp/>
        <stp>BDP|15491877244086779510</stp>
        <tr r="C90" s="89"/>
      </tp>
      <tp t="s">
        <v>#N/A N/A</v>
        <stp/>
        <stp>BDP|15119105356728105374</stp>
        <tr r="AQ22" s="2"/>
        <tr r="AQ21" s="2"/>
        <tr r="AB63" s="89"/>
        <tr r="AB62" s="89"/>
        <tr r="AB55" s="89"/>
        <tr r="AB56" s="89"/>
      </tp>
      <tp t="s">
        <v>#N/A Requesting Data...2450479439</v>
        <stp/>
        <stp>BDP|14781319439677828976</stp>
        <tr r="T251" s="89"/>
      </tp>
      <tp t="s">
        <v>#N/A Requesting Data...1368823288</v>
        <stp/>
        <stp>BDP|12497145892616892699</stp>
        <tr r="D102" s="89"/>
      </tp>
      <tp t="s">
        <v>#N/A N/A</v>
        <stp/>
        <stp>BDP|11965805839973703340</stp>
        <tr r="E19" s="2"/>
      </tp>
      <tp t="s">
        <v>#N/A Requesting Data...3427775145</v>
        <stp/>
        <stp>BDP|14492417491683249054</stp>
        <tr r="AJ41" s="338"/>
        <tr r="AJ42" s="338"/>
      </tp>
      <tp t="s">
        <v>#N/A Requesting Data...4255322784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N/A</v>
        <stp/>
        <stp>BDP|14891875496009468680</stp>
        <tr r="R108" s="89"/>
      </tp>
      <tp t="s">
        <v>#N/A Requesting Data...1679977297</v>
        <stp/>
        <stp>BDP|10020321410941159965</stp>
        <tr r="S42" s="338"/>
      </tp>
      <tp t="s">
        <v>#N/A Requesting Data...2558481714</v>
        <stp/>
        <stp>BDP|11794748141588350041</stp>
        <tr r="AJ8" s="338"/>
        <tr r="AJ9" s="338"/>
      </tp>
      <tp t="s">
        <v>#N/A N/A</v>
        <stp/>
        <stp>BDP|17696403981143148225</stp>
        <tr r="O63" s="89"/>
      </tp>
      <tp t="s">
        <v>#N/A Requesting Data...3782172927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Data...2748926338</v>
        <stp/>
        <stp>BDP|16761382649589718257</stp>
        <tr r="F27" s="446"/>
      </tp>
      <tp t="s">
        <v>#N/A Requesting Data...1790891607</v>
        <stp/>
        <stp>BDP|11060709986577538346</stp>
        <tr r="Q47" s="338"/>
      </tp>
      <tp t="s">
        <v>#N/A N/A</v>
        <stp/>
        <stp>BDP|10560430593062313514</stp>
        <tr r="AG39" s="1"/>
      </tp>
      <tp t="s">
        <v>#N/A Requesting Data...2820633265</v>
        <stp/>
        <stp>BDP|16840971447896964779</stp>
        <tr r="C153" s="89"/>
        <tr r="C154" s="89"/>
      </tp>
      <tp t="s">
        <v>#N/A N/A</v>
        <stp/>
        <stp>BDP|13546818454494181070</stp>
        <tr r="AC39" s="1"/>
      </tp>
      <tp t="s">
        <v>#N/A Requesting Data...1301075579</v>
        <stp/>
        <stp>BDP|16413497781327959736</stp>
        <tr r="Z203" s="89"/>
        <tr r="AA203" s="89"/>
      </tp>
      <tp t="e">
        <v>#N/A</v>
        <stp/>
        <stp>BDH|16926537694575850564</stp>
        <tr r="AR53" s="338"/>
        <tr r="AR10" s="338"/>
        <tr r="AM48" s="338"/>
        <tr r="AM47" s="338"/>
        <tr r="AM44" s="338"/>
      </tp>
      <tp t="e">
        <v>#N/A</v>
        <stp/>
        <stp>BDH|10097910716274795641</stp>
        <tr r="W18" s="252"/>
        <tr r="T18" s="252"/>
      </tp>
      <tp t="s">
        <v>#N/A Real Time</v>
        <stp/>
        <stp>BDP|14244088115833890454|22</stp>
        <stp>SCH5C   6250 Index</stp>
        <stp>DELTA_MID_RT</stp>
        <tr r="W96" s="89"/>
      </tp>
      <tp>
        <v>0.35136020183563232</v>
        <stp/>
        <stp>BDP|15091267836171787049|22</stp>
        <stp>AVGO US 06/18/26 C410 Equity</stp>
        <stp>DELTA_MID_RT</stp>
        <tr r="AF5" s="2"/>
        <tr r="W222" s="89"/>
      </tp>
      <tp>
        <v>23.15</v>
        <stp/>
        <stp>BDP|9892279240398643988|22</stp>
        <stp>AVGO US 06/18/26 P300 Equity</stp>
        <stp>bid</stp>
        <tr r="K224" s="89"/>
      </tp>
      <tp>
        <v>0.20097906887531281</v>
        <stp/>
        <stp>BDP|15345195851714362356|22</stp>
        <stp>NFLX US 03/20/26 C105 Equity</stp>
        <stp>DELTA_MID_RT</stp>
        <tr r="W186" s="89"/>
      </tp>
      <tp t="s">
        <v>#N/A Requesting Data...2970250174</v>
        <stp/>
        <stp>BDP|14708527546846978837</stp>
        <tr r="F22" s="446"/>
      </tp>
      <tp t="s">
        <v>#N/A Requesting Data...2140940691</v>
        <stp/>
        <stp>BDP|17382508591454336498</stp>
        <tr r="F10" s="446"/>
      </tp>
      <tp t="s">
        <v>#N/A Requesting Data...4017029169</v>
        <stp/>
        <stp>BDP|15393992280169008616</stp>
        <tr r="F24" s="446"/>
      </tp>
      <tp t="s">
        <v>#N/A Requesting Data...2145838278</v>
        <stp/>
        <stp>BDP|17538921220052801541</stp>
        <tr r="AA187" s="89"/>
        <tr r="Z187" s="89"/>
      </tp>
      <tp t="s">
        <v>#N/A Requesting Data...3021199654</v>
        <stp/>
        <stp>BDP|10256865635189905931</stp>
        <tr r="AC23" s="1"/>
        <tr r="D26" s="446"/>
      </tp>
      <tp t="s">
        <v>#N/A Requesting Data...2407311547</v>
        <stp/>
        <stp>BDP|16326536432018842310</stp>
        <tr r="E102" s="89"/>
      </tp>
      <tp t="s">
        <v>#N/A N/A</v>
        <stp/>
        <stp>BDP|15999422797854397750</stp>
        <tr r="AD33" s="2"/>
      </tp>
      <tp t="s">
        <v>#N/A Requesting Data...1812289087</v>
        <stp/>
        <stp>BDP|17809803244920476023</stp>
        <tr r="Q50" s="338"/>
      </tp>
      <tp t="s">
        <v>#N/A Requesting Data...3336076826</v>
        <stp/>
        <stp>BDP|16607222569391223851</stp>
        <tr r="E205" s="89"/>
      </tp>
      <tp t="s">
        <v>#N/A Requesting Data...3604897877</v>
        <stp/>
        <stp>BDP|11291613004685235986</stp>
        <tr r="T40" s="89"/>
      </tp>
      <tp t="s">
        <v>#N/A N/A</v>
        <stp/>
        <stp>BDP|14305045698741171731</stp>
        <tr r="AD16" s="2"/>
      </tp>
      <tp t="s">
        <v>#N/A Requesting Data...2683321726</v>
        <stp/>
        <stp>BDP|10846290148809317467</stp>
        <tr r="T47" s="338"/>
      </tp>
      <tp t="s">
        <v>#N/A N/A</v>
        <stp/>
        <stp>BDP|17908300451053627923</stp>
        <tr r="C16" s="2"/>
      </tp>
      <tp t="s">
        <v>#N/A Requesting Data...1556669449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Data...3965444267</v>
        <stp/>
        <stp>BDP|14945010294650760658</stp>
        <tr r="L37" s="338"/>
        <tr r="H37" s="338"/>
      </tp>
      <tp t="s">
        <v>#N/A Requesting Data...2973727832</v>
        <stp/>
        <stp>BDP|14401677888193175241</stp>
        <tr r="C246" s="89"/>
      </tp>
      <tp t="s">
        <v>#N/A Requesting Data...1784344082</v>
        <stp/>
        <stp>BDP|14633665359535012975</stp>
        <tr r="Q53" s="338"/>
      </tp>
      <tp t="s">
        <v>#N/A Requesting Data...2746043342</v>
        <stp/>
        <stp>BDP|12625403616855824991</stp>
        <tr r="F15" s="446"/>
      </tp>
      <tp t="s">
        <v>#N/A Requesting Data...3488568677</v>
        <stp/>
        <stp>BDP|14416377574372571935</stp>
        <tr r="D101" s="89"/>
      </tp>
      <tp t="s">
        <v>#N/A Requesting Data...3260643968</v>
        <stp/>
        <stp>BDP|10942621120688011798</stp>
        <tr r="V55" s="338"/>
      </tp>
      <tp t="s">
        <v>#N/A N/A</v>
        <stp/>
        <stp>BDP|10438957359646941138</stp>
        <tr r="F24" s="2"/>
      </tp>
      <tp t="s">
        <v>#N/A Requesting Data...1753989356</v>
        <stp/>
        <stp>BDP|14853590894083718008</stp>
        <tr r="V12" s="338"/>
      </tp>
      <tp t="s">
        <v>#N/A N/A</v>
        <stp/>
        <stp>BDP|17311345762561767806</stp>
        <tr r="K41" s="1"/>
      </tp>
      <tp t="s">
        <v>#N/A Requesting Data...2375533078</v>
        <stp/>
        <stp>BDP|17077564961768568704</stp>
        <tr r="T7" s="2"/>
        <tr r="O26" s="89"/>
      </tp>
      <tp t="s">
        <v>#N/A N/A</v>
        <stp/>
        <stp>BDP|18215029187872028927</stp>
        <tr r="F7" s="2"/>
      </tp>
      <tp t="s">
        <v>#N/A Requesting Data...1288408256</v>
        <stp/>
        <stp>BDP|13154673264950579831</stp>
        <tr r="P8" s="338"/>
      </tp>
      <tp t="s">
        <v>#N/A Requesting Data...2276248392</v>
        <stp/>
        <stp>BDP|18352383299971018866</stp>
        <tr r="V96" s="89"/>
      </tp>
      <tp t="s">
        <v>#N/A Requesting Data...4242797613</v>
        <stp/>
        <stp>BDP|18149202901248495937</stp>
        <tr r="AH8" s="338"/>
        <tr r="AH9" s="338"/>
      </tp>
      <tp t="s">
        <v>#N/A Requesting Data...1552086884</v>
        <stp/>
        <stp>BDP|17812279814258546797</stp>
        <tr r="U12" s="338"/>
      </tp>
      <tp t="s">
        <v>#N/A Requesting Data...1671384241</v>
        <stp/>
        <stp>BDP|16354487536428919237</stp>
        <tr r="P36" s="338"/>
      </tp>
      <tp t="s">
        <v>#N/A Requesting Data...2316649241</v>
        <stp/>
        <stp>BDP|12938986196201541855</stp>
        <tr r="T9" s="338"/>
      </tp>
      <tp t="s">
        <v>#N/A Requesting Data...3875817709</v>
        <stp/>
        <stp>BDP|17486908537523033556</stp>
        <tr r="E180" s="89"/>
      </tp>
      <tp t="s">
        <v>#N/A N/A</v>
        <stp/>
        <stp>BDP|12631196112900993923</stp>
        <tr r="AG15" s="1"/>
        <tr r="AG16" s="1"/>
      </tp>
      <tp t="e">
        <v>#N/A</v>
        <stp/>
        <stp>BDH|13310749296846892080</stp>
        <tr r="AU49" s="338"/>
        <tr r="AU48" s="338"/>
      </tp>
      <tp t="e">
        <v>#N/A</v>
        <stp/>
        <stp>BDH|17262643079185887853</stp>
        <tr r="AN8" s="338"/>
        <tr r="AN9" s="338"/>
      </tp>
      <tp t="e">
        <v>#N/A</v>
        <stp/>
        <stp>BDH|11546493988465333331</stp>
        <tr r="AS45" s="338"/>
      </tp>
      <tp t="s">
        <v>#N/A Requesting Data...2703958094</v>
        <stp/>
        <stp>BDP|16382697175628205742</stp>
        <tr r="K2" s="2"/>
        <tr r="J1" s="24"/>
      </tp>
      <tp t="s">
        <v>#N/A N/A</v>
        <stp/>
        <stp>BDP|12568958234819466988</stp>
        <tr r="AI20" s="1"/>
      </tp>
      <tp t="s">
        <v>#N/A Requesting Data...2094602902</v>
        <stp/>
        <stp>BDP|14534507482414865574</stp>
        <tr r="AF17" s="338"/>
        <tr r="AF18" s="338"/>
      </tp>
      <tp t="s">
        <v>#N/A Requesting Data...2387978048</v>
        <stp/>
        <stp>BDP|18104805924642791891</stp>
        <tr r="AK9" s="338"/>
      </tp>
      <tp t="s">
        <v>#N/A Requesting Data...3787167413</v>
        <stp/>
        <stp>BDP|16938607323583597950</stp>
        <tr r="D68" s="89"/>
      </tp>
      <tp t="s">
        <v>#N/A N/A</v>
        <stp/>
        <stp>BDP|10396685625528096440</stp>
        <tr r="AA19" s="2"/>
      </tp>
      <tp t="s">
        <v>#N/A Requesting Data...2811948166</v>
        <stp/>
        <stp>BDP|18319033186521864931</stp>
        <tr r="T224" s="89"/>
      </tp>
      <tp t="s">
        <v>#N/A Requesting Data...1664646545</v>
        <stp/>
        <stp>BDP|11421352885480139296</stp>
        <tr r="AK18" s="338"/>
      </tp>
      <tp t="s">
        <v>#N/A Requesting Data...2378625573</v>
        <stp/>
        <stp>BDP|11715737354462899964</stp>
        <tr r="Z240" s="89"/>
        <tr r="AA240" s="89"/>
      </tp>
      <tp t="s">
        <v>#N/A Requesting Data...2687117466</v>
        <stp/>
        <stp>BDP|14368247967240567849</stp>
        <tr r="AK48" s="338"/>
        <tr r="AK49" s="338"/>
      </tp>
      <tp t="s">
        <v>#N/A Requesting Data...2300965030</v>
        <stp/>
        <stp>BDP|14316343546182952997</stp>
        <tr r="O249" s="89"/>
      </tp>
      <tp t="s">
        <v>#N/A N/A</v>
        <stp/>
        <stp>BDP|18355353104331140221</stp>
        <tr r="E6" s="1"/>
      </tp>
      <tp t="s">
        <v>#N/A Requesting Data...3055803203</v>
        <stp/>
        <stp>BDP|14339764599746958441</stp>
        <tr r="L14" s="252"/>
        <tr r="L14" s="252"/>
      </tp>
      <tp t="s">
        <v>#N/A N/A</v>
        <stp/>
        <stp>BDP|15036556953368458526</stp>
        <tr r="AD19" s="2"/>
      </tp>
      <tp t="s">
        <v>#N/A Requesting Data...1744522139</v>
        <stp/>
        <stp>BDP|13273727322169541747</stp>
        <tr r="S31" s="338"/>
      </tp>
      <tp t="s">
        <v>#N/A Requesting Data...3521706241</v>
        <stp/>
        <stp>BDP|18059086409648276807</stp>
        <tr r="X13" s="338"/>
      </tp>
      <tp t="s">
        <v>#N/A Requesting Data...4089271583</v>
        <stp/>
        <stp>BDP|14077436120512876887</stp>
        <tr r="AH14" s="338"/>
        <tr r="AH35" s="338"/>
      </tp>
      <tp t="s">
        <v>#N/A Requesting Data...3699817251</v>
        <stp/>
        <stp>BDP|15744958059654008590</stp>
        <tr r="M11" s="252"/>
      </tp>
      <tp t="s">
        <v>#N/A Requesting Data...3520502105</v>
        <stp/>
        <stp>BDP|13764746767088740261</stp>
        <tr r="O75" s="89"/>
      </tp>
      <tp t="s">
        <v>#N/A Requesting Data...2859414537</v>
        <stp/>
        <stp>BDP|13690707356499397067</stp>
        <tr r="AG42" s="338"/>
      </tp>
      <tp t="s">
        <v>#N/A N/A</v>
        <stp/>
        <stp>BDP|12538321051928445466</stp>
        <tr r="AR14" s="2"/>
        <tr r="AR15" s="2"/>
      </tp>
      <tp t="s">
        <v>#N/A Requesting Data...2672311267</v>
        <stp/>
        <stp>BDP|13052160308013823928</stp>
        <tr r="L16" s="252"/>
        <tr r="L16" s="252"/>
      </tp>
      <tp t="s">
        <v>#N/A Requesting Data...3811398527</v>
        <stp/>
        <stp>BDP|10630112845779481422</stp>
        <tr r="T8" s="338"/>
      </tp>
      <tp t="s">
        <v>#N/A Requesting Data...1882730904</v>
        <stp/>
        <stp>BDP|15174714974255030800</stp>
        <tr r="O39" s="89"/>
      </tp>
      <tp t="s">
        <v>#N/A N/A</v>
        <stp/>
        <stp>BDP|11209184266078842639</stp>
        <tr r="AC21" s="1"/>
      </tp>
      <tp t="s">
        <v>#N/A Requesting Data...1997888716</v>
        <stp/>
        <stp>BDP|17224895325351893413</stp>
        <tr r="V249" s="89"/>
      </tp>
      <tp t="s">
        <v>#N/A N/A</v>
        <stp/>
        <stp>BDP|11792150875749844688</stp>
        <tr r="AB96" s="89"/>
        <tr r="AB102" s="89"/>
        <tr r="AB101" s="89"/>
        <tr r="AB95" s="89"/>
      </tp>
      <tp t="s">
        <v>#N/A N/A</v>
        <stp/>
        <stp>BDP|11063060845774468912</stp>
        <tr r="AC18" s="1"/>
        <tr r="AC19" s="1"/>
      </tp>
      <tp t="s">
        <v>USD</v>
        <stp/>
        <stp>BDP|1779856531118410213|22</stp>
        <stp>ASML US 01/23/26 P1100 Equity</stp>
        <stp>QUOTED_CURRENCY_REALTIME</stp>
        <tr r="F50" s="89"/>
      </tp>
      <tp t="s">
        <v>#N/A Real Time</v>
        <stp/>
        <stp>BDP|3928061582338749570|22</stp>
        <stp>MRYWZ4C4 2390 Index</stp>
        <stp>bid</stp>
        <tr r="K129" s="89"/>
      </tp>
      <tp>
        <v>16.5</v>
        <stp/>
        <stp>BDP|9695385927126309796|22</stp>
        <stp>MSFT US 06/18/26 P425 Equity</stp>
        <stp>bid</stp>
        <tr r="K213" s="89"/>
      </tp>
      <tp>
        <v>11.2</v>
        <stp/>
        <stp>BDP|7714122722548381834|22</stp>
        <stp>LITE US 02/20/26 C450 Equity</stp>
        <stp>bid</stp>
        <tr r="P8" s="2"/>
        <tr r="K27" s="89"/>
      </tp>
      <tp t="s">
        <v>#N/A Requesting Data...2910367907</v>
        <stp/>
        <stp>BDP|13108014284305863746</stp>
        <tr r="AH29" s="338"/>
        <tr r="AH30" s="338"/>
        <tr r="AJ29" s="338"/>
        <tr r="AJ30" s="338"/>
      </tp>
      <tp t="s">
        <v>#N/A Requesting Data...4211073663</v>
        <stp/>
        <stp>BDP|16161490436721422919</stp>
        <tr r="D19" s="89"/>
      </tp>
      <tp t="s">
        <v>#N/A Requesting Data...4016040551</v>
        <stp/>
        <stp>BDP|18084144309549296940</stp>
        <tr r="X46" s="338"/>
      </tp>
      <tp t="s">
        <v>#N/A Requesting Data...2013330887</v>
        <stp/>
        <stp>BDP|14080496093764135415</stp>
        <tr r="P8" s="252"/>
      </tp>
      <tp t="s">
        <v>#N/A N/A</v>
        <stp/>
        <stp>BDP|10379287684220430311</stp>
        <tr r="F4" s="2"/>
      </tp>
      <tp t="s">
        <v>#N/A N/A</v>
        <stp/>
        <stp>BDP|12113970899503508804</stp>
        <tr r="F21" s="2"/>
      </tp>
      <tp t="s">
        <v>#N/A Requesting Data...3975673608</v>
        <stp/>
        <stp>BDP|10469212719789254341</stp>
        <tr r="T211" s="89"/>
      </tp>
      <tp t="s">
        <v>#N/A Requesting Data...3891319002</v>
        <stp/>
        <stp>BDP|13667922398723991985</stp>
        <tr r="O8" s="252"/>
      </tp>
      <tp t="s">
        <v>#N/A N/A</v>
        <stp/>
        <stp>BDP|11569233714862664985</stp>
        <tr r="E12" s="2"/>
        <tr r="E13" s="2"/>
      </tp>
      <tp t="s">
        <v>#N/A Requesting Data...2646183584</v>
        <stp/>
        <stp>BDP|14084731383605893774</stp>
        <tr r="T30" s="338"/>
      </tp>
      <tp t="s">
        <v>#N/A Requesting Data...3995793107</v>
        <stp/>
        <stp>BDP|17920955902274781369</stp>
        <tr r="AK13" s="338"/>
      </tp>
      <tp t="s">
        <v>#N/A Requesting Data...1930804832</v>
        <stp/>
        <stp>BDP|15814817125237185133</stp>
        <tr r="AK11" s="338"/>
      </tp>
      <tp t="s">
        <v>#N/A Requesting Data...4024421501</v>
        <stp/>
        <stp>BDP|13116456744589814365</stp>
        <tr r="D69" s="89"/>
      </tp>
      <tp t="s">
        <v>#N/A Requesting Data...3769476830</v>
        <stp/>
        <stp>BDP|10683822754613362720</stp>
        <tr r="C89" s="89"/>
      </tp>
      <tp t="s">
        <v>#N/A Requesting Data...2630362222</v>
        <stp/>
        <stp>BDP|14905890171093180111</stp>
        <tr r="U18" s="338"/>
      </tp>
      <tp t="s">
        <v>#N/A Requesting Data...3599302471</v>
        <stp/>
        <stp>BDP|12314311989030851024</stp>
        <tr r="AA10" s="2"/>
        <tr r="T180" s="89"/>
      </tp>
      <tp t="s">
        <v>#N/A Requesting Data...3544475696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Data...2386220083</v>
        <stp/>
        <stp>BDP|12571041380342291138</stp>
        <tr r="F34" s="446"/>
      </tp>
      <tp t="s">
        <v>#N/A Requesting Data...2800992666</v>
        <stp/>
        <stp>BDP|16648478878978208488</stp>
        <tr r="O82" s="89"/>
      </tp>
      <tp t="s">
        <v>#N/A Requesting Data...3404896338</v>
        <stp/>
        <stp>BDP|13659806942011456735</stp>
        <tr r="P7" s="252"/>
      </tp>
      <tp t="s">
        <v>#N/A Requesting Data...1569794791</v>
        <stp/>
        <stp>BDP|18096821285957052647</stp>
        <tr r="F18" s="446"/>
      </tp>
      <tp t="s">
        <v>#N/A Requesting Data...3578606411</v>
        <stp/>
        <stp>BDP|10454732349072941859</stp>
        <tr r="T24" s="2"/>
        <tr r="O204" s="89"/>
      </tp>
      <tp t="s">
        <v>#N/A Requesting Data...3020717853</v>
        <stp/>
        <stp>BDP|12951171716612986933</stp>
        <tr r="AD29" s="2"/>
        <tr r="V195" s="89"/>
      </tp>
      <tp t="s">
        <v>#N/A Requesting Data...1448799993</v>
        <stp/>
        <stp>BDP|17046967805152979583</stp>
        <tr r="V89" s="89"/>
      </tp>
      <tp t="s">
        <v>#N/A N/A</v>
        <stp/>
        <stp>BDP|12912684483811638411</stp>
        <tr r="L25" s="1"/>
      </tp>
      <tp t="s">
        <v>#N/A Requesting Data...2589220394</v>
        <stp/>
        <stp>BDP|10361012023329117256</stp>
        <tr r="D82" s="89"/>
      </tp>
      <tp t="s">
        <v>#N/A Requesting Data...2345545533</v>
        <stp/>
        <stp>BDP|17800905748963418018</stp>
        <tr r="V52" s="338"/>
      </tp>
      <tp t="s">
        <v>#N/A Requesting Data...2472244388</v>
        <stp/>
        <stp>BDP|16080473360335288805</stp>
        <tr r="AF23" s="1"/>
        <tr r="AF10" s="338"/>
        <tr r="AF11" s="338"/>
        <tr r="AF33" s="338"/>
      </tp>
      <tp t="s">
        <v>#N/A Requesting Data...3348994119</v>
        <stp/>
        <stp>BDP|18082660766744672526</stp>
        <tr r="X34" s="338"/>
      </tp>
      <tp t="s">
        <v>#N/A N/A</v>
        <stp/>
        <stp>BDP|17620015100226350806</stp>
        <tr r="AG24" s="1"/>
      </tp>
      <tp t="s">
        <v>#N/A N/A</v>
        <stp/>
        <stp>BDP|16920316588455062143</stp>
        <tr r="D33" s="2"/>
      </tp>
      <tp t="s">
        <v>#N/A N/A</v>
        <stp/>
        <stp>BDP|18094164205149537914</stp>
        <tr r="V49" s="89"/>
      </tp>
      <tp t="s">
        <v>#N/A Requesting Data...4133256644</v>
        <stp/>
        <stp>BDP|17113464131298207134</stp>
        <tr r="O6" s="252"/>
      </tp>
      <tp t="s">
        <v>#N/A N/A</v>
        <stp/>
        <stp>BDP|16852781535332351915</stp>
        <tr r="E50" s="89"/>
      </tp>
      <tp t="s">
        <v>#N/A N/A</v>
        <stp/>
        <stp>BDP|15960037050958482197</stp>
        <tr r="F11" s="2"/>
      </tp>
      <tp t="s">
        <v>#N/A N/A</v>
        <stp/>
        <stp>BDP|16284628867238126714</stp>
        <tr r="AD12" s="2"/>
        <tr r="AD13" s="2"/>
      </tp>
      <tp t="s">
        <v>#N/A Requesting Data...3214039693</v>
        <stp/>
        <stp>BDP|13465906218584984636</stp>
        <tr r="U48" s="338"/>
      </tp>
      <tp t="e">
        <v>#N/A</v>
        <stp/>
        <stp>BDH|17897781089701327094</stp>
        <tr r="AN54" s="338"/>
        <tr r="AN52" s="338"/>
        <tr r="AN53" s="338"/>
      </tp>
      <tp t="e">
        <v>#N/A</v>
        <stp/>
        <stp>BDH|16590309602054661828</stp>
        <tr r="AU45" s="338"/>
      </tp>
      <tp t="e">
        <v>#N/A</v>
        <stp/>
        <stp>BDH|11065050955304695927</stp>
        <tr r="AN37" s="338"/>
      </tp>
      <tp t="e">
        <v>#N/A</v>
        <stp/>
        <stp>BDH|17588547994135663747</stp>
        <tr r="AP54" s="338"/>
        <tr r="AP53" s="338"/>
        <tr r="AP52" s="338"/>
      </tp>
      <tp t="s">
        <v>USD</v>
        <stp/>
        <stp>BDP|6513932945318794459|22</stp>
        <stp>ASML US 01/23/26 P1200 Equity</stp>
        <stp>QUOTED_CURRENCY_REALTIME</stp>
        <tr r="F49" s="89"/>
      </tp>
      <tp t="e">
        <v>#N/A</v>
        <stp/>
        <stp>BDH|13343556468221802882</stp>
        <tr r="AU13" s="338"/>
      </tp>
      <tp>
        <v>0.10636004060506821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Data...2878557155</v>
        <stp/>
        <stp>BDP|18053326085844745997</stp>
        <tr r="Z33" s="89"/>
        <tr r="AA33" s="89"/>
      </tp>
      <tp t="s">
        <v>#N/A Requesting Data...2236264009</v>
        <stp/>
        <stp>BDP|13370676866274995925</stp>
        <tr r="V29" s="338"/>
      </tp>
      <tp t="s">
        <v>#N/A Requesting Data...3155127542</v>
        <stp/>
        <stp>BDP|16549461050648260185</stp>
        <tr r="V48" s="338"/>
      </tp>
      <tp t="s">
        <v>#N/A Requesting Data...3343214195</v>
        <stp/>
        <stp>BDP|11883811462826271727</stp>
        <tr r="AI13" s="338"/>
        <tr r="AK13" s="338"/>
      </tp>
      <tp t="s">
        <v>#N/A N/A</v>
        <stp/>
        <stp>BDP|15816931278674113197</stp>
        <tr r="C4" s="2"/>
      </tp>
      <tp t="s">
        <v>#N/A Requesting Data...2283001504</v>
        <stp/>
        <stp>BDP|16651632599577766000</stp>
        <tr r="T20" s="89"/>
      </tp>
      <tp t="s">
        <v>#N/A Requesting Data...2756343205</v>
        <stp/>
        <stp>BDP|17314964764025388380</stp>
        <tr r="AA23" s="2"/>
        <tr r="T203" s="89"/>
      </tp>
      <tp t="s">
        <v>#N/A N/A</v>
        <stp/>
        <stp>BDP|15466705637537159880</stp>
        <tr r="AF12" s="1"/>
      </tp>
      <tp t="s">
        <v>#N/A Requesting Data...3742395013</v>
        <stp/>
        <stp>BDP|13773404769917079849</stp>
        <tr r="X41" s="338"/>
      </tp>
      <tp t="s">
        <v>#N/A Requesting Data...2115764454</v>
        <stp/>
        <stp>BDP|17094237872549842544</stp>
        <tr r="P11" s="338"/>
      </tp>
      <tp t="s">
        <v>#N/A N/A</v>
        <stp/>
        <stp>BDP|17894084826469233293</stp>
        <tr r="D12" s="2"/>
        <tr r="D13" s="2"/>
      </tp>
      <tp t="s">
        <v>#N/A Requesting Data...2092996385</v>
        <stp/>
        <stp>BDP|14319070935401982850</stp>
        <tr r="AA7" s="89"/>
        <tr r="Z7" s="89"/>
      </tp>
      <tp t="s">
        <v>#N/A N/A</v>
        <stp/>
        <stp>BDP|10903940119976188082</stp>
        <tr r="T20" s="2"/>
      </tp>
      <tp t="s">
        <v>#N/A Requesting Data...1459938770</v>
        <stp/>
        <stp>BDP|16326348528261420875</stp>
        <tr r="AH37" s="338"/>
      </tp>
      <tp t="s">
        <v>#N/A Requesting Data...2906520442</v>
        <stp/>
        <stp>BDP|12942600097452969197</stp>
        <tr r="AI30" s="338"/>
      </tp>
      <tp t="s">
        <v>#N/A Requesting Data...1439824316</v>
        <stp/>
        <stp>BDP|11004855748816491574</stp>
        <tr r="Z145" s="89"/>
        <tr r="AA145" s="89"/>
      </tp>
      <tp t="s">
        <v>#N/A N/A</v>
        <stp/>
        <stp>BDP|16337164336812680844</stp>
        <tr r="C31" s="2"/>
      </tp>
      <tp t="s">
        <v>#N/A N/A</v>
        <stp/>
        <stp>BDP|11997978075061334095</stp>
        <tr r="AG27" s="1"/>
      </tp>
      <tp t="s">
        <v>#N/A Requesting Data...1499139391</v>
        <stp/>
        <stp>BDP|13321932753372613352</stp>
        <tr r="S50" s="338"/>
      </tp>
      <tp t="s">
        <v>#N/A N/A</v>
        <stp/>
        <stp>BDP|14026845325197194708</stp>
        <tr r="AB26" s="1"/>
      </tp>
      <tp t="s">
        <v>#N/A Requesting Data...3234284194</v>
        <stp/>
        <stp>BDP|11798750258689932403</stp>
        <tr r="Q31" s="338"/>
      </tp>
      <tp t="s">
        <v>#N/A Requesting Data...2121877188</v>
        <stp/>
        <stp>BDP|18139099943730098283</stp>
        <tr r="X42" s="338"/>
      </tp>
      <tp t="s">
        <v>#N/A Requesting Data...2427654330</v>
        <stp/>
        <stp>BDP|14818954946994919376</stp>
        <tr r="T55" s="338"/>
      </tp>
      <tp t="s">
        <v>#N/A Requesting Data...4068252110</v>
        <stp/>
        <stp>BDP|16547593626468626792</stp>
        <tr r="V90" s="89"/>
      </tp>
      <tp t="s">
        <v>#N/A Requesting Data...1388313840</v>
        <stp/>
        <stp>BDP|11009642930182334827</stp>
        <tr r="AA8" s="89"/>
        <tr r="Z8" s="89"/>
      </tp>
      <tp t="s">
        <v>#N/A Requesting Data...2869347682</v>
        <stp/>
        <stp>BDP|12254931781748441511</stp>
        <tr r="AA4" s="2"/>
        <tr r="T33" s="89"/>
      </tp>
      <tp t="s">
        <v>#N/A N/A</v>
        <stp/>
        <stp>BDP|16747972762296741126</stp>
        <tr r="AF26" s="1"/>
      </tp>
      <tp t="s">
        <v>#N/A Requesting Data...2332288934</v>
        <stp/>
        <stp>BDP|10277773846639500409</stp>
        <tr r="E225" s="89"/>
      </tp>
      <tp t="s">
        <v>#N/A Requesting Data...1542319558</v>
        <stp/>
        <stp>BDP|15391597190645842246</stp>
        <tr r="U41" s="338"/>
      </tp>
      <tp t="s">
        <v>#N/A Requesting Data...3402134974</v>
        <stp/>
        <stp>BDP|11743873404217661042</stp>
        <tr r="D14" s="89"/>
      </tp>
      <tp t="e">
        <v>#N/A</v>
        <stp/>
        <stp>BDH|15569243168308015795</stp>
        <tr r="AM54" s="338"/>
        <tr r="AM53" s="338"/>
        <tr r="AM52" s="338"/>
      </tp>
      <tp t="e">
        <v>#N/A</v>
        <stp/>
        <stp>BDH|14719075046496129875</stp>
        <tr r="AS42" s="338"/>
      </tp>
      <tp t="e">
        <v>#N/A</v>
        <stp/>
        <stp>BDH|17116760266980119834</stp>
        <tr r="AR11" s="338"/>
      </tp>
      <tp t="e">
        <v>#N/A</v>
        <stp/>
        <stp>BDH|12570270854139216203</stp>
        <tr r="AU18" s="338"/>
      </tp>
      <tp>
        <v>-0.51965659856796265</v>
        <stp/>
        <stp>BDP|12363987419731278955|22</stp>
        <stp>MRVL US 03/20/26 P85 Equity</stp>
        <stp>DELTA_MID_RT</stp>
        <tr r="AF12" s="2"/>
        <tr r="AF13" s="2"/>
      </tp>
      <tp>
        <v>0.54681634902954102</v>
        <stp/>
        <stp>BDP|18110796337974702583|22</stp>
        <stp>AVGO US 06/18/26 C350 Equity</stp>
        <stp>DELTA_MID_RT</stp>
        <tr r="AF6" s="2"/>
        <tr r="W223" s="89"/>
      </tp>
      <tp t="s">
        <v>#N/A N/A</v>
        <stp/>
        <stp>BDP|14736502366221001988</stp>
        <tr r="AG22" s="1"/>
      </tp>
      <tp t="s">
        <v>#N/A Requesting Data...3764046598</v>
        <stp/>
        <stp>BDP|14590387959435843851</stp>
        <tr r="P18" s="252"/>
      </tp>
      <tp t="s">
        <v>#N/A Requesting Data...1592919549</v>
        <stp/>
        <stp>BDP|15937139346858101756</stp>
        <tr r="E34" s="89"/>
      </tp>
      <tp t="s">
        <v>#N/A Requesting Data...2120364080</v>
        <stp/>
        <stp>BDP|13791594013149475126</stp>
        <tr r="M13" s="252"/>
      </tp>
      <tp t="s">
        <v>#N/A Requesting Data...2100357368</v>
        <stp/>
        <stp>BDP|17874986578052725446</stp>
        <tr r="P50" s="338"/>
      </tp>
      <tp t="s">
        <v>#N/A Requesting Data...2722286446</v>
        <stp/>
        <stp>BDP|12186978060544450682</stp>
        <tr r="AD25" s="2"/>
        <tr r="V205" s="89"/>
      </tp>
      <tp t="s">
        <v>#N/A N/A</v>
        <stp/>
        <stp>BDP|12067346968488625077</stp>
        <tr r="K9" s="1"/>
      </tp>
      <tp t="s">
        <v>#N/A N/A</v>
        <stp/>
        <stp>BDP|17572771138585120977</stp>
        <tr r="F17" s="2"/>
        <tr r="F18" s="2"/>
      </tp>
      <tp t="s">
        <v>#N/A Requesting Data...3121030171</v>
        <stp/>
        <stp>BDP|12930748263249803590</stp>
        <tr r="V47" s="338"/>
      </tp>
      <tp t="s">
        <v>#N/A Requesting Data...3737584244</v>
        <stp/>
        <stp>BDP|15122997782692075957</stp>
        <tr r="Z69" s="89"/>
        <tr r="AA69" s="89"/>
      </tp>
      <tp t="s">
        <v>#N/A Requesting Data...3284224972</v>
        <stp/>
        <stp>BDP|10458872348380612322</stp>
        <tr r="AC41" s="1"/>
        <tr r="D32" s="446"/>
      </tp>
      <tp t="s">
        <v>#N/A N/A</v>
        <stp/>
        <stp>BDP|12446616610012704839</stp>
        <tr r="AF14" s="1"/>
      </tp>
      <tp t="s">
        <v>#N/A Requesting Data...3362008882</v>
        <stp/>
        <stp>BDP|16111091406080680995</stp>
        <tr r="S20" s="252"/>
      </tp>
      <tp t="s">
        <v>#N/A Requesting Data...4235656637</v>
        <stp/>
        <stp>BDP|12565777765454100870</stp>
        <tr r="AK45" s="338"/>
      </tp>
      <tp t="s">
        <v>#N/A Requesting Data...3985920686</v>
        <stp/>
        <stp>BDP|14757904724106470662</stp>
        <tr r="C115" s="89"/>
      </tp>
      <tp t="s">
        <v>#N/A Requesting Data...2329665189</v>
        <stp/>
        <stp>BDP|15520885965692162698</stp>
        <tr r="P35" s="338"/>
      </tp>
      <tp t="s">
        <v>#N/A N/A</v>
        <stp/>
        <stp>BDP|15477739397991893583</stp>
        <tr r="F20" s="2"/>
      </tp>
      <tp t="s">
        <v>#N/A N/A</v>
        <stp/>
        <stp>BDP|18411820983824502305</stp>
        <tr r="E9" s="1"/>
        <tr r="K23" s="1"/>
      </tp>
      <tp t="s">
        <v>#N/A Requesting Data...1990041387</v>
        <stp/>
        <stp>BDP|17434581443051918860</stp>
        <tr r="O68" s="89"/>
      </tp>
      <tp t="s">
        <v>#N/A N/A</v>
        <stp/>
        <stp>BDP|14116642911908550426</stp>
        <tr r="AI25" s="1"/>
      </tp>
      <tp t="s">
        <v>#N/A Requesting Data...3650300679</v>
        <stp/>
        <stp>BDP|10345234864749089272</stp>
        <tr r="AA81" s="89"/>
        <tr r="Z81" s="89"/>
      </tp>
      <tp t="s">
        <v>#N/A Requesting Data...4259953718</v>
        <stp/>
        <stp>BDP|18187575182553363942</stp>
        <tr r="S29" s="338"/>
      </tp>
      <tp t="s">
        <v>#N/A N/A</v>
        <stp/>
        <stp>BDP|15088949515073653147</stp>
        <tr r="AI26" s="1"/>
      </tp>
      <tp t="s">
        <v>#N/A Requesting Data...2793032247</v>
        <stp/>
        <stp>BDP|12559765690110808384</stp>
        <tr r="L6" s="252"/>
        <tr r="L6" s="252"/>
      </tp>
      <tp t="s">
        <v>#N/A Requesting Data...2941114164</v>
        <stp/>
        <stp>BDP|10141273456439406166</stp>
        <tr r="U40" s="338"/>
      </tp>
      <tp t="s">
        <v>#N/A Requesting Data...4178337893</v>
        <stp/>
        <stp>BDP|15650822721567670765</stp>
        <tr r="AF40" s="1"/>
        <tr r="AF15" s="338"/>
        <tr r="AF39" s="338"/>
        <tr r="AG40" s="338"/>
      </tp>
      <tp t="s">
        <v>#N/A Requesting Data...3435667308</v>
        <stp/>
        <stp>BDP|10661203894173514722</stp>
        <tr r="P40" s="338"/>
      </tp>
      <tp t="s">
        <v>#N/A N/A</v>
        <stp/>
        <stp>BDP|13400157600295352875</stp>
        <tr r="AQ4" s="2"/>
        <tr r="AB33" s="89"/>
        <tr r="AB34" s="89"/>
      </tp>
      <tp t="s">
        <v>#N/A Requesting Data...2842393409</v>
        <stp/>
        <stp>BDP|16644071595826516655</stp>
        <tr r="M17" s="252"/>
      </tp>
      <tp t="s">
        <v>#N/A Requesting Data...3208795177</v>
        <stp/>
        <stp>BDP|10282731194108712961</stp>
        <tr r="X32" s="338"/>
      </tp>
      <tp t="s">
        <v>#N/A Requesting Data...3967161168</v>
        <stp/>
        <stp>BDP|11825565969849644458</stp>
        <tr r="G26" s="446"/>
      </tp>
      <tp t="s">
        <v>#N/A N/A</v>
        <stp/>
        <stp>BDP|11254841161091158123</stp>
        <tr r="T32" s="2"/>
      </tp>
      <tp t="s">
        <v>#N/A N/A</v>
        <stp/>
        <stp>BDP|17073822827356636472</stp>
        <tr r="K18" s="1"/>
      </tp>
      <tp t="s">
        <v>#N/A Requesting Data...2098178358</v>
        <stp/>
        <stp>BDP|11728395699606731260</stp>
        <tr r="O8" s="89"/>
      </tp>
      <tp t="s">
        <v>#N/A Requesting Data...2091112168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T7" s="252"/>
        <tr r="W7" s="252"/>
      </tp>
      <tp t="e">
        <v>#N/A</v>
        <stp/>
        <stp>BDH|10224013728275685801</stp>
        <tr r="AR30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Data...2747191130</v>
        <stp/>
        <stp>BDP|15731501378408096376</stp>
        <tr r="V250" s="89"/>
      </tp>
      <tp t="s">
        <v>#N/A Requesting Data...4141065760</v>
        <stp/>
        <stp>BDP|10552070608995420954</stp>
        <tr r="O9" s="252"/>
      </tp>
      <tp t="s">
        <v>#N/A N/A</v>
        <stp/>
        <stp>BDP|15489180332173336860</stp>
        <tr r="T14" s="2"/>
        <tr r="T15" s="2"/>
      </tp>
      <tp t="s">
        <v>#N/A Requesting Data...3585777166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Data...4272362742</v>
        <stp/>
        <stp>BDP|16048814305041128389</stp>
        <tr r="AH12" s="338"/>
        <tr r="AJ12" s="338"/>
      </tp>
      <tp t="s">
        <v>#N/A Requesting Data...3702933023</v>
        <stp/>
        <stp>BDP|17315018787765860602</stp>
        <tr r="U29" s="338"/>
      </tp>
      <tp t="s">
        <v>#N/A Requesting Data...2556563817</v>
        <stp/>
        <stp>BDP|13330519071598869566</stp>
        <tr r="E27" s="89"/>
      </tp>
      <tp t="s">
        <v>#N/A Requesting Data...4231861865</v>
        <stp/>
        <stp>BDP|18338546964302677583</stp>
        <tr r="V153" s="89"/>
        <tr r="V154" s="89"/>
      </tp>
      <tp t="s">
        <v>#N/A Requesting Data...3431114748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Data...2773153695</v>
        <stp/>
        <stp>BDP|15549933334837718499</stp>
        <tr r="AJ36" s="338"/>
      </tp>
      <tp t="s">
        <v>#N/A Requesting Data...3139029780</v>
        <stp/>
        <stp>BDP|15032231399742514007</stp>
        <tr r="Q12" s="338"/>
      </tp>
      <tp t="s">
        <v>#N/A N/A</v>
        <stp/>
        <stp>BDP|12256415676048228580</stp>
        <tr r="AR17" s="2"/>
        <tr r="AR18" s="2"/>
      </tp>
      <tp t="s">
        <v>#N/A Requesting Data...3245483147</v>
        <stp/>
        <stp>BDP|12680548468199508401</stp>
        <tr r="Z153" s="89"/>
        <tr r="AA153" s="89"/>
        <tr r="Z154" s="89"/>
        <tr r="AA154" s="89"/>
      </tp>
      <tp t="s">
        <v>#N/A Requesting Data...4264236984</v>
        <stp/>
        <stp>BDP|13021422978704305879</stp>
        <tr r="AB40" s="1"/>
        <tr r="F33" s="446"/>
      </tp>
      <tp t="s">
        <v>#N/A N/A</v>
        <stp/>
        <stp>BDP|16521478898015424206</stp>
        <tr r="AV9" s="2"/>
        <tr r="AV10" s="2"/>
        <tr r="AV11" s="2"/>
        <tr r="R169" s="89"/>
        <tr r="R170" s="89"/>
        <tr r="R171" s="89"/>
        <tr r="R178" s="89"/>
        <tr r="R180" s="89"/>
        <tr r="R233" s="89"/>
        <tr r="R249" s="89"/>
        <tr r="R234" s="89"/>
        <tr r="R179" s="89"/>
      </tp>
      <tp t="s">
        <v>#N/A N/A</v>
        <stp/>
        <stp>BDP|10918859462513576157</stp>
        <tr r="AA17" s="2"/>
        <tr r="AA18" s="2"/>
      </tp>
      <tp t="s">
        <v>#N/A Requesting Data...3141794042</v>
        <stp/>
        <stp>BDP|16877024025140252836</stp>
        <tr r="F37" s="446"/>
      </tp>
      <tp t="s">
        <v>#N/A Requesting Data...3080023420</v>
        <stp/>
        <stp>BDP|11873488141545455841</stp>
        <tr r="AK12" s="338"/>
      </tp>
      <tp t="s">
        <v>#N/A Requesting Data...2467399237</v>
        <stp/>
        <stp>BDP|10918059229437544914</stp>
        <tr r="S14" s="252"/>
      </tp>
      <tp t="s">
        <v>#N/A Requesting Data...3566270532</v>
        <stp/>
        <stp>BDP|17459985945086122091</stp>
        <tr r="F19" s="252"/>
      </tp>
      <tp t="s">
        <v>#N/A Requesting Data...1547381358</v>
        <stp/>
        <stp>BDP|16146881818116826586</stp>
        <tr r="P41" s="338"/>
      </tp>
      <tp t="s">
        <v>#N/A Requesting Data...1675473176</v>
        <stp/>
        <stp>BDP|15485843473026578068</stp>
        <tr r="U54" s="338"/>
      </tp>
      <tp t="s">
        <v>#N/A Requesting Data...2368652474</v>
        <stp/>
        <stp>BDP|14702322456147385934</stp>
        <tr r="U47" s="338"/>
      </tp>
      <tp t="s">
        <v>#N/A Requesting Data...2976351261</v>
        <stp/>
        <stp>BDP|13405037176711243908</stp>
        <tr r="E137" s="89"/>
      </tp>
      <tp t="s">
        <v>#N/A Requesting Data...2374308505</v>
        <stp/>
        <stp>BDP|12945955828165458035</stp>
        <tr r="Z96" s="89"/>
        <tr r="AA96" s="89"/>
      </tp>
      <tp t="s">
        <v>#N/A N/A</v>
        <stp/>
        <stp>BDP|16209915627924010567</stp>
        <tr r="AG18" s="1"/>
        <tr r="AG19" s="1"/>
      </tp>
      <tp t="s">
        <v>#N/A N/A</v>
        <stp/>
        <stp>BDP|14217961267851904682</stp>
        <tr r="AD14" s="2"/>
        <tr r="AD15" s="2"/>
      </tp>
      <tp t="s">
        <v>#N/A Requesting Data...2210602504</v>
        <stp/>
        <stp>BDP|14616116739089464387</stp>
        <tr r="C75" s="89"/>
      </tp>
      <tp t="s">
        <v>#N/A Requesting Data...2403510460</v>
        <stp/>
        <stp>BDP|16199643097561563420</stp>
        <tr r="C129" s="89"/>
      </tp>
      <tp t="s">
        <v>#N/A Requesting Data...1977686567</v>
        <stp/>
        <stp>BDP|10873888947685609540</stp>
        <tr r="Q35" s="338"/>
      </tp>
      <tp t="s">
        <v>#N/A N/A</v>
        <stp/>
        <stp>BDP|18015735346024081305</stp>
        <tr r="T26" s="2"/>
      </tp>
      <tp t="s">
        <v>#N/A N/A</v>
        <stp/>
        <stp>BDP|10529046944871483947</stp>
        <tr r="AR7" s="2"/>
      </tp>
      <tp t="s">
        <v>#N/A Requesting Data...1973464868</v>
        <stp/>
        <stp>BDP|12856838645522296082</stp>
        <tr r="AA24" s="2"/>
        <tr r="T204" s="89"/>
      </tp>
      <tp t="s">
        <v>#N/A N/A</v>
        <stp/>
        <stp>BDP|18432601039087962606</stp>
        <tr r="C8" s="2"/>
      </tp>
      <tp t="s">
        <v>#N/A Requesting Data...3326549291</v>
        <stp/>
        <stp>BDP|12025675637399291269</stp>
        <tr r="O15" s="252"/>
      </tp>
      <tp t="s">
        <v>#N/A N/A</v>
        <stp/>
        <stp>BDP|17572927655465670235</stp>
        <tr r="D26" s="2"/>
      </tp>
      <tp t="s">
        <v>#N/A Requesting Data...4034200158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Data...2262577598</v>
        <stp/>
        <stp>BDP|12603143287034451379</stp>
        <tr r="D27" s="446"/>
      </tp>
      <tp t="s">
        <v>#N/A Requesting Data...3458202849</v>
        <stp/>
        <stp>BDP|10004210412887167840</stp>
        <tr r="D40" s="446"/>
      </tp>
      <tp t="s">
        <v>#N/A N/A</v>
        <stp/>
        <stp>BDP|17208567233754128903</stp>
        <tr r="E63" s="89"/>
      </tp>
      <tp t="e">
        <v>#N/A</v>
        <stp/>
        <stp>BDH|13392831222951112430</stp>
        <tr r="J11" s="252"/>
      </tp>
      <tp t="e">
        <v>#N/A</v>
        <stp/>
        <stp>BDH|15515646315699678769</stp>
        <tr r="AU10" s="338"/>
        <tr r="AU53" s="338"/>
        <tr r="AP47" s="338"/>
        <tr r="AP44" s="338"/>
        <tr r="AP48" s="338"/>
      </tp>
      <tp t="e">
        <v>#N/A</v>
        <stp/>
        <stp>BDH|14390465690627995281</stp>
        <tr r="AM31" s="338"/>
        <tr r="AM32" s="338"/>
      </tp>
      <tp t="e">
        <v>#N/A</v>
        <stp/>
        <stp>BDH|12182010337959310423</stp>
        <tr r="AM8" s="338"/>
        <tr r="AM9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USD</v>
        <stp/>
        <stp>BDP|2131931314929685819|22</stp>
        <stp>NFLX US 03/20/26 P92 Equity</stp>
        <stp>QUOTED_CURRENCY_REALTIME</stp>
        <tr r="G24" s="2"/>
        <tr r="F204" s="89"/>
      </tp>
      <tp>
        <v>-0.28059077262878418</v>
        <stp/>
        <stp>BDP|15300860136715577647|22</stp>
        <stp>AVGO US 06/18/26 P300 Equity</stp>
        <stp>DELTA_MID_RT</stp>
        <tr r="W224" s="89"/>
      </tp>
      <tp>
        <v>331.62</v>
        <stp/>
        <stp>BDP|336164456245703188|22</stp>
        <stp>LITE US Equity</stp>
        <stp>LAST_PRICE</stp>
        <tr r="Z7" s="2"/>
        <tr r="Z8" s="2"/>
        <tr r="S26" s="89"/>
        <tr r="S27" s="89"/>
      </tp>
      <tp t="s">
        <v>#N/A Real Time</v>
        <stp/>
        <stp>BDP|4430211455615003459|22</stp>
        <stp>4OX4C    20500 Index</stp>
        <stp>bid</stp>
        <tr r="K108" s="89"/>
      </tp>
      <tp>
        <v>20</v>
        <stp/>
        <stp>BDP|4716754069265805089|22</stp>
        <stp>LITE US 02/20/26 C400 Equity</stp>
        <stp>bid</stp>
        <tr r="P7" s="2"/>
        <tr r="K26" s="89"/>
      </tp>
      <tp t="s">
        <v>#N/A Requesting Data...2511751055</v>
        <stp/>
        <stp>BDP|14785192227628712274</stp>
        <tr r="T248" s="89"/>
      </tp>
      <tp t="s">
        <v>#N/A Requesting Data...2767202944</v>
        <stp/>
        <stp>BDP|10830436782351213025</stp>
        <tr r="AG13" s="338"/>
      </tp>
      <tp t="s">
        <v>#N/A Requesting Data...2838308630</v>
        <stp/>
        <stp>BDP|16101110071044873900</stp>
        <tr r="S19" s="252"/>
      </tp>
      <tp t="s">
        <v>#N/A N/A</v>
        <stp/>
        <stp>BDP|12894981119832559547</stp>
        <tr r="E23" s="2"/>
      </tp>
      <tp t="s">
        <v>#N/A Requesting Data...3840483416</v>
        <stp/>
        <stp>BDP|17375751787424053193</stp>
        <tr r="T90" s="89"/>
      </tp>
      <tp t="s">
        <v>#N/A Requesting Data...1672788773</v>
        <stp/>
        <stp>BDP|15805166451638287462</stp>
        <tr r="S18" s="338"/>
      </tp>
      <tp t="s">
        <v>#N/A N/A</v>
        <stp/>
        <stp>BDP|18288576254733893628</stp>
        <tr r="C50" s="89"/>
      </tp>
      <tp t="s">
        <v>#N/A Requesting Data...4225327350</v>
        <stp/>
        <stp>BDP|18446461901708890906</stp>
        <tr r="S45" s="338"/>
      </tp>
      <tp t="s">
        <v>#N/A Requesting Data...2983060129</v>
        <stp/>
        <stp>BDP|12514485676904256829</stp>
        <tr r="E160" s="89"/>
      </tp>
      <tp t="s">
        <v>#N/A N/A</v>
        <stp/>
        <stp>BDP|15523679869279056112</stp>
        <tr r="R39" s="89"/>
      </tp>
      <tp t="s">
        <v>#N/A Requesting Data...3307572249</v>
        <stp/>
        <stp>BDP|18053748462790891444</stp>
        <tr r="V169" s="89"/>
        <tr r="V178" s="89"/>
        <tr r="V233" s="89"/>
      </tp>
      <tp t="s">
        <v>#N/A Requesting Data...3002238892</v>
        <stp/>
        <stp>BDP|10028687100653384862</stp>
        <tr r="T6" s="2"/>
        <tr r="O223" s="89"/>
      </tp>
      <tp t="s">
        <v>#N/A Requesting Data...1530000472</v>
        <stp/>
        <stp>BDP|15843140282036113720</stp>
        <tr r="G22" s="446"/>
      </tp>
      <tp t="s">
        <v>#N/A Requesting Data...4016342294</v>
        <stp/>
        <stp>BDP|11847564369457057888</stp>
        <tr r="F13" s="252"/>
      </tp>
      <tp t="s">
        <v>#N/A Requesting Data...3174711484</v>
        <stp/>
        <stp>BDP|13571664718169245067</stp>
        <tr r="U14" s="338"/>
      </tp>
      <tp t="s">
        <v>#N/A Requesting Data...4058656099</v>
        <stp/>
        <stp>BDP|17319342610009091197</stp>
        <tr r="G27" s="446"/>
      </tp>
      <tp t="s">
        <v>#N/A Requesting Data...2530377094</v>
        <stp/>
        <stp>BDP|15816463595992212776</stp>
        <tr r="D205" s="89"/>
      </tp>
      <tp t="s">
        <v>#N/A Requesting Data...1937860794</v>
        <stp/>
        <stp>BDP|18197169773181317293</stp>
        <tr r="AA169" s="89"/>
        <tr r="AA178" s="89"/>
        <tr r="AA233" s="89"/>
        <tr r="Z169" s="89"/>
        <tr r="Z178" s="89"/>
        <tr r="Z233" s="89"/>
      </tp>
      <tp t="s">
        <v>#N/A Requesting Data...3388956557</v>
        <stp/>
        <stp>BDP|14882210397437387533</stp>
        <tr r="T42" s="338"/>
      </tp>
      <tp t="s">
        <v>#N/A Requesting Data...4036642118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Data...2512562761</v>
        <stp/>
        <stp>BDP|17115834681353057933</stp>
        <tr r="U31" s="338"/>
      </tp>
      <tp t="s">
        <v>#N/A N/A</v>
        <stp/>
        <stp>BDP|11754347819866155884</stp>
        <tr r="AA63" s="89"/>
        <tr r="Z63" s="89"/>
      </tp>
      <tp t="s">
        <v>#N/A Requesting Data...2194546375</v>
        <stp/>
        <stp>BDP|12175469510002223863</stp>
        <tr r="P14" s="338"/>
      </tp>
      <tp t="s">
        <v>#N/A N/A</v>
        <stp/>
        <stp>BDP|18096474274854136215</stp>
        <tr r="R7" s="89"/>
        <tr r="R8" s="89"/>
        <tr r="R68" s="89"/>
        <tr r="R69" s="89"/>
      </tp>
      <tp t="s">
        <v>#N/A N/A</v>
        <stp/>
        <stp>BDP|11040582479649536770</stp>
        <tr r="T63" s="89"/>
      </tp>
      <tp t="s">
        <v>#N/A Requesting Data...2384662090</v>
        <stp/>
        <stp>BDP|16200988588058493248</stp>
        <tr r="AA224" s="89"/>
        <tr r="Z224" s="89"/>
      </tp>
      <tp t="s">
        <v>#N/A N/A</v>
        <stp/>
        <stp>BDP|14683908374977533058</stp>
        <tr r="K1" s="2"/>
      </tp>
      <tp t="s">
        <v>#N/A Requesting Data...2601029399</v>
        <stp/>
        <stp>BDP|17051618884910746406</stp>
        <tr r="T44" s="338"/>
      </tp>
      <tp t="s">
        <v>#N/A Requesting Data...3686139039</v>
        <stp/>
        <stp>BDP|14959318848357778920</stp>
        <tr r="T41" s="338"/>
      </tp>
      <tp t="s">
        <v>#N/A Requesting Data...4205406072</v>
        <stp/>
        <stp>BDP|15219096160618738682</stp>
        <tr r="X17" s="338"/>
      </tp>
      <tp t="s">
        <v>#N/A Requesting Data...3371400971</v>
        <stp/>
        <stp>BDP|14574759861540790819</stp>
        <tr r="S34" s="338"/>
      </tp>
      <tp t="s">
        <v>#N/A Requesting Data...2543944067</v>
        <stp/>
        <stp>BDP|16577943970520568538</stp>
        <tr r="Q49" s="338"/>
      </tp>
      <tp t="s">
        <v>#N/A N/A</v>
        <stp/>
        <stp>BDP|11424392119509475776</stp>
        <tr r="C7" s="2"/>
      </tp>
      <tp t="s">
        <v>#N/A Requesting Data...4214934338</v>
        <stp/>
        <stp>BDP|12063939312664514322</stp>
        <tr r="N17" s="252"/>
        <tr r="N17" s="252"/>
      </tp>
      <tp t="s">
        <v>#N/A Requesting Data...3548903594</v>
        <stp/>
        <stp>BDP|16239364000238452060</stp>
        <tr r="E40" s="89"/>
      </tp>
      <tp t="e">
        <v>#N/A</v>
        <stp/>
        <stp>BDH|13885285882450008494</stp>
        <tr r="J17" s="252"/>
      </tp>
      <tp t="e">
        <v>#N/A</v>
        <stp/>
        <stp>BDH|16909643493562333601</stp>
        <tr r="AR39" s="338"/>
        <tr r="AR38" s="338"/>
        <tr r="AR17" s="338"/>
        <tr r="AR15" s="338"/>
        <tr r="AR16" s="338"/>
        <tr r="AR44" s="338"/>
        <tr r="AR52" s="338"/>
      </tp>
      <tp>
        <v>619.54999999999995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82.23</v>
        <stp/>
        <stp>BDP|3617422536658376331|22</stp>
        <stp>XLP Equity</stp>
        <stp>LAST PRICE</stp>
        <tr r="I9" s="338"/>
      </tp>
      <tp>
        <v>23.2</v>
        <stp/>
        <stp>BDP|8644428270203613467|22</stp>
        <stp>LITE US 02/20/26 C400 Equity</stp>
        <stp>ask</stp>
        <tr r="Q7" s="2"/>
        <tr r="L26" s="89"/>
      </tp>
      <tp>
        <v>0.47635480761528015</v>
        <stp/>
        <stp>BDP|10790294490778670556|22</stp>
        <stp>RKT US 05/15/26 C25 Equity</stp>
        <stp>DELTA_MID_RT</stp>
        <tr r="W39" s="89"/>
      </tp>
      <tp t="s">
        <v>#N/A Requesting Data...2722856149</v>
        <stp/>
        <stp>BDP|12339741374220877028</stp>
        <tr r="AB17" s="1"/>
        <tr r="F21" s="446"/>
      </tp>
      <tp t="s">
        <v>#N/A N/A</v>
        <stp/>
        <stp>BDP|10313697833123536458</stp>
        <tr r="E16" s="2"/>
      </tp>
      <tp t="s">
        <v>#N/A Requesting Data...3216440149</v>
        <stp/>
        <stp>BDP|12562291822957166773</stp>
        <tr r="X15" s="338"/>
        <tr r="X39" s="338"/>
      </tp>
      <tp t="s">
        <v>#N/A Requesting Data...2407559758</v>
        <stp/>
        <stp>BDP|13690337412063902066</stp>
        <tr r="V76" s="89"/>
      </tp>
      <tp t="s">
        <v>#N/A Requesting Data...2331995308</v>
        <stp/>
        <stp>BDP|17646594623933242160</stp>
        <tr r="AJ8" s="338"/>
        <tr r="AJ9" s="338"/>
      </tp>
      <tp t="s">
        <v>#N/A Requesting Data...3018533966</v>
        <stp/>
        <stp>BDP|10920319565786030158</stp>
        <tr r="E116" s="89"/>
      </tp>
      <tp t="s">
        <v>#N/A Requesting Data...2742007598</v>
        <stp/>
        <stp>BDP|11988979111049200256</stp>
        <tr r="AK29" s="338"/>
      </tp>
      <tp t="s">
        <v>#N/A Requesting Data...3219189613</v>
        <stp/>
        <stp>BDP|14191291997784108945</stp>
        <tr r="D197" s="89"/>
      </tp>
      <tp t="s">
        <v>#N/A N/A</v>
        <stp/>
        <stp>BDP|12274481806484777070</stp>
        <tr r="K38" s="1"/>
      </tp>
      <tp t="s">
        <v>#N/A Requesting Data...2460535074</v>
        <stp/>
        <stp>BDP|17216633965664243193</stp>
        <tr r="L34" s="338"/>
        <tr r="L50" s="338"/>
        <tr r="J34" s="338"/>
        <tr r="L35" s="338"/>
        <tr r="J35" s="338"/>
        <tr r="L36" s="338"/>
        <tr r="J36" s="338"/>
        <tr r="L37" s="338"/>
        <tr r="J37" s="338"/>
        <tr r="H50" s="338"/>
        <tr r="L51" s="338"/>
        <tr r="H51" s="338"/>
      </tp>
      <tp t="s">
        <v>#N/A Requesting Data...2873175170</v>
        <stp/>
        <stp>BDP|14776745928063005042</stp>
        <tr r="T136" s="89"/>
      </tp>
      <tp t="s">
        <v>#N/A N/A</v>
        <stp/>
        <stp>BDP|16840355052516772475</stp>
        <tr r="AR19" s="2"/>
      </tp>
      <tp t="s">
        <v>#N/A Requesting Data...1944694370</v>
        <stp/>
        <stp>BDP|16719292853193179031</stp>
        <tr r="T27" s="2"/>
        <tr r="O13" s="89"/>
      </tp>
      <tp t="s">
        <v>#N/A Requesting Data...1699136595</v>
        <stp/>
        <stp>BDP|13796779298948123776</stp>
        <tr r="C136" s="89"/>
      </tp>
      <tp t="s">
        <v>#N/A N/A</v>
        <stp/>
        <stp>BDP|16819116934213136521</stp>
        <tr r="F12" s="2"/>
        <tr r="F13" s="2"/>
      </tp>
      <tp t="s">
        <v>#N/A Requesting Data...1804487780</v>
        <stp/>
        <stp>BDP|11875259860180843752</stp>
        <tr r="L9" s="252"/>
        <tr r="L9" s="252"/>
      </tp>
      <tp t="s">
        <v>#N/A Requesting Data...3108400002</v>
        <stp/>
        <stp>BDP|17950909593432390797</stp>
        <tr r="G29" s="446"/>
      </tp>
      <tp t="s">
        <v>#N/A N/A</v>
        <stp/>
        <stp>BDP|16464673670092529762</stp>
        <tr r="AB137" s="89"/>
        <tr r="AB136" s="89"/>
        <tr r="AB138" s="89"/>
      </tp>
      <tp t="s">
        <v>#N/A N/A</v>
        <stp/>
        <stp>BDP|18387530052069086311</stp>
        <tr r="E7" s="2"/>
      </tp>
      <tp t="s">
        <v>#N/A N/A</v>
        <stp/>
        <stp>BDP|16665812118984554998</stp>
        <tr r="AC12" s="2"/>
        <tr r="AC13" s="2"/>
        <tr r="AC14" s="2"/>
        <tr r="AC15" s="2"/>
        <tr r="AC16" s="2"/>
      </tp>
      <tp t="s">
        <v>#N/A Requesting Data...3538722950</v>
        <stp/>
        <stp>BDP|16256063836003372424</stp>
        <tr r="Z250" s="89"/>
        <tr r="AA250" s="89"/>
      </tp>
      <tp t="s">
        <v>#N/A Requesting Data...3650585483</v>
        <stp/>
        <stp>BDP|10392302271721368734</stp>
        <tr r="AJ15" s="338"/>
        <tr r="AJ39" s="338"/>
        <tr r="AK40" s="338"/>
      </tp>
      <tp t="s">
        <v>#N/A Requesting Data...2658551690</v>
        <stp/>
        <stp>BDP|13077127063164089235</stp>
        <tr r="L29" s="338"/>
        <tr r="H29" s="338"/>
        <tr r="L30" s="338"/>
        <tr r="H30" s="338"/>
      </tp>
      <tp t="s">
        <v>#N/A Requesting Data...2077759981</v>
        <stp/>
        <stp>BDP|15616266803836462358</stp>
        <tr r="P18" s="338"/>
      </tp>
      <tp t="s">
        <v>#N/A Requesting Data...2774498861</v>
        <stp/>
        <stp>BDP|12909617883408150686</stp>
        <tr r="F17" s="446"/>
      </tp>
      <tp t="s">
        <v>#N/A Requesting Data...3703696220</v>
        <stp/>
        <stp>BDP|12668630201684454223</stp>
        <tr r="T40" s="338"/>
      </tp>
      <tp t="s">
        <v>#N/A Requesting Data...2611678039</v>
        <stp/>
        <stp>BDP|14907590063523957686</stp>
        <tr r="D39" s="446"/>
      </tp>
      <tp t="s">
        <v>#N/A Requesting Data...3172757607</v>
        <stp/>
        <stp>BDP|15427086549125422631</stp>
        <tr r="F29" s="446"/>
      </tp>
      <tp t="s">
        <v>#N/A Requesting Data...2353060121</v>
        <stp/>
        <stp>BDP|12603611155092450139</stp>
        <tr r="P44" s="338"/>
      </tp>
      <tp t="s">
        <v>#N/A Requesting Data...3833254910</v>
        <stp/>
        <stp>BDP|16481240279105588490</stp>
        <tr r="AD31" s="2"/>
        <tr r="V197" s="89"/>
      </tp>
      <tp t="s">
        <v>#N/A Requesting Data...4272788758</v>
        <stp/>
        <stp>BDP|12650903035052242853</stp>
        <tr r="T50" s="338"/>
      </tp>
      <tp t="s">
        <v>#N/A Requesting Data...4209931125</v>
        <stp/>
        <stp>BDP|15097578277281717435</stp>
        <tr r="AK13" s="338"/>
      </tp>
      <tp t="s">
        <v>#N/A N/A</v>
        <stp/>
        <stp>BDP|17445646416605654744</stp>
        <tr r="R55" s="89"/>
        <tr r="R62" s="89"/>
        <tr r="R63" s="89"/>
        <tr r="R56" s="89"/>
        <tr r="AV22" s="2"/>
        <tr r="AV21" s="2"/>
      </tp>
      <tp t="s">
        <v>#N/A Requesting Data...1934451368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Requesting Data...3647324015</v>
        <stp/>
        <stp>BDP|12880020397310969934</stp>
        <tr r="V7" s="89"/>
      </tp>
      <tp t="s">
        <v>#N/A Requesting Data...4212665820</v>
        <stp/>
        <stp>BDP|16210743767045071064</stp>
        <tr r="O81" s="89"/>
      </tp>
      <tp t="s">
        <v>#N/A N/A</v>
        <stp/>
        <stp>BDP|17447943913214573912</stp>
        <tr r="AC32" s="2"/>
        <tr r="AC33" s="2"/>
        <tr r="AC26" s="2"/>
        <tr r="AC27" s="2"/>
        <tr r="AC28" s="2"/>
        <tr r="AC29" s="2"/>
        <tr r="AC30" s="2"/>
        <tr r="AC31" s="2"/>
      </tp>
      <tp t="s">
        <v>#N/A Requesting Data...2977063209</v>
        <stp/>
        <stp>BDP|10540491936722929740</stp>
        <tr r="F13" s="446"/>
      </tp>
      <tp t="s">
        <v>#N/A Requesting Data...3619608127</v>
        <stp/>
        <stp>BDP|12531711828603842635</stp>
        <tr r="E248" s="89"/>
      </tp>
      <tp t="s">
        <v>#N/A N/A</v>
        <stp/>
        <stp>BDP|12465228967747275351</stp>
        <tr r="F6" s="2"/>
      </tp>
      <tp t="s">
        <v>#N/A Requesting Data...4130453307</v>
        <stp/>
        <stp>BDP|12912757174604960475</stp>
        <tr r="O247" s="89"/>
      </tp>
      <tp t="s">
        <v>#N/A N/A</v>
        <stp/>
        <stp>BDP|15272270015294728016</stp>
        <tr r="C24" s="2"/>
      </tp>
      <tp t="s">
        <v>#N/A Requesting Data...1658209508</v>
        <stp/>
        <stp>BDP|11442454801284248346</stp>
        <tr r="E81" s="89"/>
      </tp>
      <tp t="s">
        <v>#N/A N/A</v>
        <stp/>
        <stp>BDP|10374405008290534684</stp>
        <tr r="R49" s="89"/>
        <tr r="R50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>
        <v>109.64</v>
        <stp/>
        <stp>BDP|1868269163989593436|22</stp>
        <stp>EWY Equity</stp>
        <stp>LAST_PRICE</stp>
        <tr r="I26" s="1"/>
      </tp>
      <tp t="e">
        <v>#N/A</v>
        <stp/>
        <stp>BDH|13356145277936095172</stp>
        <tr r="AU29" s="338"/>
      </tp>
      <tp t="e">
        <v>#N/A</v>
        <stp/>
        <stp>BDH|13433517978227188448</stp>
        <tr r="J12" s="252"/>
      </tp>
      <tp>
        <v>1.65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2" s="1"/>
      </tp>
      <tp t="s">
        <v>#N/A N/A</v>
        <stp/>
        <stp>BDP|12506693576836787640</stp>
        <tr r="AC22" s="1"/>
      </tp>
      <tp t="s">
        <v>#N/A Requesting Data...2294701056</v>
        <stp/>
        <stp>BDP|14952713124422363077</stp>
        <tr r="AI54" s="338"/>
      </tp>
      <tp t="s">
        <v>#N/A N/A</v>
        <stp/>
        <stp>BDP|12378477649350407114</stp>
        <tr r="E25" s="2"/>
      </tp>
      <tp t="s">
        <v>#N/A N/A</v>
        <stp/>
        <stp>BDP|17344183941382189338</stp>
        <tr r="AQ20" s="2"/>
        <tr r="AQ19" s="2"/>
        <tr r="AQ17" s="2"/>
        <tr r="AQ18" s="2"/>
        <tr r="AB211" s="89"/>
        <tr r="AB246" s="89"/>
        <tr r="AB212" s="89"/>
        <tr r="AB213" s="89"/>
      </tp>
      <tp t="s">
        <v>#N/A Requesting Data...2013392867</v>
        <stp/>
        <stp>BDP|12659323579531227475</stp>
        <tr r="C137" s="89"/>
      </tp>
      <tp t="s">
        <v>#N/A Requesting Data...2415667696</v>
        <stp/>
        <stp>BDP|13685951603788859137</stp>
        <tr r="T138" s="89"/>
      </tp>
      <tp t="s">
        <v>#N/A Requesting Data...3522049475</v>
        <stp/>
        <stp>BDP|10998952471375281858</stp>
        <tr r="D7" s="2"/>
        <tr r="C26" s="89"/>
      </tp>
      <tp t="s">
        <v>#N/A Requesting Data...2634597859</v>
        <stp/>
        <stp>BDP|13232690579233956218</stp>
        <tr r="D75" s="89"/>
      </tp>
      <tp t="s">
        <v>#N/A N/A</v>
        <stp/>
        <stp>BDP|11141247349161569535</stp>
        <tr r="F5" s="2"/>
      </tp>
      <tp t="s">
        <v>#N/A N/A</v>
        <stp/>
        <stp>BDP|17356384253186180443</stp>
        <tr r="R75" s="89"/>
        <tr r="R76" s="89"/>
      </tp>
      <tp t="s">
        <v>#N/A Requesting Data...2876653153</v>
        <stp/>
        <stp>BDP|11463280132884325704</stp>
        <tr r="AA34" s="89"/>
        <tr r="Z34" s="89"/>
      </tp>
      <tp t="s">
        <v>#N/A Requesting Data...2137705398</v>
        <stp/>
        <stp>BDP|16973005602894719115</stp>
        <tr r="P19" s="252"/>
      </tp>
      <tp t="s">
        <v>#N/A Requesting Data...2858950904</v>
        <stp/>
        <stp>BDP|14061654258613093712</stp>
        <tr r="Z116" s="89"/>
        <tr r="AA116" s="89"/>
      </tp>
      <tp t="s">
        <v>#N/A Requesting Data...3542624568</v>
        <stp/>
        <stp>BDP|11585397164616268161</stp>
        <tr r="D116" s="89"/>
      </tp>
      <tp t="s">
        <v>#N/A Requesting Data...4074352010</v>
        <stp/>
        <stp>BDP|12861943665177076956</stp>
        <tr r="AF12" s="338"/>
      </tp>
      <tp t="s">
        <v>#N/A Requesting Data...2397679068</v>
        <stp/>
        <stp>BDP|14818652784710660909</stp>
        <tr r="AA212" s="89"/>
        <tr r="Z212" s="89"/>
      </tp>
      <tp t="s">
        <v>#N/A Requesting Data...2234148572</v>
        <stp/>
        <stp>BDP|15919437567850131436</stp>
        <tr r="G28" s="446"/>
      </tp>
      <tp t="s">
        <v>#N/A Requesting Data...3526874633</v>
        <stp/>
        <stp>BDP|17849758335787151764</stp>
        <tr r="O34" s="89"/>
      </tp>
      <tp t="s">
        <v>#N/A Requesting Data...3979513530</v>
        <stp/>
        <stp>BDP|18444768790201454496</stp>
        <tr r="D24" s="2"/>
        <tr r="C204" s="89"/>
      </tp>
      <tp t="s">
        <v>#N/A Requesting Data...2389576669</v>
        <stp/>
        <stp>BDP|17345659231843132294</stp>
        <tr r="X31" s="338"/>
      </tp>
      <tp t="s">
        <v>#N/A N/A</v>
        <stp/>
        <stp>BDP|12988555714434708108</stp>
        <tr r="AV23" s="2"/>
        <tr r="AV24" s="2"/>
        <tr r="AV25" s="2"/>
        <tr r="R186" s="89"/>
        <tr r="R187" s="89"/>
        <tr r="R188" s="89"/>
        <tr r="R203" s="89"/>
        <tr r="R204" s="89"/>
        <tr r="R205" s="89"/>
      </tp>
      <tp t="s">
        <v>#N/A N/A</v>
        <stp/>
        <stp>BDP|11060492626660625465</stp>
        <tr r="E49" s="89"/>
      </tp>
      <tp t="s">
        <v>#N/A Requesting Data...3631315659</v>
        <stp/>
        <stp>BDP|15708606918020014119</stp>
        <tr r="Z26" s="89"/>
        <tr r="AA26" s="89"/>
      </tp>
      <tp t="s">
        <v>#N/A Requesting Data...3762351829</v>
        <stp/>
        <stp>BDP|17039732835313216359</stp>
        <tr r="G13" s="446"/>
      </tp>
      <tp t="s">
        <v>#N/A Requesting Data...3571081333</v>
        <stp/>
        <stp>BDP|10212284669224289309</stp>
        <tr r="G15" s="446"/>
      </tp>
      <tp t="s">
        <v>#N/A N/A</v>
        <stp/>
        <stp>BDP|14477773684938548023</stp>
        <tr r="AI24" s="1"/>
      </tp>
      <tp t="s">
        <v>#N/A Requesting Data...4115550620</v>
        <stp/>
        <stp>BDP|16890720826198942853</stp>
        <tr r="V81" s="89"/>
      </tp>
      <tp t="s">
        <v>#N/A N/A</v>
        <stp/>
        <stp>BDP|16582836999550942450</stp>
        <tr r="T22" s="2"/>
        <tr r="O56" s="89"/>
      </tp>
      <tp t="s">
        <v>#N/A Requesting Data...3068290478</v>
        <stp/>
        <stp>BDP|10628744726607068175</stp>
        <tr r="C225" s="89"/>
      </tp>
      <tp t="s">
        <v>#N/A Requesting Data...2845942128</v>
        <stp/>
        <stp>BDP|16931852689404443127</stp>
        <tr r="F23" s="446"/>
      </tp>
      <tp t="s">
        <v>#N/A Requesting Data...2538993900</v>
        <stp/>
        <stp>BDP|11246696260120787292</stp>
        <tr r="F10" s="252"/>
      </tp>
      <tp t="s">
        <v>#N/A Requesting Data...2575469571</v>
        <stp/>
        <stp>BDP|15227373250511500153</stp>
        <tr r="X14" s="338"/>
      </tp>
      <tp t="s">
        <v>#N/A Requesting Data...3298361067</v>
        <stp/>
        <stp>BDP|13044527620903591424</stp>
        <tr r="U15" s="338"/>
        <tr r="U39" s="338"/>
      </tp>
      <tp t="s">
        <v>#N/A N/A</v>
        <stp/>
        <stp>BDP|13604647470276165765</stp>
        <tr r="C10" s="2"/>
      </tp>
      <tp t="s">
        <v>#N/A N/A</v>
        <stp/>
        <stp>BDP|16066178257148215968</stp>
        <tr r="AV12" s="2"/>
        <tr r="AV13" s="2"/>
        <tr r="AV14" s="2"/>
        <tr r="AV15" s="2"/>
        <tr r="AV16" s="2"/>
      </tp>
      <tp t="s">
        <v>#N/A N/A</v>
        <stp/>
        <stp>BDP|12718343677950174519</stp>
        <tr r="E7" s="1"/>
        <tr r="K24" s="1"/>
      </tp>
      <tp t="s">
        <v>#N/A Requesting Data...2136610320</v>
        <stp/>
        <stp>BDP|14592404034766531631</stp>
        <tr r="S53" s="338"/>
      </tp>
      <tp t="s">
        <v>#N/A Requesting Data...3730364076</v>
        <stp/>
        <stp>BDP|11486261538490579386</stp>
        <tr r="AH55" s="338"/>
        <tr r="AI14" s="338"/>
        <tr r="AI55" s="338"/>
      </tp>
      <tp t="s">
        <v>#N/A N/A</v>
        <stp/>
        <stp>BDP|17748277643603709136</stp>
        <tr r="D17" s="2"/>
        <tr r="D18" s="2"/>
      </tp>
      <tp t="s">
        <v>#N/A Requesting Data...3757875191</v>
        <stp/>
        <stp>BDP|10407776681355403913</stp>
        <tr r="AI9" s="338"/>
      </tp>
      <tp t="s">
        <v>#N/A N/A</v>
        <stp/>
        <stp>BDP|14730076527710394522</stp>
        <tr r="K3" s="1"/>
      </tp>
      <tp t="s">
        <v>#N/A Requesting Data...2269051453</v>
        <stp/>
        <stp>BDP|13045060090759483046</stp>
        <tr r="Q14" s="338"/>
      </tp>
      <tp t="e">
        <v>#N/A</v>
        <stp/>
        <stp>BDH|14583815225278766527</stp>
        <tr r="J8" s="252"/>
      </tp>
      <tp t="e">
        <v>#N/A</v>
        <stp/>
        <stp>BDH|13009210115276287507</stp>
        <tr r="AU46" s="338"/>
        <tr r="AU8" s="338"/>
        <tr r="AU50" s="338"/>
        <tr r="AU32" s="338"/>
      </tp>
      <tp t="e">
        <v>#N/A</v>
        <stp/>
        <stp>BDH|14660558884498422296</stp>
        <tr r="AS52" s="338"/>
        <tr r="AS39" s="338"/>
        <tr r="AS38" s="338"/>
        <tr r="AS17" s="338"/>
        <tr r="AS15" s="338"/>
        <tr r="AS16" s="338"/>
        <tr r="AS44" s="338"/>
      </tp>
      <tp t="e">
        <v>#N/A</v>
        <stp/>
        <stp>BDH|11945742937223696507</stp>
        <tr r="AN11" s="338"/>
        <tr r="AN33" s="338"/>
        <tr r="AN10" s="338"/>
      </tp>
      <tp t="e">
        <v>#N/A</v>
        <stp/>
        <stp>BDH|12784579510913979663</stp>
        <tr r="AR45" s="338"/>
      </tp>
      <tp t="e">
        <v>#N/A</v>
        <stp/>
        <stp>BDH|18074831190813966954</stp>
        <tr r="AP10" s="338"/>
        <tr r="AP33" s="338"/>
        <tr r="AP11" s="338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N/A</v>
        <stp/>
        <stp>BDP|14244325438963712766</stp>
        <tr r="V62" s="89"/>
      </tp>
      <tp t="s">
        <v>#N/A N/A</v>
        <stp/>
        <stp>BDP|11816932821413498963</stp>
        <tr r="AA33" s="2"/>
      </tp>
      <tp t="s">
        <v>#N/A Requesting Data...2010940243</v>
        <stp/>
        <stp>BDP|13995834898655213788</stp>
        <tr r="Q10" s="338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81" s="89"/>
      </tp>
      <tp t="s">
        <v>#N/A Requesting Data...3307685251</v>
        <stp/>
        <stp>BDP|10384653628097195348</stp>
        <tr r="V33" s="338"/>
      </tp>
      <tp t="s">
        <v>#N/A Requesting Data...1871662391</v>
        <stp/>
        <stp>BDP|15830810886156463309</stp>
        <tr r="Z89" s="89"/>
        <tr r="AA89" s="89"/>
      </tp>
      <tp t="s">
        <v>#N/A Requesting Data...2200773072</v>
        <stp/>
        <stp>BDP|16329127935980609498</stp>
        <tr r="M9" s="252"/>
      </tp>
      <tp t="s">
        <v>#N/A Requesting Data...2162655007</v>
        <stp/>
        <stp>BDP|10213293417720387350</stp>
        <tr r="V20" s="89"/>
      </tp>
      <tp t="s">
        <v>#N/A Requesting Data...2565410711</v>
        <stp/>
        <stp>BDP|14136785762373472653</stp>
        <tr r="P12" s="338"/>
      </tp>
      <tp t="s">
        <v>#N/A Requesting Data...3954713395</v>
        <stp/>
        <stp>BDP|10907713945543986097</stp>
        <tr r="AJ12" s="338"/>
      </tp>
      <tp t="s">
        <v>#N/A Requesting Data...2541737031</v>
        <stp/>
        <stp>BDP|18157396268365948849</stp>
        <tr r="G32" s="446"/>
      </tp>
      <tp t="s">
        <v>#N/A N/A</v>
        <stp/>
        <stp>BDP|17074884840689411213</stp>
        <tr r="K25" s="1"/>
      </tp>
      <tp t="s">
        <v>#N/A Requesting Data...2264484500</v>
        <stp/>
        <stp>BDP|12322490716684467354</stp>
        <tr r="AD28" s="2"/>
        <tr r="V14" s="89"/>
      </tp>
      <tp t="s">
        <v>#N/A Requesting Data...3214496709</v>
        <stp/>
        <stp>BDP|16998277646851211171</stp>
        <tr r="C40" s="89"/>
      </tp>
      <tp t="s">
        <v>#N/A N/A</v>
        <stp/>
        <stp>BDP|10831977579186203890</stp>
        <tr r="F19" s="2"/>
      </tp>
      <tp t="s">
        <v>#N/A N/A</v>
        <stp/>
        <stp>BDP|17187500422678411886</stp>
        <tr r="AA14" s="2"/>
        <tr r="AA15" s="2"/>
      </tp>
      <tp t="s">
        <v>#N/A N/A</v>
        <stp/>
        <stp>BDP|11850099902500446183</stp>
        <tr r="AR28" s="2"/>
      </tp>
      <tp t="s">
        <v>#N/A Requesting Data...1868962583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8" s="89"/>
        <tr r="AB68" s="89"/>
        <tr r="AB69" s="89"/>
        <tr r="AB7" s="89"/>
      </tp>
      <tp t="s">
        <v>#N/A N/A</v>
        <stp/>
        <stp>BDP|15575692114844872615</stp>
        <tr r="AF18" s="1"/>
        <tr r="AF19" s="1"/>
      </tp>
      <tp t="s">
        <v>#N/A N/A</v>
        <stp/>
        <stp>BDP|13176433799579956737</stp>
        <tr r="C14" s="2"/>
        <tr r="C15" s="2"/>
      </tp>
      <tp t="s">
        <v>#N/A Requesting Data...3561258740</v>
        <stp/>
        <stp>BDP|11877678453870847248</stp>
        <tr r="AJ29" s="338"/>
        <tr r="AJ30" s="338"/>
      </tp>
      <tp t="s">
        <v>#N/A Requesting Data...2135013572</v>
        <stp/>
        <stp>BDP|15996554516532939333</stp>
        <tr r="O248" s="89"/>
      </tp>
      <tp t="s">
        <v>#N/A Requesting Data...3096567446</v>
        <stp/>
        <stp>BDP|17979638844017722292</stp>
        <tr r="E224" s="89"/>
      </tp>
      <tp t="s">
        <v>#N/A N/A</v>
        <stp/>
        <stp>BDP|12913131077284987044</stp>
        <tr r="AA21" s="2"/>
        <tr r="T55" s="89"/>
      </tp>
      <tp t="s">
        <v>#N/A Requesting Data...1814799484</v>
        <stp/>
        <stp>BDP|14778871150108728178</stp>
        <tr r="C7" s="89"/>
      </tp>
      <tp t="s">
        <v>#N/A Requesting Data...3673544152</v>
        <stp/>
        <stp>BDP|17739555800162129037</stp>
        <tr r="Q46" s="338"/>
      </tp>
      <tp t="s">
        <v>#N/A Requesting Data...3513778286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Data...3302506981</v>
        <stp/>
        <stp>BDP|17857693024795624634</stp>
        <tr r="V19" s="89"/>
      </tp>
      <tp t="s">
        <v>#N/A Requesting Data...3905471298</v>
        <stp/>
        <stp>BDP|11754901815298442159</stp>
        <tr r="E7" s="89"/>
      </tp>
      <tp t="s">
        <v>#N/A N/A</v>
        <stp/>
        <stp>BDP|14736375789817362891</stp>
        <tr r="AC2" s="1"/>
        <tr r="AD2" s="1"/>
      </tp>
      <tp t="s">
        <v>#N/A Requesting Data...2297354627</v>
        <stp/>
        <stp>BDP|14970612019347009428</stp>
        <tr r="C213" s="89"/>
      </tp>
      <tp t="s">
        <v>#N/A Requesting Data...2824287414</v>
        <stp/>
        <stp>BDP|12022948741018056763</stp>
        <tr r="D81" s="89"/>
      </tp>
      <tp t="s">
        <v>#N/A Requesting Data...2473389089</v>
        <stp/>
        <stp>BDP|13439578072010389109</stp>
        <tr r="O225" s="89"/>
      </tp>
      <tp t="s">
        <v>#N/A Requesting Data...2994883574</v>
        <stp/>
        <stp>BDP|11184865175579332734</stp>
        <tr r="F12" s="446"/>
      </tp>
      <tp t="s">
        <v>#N/A Requesting Data...2266766372</v>
        <stp/>
        <stp>BDP|12133420967599732913</stp>
        <tr r="AG12" s="338"/>
      </tp>
      <tp t="s">
        <v>#N/A N/A</v>
        <stp/>
        <stp>BDP|15122146107040099471</stp>
        <tr r="E55" s="89"/>
      </tp>
      <tp t="s">
        <v>#N/A N/A</v>
        <stp/>
        <stp>BDP|14646160180655233875</stp>
        <tr r="AC23" s="2"/>
        <tr r="AC24" s="2"/>
        <tr r="AC25" s="2"/>
      </tp>
      <tp t="s">
        <v>#N/A Requesting Data...3054065972</v>
        <stp/>
        <stp>BDP|11301603537853289723</stp>
        <tr r="T18" s="338"/>
      </tp>
      <tp t="s">
        <v>#N/A Requesting Data...2756844473</v>
        <stp/>
        <stp>BDP|17819773794190840945</stp>
        <tr r="P17" s="252"/>
      </tp>
      <tp t="s">
        <v>#N/A Requesting Data...3387924458</v>
        <stp/>
        <stp>BDP|11542574144783666360</stp>
        <tr r="F41" s="446"/>
      </tp>
      <tp t="s">
        <v>#N/A Requesting Data...2042663259</v>
        <stp/>
        <stp>BDP|14923586336724523640</stp>
        <tr r="Z205" s="89"/>
        <tr r="AA205" s="89"/>
      </tp>
      <tp t="e">
        <v>#N/A</v>
        <stp/>
        <stp>BDH|11843704979096796729</stp>
        <tr r="AR42" s="338"/>
      </tp>
      <tp t="e">
        <v>#N/A</v>
        <stp/>
        <stp>BDH|15128226031827893333</stp>
        <tr r="AN44" s="338"/>
        <tr r="AS10" s="338"/>
        <tr r="AN48" s="338"/>
        <tr r="AN47" s="338"/>
        <tr r="AS53" s="338"/>
      </tp>
      <tp t="s">
        <v>USD</v>
        <stp/>
        <stp>BDP|2710784205974410109|22</stp>
        <stp>ASHR US 02/20/26 C35 Equity</stp>
        <stp>QUOTED_CURRENCY_REALTIME</stp>
        <tr r="G4" s="2"/>
        <tr r="F33" s="89"/>
      </tp>
      <tp t="s">
        <v>#N/A Real Time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>
        <v>1.82</v>
        <stp/>
        <stp>BDP|4599874367472431977|22</stp>
        <stp>NFLX US 03/20/26 C104 Equity</stp>
        <stp>ask</stp>
        <tr r="Q23" s="2"/>
        <tr r="L203" s="89"/>
      </tp>
      <tp t="s">
        <v>#N/A Requesting Data...3824280939</v>
        <stp/>
        <stp>BDP|13921657160013760129</stp>
        <tr r="Q9" s="338"/>
      </tp>
      <tp t="s">
        <v>#N/A Requesting Data...3202494582</v>
        <stp/>
        <stp>BDP|10801083268771247632</stp>
        <tr r="D90" s="89"/>
      </tp>
      <tp t="s">
        <v>#N/A N/A</v>
        <stp/>
        <stp>BDP|15745616861094850060</stp>
        <tr r="F8" s="2"/>
      </tp>
      <tp t="s">
        <v>#N/A Requesting Data...1753321787</v>
        <stp/>
        <stp>BDP|11564281632755019465</stp>
        <tr r="D76" s="89"/>
      </tp>
      <tp t="s">
        <v>#N/A N/A</v>
        <stp/>
        <stp>BDP|16715867013956947830</stp>
        <tr r="Z56" s="89"/>
        <tr r="AA56" s="89"/>
      </tp>
      <tp t="s">
        <v>#N/A N/A</v>
        <stp/>
        <stp>BDP|16930560419574755798</stp>
        <tr r="C5" s="2"/>
      </tp>
      <tp t="s">
        <v>#N/A Requesting Data...2701764952</v>
        <stp/>
        <stp>BDP|10145720918890433776</stp>
        <tr r="T10" s="2"/>
        <tr r="O180" s="89"/>
      </tp>
      <tp t="s">
        <v>#N/A Requesting Data...2006905946</v>
        <stp/>
        <stp>BDP|12055500611067822013</stp>
        <tr r="AJ31" s="338"/>
        <tr r="AJ32" s="338"/>
        <tr r="AH31" s="338"/>
        <tr r="AH32" s="338"/>
      </tp>
      <tp t="s">
        <v>#N/A Requesting Data...2884226031</v>
        <stp/>
        <stp>BDP|10712352949092709470</stp>
        <tr r="AA19" s="89"/>
        <tr r="Z19" s="89"/>
      </tp>
      <tp t="s">
        <v>#N/A N/A</v>
        <stp/>
        <stp>BDP|15821976686341099434</stp>
        <tr r="AB38" s="1"/>
      </tp>
      <tp t="s">
        <v>#N/A N/A</v>
        <stp/>
        <stp>BDP|10676361279917372202</stp>
        <tr r="AR30" s="2"/>
      </tp>
      <tp t="s">
        <v>#N/A Requesting Data...3415437154</v>
        <stp/>
        <stp>BDP|15783676161145872136</stp>
        <tr r="O12" s="252"/>
      </tp>
      <tp t="s">
        <v>#N/A N/A</v>
        <stp/>
        <stp>BDP|10827554593684445907</stp>
        <tr r="AG36" s="1"/>
      </tp>
      <tp t="s">
        <v>#N/A Requesting Data...2104257600</v>
        <stp/>
        <stp>BDP|10651894387614235500</stp>
        <tr r="V138" s="89"/>
      </tp>
      <tp t="s">
        <v>#N/A N/A</v>
        <stp/>
        <stp>BDP|10435868994421818135</stp>
        <tr r="C28" s="2"/>
      </tp>
      <tp t="s">
        <v>#N/A N/A</v>
        <stp/>
        <stp>BDP|10107602623444913161</stp>
        <tr r="AF25" s="1"/>
      </tp>
      <tp t="s">
        <v>#N/A Requesting Data...1804732212</v>
        <stp/>
        <stp>BDP|10810205343763374450</stp>
        <tr r="Q45" s="338"/>
      </tp>
      <tp t="s">
        <v>#N/A Requesting Data...2800233021</v>
        <stp/>
        <stp>BDP|18017376398746707540</stp>
        <tr r="G37" s="446"/>
      </tp>
      <tp t="s">
        <v>#N/A N/A</v>
        <stp/>
        <stp>BDP|17365785494690778868</stp>
        <tr r="E5" s="1"/>
        <tr r="K22" s="1"/>
      </tp>
      <tp t="s">
        <v>#N/A Requesting Data...4185082196</v>
        <stp/>
        <stp>BDP|11154785569869703897</stp>
        <tr r="V101" s="89"/>
      </tp>
      <tp t="s">
        <v>#N/A N/A</v>
        <stp/>
        <stp>BDP|15429373874678916801</stp>
        <tr r="D21" s="2"/>
        <tr r="C55" s="89"/>
      </tp>
      <tp t="s">
        <v>#N/A Requesting Data...3305603839</v>
        <stp/>
        <stp>BDP|13462113802766482523</stp>
        <tr r="P51" s="338"/>
      </tp>
      <tp t="s">
        <v>#N/A Requesting Data...4168280652</v>
        <stp/>
        <stp>BDP|13507309990980542809</stp>
        <tr r="P54" s="338"/>
      </tp>
      <tp t="s">
        <v>#N/A N/A</v>
        <stp/>
        <stp>BDP|18272532924646044856</stp>
        <tr r="AR8" s="2"/>
      </tp>
      <tp t="s">
        <v>#N/A N/A</v>
        <stp/>
        <stp>BDP|11658442792988593552</stp>
        <tr r="AC20" s="1"/>
      </tp>
      <tp t="s">
        <v>#N/A Requesting Data...3705638829</v>
        <stp/>
        <stp>BDP|13251961527568785177</stp>
        <tr r="L41" s="338"/>
        <tr r="H41" s="338"/>
        <tr r="L42" s="338"/>
        <tr r="H42" s="338"/>
      </tp>
      <tp t="s">
        <v>#N/A Requesting Data...1668813501</v>
        <stp/>
        <stp>BDP|10532025680450781936</stp>
        <tr r="T53" s="338"/>
      </tp>
      <tp t="s">
        <v>#N/A Requesting Data...3444576698</v>
        <stp/>
        <stp>BDP|15584846954420486925</stp>
        <tr r="V30" s="338"/>
      </tp>
      <tp t="s">
        <v>#N/A Requesting Data...2084484490</v>
        <stp/>
        <stp>BDP|12417922592843377049</stp>
        <tr r="V50" s="338"/>
      </tp>
      <tp t="s">
        <v>#N/A Requesting Data...2758350703</v>
        <stp/>
        <stp>BDP|15633972697785552118</stp>
        <tr r="V115" s="89"/>
      </tp>
      <tp t="s">
        <v>#N/A N/A</v>
        <stp/>
        <stp>BDP|15698160403534380128</stp>
        <tr r="AB21" s="1"/>
      </tp>
      <tp t="s">
        <v>#N/A Requesting Data...4113818566</v>
        <stp/>
        <stp>BDP|11998355979195097173</stp>
        <tr r="T160" s="89"/>
      </tp>
      <tp t="s">
        <v>#N/A Requesting Data...3221014638</v>
        <stp/>
        <stp>BDP|16353514989043023996</stp>
        <tr r="AH14" s="338"/>
        <tr r="AH35" s="338"/>
        <tr r="AJ14" s="338"/>
        <tr r="AJ35" s="338"/>
      </tp>
      <tp t="s">
        <v>#N/A N/A</v>
        <stp/>
        <stp>BDP|12456380201726902619</stp>
        <tr r="AA50" s="89"/>
        <tr r="Z50" s="89"/>
      </tp>
      <tp t="s">
        <v>#N/A Requesting Data...3129095576</v>
        <stp/>
        <stp>BDP|11157579934717202151</stp>
        <tr r="V136" s="89"/>
      </tp>
      <tp t="s">
        <v>#N/A Requesting Data...3423648852</v>
        <stp/>
        <stp>BDP|16176003730321499511</stp>
        <tr r="L9" s="338"/>
        <tr r="J9" s="338"/>
      </tp>
      <tp t="s">
        <v>#N/A Requesting Data...2573924007</v>
        <stp/>
        <stp>BDP|16488629082059415041</stp>
        <tr r="M15" s="252"/>
      </tp>
      <tp t="s">
        <v>#N/A Requesting Data...4055390683</v>
        <stp/>
        <stp>BDP|11452432341638018820</stp>
        <tr r="Q36" s="338"/>
      </tp>
      <tp t="s">
        <v>#N/A Requesting Data...1958150572</v>
        <stp/>
        <stp>BDP|13170702077463225105</stp>
        <tr r="V102" s="89"/>
      </tp>
      <tp t="s">
        <v>#N/A Requesting Data...3080270052</v>
        <stp/>
        <stp>BDP|18267029483522135357</stp>
        <tr r="C19" s="89"/>
      </tp>
      <tp t="s">
        <v>#N/A Requesting Data...2353522444</v>
        <stp/>
        <stp>BDP|15665722340580183729</stp>
        <tr r="AH17" s="338"/>
        <tr r="AH18" s="338"/>
      </tp>
      <tp t="s">
        <v>#N/A Requesting Data...3312078422</v>
        <stp/>
        <stp>BDP|10682710845653266163</stp>
        <tr r="E96" s="89"/>
      </tp>
      <tp t="s">
        <v>#N/A N/A</v>
        <stp/>
        <stp>BDP|10764751743486083471</stp>
        <tr r="E4" s="2"/>
      </tp>
      <tp t="s">
        <v>#N/A N/A</v>
        <stp/>
        <stp>BDP|14562048524442507562</stp>
        <tr r="AA49" s="89"/>
        <tr r="Z49" s="89"/>
      </tp>
      <tp t="s">
        <v>#N/A N/A</v>
        <stp/>
        <stp>BDP|12960822580902463195</stp>
        <tr r="R153" s="89"/>
        <tr r="R154" s="89"/>
      </tp>
      <tp t="s">
        <v>#N/A Requesting Data...2797419195</v>
        <stp/>
        <stp>BDP|14914589903223067341</stp>
        <tr r="AH31" s="338"/>
        <tr r="AH32" s="338"/>
      </tp>
      <tp t="e">
        <v>#N/A</v>
        <stp/>
        <stp>BDH|16763037868238630981</stp>
        <tr r="AP42" s="338"/>
        <tr r="AP41" s="338"/>
      </tp>
      <tp t="e">
        <v>#N/A</v>
        <stp/>
        <stp>BDH|12563309375500901774</stp>
        <tr r="AN18" s="338"/>
        <tr r="AN17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Data...3674035111</v>
        <stp/>
        <stp>BDP|11378499958311300781</stp>
        <tr r="Q44" s="338"/>
      </tp>
      <tp t="s">
        <v>#N/A Requesting Data...2336779678</v>
        <stp/>
        <stp>BDP|10297523734239490992</stp>
        <tr r="F19" s="446"/>
      </tp>
      <tp t="s">
        <v>#N/A Requesting Data...2836516024</v>
        <stp/>
        <stp>BDP|12796713228197729608</stp>
        <tr r="P20" s="252"/>
      </tp>
      <tp t="s">
        <v>#N/A Requesting Data...2081449129</v>
        <stp/>
        <stp>BDP|14277784462456832595</stp>
        <tr r="L17" s="338"/>
        <tr r="L18" s="338"/>
        <tr r="H17" s="338"/>
        <tr r="H18" s="338"/>
      </tp>
      <tp t="s">
        <v>#N/A N/A</v>
        <stp/>
        <stp>BDP|17424699323975103062</stp>
        <tr r="K28" s="1"/>
      </tp>
      <tp t="s">
        <v>#N/A Requesting Data...3103941836</v>
        <stp/>
        <stp>BDP|13066894584424507113</stp>
        <tr r="AA186" s="89"/>
        <tr r="Z186" s="89"/>
      </tp>
      <tp t="s">
        <v>#N/A Requesting Data...2950317689</v>
        <stp/>
        <stp>BDP|17797289754802274410</stp>
        <tr r="AH16" s="338"/>
        <tr r="AH38" s="338"/>
        <tr r="AH40" s="338"/>
      </tp>
      <tp t="s">
        <v>#N/A Requesting Data...3753031597</v>
        <stp/>
        <stp>BDP|10811773521330276340</stp>
        <tr r="F42" s="446"/>
      </tp>
      <tp t="s">
        <v>#N/A Requesting Data...2752014593</v>
        <stp/>
        <stp>BDP|10555016852265553684</stp>
        <tr r="AD5" s="2"/>
        <tr r="V222" s="89"/>
      </tp>
      <tp t="s">
        <v>#N/A N/A</v>
        <stp/>
        <stp>BDP|13421433827402325180</stp>
        <tr r="C33" s="2"/>
      </tp>
      <tp t="s">
        <v>#N/A Requesting Data...3685011248</v>
        <stp/>
        <stp>BDP|11364787337662503131</stp>
        <tr r="L48" s="338"/>
        <tr r="J48" s="338"/>
        <tr r="L49" s="338"/>
        <tr r="J49" s="338"/>
      </tp>
      <tp t="s">
        <v>#N/A Requesting Data...2366514577</v>
        <stp/>
        <stp>BDP|10592355801820537596</stp>
        <tr r="V225" s="89"/>
      </tp>
      <tp t="s">
        <v>#N/A N/A</v>
        <stp/>
        <stp>BDP|17222791692139571612</stp>
        <tr r="C19" s="2"/>
      </tp>
      <tp t="s">
        <v>#N/A Requesting Data...4158937941</v>
        <stp/>
        <stp>BDP|12754284242295866781</stp>
        <tr r="Y6" s="252"/>
      </tp>
      <tp t="s">
        <v>#N/A Requesting Data...2967429683</v>
        <stp/>
        <stp>BDP|18269203655158880133</stp>
        <tr r="F39" s="446"/>
      </tp>
      <tp t="s">
        <v>#N/A Requesting Data...2873630685</v>
        <stp/>
        <stp>BDP|12227291512562192542</stp>
        <tr r="AJ37" s="338"/>
      </tp>
      <tp>
        <v>25623</v>
        <stp/>
        <stp>BDP|5290294231774893874|22</stp>
        <stp>4OH6 Index</stp>
        <stp>LAST_PRICE</stp>
        <tr r="S153" s="89"/>
        <tr r="S154" s="89"/>
      </tp>
      <tp t="s">
        <v>#N/A Requesting Data...3547887336</v>
        <stp/>
        <stp>BDP|16951549404092060765</stp>
        <tr r="V109" s="89"/>
      </tp>
      <tp t="s">
        <v>#N/A Requesting Data...2300237568</v>
        <stp/>
        <stp>BDP|14465682678745316685</stp>
        <tr r="V171" s="89"/>
      </tp>
      <tp t="s">
        <v>#N/A Requesting Data...3899225189</v>
        <stp/>
        <stp>BDP|11386689669882555588</stp>
        <tr r="E122" s="89"/>
      </tp>
      <tp t="s">
        <v>#N/A N/A</v>
        <stp/>
        <stp>BDP|16786358086579802228</stp>
        <tr r="E22" s="2"/>
      </tp>
      <tp t="s">
        <v>#N/A Requesting Data...2360580813</v>
        <stp/>
        <stp>BDP|16385386864915757060</stp>
        <tr r="T54" s="338"/>
      </tp>
      <tp t="s">
        <v>#N/A N/A</v>
        <stp/>
        <stp>BDP|11967224370684341665</stp>
        <tr r="T17" s="2"/>
        <tr r="T18" s="2"/>
      </tp>
      <tp t="s">
        <v>#N/A N/A</v>
        <stp/>
        <stp>BDP|13639162762852624052</stp>
        <tr r="AF28" s="1"/>
        <tr r="AF29" s="1"/>
      </tp>
      <tp t="s">
        <v>#N/A Requesting Data...3569835348</v>
        <stp/>
        <stp>BDP|16302213673966019302</stp>
        <tr r="V224" s="89"/>
      </tp>
      <tp t="s">
        <v>#N/A Requesting Data...2166101665</v>
        <stp/>
        <stp>BDP|14172029208847257580</stp>
        <tr r="V42" s="338"/>
      </tp>
      <tp t="s">
        <v>#N/A N/A</v>
        <stp/>
        <stp>BDP|13817818016325631992</stp>
        <tr r="AA32" s="2"/>
      </tp>
      <tp t="s">
        <v>#N/A Requesting Data...2834793242</v>
        <stp/>
        <stp>BDP|17101265217926745477</stp>
        <tr r="D26" s="89"/>
      </tp>
      <tp t="s">
        <v>#N/A Requesting Data...3033514294</v>
        <stp/>
        <stp>BDP|10374609618263940213</stp>
        <tr r="S30" s="338"/>
      </tp>
      <tp t="s">
        <v>#N/A Requesting Data...2115422993</v>
        <stp/>
        <stp>BDP|11156706822837900596</stp>
        <tr r="V51" s="338"/>
      </tp>
      <tp t="s">
        <v>#N/A N/A</v>
        <stp/>
        <stp>BDP|10137680139817712447</stp>
        <tr r="AC17" s="2"/>
        <tr r="AC18" s="2"/>
        <tr r="AC19" s="2"/>
        <tr r="AC20" s="2"/>
      </tp>
      <tp t="s">
        <v>#N/A Requesting Data...4120698988</v>
        <stp/>
        <stp>BDP|18365939499897354990</stp>
        <tr r="D160" s="89"/>
      </tp>
      <tp t="s">
        <v>#N/A Requesting Data...2229954974</v>
        <stp/>
        <stp>BDP|15452088774745294193</stp>
        <tr r="Z14" s="89"/>
        <tr r="AA14" s="89"/>
      </tp>
      <tp t="s">
        <v>#N/A Requesting Data...3104109473</v>
        <stp/>
        <stp>BDP|11064610705050727104</stp>
        <tr r="V137" s="89"/>
      </tp>
      <tp t="s">
        <v>#N/A Requesting Data...4280164827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Data...3234634705</v>
        <stp/>
        <stp>BDP|16272552922964616315</stp>
        <tr r="T129" s="89"/>
      </tp>
      <tp t="s">
        <v>#N/A Requesting Data...1796650822</v>
        <stp/>
        <stp>BDP|15499496769336397755</stp>
        <tr r="Z68" s="89"/>
        <tr r="AA68" s="89"/>
      </tp>
      <tp t="s">
        <v>#N/A N/A</v>
        <stp/>
        <stp>BDP|13411331071224771530</stp>
        <tr r="F30" s="2"/>
      </tp>
      <tp t="s">
        <v>#N/A Requesting Data...3373792045</v>
        <stp/>
        <stp>BDP|10078809003498061665</stp>
        <tr r="AH12" s="338"/>
      </tp>
      <tp t="s">
        <v>#N/A Requesting Data...2983351499</v>
        <stp/>
        <stp>BDP|11277689408467201656</stp>
        <tr r="T13" s="338"/>
      </tp>
      <tp t="s">
        <v>#N/A Requesting Data...3269710431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Data...4262771064</v>
        <stp/>
        <stp>BDP|10427861548958967244</stp>
        <tr r="AJ55" s="338"/>
        <tr r="AK14" s="338"/>
        <tr r="AK55" s="338"/>
      </tp>
      <tp t="s">
        <v>#N/A Requesting Data...3735377850</v>
        <stp/>
        <stp>BDP|14552342430987446525</stp>
        <tr r="C68" s="89"/>
      </tp>
      <tp t="s">
        <v>#N/A Requesting Data...4073401127</v>
        <stp/>
        <stp>BDP|12964383061440508121</stp>
        <tr r="S49" s="338"/>
      </tp>
      <tp t="s">
        <v>#N/A Requesting Data...2901670891</v>
        <stp/>
        <stp>BDP|17935753969917403773</stp>
        <tr r="F11" s="252"/>
      </tp>
      <tp t="s">
        <v>#N/A Requesting Data...4290342270</v>
        <stp/>
        <stp>BDP|16562085350705983025</stp>
        <tr r="D223" s="89"/>
      </tp>
      <tp t="s">
        <v>#N/A N/A</v>
        <stp/>
        <stp>BDP|10542746004898665953</stp>
        <tr r="AR21" s="2"/>
      </tp>
      <tp t="s">
        <v>#N/A Requesting Data...4068260716</v>
        <stp/>
        <stp>BDP|12893396681958013760</stp>
        <tr r="C95" s="89"/>
      </tp>
      <tp t="e">
        <v>#N/A</v>
        <stp/>
        <stp>BDH|10658776607639471809</stp>
        <tr r="J18" s="252"/>
      </tp>
      <tp>
        <v>18</v>
        <stp/>
        <stp>BDP|5005092167591802286|22</stp>
        <stp>META US 04/17/26 C690 Equity</stp>
        <stp>bid</stp>
        <tr r="P9" s="2"/>
        <tr r="K170" s="89"/>
        <tr r="K179" s="89"/>
      </tp>
      <tp t="s">
        <v>#N/A Requesting Data...3836182919</v>
        <stp/>
        <stp>BDP|14882631572614102616</stp>
        <tr r="S10" s="252"/>
      </tp>
      <tp t="s">
        <v>#N/A N/A</v>
        <stp/>
        <stp>BDP|14222470646161364298</stp>
        <tr r="C12" s="2"/>
        <tr r="C13" s="2"/>
      </tp>
      <tp t="s">
        <v>#N/A Requesting Data...1892500278</v>
        <stp/>
        <stp>BDP|13396250829954504031</stp>
        <tr r="T5" s="2"/>
        <tr r="O222" s="89"/>
      </tp>
      <tp t="s">
        <v>#N/A N/A</v>
        <stp/>
        <stp>BDP|15405352618855239533</stp>
        <tr r="E31" s="2"/>
      </tp>
      <tp t="s">
        <v>#N/A Requesting Data...1843938597</v>
        <stp/>
        <stp>BDP|16419783378891865042</stp>
        <tr r="E246" s="89"/>
      </tp>
      <tp t="s">
        <v>#N/A N/A</v>
        <stp/>
        <stp>BDP|17370707244810639397</stp>
        <tr r="AC5" s="2"/>
        <tr r="AC6" s="2"/>
      </tp>
      <tp t="s">
        <v>#N/A Requesting Data...1980697808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N/A</v>
        <stp/>
        <stp>BDP|10775000831607606384</stp>
        <tr r="AB27" s="1"/>
      </tp>
      <tp t="s">
        <v>#N/A Requesting Data...2646135241</v>
        <stp/>
        <stp>BDP|15404493773766767722</stp>
        <tr r="G36" s="446"/>
      </tp>
      <tp t="s">
        <v>#N/A Requesting Data...1819488339</v>
        <stp/>
        <stp>BDP|10498485443064599312</stp>
        <tr r="X50" s="338"/>
      </tp>
      <tp t="s">
        <v>#N/A Requesting Data...4041407012</v>
        <stp/>
        <stp>BDP|15078283603585761571</stp>
        <tr r="O171" s="89"/>
      </tp>
      <tp t="s">
        <v>#N/A Requesting Data...3462877446</v>
        <stp/>
        <stp>BDP|18114698683463557242</stp>
        <tr r="AG9" s="338"/>
      </tp>
      <tp t="s">
        <v>#N/A Requesting Data...3526948103</v>
        <stp/>
        <stp>BDP|14185986357608085749</stp>
        <tr r="V44" s="338"/>
      </tp>
      <tp t="s">
        <v>#N/A Requesting Data...4069770117</v>
        <stp/>
        <stp>BDP|13775077133931138686</stp>
        <tr r="AH41" s="338"/>
        <tr r="AH42" s="338"/>
        <tr r="AJ41" s="338"/>
        <tr r="AJ42" s="338"/>
      </tp>
      <tp t="s">
        <v>#N/A Requesting Data...2958802848</v>
        <stp/>
        <stp>BDP|14232577743505528792</stp>
        <tr r="F7" s="252"/>
      </tp>
      <tp t="s">
        <v>#N/A N/A</v>
        <stp/>
        <stp>BDP|14556104661927858316</stp>
        <tr r="K6" s="1"/>
      </tp>
      <tp t="s">
        <v>#N/A Requesting Data...3452296798</v>
        <stp/>
        <stp>BDP|12341108167772818008</stp>
        <tr r="T35" s="338"/>
      </tp>
      <tp t="s">
        <v>#N/A N/A</v>
        <stp/>
        <stp>BDP|10253727379283384458</stp>
        <tr r="D22" s="2"/>
        <tr r="C56" s="89"/>
      </tp>
      <tp t="s">
        <v>#N/A Requesting Data...2215742120</v>
        <stp/>
        <stp>BDP|11763676684369362182</stp>
        <tr r="E39" s="89"/>
      </tp>
      <tp t="s">
        <v>#N/A Requesting Data...2408025065</v>
        <stp/>
        <stp>BDP|13772195236723550526</stp>
        <tr r="X55" s="338"/>
      </tp>
      <tp t="s">
        <v>#N/A Requesting Data...3548357916</v>
        <stp/>
        <stp>BDP|17465284925626707608</stp>
        <tr r="D10" s="2"/>
        <tr r="C180" s="89"/>
      </tp>
      <tp t="s">
        <v>#N/A Requesting Data...1819767807</v>
        <stp/>
        <stp>BDP|17524118567766475161</stp>
        <tr r="F20" s="252"/>
      </tp>
      <tp t="s">
        <v>#N/A Requesting Data...3844153324</v>
        <stp/>
        <stp>BDP|13483096816386354391</stp>
        <tr r="S54" s="338"/>
      </tp>
      <tp t="s">
        <v>#N/A Requesting Data...2588940002</v>
        <stp/>
        <stp>BDP|16190103000157320731</stp>
        <tr r="V144" s="89"/>
      </tp>
      <tp t="s">
        <v>#N/A Requesting Data...2086194156</v>
        <stp/>
        <stp>BDP|10941657103897871662</stp>
        <tr r="O7" s="89"/>
      </tp>
      <tp t="s">
        <v>#N/A Requesting Data...2374418631</v>
        <stp/>
        <stp>BDP|16520019600419644837</stp>
        <tr r="E33" s="89"/>
      </tp>
      <tp t="s">
        <v>#N/A Requesting Data...4292198893</v>
        <stp/>
        <stp>BDP|18300697183042109391</stp>
        <tr r="O240" s="89"/>
      </tp>
      <tp t="s">
        <v>#N/A Requesting Data...2930854153</v>
        <stp/>
        <stp>BDP|12052868717818962496</stp>
        <tr r="AI32" s="338"/>
        <tr r="AI46" s="338"/>
        <tr r="AI50" s="338"/>
        <tr r="AI8" s="338"/>
      </tp>
      <tp t="s">
        <v>#N/A Requesting Data...3888007660</v>
        <stp/>
        <stp>BDP|12678050625094398357</stp>
        <tr r="AC32" s="1"/>
        <tr r="AC33" s="1"/>
        <tr r="AC35" s="1"/>
        <tr r="AC34" s="1"/>
        <tr r="D35" s="446"/>
      </tp>
      <tp t="s">
        <v>#N/A N/A</v>
        <stp/>
        <stp>BDP|10174429034410523025</stp>
        <tr r="E6" s="2"/>
      </tp>
      <tp t="s">
        <v>#N/A Requesting Data...2269661165</v>
        <stp/>
        <stp>BDP|14466338705836267600</stp>
        <tr r="C186" s="89"/>
      </tp>
      <tp t="s">
        <v>#N/A N/A</v>
        <stp/>
        <stp>BDP|16610644456344429603</stp>
        <tr r="T62" s="89"/>
      </tp>
      <tp t="s">
        <v>#N/A N/A</v>
        <stp/>
        <stp>BDP|12696369723990354409</stp>
        <tr r="C22" s="2"/>
      </tp>
      <tp t="s">
        <v>#N/A N/A</v>
        <stp/>
        <stp>BDP|13691107662271159260</stp>
        <tr r="AR27" s="2"/>
      </tp>
      <tp t="s">
        <v>#N/A Requesting Data...3613043856</v>
        <stp/>
        <stp>BDP|15357058437984658543</stp>
        <tr r="E108" s="89"/>
      </tp>
      <tp t="s">
        <v>#N/A N/A</v>
        <stp/>
        <stp>BDP|12154390655083748095</stp>
        <tr r="AG40" s="1"/>
      </tp>
      <tp t="s">
        <v>#N/A Requesting Data...2967233989</v>
        <stp/>
        <stp>BDP|14052534874542781326</stp>
        <tr r="T8" s="89"/>
      </tp>
      <tp t="s">
        <v>#N/A Requesting Data...2677495080</v>
        <stp/>
        <stp>BDP|10809595656630258773</stp>
        <tr r="N8" s="252"/>
        <tr r="N8" s="252"/>
      </tp>
      <tp t="s">
        <v>#N/A Requesting Data...3711681473</v>
        <stp/>
        <stp>BDP|11136935115988096638</stp>
        <tr r="AJ17" s="338"/>
        <tr r="AJ18" s="338"/>
      </tp>
      <tp t="s">
        <v>#N/A Requesting Data...2534050000</v>
        <stp/>
        <stp>BDP|17117535562106038540</stp>
        <tr r="X35" s="338"/>
      </tp>
      <tp t="s">
        <v>#N/A Requesting Data...3464450934</v>
        <stp/>
        <stp>BDP|10373550785669020349</stp>
        <tr r="Q18" s="338"/>
      </tp>
      <tp t="s">
        <v>#N/A Requesting Data...1844179152</v>
        <stp/>
        <stp>BDP|11947265064485960753</stp>
        <tr r="U32" s="338"/>
      </tp>
      <tp t="s">
        <v>#N/A N/A</v>
        <stp/>
        <stp>BDP|14775072652717603137</stp>
        <tr r="O62" s="89"/>
      </tp>
      <tp t="s">
        <v>#N/A Requesting Data...4055137166</v>
        <stp/>
        <stp>BDP|13561760801782380171</stp>
        <tr r="AA11" s="2"/>
        <tr r="T234" s="89"/>
      </tp>
      <tp t="s">
        <v>#N/A N/A</v>
        <stp/>
        <stp>BDP|13856641820218803820</stp>
        <tr r="AB13" s="1"/>
      </tp>
      <tp t="e">
        <v>#N/A</v>
        <stp/>
        <stp>BDH|10029166644816771487</stp>
        <tr r="AU36" s="338"/>
        <tr r="AU37" s="338"/>
        <tr r="AU34" s="338"/>
        <tr r="AU35" s="338"/>
        <tr r="AP50" s="338"/>
        <tr r="AP51" s="338"/>
      </tp>
      <tp t="e">
        <v>#N/A</v>
        <stp/>
        <stp>BDH|14841814459759862757</stp>
        <tr r="T19" s="252"/>
        <tr r="W19" s="252"/>
      </tp>
      <tp t="e">
        <v>#N/A</v>
        <stp/>
        <stp>BDH|17663640529772248671</stp>
        <tr r="J15" s="252"/>
      </tp>
      <tp>
        <v>87.61</v>
        <stp/>
        <stp>BDP|9722167412074972561|22</stp>
        <stp>MXCN Index</stp>
        <stp>LAST_PRICE</stp>
        <tr r="H17" s="252"/>
        <tr r="H17" s="252"/>
      </tp>
      <tp>
        <v>-0.31952488422393799</v>
        <stp/>
        <stp>BDP|18418713240494206607|22</stp>
        <stp>MRVL US 03/20/26 P75 Equity</stp>
        <stp>DELTA_MID_RT</stp>
        <tr r="AF16" s="2"/>
      </tp>
      <tp t="s">
        <v>USD</v>
        <stp/>
        <stp>BDP|8663214507502170487|22</stp>
        <stp>MU US 03/20/26 P350 Equity</stp>
        <stp>QUOTED_CURRENCY_REALTIME</stp>
        <tr r="F81" s="89"/>
      </tp>
      <tp>
        <v>1.58</v>
        <stp/>
        <stp>BDP|9219352217858311461|22</stp>
        <stp>NFLX US 03/20/26 C105 Equity</stp>
        <stp>bid</stp>
        <tr r="K186" s="89"/>
      </tp>
      <tp>
        <v>8.0500000000000007</v>
        <stp/>
        <stp>BDP|8554484547271150911|22</stp>
        <stp>META US 04/17/26 C750 Equity</stp>
        <stp>ask</stp>
        <tr r="L169" s="89"/>
        <tr r="L178" s="89"/>
        <tr r="L233" s="89"/>
      </tp>
      <tp>
        <v>17</v>
        <stp/>
        <stp>BDP|1921472545453340531|22</stp>
        <stp>MSFT US 06/18/26 P425 Equity</stp>
        <stp>ask</stp>
        <tr r="L213" s="89"/>
      </tp>
      <tp>
        <v>-0.28391098976135254</v>
        <stp/>
        <stp>BDP|14374594026987326529|22</stp>
        <stp>MSFT US 06/18/26 P425 Equity</stp>
        <stp>DELTA_MID_RT</stp>
        <tr r="W213" s="89"/>
      </tp>
      <tp t="s">
        <v>#N/A Requesting Data...3278267388</v>
        <stp/>
        <stp>BDP|16351185019962298098</stp>
        <tr r="AA7" s="2"/>
        <tr r="T26" s="89"/>
      </tp>
      <tp t="s">
        <v>#N/A N/A</v>
        <stp/>
        <stp>BDP|11978278325994517174</stp>
        <tr r="D19" s="2"/>
      </tp>
      <tp t="s">
        <v>#N/A N/A</v>
        <stp/>
        <stp>BDP|17506313141244542095</stp>
        <tr r="T21" s="2"/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8" s="2"/>
        <tr r="AQ7" s="2"/>
        <tr r="AB26" s="89"/>
        <tr r="AB27" s="89"/>
      </tp>
      <tp t="s">
        <v>#N/A Requesting Data...2471934541</v>
        <stp/>
        <stp>BDP|10441895032989795603</stp>
        <tr r="AI11" s="338"/>
      </tp>
      <tp t="s">
        <v>#N/A Requesting Data...2567544106</v>
        <stp/>
        <stp>BDP|14441106816594061499</stp>
        <tr r="C123" s="89"/>
      </tp>
      <tp t="s">
        <v>#N/A N/A</v>
        <stp/>
        <stp>BDP|12860442788122732887</stp>
        <tr r="E21" s="2"/>
      </tp>
      <tp t="s">
        <v>#N/A N/A</v>
        <stp/>
        <stp>BDP|18129626680660034281</stp>
        <tr r="AB25" s="1"/>
      </tp>
      <tp t="s">
        <v>#N/A Requesting Data...2702768918</v>
        <stp/>
        <stp>BDP|16150678046234374495</stp>
        <tr r="T37" s="338"/>
      </tp>
      <tp t="s">
        <v>#N/A Requesting Data...1923318392</v>
        <stp/>
        <stp>BDP|11019717141062892428</stp>
        <tr r="D222" s="89"/>
      </tp>
      <tp t="s">
        <v>#N/A Requesting Data...2851378515</v>
        <stp/>
        <stp>BDP|15887487297509862523</stp>
        <tr r="AA30" s="2"/>
        <tr r="T196" s="89"/>
      </tp>
      <tp t="s">
        <v>#N/A Requesting Data...2978443324</v>
        <stp/>
        <stp>BDP|11174255088816885991</stp>
        <tr r="Z13" s="89"/>
        <tr r="AA13" s="89"/>
      </tp>
      <tp t="s">
        <v>#N/A Requesting Data...2488380702</v>
        <stp/>
        <stp>BDP|16648266400645825550</stp>
        <tr r="T239" s="89"/>
      </tp>
      <tp t="s">
        <v>#N/A Requesting Data...4108504146</v>
        <stp/>
        <stp>BDP|13677881495424052263</stp>
        <tr r="V46" s="338"/>
      </tp>
      <tp t="s">
        <v>#N/A Requesting Data...1986785451</v>
        <stp/>
        <stp>BDP|17810208191751672937</stp>
        <tr r="U53" s="338"/>
      </tp>
      <tp t="s">
        <v>#N/A Requesting Data...2622851008</v>
        <stp/>
        <stp>BDP|13362587002474685639</stp>
        <tr r="G33" s="446"/>
      </tp>
      <tp t="s">
        <v>#N/A Requesting Data...2274387381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Data...2617996513</v>
        <stp/>
        <stp>BDP|10953387444814317799</stp>
        <tr r="S18" s="252"/>
      </tp>
      <tp t="s">
        <v>#N/A Requesting Data...4035168079</v>
        <stp/>
        <stp>BDP|16095389787508071105</stp>
        <tr r="V11" s="338"/>
      </tp>
      <tp t="s">
        <v>#N/A Requesting Data...3071953257</v>
        <stp/>
        <stp>BDP|11580587764812660407</stp>
        <tr r="P48" s="338"/>
      </tp>
      <tp t="s">
        <v>#N/A Requesting Data...2433410877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Data...1873067308</v>
        <stp/>
        <stp>BDP|15878521351180442107</stp>
        <tr r="D109" s="89"/>
      </tp>
      <tp t="s">
        <v>#N/A Requesting Data...2734588059</v>
        <stp/>
        <stp>BDP|13970059459100158254</stp>
        <tr r="AA5" s="2"/>
        <tr r="T222" s="89"/>
      </tp>
      <tp t="s">
        <v>#N/A Requesting Data...3090239773</v>
        <stp/>
        <stp>BDP|10930560316549062982</stp>
        <tr r="C160" s="89"/>
      </tp>
      <tp t="s">
        <v>#N/A Requesting Data...3889263460</v>
        <stp/>
        <stp>BDP|12303206642558827886</stp>
        <tr r="T213" s="89"/>
      </tp>
      <tp t="s">
        <v>#N/A Requesting Data...3813543968</v>
        <stp/>
        <stp>BDP|16023917640776957980</stp>
        <tr r="AI11" s="338"/>
        <tr r="AK11" s="338"/>
      </tp>
      <tp t="s">
        <v>#N/A Requesting Data...2846745985</v>
        <stp/>
        <stp>BDP|14637573115865648116</stp>
        <tr r="Q42" s="338"/>
      </tp>
      <tp t="s">
        <v>#N/A Requesting Data...2425824331</v>
        <stp/>
        <stp>BDP|14437871301241284935</stp>
        <tr r="AJ36" s="338"/>
      </tp>
      <tp t="s">
        <v>#N/A Requesting Data...2862420882</v>
        <stp/>
        <stp>BDP|11214745035248274920</stp>
        <tr r="V32" s="338"/>
      </tp>
      <tp t="s">
        <v>#N/A Requesting Data...2537585488</v>
        <stp/>
        <stp>BDP|12168490429210433067</stp>
        <tr r="AA9" s="2"/>
        <tr r="T170" s="89"/>
        <tr r="T179" s="89"/>
      </tp>
      <tp t="s">
        <v>#N/A Requesting Data...2298146806</v>
        <stp/>
        <stp>BDP|11625676250200786659</stp>
        <tr r="T32" s="338"/>
      </tp>
      <tp t="s">
        <v>#N/A Requesting Data...4224062827</v>
        <stp/>
        <stp>BDP|13296159244091423359</stp>
        <tr r="P29" s="338"/>
      </tp>
      <tp t="s">
        <v>#N/A N/A</v>
        <stp/>
        <stp>BDP|18042899846108511886</stp>
        <tr r="AB250" s="89"/>
      </tp>
      <tp t="s">
        <v>#N/A Requesting Data...2879967457</v>
        <stp/>
        <stp>BDP|10190934152880793852</stp>
        <tr r="X52" s="338"/>
      </tp>
      <tp t="s">
        <v>#N/A Requesting Data...2310382537</v>
        <stp/>
        <stp>BDP|14059396921424230587</stp>
        <tr r="AF36" s="1"/>
        <tr r="AF14" s="338"/>
        <tr r="AF35" s="338"/>
      </tp>
      <tp t="s">
        <v>#N/A Requesting Data...4176227229</v>
        <stp/>
        <stp>BDP|12679894611876997952</stp>
        <tr r="S44" s="338"/>
      </tp>
      <tp t="s">
        <v>#N/A N/A</v>
        <stp/>
        <stp>BDP|12362248812136683317</stp>
        <tr r="AR22" s="2"/>
      </tp>
      <tp t="s">
        <v>#N/A N/A</v>
        <stp/>
        <stp>BDP|16872480006000637658</stp>
        <tr r="E24" s="2"/>
      </tp>
      <tp t="s">
        <v>#N/A Requesting Data...2327746641</v>
        <stp/>
        <stp>BDP|17956776735294864366</stp>
        <tr r="E145" s="89"/>
      </tp>
      <tp t="s">
        <v>#N/A Requesting Data...2970320556</v>
        <stp/>
        <stp>BDP|13164210523337526031</stp>
        <tr r="E89" s="89"/>
      </tp>
      <tp t="s">
        <v>#N/A Requesting Data...3787223655</v>
        <stp/>
        <stp>BDP|13308136376503377200</stp>
        <tr r="Q37" s="338"/>
      </tp>
      <tp t="s">
        <v>#N/A Requesting Data...3133598719</v>
        <stp/>
        <stp>BDP|10130888374289856216</stp>
        <tr r="U13" s="338"/>
      </tp>
      <tp t="s">
        <v>#N/A Requesting Data...2775441938</v>
        <stp/>
        <stp>BDP|11025769754705706214</stp>
        <tr r="V40" s="89"/>
      </tp>
      <tp t="s">
        <v>#N/A Requesting Data...3262494297</v>
        <stp/>
        <stp>BDP|12072061123567199335</stp>
        <tr r="X16" s="338"/>
        <tr r="X38" s="338"/>
      </tp>
      <tp t="s">
        <v>#N/A Requesting Data...2479296459</v>
        <stp/>
        <stp>BDP|10337841861653211939</stp>
        <tr r="F14" s="446"/>
      </tp>
      <tp t="s">
        <v>#N/A Requesting Data...3361250677</v>
        <stp/>
        <stp>BDP|13510264833692721404</stp>
        <tr r="U49" s="338"/>
      </tp>
      <tp t="s">
        <v>#N/A Requesting Data...2048388028</v>
        <stp/>
        <stp>BDP|10643918097663219742</stp>
        <tr r="T11" s="2"/>
        <tr r="O234" s="89"/>
      </tp>
      <tp t="s">
        <v>#N/A N/A</v>
        <stp/>
        <stp>BDP|11243430201469561835</stp>
        <tr r="AI30" s="1"/>
        <tr r="AI31" s="1"/>
      </tp>
      <tp t="e">
        <v>#N/A</v>
        <stp/>
        <stp>BDH|11177573729511626386</stp>
        <tr r="AS9" s="338"/>
      </tp>
      <tp t="e">
        <v>#N/A</v>
        <stp/>
        <stp>BDH|14197686332175384085</stp>
        <tr r="AM12" s="338"/>
      </tp>
      <tp t="s">
        <v>#N/A Real Time</v>
        <stp/>
        <stp>BDP|1386421501419148260|22</stp>
        <stp>MP US 09/19/25 P46 Equity</stp>
        <stp>DELTA_MID_RT</stp>
        <tr r="W240" s="89"/>
      </tp>
      <tp t="e">
        <v>#N/A</v>
        <stp/>
        <stp>BDH|12561900690815787365</stp>
        <tr r="AS46" s="338"/>
        <tr r="AS32" s="338"/>
        <tr r="AS8" s="338"/>
        <tr r="AS50" s="338"/>
      </tp>
      <tp t="e">
        <v>#N/A</v>
        <stp/>
        <stp>BDH|14787871165809047737</stp>
        <tr r="J10" s="252"/>
      </tp>
      <tp t="e">
        <v>#N/A</v>
        <stp/>
        <stp>BDH|13324261932336121007</stp>
        <tr r="AM29" s="338"/>
        <tr r="AM30" s="338"/>
      </tp>
      <tp t="e">
        <v>#N/A</v>
        <stp/>
        <stp>BDH|10678415928571263304</stp>
        <tr r="AR13" s="338"/>
      </tp>
      <tp>
        <v>23.4</v>
        <stp/>
        <stp>BDP|7023975285926683061|22</stp>
        <stp>MSFT US 03/20/26 P465 Equity</stp>
        <stp>bid</stp>
        <tr r="P20" s="2"/>
      </tp>
      <tp t="s">
        <v>#N/A Requesting Data...3735983544</v>
        <stp/>
        <stp>BDP|10508197528283416594</stp>
        <tr r="X48" s="338"/>
      </tp>
      <tp t="s">
        <v>#N/A Requesting Data...2863443256</v>
        <stp/>
        <stp>BDP|13237779298780743820</stp>
        <tr r="E212" s="89"/>
      </tp>
      <tp t="s">
        <v>#N/A N/A</v>
        <stp/>
        <stp>BDP|10976567873595722239</stp>
        <tr r="AV26" s="2"/>
        <tr r="AV27" s="2"/>
        <tr r="AV28" s="2"/>
        <tr r="AV32" s="2"/>
        <tr r="AV33" s="2"/>
        <tr r="R19" s="89"/>
        <tr r="R20" s="89"/>
        <tr r="R195" s="89"/>
        <tr r="R197" s="89"/>
        <tr r="R196" s="89"/>
        <tr r="R14" s="89"/>
        <tr r="R13" s="89"/>
        <tr r="AV30" s="2"/>
        <tr r="AV31" s="2"/>
        <tr r="AV29" s="2"/>
      </tp>
      <tp t="s">
        <v>#N/A Requesting Data...2183391365</v>
        <stp/>
        <stp>BDP|15688066863846340087</stp>
        <tr r="D28" s="446"/>
      </tp>
      <tp t="s">
        <v>#N/A Requesting Data...3686752252</v>
        <stp/>
        <stp>BDP|10174366559095309654</stp>
        <tr r="Z137" s="89"/>
        <tr r="AA137" s="89"/>
      </tp>
      <tp t="s">
        <v>#N/A Requesting Data...3070037129</v>
        <stp/>
        <stp>BDP|10361349057583872009</stp>
        <tr r="V39" s="89"/>
      </tp>
      <tp t="s">
        <v>#N/A Requesting Data...3519348413</v>
        <stp/>
        <stp>BDP|15767057305588506896</stp>
        <tr r="AH10" s="338"/>
        <tr r="AH11" s="338"/>
        <tr r="AH33" s="338"/>
      </tp>
      <tp t="s">
        <v>#N/A N/A</v>
        <stp/>
        <stp>BDP|14868045061080696708</stp>
        <tr r="V63" s="89"/>
      </tp>
      <tp t="s">
        <v>#N/A Requesting Data...2330556112</v>
        <stp/>
        <stp>BDP|17763782502797373253</stp>
        <tr r="Q30" s="338"/>
      </tp>
      <tp t="s">
        <v>#N/A N/A</v>
        <stp/>
        <stp>BDP|12598914732268945550</stp>
        <tr r="E10" s="1"/>
      </tp>
      <tp t="s">
        <v>#N/A Requesting Data...3842166877</v>
        <stp/>
        <stp>BDP|10946231384896009942</stp>
        <tr r="N15" s="252"/>
        <tr r="N15" s="252"/>
      </tp>
      <tp t="s">
        <v>#N/A Requesting Data...2274616195</v>
        <stp/>
        <stp>BDP|10968744678995921066</stp>
        <tr r="C82" s="89"/>
      </tp>
      <tp t="s">
        <v>#N/A Requesting Data...2991298154</v>
        <stp/>
        <stp>BDP|11098096253680456149</stp>
        <tr r="P16" s="338"/>
        <tr r="P38" s="338"/>
      </tp>
      <tp t="s">
        <v>#N/A Requesting Data...1992389729</v>
        <stp/>
        <stp>BDP|12490577043850363694</stp>
        <tr r="D9" s="2"/>
        <tr r="C170" s="89"/>
        <tr r="C179" s="89"/>
      </tp>
      <tp t="s">
        <v>#N/A Requesting Data...3440234737</v>
        <stp/>
        <stp>BDP|10787623999933097918</stp>
        <tr r="L10" s="252"/>
        <tr r="L10" s="252"/>
      </tp>
      <tp t="s">
        <v>#N/A Requesting Data...3077506807</v>
        <stp/>
        <stp>BDP|12736980550379200202</stp>
        <tr r="O250" s="89"/>
      </tp>
      <tp t="s">
        <v>#N/A Requesting Data...2281050868</v>
        <stp/>
        <stp>BDP|15872646771885299421</stp>
        <tr r="F16" s="446"/>
      </tp>
      <tp t="s">
        <v>#N/A Requesting Data...4128624104</v>
        <stp/>
        <stp>BDP|17880720944415059422</stp>
        <tr r="E247" s="89"/>
      </tp>
      <tp t="s">
        <v>#N/A Requesting Data...2366285862</v>
        <stp/>
        <stp>BDP|17220718142881835059</stp>
        <tr r="F14" s="252"/>
      </tp>
      <tp t="s">
        <v>#N/A Requesting Data...2819562546</v>
        <stp/>
        <stp>BDP|12558430699342487846</stp>
        <tr r="E187" s="89"/>
      </tp>
      <tp t="s">
        <v>#N/A Requesting Data...2162450279</v>
        <stp/>
        <stp>BDP|10915356470915794440</stp>
        <tr r="C69" s="89"/>
      </tp>
      <tp t="s">
        <v>#N/A N/A</v>
        <stp/>
        <stp>BDP|15051140014688420859</stp>
        <tr r="AC12" s="1"/>
      </tp>
      <tp t="s">
        <v>#N/A Requesting Data...2171337592</v>
        <stp/>
        <stp>BDP|11160692723917345791</stp>
        <tr r="C169" s="89"/>
        <tr r="C178" s="89"/>
        <tr r="C233" s="89"/>
      </tp>
      <tp t="s">
        <v>#N/A Requesting Data...3911981549</v>
        <stp/>
        <stp>BDP|13738518813242630024</stp>
        <tr r="U55" s="338"/>
      </tp>
      <tp t="s">
        <v>#N/A Requesting Data...3682574898</v>
        <stp/>
        <stp>BDP|16068368952433220674</stp>
        <tr r="D145" s="89"/>
      </tp>
      <tp t="s">
        <v>#N/A Requesting Data...2486753544</v>
        <stp/>
        <stp>BDP|10646909745071508967</stp>
        <tr r="T39" s="89"/>
      </tp>
      <tp t="s">
        <v>#N/A Requesting Data...2307459535</v>
        <stp/>
        <stp>BDP|12179875355908478271</stp>
        <tr r="Q40" s="338"/>
      </tp>
      <tp t="s">
        <v>#N/A Requesting Data...4079179708</v>
        <stp/>
        <stp>BDP|12804773501081882168</stp>
        <tr r="AA39" s="89"/>
        <tr r="Z39" s="89"/>
      </tp>
      <tp t="s">
        <v>#N/A Requesting Data...2490703786</v>
        <stp/>
        <stp>BDP|10830522917212474394</stp>
        <tr r="M6" s="252"/>
      </tp>
      <tp t="s">
        <v>#N/A N/A</v>
        <stp/>
        <stp>BDP|13449047331402957787</stp>
        <tr r="F16" s="2"/>
      </tp>
      <tp t="s">
        <v>#N/A Requesting Data...3911001165</v>
        <stp/>
        <stp>BDP|18084406293147533752</stp>
        <tr r="D25" s="2"/>
        <tr r="C205" s="89"/>
      </tp>
      <tp t="s">
        <v>#N/A Requesting Data...3101331231</v>
        <stp/>
        <stp>BDP|14342024613619901985</stp>
        <tr r="AB41" s="1"/>
        <tr r="F32" s="446"/>
      </tp>
      <tp t="s">
        <v>#N/A Requesting Data...4048214407</v>
        <stp/>
        <stp>BDP|17882539857607640595</stp>
        <tr r="AG54" s="338"/>
      </tp>
      <tp t="s">
        <v>#N/A Requesting Data...2037021022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Requesting Data...3782924963</v>
        <stp/>
        <stp>BDP|14364243933651738112</stp>
        <tr r="V213" s="89"/>
      </tp>
      <tp t="s">
        <v>#N/A Requesting Data...3599987892</v>
        <stp/>
        <stp>BDP|10511277652532461062</stp>
        <tr r="Z90" s="89"/>
        <tr r="AA90" s="89"/>
      </tp>
      <tp t="s">
        <v>#N/A Requesting Data...2304256555</v>
        <stp/>
        <stp>BDP|10502345237505392003</stp>
        <tr r="E239" s="89"/>
      </tp>
      <tp t="s">
        <v>#N/A Requesting Data...3518306459</v>
        <stp/>
        <stp>BDP|14655831860859350630</stp>
        <tr r="L13" s="338"/>
        <tr r="J13" s="338"/>
      </tp>
      <tp t="s">
        <v>#N/A N/A</v>
        <stp/>
        <stp>BDP|12932290900667287274</stp>
        <tr r="AR9" s="2"/>
      </tp>
      <tp t="s">
        <v>#N/A N/A</v>
        <stp/>
        <stp>BDP|18269255641489268206</stp>
        <tr r="AC28" s="1"/>
        <tr r="AC29" s="1"/>
      </tp>
      <tp t="s">
        <v>#N/A N/A</v>
        <stp/>
        <stp>BDP|15660791077340487089</stp>
        <tr r="E1" s="1"/>
        <tr r="K30" s="1"/>
      </tp>
      <tp t="s">
        <v>#N/A Requesting Data...4112640041</v>
        <stp/>
        <stp>BDP|10749732335826116771</stp>
        <tr r="D224" s="89"/>
      </tp>
      <tp t="s">
        <v>#N/A Requesting Data...2792396762</v>
        <stp/>
        <stp>BDP|17137121905651590241</stp>
        <tr r="Z234" s="89"/>
        <tr r="AA234" s="89"/>
      </tp>
      <tp t="s">
        <v>#N/A Requesting Data...3499062217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Data...2216864250</v>
        <stp/>
        <stp>BDP|11838573161432005595</stp>
        <tr r="C187" s="89"/>
      </tp>
      <tp t="s">
        <v>#N/A Requesting Data...3471349427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Data...3641337161</v>
        <stp/>
        <stp>BDP|11370170641465778442</stp>
        <tr r="T9" s="2"/>
        <tr r="O170" s="89"/>
        <tr r="O179" s="89"/>
      </tp>
      <tp t="e">
        <v>#N/A</v>
        <stp/>
        <stp>BDH|14131773964710507045</stp>
        <tr r="J9" s="252"/>
      </tp>
      <tp t="e">
        <v>#N/A</v>
        <stp/>
        <stp>BDH|11568613461670791477</stp>
        <tr r="AM14" s="338"/>
        <tr r="AM35" s="338"/>
      </tp>
      <tp t="e">
        <v>#N/A</v>
        <stp/>
        <stp>BDH|11321447396089307095</stp>
        <tr r="AP14" s="338"/>
        <tr r="AP35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W10" s="252"/>
        <tr r="T10" s="252"/>
      </tp>
    </main>
    <main first="bofaddin.rtdserver">
      <tp>
        <v>15333.04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263.19</v>
        <stp/>
        <stp>BDP|7062867511992634566|22</stp>
        <stp>IWM EQUITY</stp>
        <stp>LAST_PRICE</stp>
        <tr r="I8" s="1"/>
      </tp>
      <tp>
        <v>-0.19473376870155334</v>
        <stp/>
        <stp>BDP|16965813729943912763|22</stp>
        <stp>META US 04/17/26 C690 Equity</stp>
        <stp>theta_mid_rt</stp>
        <tr r="AN9" s="2"/>
      </tp>
      <tp>
        <v>33.68</v>
        <stp/>
        <stp>BDP|16778716474861008512|22</stp>
        <stp>ASHR US Equity</stp>
        <stp>LAST_PRICE</stp>
        <tr r="Z4" s="2"/>
        <tr r="S34" s="89"/>
        <tr r="S33" s="89"/>
      </tp>
      <tp t="s">
        <v>USD</v>
        <stp/>
        <stp>BDP|9713863465002422091|22</stp>
        <stp>AMAT US 01/16/26 P290 Equity</stp>
        <stp>QUOTED_CURRENCY_REALTIME</stp>
        <tr r="F62" s="89"/>
      </tp>
      <tp>
        <v>-0.22146664559841156</v>
        <stp/>
        <stp>BDP|14334277381563954133|22</stp>
        <stp>META US 04/17/26 P600 Equity</stp>
        <stp>theta_mid_rt</stp>
        <tr r="AN10" s="2"/>
      </tp>
      <tp>
        <v>0.33410555124282837</v>
        <stp/>
        <stp>BDP|7693333295143193813|22</stp>
        <stp>TSM US 01/16/26 C335 Equity</stp>
        <stp>DELTA_MID_RT</stp>
        <tr r="W195" s="89"/>
        <tr r="AF29" s="2"/>
      </tp>
      <tp>
        <v>329.17</v>
        <stp/>
        <stp>BDP|3640688530268900014|22</stp>
        <stp>V Equity</stp>
        <stp>LAST_PRICE</stp>
        <tr r="I40" s="1"/>
      </tp>
      <tp>
        <v>-4.2298473417758942E-2</v>
        <stp/>
        <stp>BDP|13749696635708035376|22</stp>
        <stp>NFLX US 03/20/26 P83 Equity</stp>
        <stp>theta_mid_rt</stp>
        <tr r="AN25" s="2"/>
      </tp>
      <tp>
        <v>213.2</v>
        <stp/>
        <stp>BDP|14695328540844976221|22</stp>
        <stp>GSENEPOW Equity</stp>
        <stp>LAST PRICE</stp>
        <tr r="G41" s="338"/>
        <tr r="G42" s="338"/>
      </tp>
      <tp>
        <v>-0.39143440127372742</v>
        <stp/>
        <stp>BDP|881815071269395294|22</stp>
        <stp>META US 04/17/26 P600 Equity</stp>
        <stp>DELTA_MID_RT</stp>
        <tr r="AF10" s="2"/>
        <tr r="W180" s="89"/>
      </tp>
      <tp>
        <v>3.65</v>
        <stp/>
        <stp>BDP|987830207547293499|22</stp>
        <stp>MSFT US 06/18/26 C585 Equity</stp>
        <stp>bid</stp>
        <tr r="K211" s="89"/>
      </tp>
      <tp>
        <v>-1.2572935819625854</v>
        <stp/>
        <stp>BDP|614684021956002900|22</stp>
        <stp>TSM US 01/16/26 P325 Equity</stp>
        <stp>theta_mid_rt</stp>
        <tr r="AN30" s="2"/>
      </tp>
      <tp t="s">
        <v>#N/A Real Time</v>
        <stp/>
        <stp>BDP|4480144096505489759|22</stp>
        <stp>MRYWZ4C4 2390 Index</stp>
        <stp>DELTA_MID_RT</stp>
        <tr r="W129" s="89"/>
      </tp>
      <tp>
        <v>301.89</v>
        <stp/>
        <stp>BDP|497348669375754624|22</stp>
        <stp>AMAT Equity</stp>
        <stp>LAST_PRICE</stp>
        <tr r="I38" s="1"/>
      </tp>
      <tp>
        <v>1263.72</v>
        <stp/>
        <stp>BDP|15490560954416168559|22</stp>
        <stp>ASML US Equity</stp>
        <stp>LAST_PRICE</stp>
        <tr r="S49" s="89"/>
        <tr r="S50" s="89"/>
      </tp>
      <tp t="s">
        <v>#N/A Real Time</v>
        <stp/>
        <stp>BDP|8671606719947634072|22</stp>
        <stp>4EM5P    6025 Index</stp>
        <stp>DELTA_MID_RT</stp>
        <tr r="W137" s="89"/>
      </tp>
      <tp>
        <v>-0.21603673696517944</v>
        <stp/>
        <stp>BDP|3861495059700349310|22</stp>
        <stp>TSM US 01/16/26 P315 Equity</stp>
        <stp>DELTA_MID_RT</stp>
        <tr r="W197" s="89"/>
        <tr r="AF31" s="2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339.89</v>
        <stp/>
        <stp>BDP|17019897193923426340|22</stp>
        <stp>AVGO US Equity</stp>
        <stp>LAST_PRICE</stp>
        <tr r="Z5" s="2"/>
        <tr r="Z6" s="2"/>
        <tr r="S222" s="89"/>
        <tr r="S224" s="89"/>
        <tr r="S251" s="89"/>
        <tr r="S225" s="89"/>
        <tr r="S223" s="89"/>
      </tp>
      <tp t="s">
        <v>USD</v>
        <stp/>
        <stp>BDP|1051047005765910697|22</stp>
        <stp>NFLX US 03/20/26 C104 Equity</stp>
        <stp>QUOTED_CURRENCY_REALTIME</stp>
        <tr r="G23" s="2"/>
        <tr r="F203" s="89"/>
      </tp>
      <tp t="s">
        <v>USD</v>
        <stp/>
        <stp>BDP|1113382661488442523|22</stp>
        <stp>MSFT US 06/18/26 P425 Equity</stp>
        <stp>QUOTED_CURRENCY_REALTIME</stp>
        <tr r="F21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388.35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>
        <v>1.25</v>
        <stp/>
        <stp>BDP|43340872943663814|22</stp>
        <stp>QQQ US 01/16/26 C625 Equity</stp>
        <stp>bid</stp>
        <tr r="K7" s="89"/>
      </tp>
      <tp t="s">
        <v>#N/A Real Time</v>
        <stp/>
        <stp>BDP|9893971634581157776|22</stp>
        <stp>RTYWU5C3 2425 Index</stp>
        <stp>DELTA_MID_RT</stp>
        <tr r="W144" s="89"/>
      </tp>
      <tp>
        <v>63.55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Data...3228730900</v>
        <stp/>
        <stp>BDP|3297967097008051</stp>
        <tr r="AA223" s="89"/>
        <tr r="Z223" s="89"/>
      </tp>
      <tp>
        <v>-0.19877101480960846</v>
        <stp/>
        <stp>BDP|12672802728808900930|22</stp>
        <stp>META US 04/17/26 P570 Equity</stp>
        <stp>theta_mid_rt</stp>
        <tr r="AN11" s="2"/>
      </tp>
      <tp>
        <v>329.17</v>
        <stp/>
        <stp>BDP|4205875099267338750|22</stp>
        <stp>V Equity</stp>
        <stp>LAST PRICE</stp>
        <tr r="G15" s="338"/>
        <tr r="G39" s="338"/>
        <tr r="I40" s="338"/>
      </tp>
      <tp>
        <v>327.11</v>
        <stp/>
        <stp>BDP|5454315708850008901|22</stp>
        <stp>TSM EQUITY</stp>
        <stp>LAST_PRICE</stp>
        <tr r="C3" s="1"/>
      </tp>
      <tp>
        <v>-0.55500906705856323</v>
        <stp/>
        <stp>BDP|15792950336144286205|22</stp>
        <stp>LITE US 02/20/26 C400 Equity</stp>
        <stp>theta_mid_rt</stp>
        <tr r="AN7" s="2"/>
      </tp>
      <tp t="s">
        <v>USD</v>
        <stp/>
        <stp>BDP|2808392671408788250|22</stp>
        <stp>MSFT US 03/20/26 C490 Equity</stp>
        <stp>QUOTED_CURRENCY_REALTIME</stp>
        <tr r="G19" s="2"/>
      </tp>
      <tp t="s">
        <v>#N/A Real Time</v>
        <stp/>
        <stp>BDP|3037632444073250464|22</stp>
        <stp>AVGO US 10/03/25 P330 Equity</stp>
        <stp>QUOTED_CURRENCY_REALTIME</stp>
        <tr r="F251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301.89</v>
        <stp/>
        <stp>BDP|14680776317739946594|22</stp>
        <stp>AMAT US Equity</stp>
        <stp>LAST_PRICE</stp>
        <tr r="S62" s="89"/>
        <tr r="S63" s="89"/>
        <tr r="S56" s="89"/>
        <tr r="S55" s="89"/>
        <tr r="Z22" s="2"/>
        <tr r="Z21" s="2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-9.0979998931288719E-3</v>
        <stp/>
        <stp>BDP|8686920176263700861|22</stp>
        <stp>QQQ US 01/13/26 P622 Equity</stp>
        <stp>DELTA_MID_RT</stp>
        <tr r="W69" s="89"/>
      </tp>
      <tp>
        <v>0.25856572389602661</v>
        <stp/>
        <stp>BDP|9887675920909760960|22</stp>
        <stp>QQQ US 01/16/26 C625 Equity</stp>
        <stp>DELTA_MID_RT</stp>
        <tr r="W7" s="89"/>
      </tp>
      <tp>
        <v>96.86</v>
        <stp/>
        <stp>BDP|8298849158053579169|22</stp>
        <stp>GDX  Equity</stp>
        <stp>LAST_PRICE</stp>
        <tr r="I18" s="1"/>
        <tr r="I19" s="1"/>
      </tp>
      <tp>
        <v>736000</v>
        <stp/>
        <stp>BDP|6431978350865048428|22</stp>
        <stp>000660 KS Equity</stp>
        <stp>LAST_PRICE</stp>
        <tr r="I25" s="1"/>
      </tp>
      <tp t="s">
        <v>USD</v>
        <stp/>
        <stp>BDP|8789910064232569805|22</stp>
        <stp>AMAT US 01/23/26 P290 Equity</stp>
        <stp>QUOTED_CURRENCY_REALTIME</stp>
        <tr r="F55" s="89"/>
        <tr r="G21" s="2"/>
      </tp>
      <tp>
        <v>-5.4976761341094971E-2</v>
        <stp/>
        <stp>BDP|15158621682476696755|22</stp>
        <stp>MRVL US 03/20/26 P75 Equity</stp>
        <stp>theta_mid_rt</stp>
        <tr r="AN16" s="2"/>
      </tp>
      <tp t="s">
        <v>USD</v>
        <stp/>
        <stp>BDP|13731996180516776875|22</stp>
        <stp>QQQ US 01/16/26 C625 Equity</stp>
        <stp>QUOTED_CURRENCY_REALTIME</stp>
        <tr r="F7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333.35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14.35</v>
        <stp/>
        <stp>BDP|959515516383838906|22</stp>
        <stp>AVGO US 06/18/26 P270 Equity</stp>
        <stp>ask</stp>
        <tr r="L225" s="89"/>
      </tp>
      <tp t="s">
        <v>USD</v>
        <stp/>
        <stp>BDP|15074544091963196264|22</stp>
        <stp>QQQ US 01/13/26 P622 Equity</stp>
        <stp>QUOTED_CURRENCY_REALTIME</stp>
        <tr r="F69" s="89"/>
      </tp>
      <tp t="s">
        <v>USD</v>
        <stp/>
        <stp>BDP|3970030095933477348|22</stp>
        <stp>LITE US 02/20/26 C400 Equity</stp>
        <stp>QUOTED_CURRENCY_REALTIME</stp>
        <tr r="G7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BDP|10587825295239007605|22</stp>
        <stp>TSM US 03/20/26 C300 Equity</stp>
        <stp>QUOTED_CURRENCY_REALTIME</stp>
        <tr r="G32" s="2"/>
      </tp>
      <tp>
        <v>0.31432250142097473</v>
        <stp/>
        <stp>BDP|724077634925384654|22</stp>
        <stp>MSFT US 06/18/26 C515 Equity</stp>
        <stp>DELTA_MID_RT</stp>
        <tr r="W212" s="89"/>
      </tp>
      <tp>
        <v>-1.5084000304341316E-2</v>
        <stp/>
        <stp>BDP|6555093673399371725|22</stp>
        <stp>SMH US 01/09/26 P355 Equity</stp>
        <stp>DELTA_MID_RT</stp>
        <tr r="W76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6277.4258</v>
        <stp/>
        <stp>BDP|12063806539307343070|22</stp>
        <stp>H11137 Index</stp>
        <stp>LAST_PRICE</stp>
        <tr r="H13" s="252"/>
        <tr r="H13" s="252"/>
      </tp>
      <tp>
        <v>236.65</v>
        <stp/>
        <stp>BDP|11431942920512482031|22</stp>
        <stp>AMZN US Equity</stp>
        <stp>LAST_PRICE</stp>
        <tr r="S248" s="89"/>
      </tp>
      <tp>
        <v>619.54999999999995</v>
        <stp/>
        <stp>BDP|360499996244621952|22</stp>
        <stp>QQQ US Equity</stp>
        <stp>LAST_PRICE</stp>
        <tr r="S7" s="89"/>
        <tr r="S8" s="89"/>
        <tr r="S68" s="89"/>
        <tr r="S69" s="89"/>
      </tp>
      <tp t="s">
        <v>USD</v>
        <stp/>
        <stp>BDP|4440794906767049796|22</stp>
        <stp>META US 04/17/26 P570 Equity</stp>
        <stp>QUOTED_CURRENCY_REALTIME</stp>
        <tr r="G11" s="2"/>
        <tr r="F234" s="89"/>
      </tp>
      <tp t="s">
        <v>#N/A Real Time</v>
        <stp/>
        <stp>BDP|15463751634066228508|22</stp>
        <stp>MRYWZ4C4 2390 Index</stp>
        <stp>ask</stp>
        <tr r="L129" s="89"/>
      </tp>
      <tp>
        <v>10.8</v>
        <stp/>
        <stp>BDP|7471545347057439094|22</stp>
        <stp>ASML US 01/23/26 P1200 Equity</stp>
        <stp>ask</stp>
        <tr r="L49" s="89"/>
      </tp>
      <tp>
        <v>615.52</v>
        <stp/>
        <stp>BDP|12884552599081678750|22</stp>
        <stp>META US Equity</stp>
        <stp>LAST_PRICE</stp>
        <tr r="Z9" s="2"/>
        <tr r="Z10" s="2"/>
        <tr r="Z11" s="2"/>
        <tr r="S169" s="89"/>
        <tr r="S170" s="89"/>
        <tr r="S171" s="89"/>
        <tr r="S178" s="89"/>
        <tr r="S180" s="89"/>
        <tr r="S233" s="89"/>
        <tr r="S249" s="89"/>
        <tr r="S234" s="89"/>
        <tr r="S179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-3.4523077309131622E-2</v>
        <stp/>
        <stp>BDP|14588396646094017920|22</stp>
        <stp>NFLX US 03/20/26 C104 Equity</stp>
        <stp>theta_mid_rt</stp>
        <tr r="AN23" s="2"/>
      </tp>
      <tp t="s">
        <v>USD</v>
        <stp/>
        <stp>BDP|10517002710019781904|22</stp>
        <stp>TSM US 03/20/26 C330 Equity</stp>
        <stp>QUOTED_CURRENCY_REALTIME</stp>
        <tr r="G33" s="2"/>
      </tp>
      <tp>
        <v>-6.0295961797237396E-2</v>
        <stp/>
        <stp>BDP|12438727553717188638|22</stp>
        <stp>MRVL US 03/20/26 P85 Equity</stp>
        <stp>theta_mid_rt</stp>
        <tr r="AN12" s="2"/>
        <tr r="AN13" s="2"/>
      </tp>
      <tp>
        <v>0.7</v>
        <stp/>
        <stp>BDP|4931331422744178730|22</stp>
        <stp>ASML US 01/23/26 P1100 Equity</stp>
        <stp>bid</stp>
        <tr r="K50" s="89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BDP|12936057370451495327|22</stp>
        <stp>TSM US 01/16/26 C335 Equity</stp>
        <stp>QUOTED_CURRENCY_REALTIME</stp>
        <tr r="F195" s="89"/>
        <tr r="G29" s="2"/>
      </tp>
      <tp>
        <v>-0.14794795215129852</v>
        <stp/>
        <stp>BDP|10245752736782328205|22</stp>
        <stp>MSFT US 03/20/26 C490 Equity</stp>
        <stp>theta_mid_rt</stp>
        <tr r="AN19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F169" s="89"/>
        <tr r="F178" s="89"/>
        <tr r="F233" s="89"/>
      </tp>
      <tp>
        <v>-0.40462383627891541</v>
        <stp/>
        <stp>BDP|16624195928833601507|22</stp>
        <stp>AMAT US 01/23/26 P290 Equity</stp>
        <stp>theta_mid_rt</stp>
        <tr r="AN21" s="2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>
        <v>619.54999999999995</v>
        <stp/>
        <stp>BDP|2689810960265066336|22</stp>
        <stp>QQQ EQUITY</stp>
        <stp>LAST_PRICE</stp>
        <tr r="I6" s="1"/>
      </tp>
      <tp t="e">
        <v>#N/A</v>
        <stp/>
        <stp>BDH|4387364125251947830</stp>
        <tr r="AN29" s="338"/>
        <tr r="AN30" s="338"/>
      </tp>
      <tp t="s">
        <v>#N/A Requesting Data...4191743724</v>
        <stp/>
        <stp>BDP|3970119255888163378</stp>
        <tr r="L35" s="338"/>
        <tr r="L14" s="338"/>
        <tr r="H14" s="338"/>
        <tr r="H35" s="338"/>
      </tp>
      <tp t="s">
        <v>#N/A Requesting Data...3267798638</v>
        <stp/>
        <stp>BDP|6079579929065496810</stp>
        <tr r="O17" s="252"/>
      </tp>
      <tp t="s">
        <v>#N/A Requesting Data...4198113723</v>
        <stp/>
        <stp>BDP|7892942422180160079</stp>
        <tr r="AF29" s="338"/>
        <tr r="AF30" s="338"/>
      </tp>
      <tp t="s">
        <v>#N/A N/A</v>
        <stp/>
        <stp>BDP|2222944900643905476</stp>
        <tr r="C17" s="2"/>
        <tr r="C18" s="2"/>
      </tp>
      <tp t="s">
        <v>#N/A N/A</v>
        <stp/>
        <stp>BDP|6875767680954769102</stp>
        <tr r="AR6" s="2"/>
      </tp>
      <tp t="s">
        <v>#N/A N/A</v>
        <stp/>
        <stp>BDP|7500005297250850236</stp>
        <tr r="K1" s="1"/>
      </tp>
      <tp t="s">
        <v>#N/A Requesting Data...2698465848</v>
        <stp/>
        <stp>BDP|7828562231434179977</stp>
        <tr r="G30" s="446"/>
      </tp>
      <tp t="s">
        <v>#N/A Requesting Data...3171077324</v>
        <stp/>
        <stp>BDP|5719360958046661910</stp>
        <tr r="U16" s="338"/>
        <tr r="U38" s="338"/>
      </tp>
      <tp t="s">
        <v>#N/A N/A</v>
        <stp/>
        <stp>BDP|8367283627072476679</stp>
        <tr r="AC30" s="1"/>
        <tr r="AC31" s="1"/>
      </tp>
      <tp t="s">
        <v>#N/A Requesting Data...4088424440</v>
        <stp/>
        <stp>BDP|6021078455249412694</stp>
        <tr r="AJ37" s="338"/>
      </tp>
      <tp t="s">
        <v>#N/A N/A</v>
        <stp/>
        <stp>BDP|4596394917382492801</stp>
        <tr r="AF10" s="1"/>
      </tp>
      <tp t="s">
        <v>#N/A N/A</v>
        <stp/>
        <stp>BDP|9335335511387856058</stp>
        <tr r="AG38" s="1"/>
      </tp>
      <tp t="s">
        <v>#N/A Requesting Data...3832152384</v>
        <stp/>
        <stp>BDP|9575588247930244448</stp>
        <tr r="V75" s="89"/>
      </tp>
      <tp t="s">
        <v>#N/A Requesting Data...2381092722</v>
        <stp/>
        <stp>BDP|6404917817581645389</stp>
        <tr r="O14" s="252"/>
      </tp>
      <tp t="s">
        <v>#N/A Requesting Data...3810171325</v>
        <stp/>
        <stp>BDP|5440496710448743461</stp>
        <tr r="D204" s="89"/>
      </tp>
      <tp t="s">
        <v>#N/A Requesting Data...2841846404</v>
        <stp/>
        <stp>BDP|2051806888628691635</stp>
        <tr r="AA76" s="89"/>
        <tr r="Z76" s="89"/>
      </tp>
      <tp t="s">
        <v>#N/A Requesting Data...2355046727</v>
        <stp/>
        <stp>BDP|3977826455803406179</stp>
        <tr r="Q16" s="338"/>
        <tr r="Q38" s="338"/>
      </tp>
      <tp t="s">
        <v>#N/A Requesting Data...2406651324</v>
        <stp/>
        <stp>BDP|4440581387012721712</stp>
        <tr r="AD8" s="2"/>
        <tr r="V27" s="89"/>
      </tp>
      <tp t="s">
        <v>#N/A Requesting Data...4103920153</v>
        <stp/>
        <stp>BDP|4738998939235389797</stp>
        <tr r="F8" s="446"/>
      </tp>
      <tp t="s">
        <v>#N/A N/A</v>
        <stp/>
        <stp>BDP|5357847351561143559</stp>
        <tr r="AG20" s="1"/>
      </tp>
      <tp t="s">
        <v>#N/A Requesting Data...3862621874</v>
        <stp/>
        <stp>BDP|1739808842002419330</stp>
        <tr r="C212" s="89"/>
      </tp>
      <tp t="s">
        <v>#N/A N/A</v>
        <stp/>
        <stp>BDP|2282995976142786289</stp>
        <tr r="AV5" s="2"/>
        <tr r="AV6" s="2"/>
        <tr r="R222" s="89"/>
        <tr r="R224" s="89"/>
        <tr r="R251" s="89"/>
        <tr r="R225" s="89"/>
        <tr r="R223" s="89"/>
      </tp>
      <tp t="s">
        <v>#N/A Requesting Data...3848090700</v>
        <stp/>
        <stp>BDP|8370148836023021531</stp>
        <tr r="AF37" s="1"/>
        <tr r="AF37" s="338"/>
      </tp>
      <tp t="s">
        <v>#N/A Requesting Data...2651743115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Data...3690242119</v>
        <stp/>
        <stp>BDP|5270872678817673187</stp>
        <tr r="O13" s="252"/>
      </tp>
      <tp t="e">
        <v>#N/A</v>
        <stp/>
        <stp>BDH|3323853076222650258</stp>
        <tr r="AN31" s="338"/>
        <tr r="AN32" s="338"/>
      </tp>
      <tp t="s">
        <v>#N/A Requesting Data...2432790597</v>
        <stp/>
        <stp>BDP|4170746265879602068</stp>
        <tr r="V239" s="89"/>
      </tp>
      <tp t="s">
        <v>#N/A N/A</v>
        <stp/>
        <stp>BDP|2737330982055463026</stp>
        <tr r="AG37" s="1"/>
      </tp>
      <tp t="s">
        <v>#N/A Requesting Data...2570203691</v>
        <stp/>
        <stp>BDP|3098041072779459130</stp>
        <tr r="E170" s="89"/>
        <tr r="E179" s="89"/>
      </tp>
      <tp t="s">
        <v>#N/A N/A</v>
        <stp/>
        <stp>BDP|1210735342618520671</stp>
        <tr r="AR26" s="2"/>
      </tp>
      <tp t="s">
        <v>#N/A Requesting Data...3474381745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Data...2196006171</v>
        <stp/>
        <stp>BDP|5489377534060375922</stp>
        <tr r="T145" s="89"/>
      </tp>
      <tp t="s">
        <v>#N/A Requesting Data...2377502719</v>
        <stp/>
        <stp>BDP|8229617246511068736</stp>
        <tr r="D23" s="2"/>
        <tr r="C203" s="89"/>
      </tp>
      <tp t="s">
        <v>#N/A Requesting Data...4102537426</v>
        <stp/>
        <stp>BDP|7547135630721272822</stp>
        <tr r="T29" s="338"/>
      </tp>
      <tp t="s">
        <v>#N/A Requesting Data...2219527661</v>
        <stp/>
        <stp>BDP|2323988918652251462</stp>
        <tr r="O211" s="89"/>
      </tp>
      <tp t="s">
        <v>#N/A Requesting Data...2442213410</v>
        <stp/>
        <stp>BDP|9515949913399601436</stp>
        <tr r="G25" s="446"/>
      </tp>
      <tp t="s">
        <v>#N/A N/A</v>
        <stp/>
        <stp>BDP|4846675545659434390</stp>
        <tr r="E11" s="2"/>
      </tp>
      <tp t="s">
        <v>#N/A Requesting Data...2285965492</v>
        <stp/>
        <stp>BDP|9712190854671951078</stp>
        <tr r="M16" s="252"/>
      </tp>
      <tp t="s">
        <v>#N/A Requesting Data...4081359260</v>
        <stp/>
        <stp>BDP|5511275398847971578</stp>
        <tr r="T45" s="338"/>
      </tp>
      <tp t="s">
        <v>#N/A Requesting Data...3874015192</v>
        <stp/>
        <stp>BDP|7331929777222298704</stp>
        <tr r="C248" s="89"/>
      </tp>
      <tp>
        <v>85.12</v>
        <stp/>
        <stp>BDP|7394371982457470369|22</stp>
        <stp>KBWB Equity</stp>
        <stp>LAST PRICE</stp>
        <tr r="G52" s="338"/>
        <tr r="G53" s="338"/>
        <tr r="G54" s="338"/>
      </tp>
      <tp>
        <v>20.3</v>
        <stp/>
        <stp>BDP|17536664525041773105|22</stp>
        <stp>TSM US 03/20/26 C330 Equity</stp>
        <stp>bid</stp>
        <tr r="P33" s="2"/>
      </tp>
      <tp t="e">
        <v>#N/A</v>
        <stp/>
        <stp>BDH|55161334785278600</stp>
        <tr r="AS41" s="338"/>
        <tr r="AS51" s="338"/>
        <tr r="AS33" s="338"/>
        <tr r="AN46" s="338"/>
        <tr r="AN45" s="338"/>
        <tr r="AS31" s="338"/>
        <tr r="AS47" s="338"/>
        <tr r="AN49" s="338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Data...2623967088</v>
        <stp/>
        <stp>BDP|5415224161148491497</stp>
        <tr r="O187" s="89"/>
      </tp>
      <tp t="s">
        <v>#N/A Requesting Data...2385123416</v>
        <stp/>
        <stp>BDP|9641015641826985650</stp>
        <tr r="U52" s="338"/>
      </tp>
      <tp t="s">
        <v>#N/A Requesting Data...3928316198</v>
        <stp/>
        <stp>BDP|6731818678664058062</stp>
        <tr r="C116" s="89"/>
      </tp>
      <tp t="s">
        <v>#N/A Requesting Data...3193354528</v>
        <stp/>
        <stp>BDP|3337761684491833019</stp>
        <tr r="F44" s="446"/>
      </tp>
      <tp t="s">
        <v>#N/A Requesting Data...3620952045</v>
        <stp/>
        <stp>BDP|4245700180187394193</stp>
        <tr r="E144" s="89"/>
      </tp>
      <tp t="s">
        <v>#N/A Requesting Data...3455202835</v>
        <stp/>
        <stp>BDP|2599954552966387584</stp>
        <tr r="V15" s="338"/>
        <tr r="V39" s="338"/>
      </tp>
      <tp t="s">
        <v>#N/A Requesting Data...2333104446</v>
        <stp/>
        <stp>BDP|6927294984968537987</stp>
        <tr r="C224" s="89"/>
      </tp>
      <tp t="s">
        <v>#N/A N/A</v>
        <stp/>
        <stp>BDP|9699474378527567053</stp>
        <tr r="AC26" s="1"/>
      </tp>
      <tp t="s">
        <v>#N/A N/A</v>
        <stp/>
        <stp>BDP|6011265162169474695</stp>
        <tr r="AG41" s="1"/>
      </tp>
      <tp t="s">
        <v>#N/A Requesting Data...4118735420</v>
        <stp/>
        <stp>BDP|4059296425981795825</stp>
        <tr r="T89" s="89"/>
      </tp>
      <tp t="s">
        <v>#N/A N/A</v>
        <stp/>
        <stp>BDP|7447730768218451347</stp>
        <tr r="T19" s="2"/>
      </tp>
      <tp t="s">
        <v>#N/A N/A</v>
        <stp/>
        <stp>BDP|6822986114586808509</stp>
        <tr r="AA16" s="2"/>
      </tp>
      <tp t="s">
        <v>#N/A Requesting Data...4010238237</v>
        <stp/>
        <stp>BDP|9592498748502103695</stp>
        <tr r="L7" s="252"/>
        <tr r="L7" s="252"/>
      </tp>
      <tp t="s">
        <v>#N/A Requesting Data...2380864117</v>
        <stp/>
        <stp>BDP|6754010884411976277</stp>
        <tr r="X44" s="338"/>
      </tp>
      <tp t="s">
        <v>#N/A Requesting Data...2415985064</v>
        <stp/>
        <stp>BDP|9209213470442778399</stp>
        <tr r="T81" s="89"/>
      </tp>
      <tp t="s">
        <v>#N/A Requesting Data...3421008620</v>
        <stp/>
        <stp>BDP|4958570254160242959</stp>
        <tr r="T33" s="338"/>
      </tp>
      <tp t="s">
        <v>#N/A Requesting Data...2313029692</v>
        <stp/>
        <stp>BDP|4678905769292619449</stp>
        <tr r="AK29" s="338"/>
      </tp>
      <tp t="s">
        <v>#N/A Requesting Data...2768030509</v>
        <stp/>
        <stp>BDP|7223883239641187000</stp>
        <tr r="G16" s="446"/>
      </tp>
      <tp t="s">
        <v>#N/A Requesting Data...2324815213</v>
        <stp/>
        <stp>BDP|5114854945934215018</stp>
        <tr r="AD9" s="2"/>
        <tr r="V170" s="89"/>
        <tr r="V179" s="89"/>
      </tp>
      <tp t="e">
        <v>#N/A</v>
        <stp/>
        <stp>BDH|6510200972726120845</stp>
        <tr r="T14" s="252"/>
        <tr r="W14" s="252"/>
      </tp>
      <tp t="e">
        <v>#N/A</v>
        <stp/>
        <stp>BDH|5914099313798392122</stp>
        <tr r="AR47" s="338"/>
        <tr r="AM46" s="338"/>
        <tr r="AR33" s="338"/>
        <tr r="AM49" s="338"/>
        <tr r="AR41" s="338"/>
        <tr r="AR51" s="338"/>
        <tr r="AM45" s="338"/>
        <tr r="AR31" s="338"/>
      </tp>
      <tp t="s">
        <v>#N/A N/A</v>
        <stp/>
        <stp>BDP|2437941904510102664</stp>
        <tr r="AI27" s="1"/>
      </tp>
      <tp t="s">
        <v>#N/A Requesting Data...3442035765</v>
        <stp/>
        <stp>BDP|8023230975554206472</stp>
        <tr r="U33" s="338"/>
      </tp>
      <tp t="s">
        <v>#N/A Requesting Data...3947298913</v>
        <stp/>
        <stp>BDP|2832828567039648888</stp>
        <tr r="D4" s="2"/>
        <tr r="C33" s="89"/>
      </tp>
      <tp t="s">
        <v>#N/A Requesting Data...2403058707</v>
        <stp/>
        <stp>BDP|1449141764908407306</stp>
        <tr r="F11" s="446"/>
      </tp>
      <tp t="e">
        <v>#N/A</v>
        <stp/>
        <stp>BDH|9790469810100110101</stp>
        <tr r="AU16" s="338"/>
        <tr r="AU52" s="338"/>
        <tr r="AU44" s="338"/>
        <tr r="AU38" s="338"/>
        <tr r="AU15" s="338"/>
        <tr r="AU39" s="338"/>
        <tr r="AU17" s="338"/>
      </tp>
      <tp t="s">
        <v>#N/A Requesting Data...3124616889</v>
        <stp/>
        <stp>BDP|6113923539666992720</stp>
        <tr r="N14" s="252"/>
        <tr r="N14" s="252"/>
      </tp>
      <tp t="s">
        <v>#N/A Requesting Data...4231569850</v>
        <stp/>
        <stp>BDP|1330841517185145005</stp>
        <tr r="V211" s="89"/>
      </tp>
      <tp t="s">
        <v>#N/A Requesting Data...3324417063</v>
        <stp/>
        <stp>BDP|7951947862590616582</stp>
        <tr r="AF32" s="1"/>
        <tr r="AF33" s="1"/>
        <tr r="AF34" s="1"/>
        <tr r="AF35" s="1"/>
        <tr r="AF13" s="338"/>
        <tr r="AF34" s="338"/>
      </tp>
      <tp t="s">
        <v>#N/A Requesting Data...2631144942</v>
        <stp/>
        <stp>BDP|9891481019803044282</stp>
        <tr r="G23" s="446"/>
      </tp>
      <tp t="s">
        <v>#N/A Requesting Data...3853486252</v>
        <stp/>
        <stp>BDP|8449844552959728130</stp>
        <tr r="E76" s="89"/>
      </tp>
      <tp t="s">
        <v>#N/A Requesting Data...2274270989</v>
        <stp/>
        <stp>BDP|8890689995642342808</stp>
        <tr r="V53" s="338"/>
      </tp>
      <tp t="s">
        <v>#N/A Requesting Data...3214653339</v>
        <stp/>
        <stp>BDP|2455215735317653905</stp>
        <tr r="E223" s="89"/>
      </tp>
      <tp t="s">
        <v>#N/A N/A</v>
        <stp/>
        <stp>BDP|1672936400533529679</stp>
        <tr r="R240" s="89"/>
        <tr r="R239" s="89"/>
      </tp>
      <tp t="s">
        <v>#N/A Requesting Data...2351754884</v>
        <stp/>
        <stp>BDP|9166486667196900003</stp>
        <tr r="E240" s="89"/>
      </tp>
      <tp t="s">
        <v>#N/A Requesting Data...2172575051</v>
        <stp/>
        <stp>BDP|7922404159852375974</stp>
        <tr r="E249" s="89"/>
      </tp>
      <tp t="s">
        <v>#N/A Requesting Data...2151543396</v>
        <stp/>
        <stp>BDP|7612533417436704812</stp>
        <tr r="AJ13" s="338"/>
        <tr r="AJ34" s="338"/>
      </tp>
      <tp t="s">
        <v>#N/A Requesting Data...3671356891</v>
        <stp/>
        <stp>BDP|9574059420494792234</stp>
        <tr r="L41" s="338"/>
        <tr r="L31" s="338"/>
        <tr r="L33" s="338"/>
        <tr r="L46" s="338"/>
        <tr r="L47" s="338"/>
        <tr r="J31" s="338"/>
        <tr r="J33" s="338"/>
        <tr r="J41" s="338"/>
        <tr r="L45" s="338"/>
        <tr r="H45" s="338"/>
        <tr r="H46" s="338"/>
        <tr r="J47" s="338"/>
        <tr r="L49" s="338"/>
        <tr r="H49" s="338"/>
        <tr r="L51" s="338"/>
        <tr r="J51" s="338"/>
      </tp>
      <tp t="s">
        <v>#N/A Requesting Data...2391902448</v>
        <stp/>
        <stp>BDP|3007975292676340821</stp>
        <tr r="G24" s="446"/>
      </tp>
      <tp t="s">
        <v>#N/A Requesting Data...3648132149</v>
        <stp/>
        <stp>BDP|5665815221263095138</stp>
        <tr r="E95" s="89"/>
      </tp>
      <tp t="s">
        <v>#N/A N/A</v>
        <stp/>
        <stp>BDP|7440440854553856897</stp>
        <tr r="F25" s="2"/>
      </tp>
      <tp t="s">
        <v>#N/A Requesting Data...2255575172</v>
        <stp/>
        <stp>BDP|3465264199005605087</stp>
        <tr r="V247" s="89"/>
      </tp>
      <tp t="e">
        <v>#N/A</v>
        <stp/>
        <stp>BDH|2114060395467773106</stp>
        <tr r="J16" s="252"/>
      </tp>
      <tp>
        <v>1.74</v>
        <stp/>
        <stp>BDP|14976247254411066307|22</stp>
        <stp>NFLX US 03/20/26 C104 Equity</stp>
        <stp>mid</stp>
        <tr r="L23" s="2"/>
      </tp>
      <tp>
        <v>14</v>
        <stp/>
        <stp>BDP|18096733178424916458|22</stp>
        <stp>AVGO US 06/18/26 P270 Equity</stp>
        <stp>bid</stp>
        <tr r="K225" s="89"/>
      </tp>
      <tp>
        <v>30.95</v>
        <stp/>
        <stp>BDP|10089550128122679017|22</stp>
        <stp>TSM US 06/18/26 C340 Equity</stp>
        <stp>ask</stp>
        <tr r="Q27" s="2"/>
        <tr r="L13" s="89"/>
      </tp>
      <tp t="s">
        <v>#N/A Requesting Data...3944008398</v>
        <stp/>
        <stp>BDP|5266989866390412427</stp>
        <tr r="D38" s="446"/>
      </tp>
      <tp t="s">
        <v>#N/A Requesting Data...4110814182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N/A</v>
        <stp/>
        <stp>BDP|5527710723047808956</stp>
        <tr r="T50" s="89"/>
      </tp>
      <tp t="s">
        <v>#N/A Requesting Data...2922452544</v>
        <stp/>
        <stp>BDP|5586265622589882234</stp>
        <tr r="T187" s="89"/>
      </tp>
      <tp t="s">
        <v>#N/A Requesting Data...3431446044</v>
        <stp/>
        <stp>BDP|3507742477994476993</stp>
        <tr r="D40" s="89"/>
      </tp>
      <tp t="s">
        <v>#N/A Requesting Data...3281673852</v>
        <stp/>
        <stp>BDP|8518419899713251871</stp>
        <tr r="X8" s="338"/>
      </tp>
      <tp t="s">
        <v>#N/A Requesting Data...2917148464</v>
        <stp/>
        <stp>BDP|6375542897924166091</stp>
        <tr r="C109" s="89"/>
      </tp>
      <tp t="s">
        <v>#N/A Requesting Data...3175486659</v>
        <stp/>
        <stp>BDP|6865956502756622717</stp>
        <tr r="AH36" s="338"/>
        <tr r="AJ36" s="338"/>
      </tp>
      <tp t="s">
        <v>#N/A Requesting Data...2357252685</v>
        <stp/>
        <stp>BDP|2379295593121097618</stp>
        <tr r="D44" s="446"/>
      </tp>
      <tp t="s">
        <v>#N/A Requesting Data...2684039815</v>
        <stp/>
        <stp>BDP|9349867885552045593</stp>
        <tr r="S48" s="338"/>
      </tp>
      <tp t="s">
        <v>#N/A Requesting Data...2526545376</v>
        <stp/>
        <stp>BDP|1210812459016425419</stp>
        <tr r="T169" s="89"/>
        <tr r="T178" s="89"/>
        <tr r="T233" s="89"/>
      </tp>
      <tp t="s">
        <v>#N/A Requesting Data...3380590022</v>
        <stp/>
        <stp>BDP|3116185742219750133</stp>
        <tr r="T109" s="89"/>
      </tp>
      <tp t="e">
        <v>#N/A</v>
        <stp/>
        <stp>BDH|4044646785433903747</stp>
        <tr r="AP45" s="338"/>
        <tr r="AU41" s="338"/>
        <tr r="AU33" s="338"/>
        <tr r="AP49" s="338"/>
        <tr r="AU51" s="338"/>
        <tr r="AU31" s="338"/>
        <tr r="AU47" s="338"/>
        <tr r="AP46" s="338"/>
      </tp>
      <tp t="s">
        <v>#N/A N/A</v>
        <stp/>
        <stp>BDP|8927803377951233812</stp>
        <tr r="AB160" s="89"/>
      </tp>
      <tp t="s">
        <v>#N/A Requesting Data...2736817001</v>
        <stp/>
        <stp>BDP|5839166486573091158</stp>
        <tr r="V251" s="89"/>
      </tp>
      <tp t="s">
        <v>#N/A Requesting Data...4111749678</v>
        <stp/>
        <stp>BDP|9104922632105284817</stp>
        <tr r="D20" s="89"/>
      </tp>
      <tp t="s">
        <v>#N/A Requesting Data...2518010312</v>
        <stp/>
        <stp>BDP|5796504129065876948</stp>
        <tr r="U8" s="338"/>
      </tp>
      <tp t="s">
        <v>#N/A Requesting Data...2345729727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e">
        <v>#N/A</v>
        <stp/>
        <stp>BDH|7973256121648907171</stp>
        <tr r="AN13" s="338"/>
        <tr r="AN34" s="338"/>
      </tp>
      <tp t="s">
        <v>#N/A Requesting Data...3599964198</v>
        <stp/>
        <stp>BDP|9233199299816659948</stp>
        <tr r="P11" s="252"/>
      </tp>
      <tp t="s">
        <v>#N/A Requesting Data...2930299905</v>
        <stp/>
        <stp>BDP|2292616657717420814</stp>
        <tr r="AF31" s="338"/>
        <tr r="AF32" s="338"/>
      </tp>
      <tp t="s">
        <v>#N/A N/A</v>
        <stp/>
        <stp>BDP|1704402293557704529</stp>
        <tr r="K15" s="1"/>
        <tr r="K7" s="1"/>
      </tp>
      <tp t="s">
        <v>#N/A Requesting Data...3666035982</v>
        <stp/>
        <stp>BDP|4042472092244568314</stp>
        <tr r="V108" s="89"/>
      </tp>
      <tp t="s">
        <v>#N/A Requesting Data...4108187271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N/A</v>
        <stp/>
        <stp>BDP|9121024063936169772</stp>
        <tr r="AI40" s="1"/>
      </tp>
      <tp t="s">
        <v>#N/A Requesting Data...3872212600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Data...3266829097</v>
        <stp/>
        <stp>BDP|6562923680930375939</stp>
        <tr r="T11" s="338"/>
      </tp>
      <tp t="s">
        <v>#N/A Requesting Data...3878550461</v>
        <stp/>
        <stp>BDP|4719256686637012732</stp>
        <tr r="M19" s="252"/>
      </tp>
      <tp t="s">
        <v>#N/A Requesting Data...3506233188</v>
        <stp/>
        <stp>BDP|2644203280360986688</stp>
        <tr r="AB32" s="1"/>
        <tr r="AB34" s="1"/>
        <tr r="AB35" s="1"/>
        <tr r="AB33" s="1"/>
        <tr r="F35" s="446"/>
      </tp>
      <tp t="e">
        <v>#N/A</v>
        <stp/>
        <stp>BDH|2516347466181586857</stp>
        <tr r="AS12" s="338"/>
      </tp>
      <tp t="s">
        <v>#N/A Requesting Data...4278723427</v>
        <stp/>
        <stp>BDP|3687895063137929413</stp>
        <tr r="U51" s="338"/>
      </tp>
      <tp t="s">
        <v>#N/A N/A</v>
        <stp/>
        <stp>BDP|2377801165946064428</stp>
        <tr r="AI38" s="1"/>
      </tp>
      <tp t="s">
        <v>#N/A Requesting Data...3331839608</v>
        <stp/>
        <stp>BDP|2866283045919885388</stp>
        <tr r="L18" s="338"/>
        <tr r="J18" s="338"/>
      </tp>
      <tp t="s">
        <v>#N/A N/A</v>
        <stp/>
        <stp>BDP|8270037200516343073</stp>
        <tr r="F33" s="2"/>
      </tp>
      <tp t="s">
        <v>#N/A Requesting Data...3647694710</v>
        <stp/>
        <stp>BDP|2191861964986449420</stp>
        <tr r="E251" s="89"/>
      </tp>
      <tp t="s">
        <v>#N/A Requesting Data...2935960184</v>
        <stp/>
        <stp>BDP|8565804017506463936</stp>
        <tr r="L17" s="252"/>
        <tr r="L17" s="252"/>
      </tp>
      <tp>
        <v>13.9</v>
        <stp/>
        <stp>BDP|13177737668232765088|22</stp>
        <stp>LITE US 02/20/26 C450 Equity</stp>
        <stp>ask</stp>
        <tr r="Q8" s="2"/>
        <tr r="L27" s="89"/>
      </tp>
      <tp>
        <v>20.79</v>
        <stp/>
        <stp>BDP|1056906607050736285|22</stp>
        <stp>CPNG Equity</stp>
        <stp>LAST PRICE</stp>
        <tr r="L7" s="446"/>
      </tp>
      <tp>
        <v>35.82</v>
        <stp/>
        <stp>BDP|8479129259841183337|22</stp>
        <stp>BP Equity</stp>
        <stp>LAST PRICE</stp>
        <tr r="G29" s="338"/>
        <tr r="G30" s="338"/>
      </tp>
      <tp>
        <v>-0.17103007435798645</v>
        <stp/>
        <stp>BDP|5526706154841928378|22</stp>
        <stp>MSFT US 03/20/26 P465 Equity</stp>
        <stp>theta_mid_rt</stp>
        <tr r="AN20" s="2"/>
      </tp>
      <tp>
        <v>327.11</v>
        <stp/>
        <stp>BDP|10734773146792366841|22</stp>
        <stp>TSM US Equity</stp>
        <stp>LAST_PRICE</stp>
        <tr r="Z26" s="2"/>
        <tr r="Z27" s="2"/>
        <tr r="Z28" s="2"/>
        <tr r="Z32" s="2"/>
        <tr r="Z33" s="2"/>
        <tr r="S19" s="89"/>
        <tr r="S20" s="89"/>
        <tr r="S195" s="89"/>
        <tr r="S197" s="89"/>
        <tr r="S14" s="89"/>
        <tr r="S196" s="89"/>
        <tr r="S13" s="89"/>
        <tr r="Z30" s="2"/>
        <tr r="Z31" s="2"/>
        <tr r="Z29" s="2"/>
      </tp>
      <tp t="s">
        <v>#N/A N/A</v>
        <stp/>
        <stp>BDP|6994101635518612305</stp>
        <tr r="T33" s="2"/>
      </tp>
      <tp t="s">
        <v>#N/A Requesting Data...2385923578</v>
        <stp/>
        <stp>BDP|3786323124408946521</stp>
        <tr r="D45" s="446"/>
      </tp>
      <tp t="s">
        <v>#N/A N/A</v>
        <stp/>
        <stp>BDP|7859159525229324216</stp>
        <tr r="C49" s="89"/>
      </tp>
      <tp t="s">
        <v>#N/A Requesting Data...2966992766</v>
        <stp/>
        <stp>BDP|7322976959823188765</stp>
        <tr r="D7" s="89"/>
      </tp>
      <tp t="s">
        <v>#N/A N/A</v>
        <stp/>
        <stp>BDP|8896143753810578305</stp>
        <tr r="F14" s="2"/>
        <tr r="F15" s="2"/>
      </tp>
      <tp t="s">
        <v>#N/A N/A</v>
        <stp/>
        <stp>BDP|9677592347374790342</stp>
        <tr r="F22" s="2"/>
      </tp>
      <tp t="s">
        <v>#N/A Requesting Data...2242086495</v>
        <stp/>
        <stp>BDP|7118312199131670349</stp>
        <tr r="Z27" s="89"/>
        <tr r="AA27" s="89"/>
      </tp>
      <tp t="s">
        <v>#N/A N/A</v>
        <stp/>
        <stp>BDP|2806504826139638334</stp>
        <tr r="AG32" s="1"/>
        <tr r="AG33" s="1"/>
        <tr r="AG34" s="1"/>
        <tr r="AG35" s="1"/>
      </tp>
      <tp t="s">
        <v>#N/A Requesting Data...2594687852</v>
        <stp/>
        <stp>BDP|4784976331940308190</stp>
        <tr r="Z144" s="89"/>
        <tr r="AA144" s="89"/>
      </tp>
      <tp t="s">
        <v>#N/A Requesting Data...2820608408</v>
        <stp/>
        <stp>BDP|6597316359747262876</stp>
        <tr r="Z204" s="89"/>
        <tr r="AA204" s="89"/>
      </tp>
      <tp t="s">
        <v>#N/A Requesting Data...4291300091</v>
        <stp/>
        <stp>BDP|2131718523418809031</stp>
        <tr r="X9" s="338"/>
      </tp>
      <tp t="s">
        <v>#N/A N/A</v>
        <stp/>
        <stp>BDP|8119275495638947437</stp>
        <tr r="AI39" s="1"/>
      </tp>
      <tp t="s">
        <v>#N/A Requesting Data...4035339222</v>
        <stp/>
        <stp>BDP|4060140891760852341</stp>
        <tr r="T95" s="89"/>
      </tp>
      <tp t="e">
        <v>#N/A</v>
        <stp/>
        <stp>BDH|7121272909223749919</stp>
        <tr r="AU9" s="338"/>
      </tp>
      <tp t="s">
        <v>#N/A Requesting Data...2311835147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Data...3563665534</v>
        <stp/>
        <stp>BDP|2842170687233636700</stp>
        <tr r="AH13" s="338"/>
        <tr r="AH34" s="338"/>
      </tp>
      <tp t="s">
        <v>#N/A Requesting Data...4082199411</v>
        <stp/>
        <stp>BDP|1457483532620769970</stp>
        <tr r="L18" s="252"/>
        <tr r="L18" s="252"/>
      </tp>
      <tp t="s">
        <v>#N/A Requesting Data...3743855798</v>
        <stp/>
        <stp>BDP|6268649388386345129</stp>
        <tr r="D144" s="89"/>
      </tp>
      <tp t="s">
        <v>#N/A Requesting Data...3222194684</v>
        <stp/>
        <stp>BDP|8154630115763023381</stp>
        <tr r="T52" s="338"/>
      </tp>
      <tp t="s">
        <v>#N/A Requesting Data...2660476540</v>
        <stp/>
        <stp>BDP|7576730522755872830</stp>
        <tr r="F38" s="446"/>
      </tp>
      <tp t="s">
        <v>#N/A Requesting Data...2695191755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Data...3421267238</v>
        <stp/>
        <stp>BDP|9539667201337640785</stp>
        <tr r="U36" s="338"/>
      </tp>
      <tp t="s">
        <v>#N/A Requesting Data...3609875606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Data...2566079711</v>
        <stp/>
        <stp>BDP|1410763648805083878</stp>
        <tr r="T8" s="2"/>
        <tr r="O27" s="89"/>
      </tp>
      <tp t="s">
        <v>#N/A N/A</v>
        <stp/>
        <stp>BDP|7758988602381610061</stp>
        <tr r="AC17" s="1"/>
      </tp>
      <tp t="s">
        <v>#N/A Requesting Data...3654060428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Data...2884153147</v>
        <stp/>
        <stp>BDP|4065099833740136891</stp>
        <tr r="P42" s="338"/>
      </tp>
      <tp t="s">
        <v>#N/A Requesting Data...3131692711</v>
        <stp/>
        <stp>BDP|6297532837576756937</stp>
        <tr r="Z249" s="89"/>
        <tr r="AA249" s="89"/>
      </tp>
      <tp t="s">
        <v>#N/A N/A</v>
        <stp/>
        <stp>BDP|8496510345395763350</stp>
        <tr r="D49" s="89"/>
      </tp>
      <tp t="e">
        <v>#N/A</v>
        <stp/>
        <stp>BDH|5080072098130863355</stp>
        <tr r="AU54" s="338"/>
      </tp>
      <tp t="s">
        <v>#N/A Requesting Data...2530255803</v>
        <stp/>
        <stp>BDP|5267619434148669720</stp>
        <tr r="AJ52" s="338"/>
        <tr r="AJ53" s="338"/>
        <tr r="AJ54" s="338"/>
      </tp>
      <tp t="s">
        <v>#N/A Requesting Data...3325140334</v>
        <stp/>
        <stp>BDP|8622760163721094706</stp>
        <tr r="Z82" s="89"/>
        <tr r="AA82" s="89"/>
      </tp>
      <tp t="s">
        <v>#N/A Requesting Data...4017001624</v>
        <stp/>
        <stp>BDP|7148106705448380141</stp>
        <tr r="V41" s="338"/>
      </tp>
      <tp t="s">
        <v>#N/A Requesting Data...2565675685</v>
        <stp/>
        <stp>BDP|2062254470879715115</stp>
        <tr r="O212" s="89"/>
      </tp>
      <tp t="s">
        <v>#N/A N/A</v>
        <stp/>
        <stp>BDP|1566983548630295344</stp>
        <tr r="AA12" s="2"/>
        <tr r="AA13" s="2"/>
      </tp>
      <tp t="s">
        <v>#N/A Requesting Data...4150861063</v>
        <stp/>
        <stp>BDP|7511636250779138240</stp>
        <tr r="V40" s="338"/>
      </tp>
      <tp t="s">
        <v>#N/A Requesting Data...2916785402</v>
        <stp/>
        <stp>BDP|5576438787561382724</stp>
        <tr r="AJ10" s="338"/>
        <tr r="AJ11" s="338"/>
        <tr r="AJ33" s="338"/>
      </tp>
      <tp t="s">
        <v>#N/A Requesting Data...3768960062</v>
        <stp/>
        <stp>BDP|1371944730256623208</stp>
        <tr r="T137" s="89"/>
      </tp>
      <tp t="s">
        <v>#N/A Requesting Data...3755229706</v>
        <stp/>
        <stp>BDP|2475069015355307957</stp>
        <tr r="V82" s="89"/>
      </tp>
      <tp t="s">
        <v>#N/A Requesting Data...3420704933</v>
        <stp/>
        <stp>BDP|8553085138774321079</stp>
        <tr r="T123" s="89"/>
      </tp>
      <tp t="s">
        <v>#N/A Requesting Data...2671973819</v>
        <stp/>
        <stp>BDP|9274343827420648768</stp>
        <tr r="G10" s="446"/>
      </tp>
      <tp t="s">
        <v>#N/A N/A</v>
        <stp/>
        <stp>BDP|1937197186723171466</stp>
        <tr r="F27" s="2"/>
      </tp>
      <tp t="s">
        <v>#N/A Requesting Data...3513850832</v>
        <stp/>
        <stp>BDP|1136567666448935591</stp>
        <tr r="V37" s="338"/>
      </tp>
      <tp t="s">
        <v>#N/A N/A</v>
        <stp/>
        <stp>BDP|7385638697900780713</stp>
        <tr r="AB28" s="1"/>
        <tr r="AB29" s="1"/>
      </tp>
      <tp t="s">
        <v>#N/A Requesting Data...3809676541</v>
        <stp/>
        <stp>BDP|1366767233159407337</stp>
        <tr r="V240" s="89"/>
      </tp>
      <tp t="e">
        <v>#N/A</v>
        <stp/>
        <stp>BDH|5282259684910661047</stp>
        <tr r="AP31" s="338"/>
        <tr r="AP32" s="338"/>
      </tp>
      <tp t="s">
        <v>#N/A Requesting Data...3635468265</v>
        <stp/>
        <stp>BDP|2036830374436602479</stp>
        <tr r="U50" s="338"/>
      </tp>
      <tp t="s">
        <v>#N/A Requesting Data...3418139874</v>
        <stp/>
        <stp>BDP|6317578591636076338</stp>
        <tr r="D138" s="89"/>
      </tp>
      <tp t="s">
        <v>#N/A Requesting Data...4124791354</v>
        <stp/>
        <stp>BDP|1370952567270052174</stp>
        <tr r="AJ8" s="338"/>
        <tr r="AJ9" s="338"/>
        <tr r="AH8" s="338"/>
        <tr r="AH9" s="338"/>
      </tp>
      <tp t="e">
        <v>#N/A</v>
        <stp/>
        <stp>BDH|9354729356570096417</stp>
        <tr r="AS29" s="338"/>
      </tp>
      <tp t="s">
        <v>#N/A Requesting Data...2726796941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Data...2784453139</v>
        <stp/>
        <stp>BDP|6160662584120657700</stp>
        <tr r="G12" s="446"/>
      </tp>
      <tp t="s">
        <v>#N/A Requesting Data...3363279113</v>
        <stp/>
        <stp>BDP|2050769895694328758</stp>
        <tr r="S7" s="252"/>
      </tp>
      <tp t="s">
        <v>#N/A Requesting Data...3839021163</v>
        <stp/>
        <stp>BDP|9400166973232144257</stp>
        <tr r="AD10" s="2"/>
        <tr r="V180" s="89"/>
      </tp>
      <tp t="s">
        <v>#N/A N/A</v>
        <stp/>
        <stp>BDP|8759533260432150600</stp>
        <tr r="E56" s="89"/>
      </tp>
      <tp>
        <v>339.89</v>
        <stp/>
        <stp>BDP|6093066913446547993|22</stp>
        <stp>AVGO Equity</stp>
        <stp>LAST_PRICE</stp>
        <tr r="I30" s="1"/>
        <tr r="I31" s="1"/>
      </tp>
      <tp>
        <v>29.4</v>
        <stp/>
        <stp>BDP|14476957307763141828|22</stp>
        <stp>TSM US 06/18/26 C340 Equity</stp>
        <stp>bid</stp>
        <tr r="P27" s="2"/>
        <tr r="K13" s="89"/>
      </tp>
      <tp>
        <v>690.36</v>
        <stp/>
        <stp>BDP|11764468863197025710|22</stp>
        <stp>SPY EQUITY</stp>
        <stp>LAST_PRICE</stp>
        <tr r="I4" s="1"/>
      </tp>
      <tp t="s">
        <v>#N/A Requesting Data...4222037930</v>
        <stp/>
        <stp>BDP|4983617041569093735</stp>
        <tr r="U10" s="338"/>
      </tp>
      <tp t="s">
        <v>#N/A Requesting Data...4097350629</v>
        <stp/>
        <stp>BDP|1158468690973405781</stp>
        <tr r="AK18" s="338"/>
      </tp>
      <tp t="s">
        <v>#N/A N/A</v>
        <stp/>
        <stp>BDP|2898694498747321222</stp>
        <tr r="E3" s="1"/>
        <tr r="K32" s="1"/>
      </tp>
      <tp t="s">
        <v>#N/A Requesting Data...4146233990</v>
        <stp/>
        <stp>BDP|7526986475906100712</stp>
        <tr r="E123" s="89"/>
      </tp>
      <tp t="s">
        <v>#N/A Requesting Data...2773300659</v>
        <stp/>
        <stp>BDP|9064191480710005817</stp>
        <tr r="V16" s="338"/>
        <tr r="V38" s="338"/>
      </tp>
      <tp t="s">
        <v>#N/A Requesting Data...2655050608</v>
        <stp/>
        <stp>BDP|9490986995892939382</stp>
        <tr r="E13" s="89"/>
      </tp>
      <tp t="s">
        <v>#N/A Requesting Data...2889596490</v>
        <stp/>
        <stp>BDP|9119371270756838373</stp>
        <tr r="N18" s="252"/>
        <tr r="N18" s="252"/>
      </tp>
      <tp t="s">
        <v>#N/A N/A</v>
        <stp/>
        <stp>BDP|9669122229692219065</stp>
        <tr r="C29" s="2"/>
      </tp>
      <tp t="s">
        <v>#N/A N/A</v>
        <stp/>
        <stp>BDP|5010474986457760687</stp>
        <tr r="AC15" s="1"/>
        <tr r="AC16" s="1"/>
      </tp>
      <tp t="s">
        <v>#N/A Requesting Data...4282171716</v>
        <stp/>
        <stp>BDP|8903788637142927602</stp>
        <tr r="AK30" s="338"/>
      </tp>
      <tp t="s">
        <v>#N/A Requesting Data...3826534766</v>
        <stp/>
        <stp>BDP|9657162411476734792</stp>
        <tr r="P47" s="338"/>
      </tp>
      <tp t="s">
        <v>#N/A N/A</v>
        <stp/>
        <stp>BDP|8214189350376607202</stp>
        <tr r="E26" s="2"/>
      </tp>
      <tp t="s">
        <v>#N/A N/A</v>
        <stp/>
        <stp>BDP|9333244719414698648</stp>
        <tr r="AG25" s="1"/>
      </tp>
      <tp t="e">
        <v>#N/A</v>
        <stp/>
        <stp>BDH|1695619795373937578</stp>
        <tr r="AN36" s="338"/>
      </tp>
      <tp t="s">
        <v>#N/A Requesting Data...3558762517</v>
        <stp/>
        <stp>BDP|9541693808182769518</stp>
        <tr r="D29" s="446"/>
      </tp>
      <tp t="s">
        <v>#N/A Requesting Data...3752038712</v>
        <stp/>
        <stp>BDP|6024155984106720147</stp>
        <tr r="D28" s="2"/>
        <tr r="C14" s="89"/>
      </tp>
      <tp t="s">
        <v>#N/A Requesting Data...4086035740</v>
        <stp/>
        <stp>BDP|6839173327418343594</stp>
        <tr r="F7" s="446"/>
      </tp>
      <tp t="s">
        <v>#N/A Requesting Data...2658625226</v>
        <stp/>
        <stp>BDP|5668869742685379426</stp>
        <tr r="Z222" s="89"/>
        <tr r="AA222" s="89"/>
      </tp>
      <tp t="s">
        <v>#N/A Requesting Data...3344968810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Requesting Data...3184767709</v>
        <stp/>
        <stp>BDP|8748109246836986397</stp>
        <tr r="V34" s="89"/>
      </tp>
      <tp t="s">
        <v>#N/A Requesting Data...4250597836</v>
        <stp/>
        <stp>BDP|5237225300886746967</stp>
        <tr r="Z129" s="89"/>
        <tr r="AA129" s="89"/>
      </tp>
      <tp t="s">
        <v>#N/A N/A</v>
        <stp/>
        <stp>BDP|5098111893277025237</stp>
        <tr r="AI17" s="1"/>
      </tp>
      <tp t="s">
        <v>#N/A Requesting Data...2819554062</v>
        <stp/>
        <stp>BDP|3746009638598604087</stp>
        <tr r="Z136" s="89"/>
        <tr r="AA136" s="89"/>
      </tp>
      <tp t="s">
        <v>#N/A Requesting Data...3199104768</v>
        <stp/>
        <stp>BDP|7027987678572062314</stp>
        <tr r="AC36" s="1"/>
        <tr r="D36" s="446"/>
      </tp>
      <tp t="s">
        <v>#N/A Requesting Data...3402117262</v>
        <stp/>
        <stp>BDP|3600756567303067954</stp>
        <tr r="Q11" s="338"/>
      </tp>
      <tp t="s">
        <v>#N/A Requesting Data...3086254859</v>
        <stp/>
        <stp>BDP|2739243071518004749</stp>
        <tr r="E138" s="89"/>
      </tp>
      <tp t="s">
        <v>#N/A Requesting Data...2845487542</v>
        <stp/>
        <stp>BDP|9123744844486065474</stp>
        <tr r="Q41" s="338"/>
      </tp>
      <tp t="e">
        <v>#N/A</v>
        <stp/>
        <stp>BDH|7010958550111077231</stp>
        <tr r="T16" s="252"/>
        <tr r="W16" s="252"/>
      </tp>
      <tp t="s">
        <v>#N/A Requesting Data...3121532972</v>
        <stp/>
        <stp>BDP|9066599393364720991</stp>
        <tr r="C211" s="89"/>
      </tp>
      <tp t="s">
        <v>#N/A Requesting Data...3461272531</v>
        <stp/>
        <stp>BDP|9528506301481652565</stp>
        <tr r="AD11" s="2"/>
        <tr r="V234" s="89"/>
      </tp>
      <tp t="s">
        <v>#N/A N/A</v>
        <stp/>
        <stp>BDP|9450040674965070308</stp>
        <tr r="E28" s="2"/>
      </tp>
      <tp t="e">
        <v>#N/A</v>
        <stp/>
        <stp>BDH|2375673906255636901</stp>
        <tr r="W11" s="252"/>
        <tr r="T11" s="252"/>
      </tp>
      <tp t="s">
        <v>#N/A Requesting Data...2947367054</v>
        <stp/>
        <stp>BDP|5102280246103961839</stp>
        <tr r="C76" s="89"/>
      </tp>
      <tp t="s">
        <v>#N/A Requesting Data...3435433322</v>
        <stp/>
        <stp>BDP|8381275723499035928</stp>
        <tr r="T30" s="2"/>
        <tr r="O196" s="89"/>
      </tp>
      <tp t="s">
        <v>#N/A Requesting Data...3464569167</v>
        <stp/>
        <stp>BDP|7251233187166134321</stp>
        <tr r="C240" s="89"/>
      </tp>
      <tp t="s">
        <v>#N/A Requesting Data...3103023104</v>
        <stp/>
        <stp>BDP|4966904208460090549</stp>
        <tr r="Z239" s="89"/>
        <tr r="AA239" s="89"/>
      </tp>
      <tp t="s">
        <v>#N/A Real Time</v>
        <stp/>
        <stp>BDP|18108171964388545995|22</stp>
        <stp>MSFT US 10/03/25 P485 Equity</stp>
        <stp>bid</stp>
        <tr r="K246" s="89"/>
      </tp>
      <tp>
        <v>132.79</v>
        <stp/>
        <stp>BDP|1232203967796078876|22</stp>
        <stp>ABNB Equity</stp>
        <stp>LAST PRICE</stp>
        <tr r="I12" s="338"/>
      </tp>
      <tp>
        <v>36.82</v>
        <stp/>
        <stp>BDP|2650520762982825878|22</stp>
        <stp>KWEB Equity</stp>
        <stp>LAST_PRICE</stp>
        <tr r="H12" s="252"/>
        <tr r="H12" s="252"/>
      </tp>
      <tp>
        <v>4.5999999999999996</v>
        <stp/>
        <stp>BDP|239012915816136366|22</stp>
        <stp>MRVL US 03/20/26 P75 Equity</stp>
        <stp>bid</stp>
        <tr r="P16" s="2"/>
      </tp>
      <tp t="s">
        <v>#N/A Requesting Data...3120993793</v>
        <stp/>
        <stp>BDP|2441593726955875997</stp>
        <tr r="L20" s="252"/>
        <tr r="L20" s="252"/>
      </tp>
      <tp t="s">
        <v>#N/A Requesting Data...2385340858</v>
        <stp/>
        <stp>BDP|8996292475495824173</stp>
        <tr r="O16" s="252"/>
      </tp>
      <tp t="s">
        <v>#N/A Requesting Data...3722645409</v>
        <stp/>
        <stp>BDP|7236892364714774420</stp>
        <tr r="E211" s="89"/>
      </tp>
      <tp t="s">
        <v>#N/A N/A</v>
        <stp/>
        <stp>BDP|8243135780729316187</stp>
        <tr r="E10" s="2"/>
      </tp>
      <tp t="s">
        <v>#N/A Requesting Data...2491093842</v>
        <stp/>
        <stp>BDP|9788785317823069539</stp>
        <tr r="C145" s="89"/>
      </tp>
      <tp t="s">
        <v>#N/A Requesting Data...2905569035</v>
        <stp/>
        <stp>BDP|3993805876862168756</stp>
        <tr r="U45" s="338"/>
      </tp>
      <tp t="e">
        <v>#N/A</v>
        <stp/>
        <stp>BDH|5420502178647457937</stp>
        <tr r="AP18" s="338"/>
        <tr r="AP17" s="338"/>
      </tp>
      <tp t="s">
        <v>#N/A Requesting Data...3651635317</v>
        <stp/>
        <stp>BDP|5255036781235828107</stp>
        <tr r="D108" s="89"/>
      </tp>
      <tp t="s">
        <v>#N/A Requesting Data...2670099210</v>
        <stp/>
        <stp>BDP|5507910641525481482</stp>
        <tr r="O251" s="89"/>
      </tp>
      <tp t="s">
        <v>#N/A N/A</v>
        <stp/>
        <stp>BDP|9754162438145550750</stp>
        <tr r="E14" s="2"/>
        <tr r="E15" s="2"/>
      </tp>
      <tp t="s">
        <v>#N/A Requesting Data...3906481226</v>
        <stp/>
        <stp>BDP|2257884823860585153</stp>
        <tr r="C144" s="89"/>
      </tp>
      <tp t="e">
        <v>#N/A</v>
        <stp/>
        <stp>BDH|1999337306269086256</stp>
        <tr r="AS36" s="338"/>
        <tr r="AS37" s="338"/>
        <tr r="AS34" s="338"/>
        <tr r="AN51" s="338"/>
        <tr r="AS35" s="338"/>
        <tr r="AN50" s="338"/>
      </tp>
      <tp t="s">
        <v>#N/A Requesting Data...4247908909</v>
        <stp/>
        <stp>BDP|7232651898382396325</stp>
        <tr r="AA211" s="89"/>
        <tr r="Z211" s="89"/>
      </tp>
      <tp t="s">
        <v>#N/A Requesting Data...2431277783</v>
        <stp/>
        <stp>BDP|2463897743725982291</stp>
        <tr r="F20" s="446"/>
      </tp>
      <tp t="s">
        <v>#N/A Requesting Data...3605574417</v>
        <stp/>
        <stp>BDP|9344561247696579794</stp>
        <tr r="AH15" s="338"/>
        <tr r="AH39" s="338"/>
        <tr r="AI40" s="338"/>
      </tp>
      <tp t="s">
        <v>#N/A Requesting Data...3357434539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Data...3556105881</v>
        <stp/>
        <stp>BDP|2024996577492051738</stp>
        <tr r="AA213" s="89"/>
        <tr r="Z213" s="89"/>
      </tp>
      <tp t="s">
        <v>#N/A Requesting Data...3205148484</v>
        <stp/>
        <stp>BDP|1693468674482928905</stp>
        <tr r="V246" s="89"/>
      </tp>
      <tp t="s">
        <v>#N/A Requesting Data...2449485599</v>
        <stp/>
        <stp>BDP|1918834507510755077</stp>
        <tr r="S8" s="338"/>
      </tp>
      <tp t="e">
        <v>#N/A</v>
        <stp/>
        <stp>BDH|6727944640034903678</stp>
        <tr r="AS11" s="338"/>
      </tp>
      <tp t="s">
        <v>#N/A N/A</v>
        <stp/>
        <stp>BDP|3087266777367014837</stp>
        <tr r="AI15" s="1"/>
        <tr r="AI16" s="1"/>
      </tp>
      <tp t="s">
        <v>#N/A Requesting Data...3563693596</v>
        <stp/>
        <stp>BDP|1186915098941854922</stp>
        <tr r="P17" s="338"/>
      </tp>
      <tp t="s">
        <v>#N/A Requesting Data...4279461949</v>
        <stp/>
        <stp>BDP|2967439760978040180</stp>
        <tr r="D8" s="2"/>
        <tr r="C27" s="89"/>
      </tp>
      <tp t="s">
        <v>#N/A Requesting Data...3306605982</v>
        <stp/>
        <stp>BDP|3411193788855096676</stp>
        <tr r="AA28" s="2"/>
        <tr r="T14" s="89"/>
      </tp>
      <tp t="s">
        <v>#N/A N/A</v>
        <stp/>
        <stp>BDP|5430386408488532737</stp>
        <tr r="AB109" s="89"/>
      </tp>
      <tp t="s">
        <v>#N/A Requesting Data...2512350183</v>
        <stp/>
        <stp>BDP|2029315395822475330</stp>
        <tr r="D27" s="89"/>
      </tp>
      <tp t="s">
        <v>#N/A N/A</v>
        <stp/>
        <stp>BDP|1209552834247328939</stp>
        <tr r="AC25" s="1"/>
      </tp>
      <tp t="s">
        <v>#N/A Requesting Data...3809036421</v>
        <stp/>
        <stp>BDP|9316566775525772740</stp>
        <tr r="O186" s="89"/>
      </tp>
      <tp t="s">
        <v>#N/A Requesting Data...3347618420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Data...2722579205</v>
        <stp/>
        <stp>BDP|2048477006706491956</stp>
        <tr r="X33" s="338"/>
      </tp>
      <tp t="e">
        <v>#N/A</v>
        <stp/>
        <stp>BDH|4208135794886346363</stp>
        <tr r="AU12" s="338"/>
      </tp>
      <tp t="e">
        <v>#N/A</v>
        <stp/>
        <stp>BDH|8600814565739134622</stp>
        <tr r="AR29" s="338"/>
      </tp>
      <tp t="s">
        <v>#N/A Requesting Data...3189665061</v>
        <stp/>
        <stp>BDP|9762563002360150543</stp>
        <tr r="P9" s="338"/>
      </tp>
      <tp t="s">
        <v>#N/A N/A</v>
        <stp/>
        <stp>BDP|7565516181913503073</stp>
        <tr r="E8" s="2"/>
      </tp>
      <tp t="s">
        <v>#N/A Requesting Data...2369691872</v>
        <stp/>
        <stp>BDP|8690033388548820123</stp>
        <tr r="AJ14" s="338"/>
        <tr r="AJ35" s="338"/>
      </tp>
      <tp t="e">
        <v>#N/A</v>
        <stp/>
        <stp>BDH|6471633698865946514</stp>
        <tr r="AR50" s="338"/>
        <tr r="AR32" s="338"/>
        <tr r="AR8" s="338"/>
        <tr r="AR46" s="338"/>
      </tp>
      <tp t="s">
        <v>#N/A Requesting Data...2496367102</v>
        <stp/>
        <stp>BDP|5400835087744406808</stp>
        <tr r="AG29" s="338"/>
      </tp>
      <tp t="s">
        <v>#N/A Requesting Data...2414618535</v>
        <stp/>
        <stp>BDP|2272046972965931995</stp>
        <tr r="V188" s="89"/>
      </tp>
      <tp t="s">
        <v>#N/A Requesting Data...3065415563</v>
        <stp/>
        <stp>BDP|9280288157897826002</stp>
        <tr r="C138" s="89"/>
      </tp>
      <tp t="s">
        <v>#N/A Requesting Data...2699482111</v>
        <stp/>
        <stp>BDP|6141864573737095712</stp>
        <tr r="T82" s="89"/>
      </tp>
      <tp t="s">
        <v>#N/A Requesting Data...3702569790</v>
        <stp/>
        <stp>BDP|8865039534922905038</stp>
        <tr r="L13" s="252"/>
        <tr r="L13" s="252"/>
      </tp>
      <tp t="s">
        <v>#N/A N/A</v>
        <stp/>
        <stp>BDP|8508395004434515685</stp>
        <tr r="AQ23" s="2"/>
        <tr r="AQ25" s="2"/>
        <tr r="AQ24" s="2"/>
        <tr r="AB186" s="89"/>
        <tr r="AB187" s="89"/>
        <tr r="AB188" s="89"/>
        <tr r="AB203" s="89"/>
        <tr r="AB204" s="89"/>
        <tr r="AB205" s="89"/>
      </tp>
      <tp>
        <v>7.9</v>
        <stp/>
        <stp>BDP|15170082727718363189|22</stp>
        <stp>META US 04/17/26 C750 Equity</stp>
        <stp>bid</stp>
        <tr r="K169" s="89"/>
        <tr r="K178" s="89"/>
        <tr r="K233" s="89"/>
      </tp>
      <tp>
        <v>18.45</v>
        <stp/>
        <stp>BDP|14111141271769378618|22</stp>
        <stp>META US 04/17/26 C690 Equity</stp>
        <stp>ask</stp>
        <tr r="Q9" s="2"/>
        <tr r="L170" s="89"/>
        <tr r="L179" s="89"/>
      </tp>
      <tp>
        <v>28.3</v>
        <stp/>
        <stp>BDP|16478206836234223191|22</stp>
        <stp>TSM US 01/16/26 C300 Equity</stp>
        <stp>ask</stp>
        <tr r="Q26" s="2"/>
      </tp>
      <tp>
        <v>331.9</v>
        <stp/>
        <stp>BDP|18199450611944645778|22</stp>
        <stp>SOXX EQUITY</stp>
        <stp>LAST_PRICE</stp>
        <tr r="I2" s="1"/>
      </tp>
      <tp>
        <v>3.55</v>
        <stp/>
        <stp>BDP|17299008803570845370|22</stp>
        <stp>TSM US 01/16/26 C335 Equity</stp>
        <stp>bid</stp>
        <tr r="K195" s="89"/>
        <tr r="P29" s="2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Data...4292709438</v>
        <stp/>
        <stp>BDP|8490234008586700620</stp>
        <tr r="Z247" s="89"/>
        <tr r="AA247" s="89"/>
      </tp>
      <tp t="s">
        <v>#N/A Requesting Data...2984834117</v>
        <stp/>
        <stp>BDP|5587682882935341464</stp>
        <tr r="E90" s="89"/>
      </tp>
      <tp t="s">
        <v>#N/A Requesting Data...2608165207</v>
        <stp/>
        <stp>BDP|4181385796167397361</stp>
        <tr r="T76" s="89"/>
      </tp>
      <tp t="s">
        <v>#N/A Requesting Data...2700650334</v>
        <stp/>
        <stp>BDP|7230833674217968563</stp>
        <tr r="S36" s="338"/>
      </tp>
      <tp t="s">
        <v>#N/A Requesting Data...2368204781</v>
        <stp/>
        <stp>BDP|4977804726160671428</stp>
        <tr r="Q17" s="338"/>
      </tp>
      <tp t="s">
        <v>#N/A N/A</v>
        <stp/>
        <stp>BDP|4614669274439881673</stp>
        <tr r="E5" s="2"/>
      </tp>
      <tp t="s">
        <v>#N/A N/A</v>
        <stp/>
        <stp>BDP|3603190722478324251</stp>
        <tr r="AI36" s="1"/>
      </tp>
      <tp t="e">
        <v>#N/A</v>
        <stp/>
        <stp>BDH|3523962739027266433</stp>
        <tr r="AR48" s="338"/>
        <tr r="AR49" s="338"/>
      </tp>
      <tp t="e">
        <v>#N/A</v>
        <stp/>
        <stp>BDH|4912148861009576022</stp>
        <tr r="AN38" s="338"/>
        <tr r="AN16" s="338"/>
        <tr r="AN40" s="338"/>
      </tp>
      <tp t="s">
        <v>#N/A N/A</v>
        <stp/>
        <stp>BDP|1841797186795773188</stp>
        <tr r="AV7" s="2"/>
        <tr r="AV8" s="2"/>
        <tr r="R26" s="89"/>
        <tr r="R27" s="89"/>
      </tp>
      <tp t="s">
        <v>#N/A N/A</v>
        <stp/>
        <stp>BDP|6392840872006556586</stp>
        <tr r="E8" s="1"/>
      </tp>
      <tp t="s">
        <v>#N/A Requesting Data...3821278821</v>
        <stp/>
        <stp>BDP|9284092877624060049</stp>
        <tr r="Z196" s="89"/>
        <tr r="AA196" s="89"/>
      </tp>
      <tp t="s">
        <v>#N/A Requesting Data...4193008742</v>
        <stp/>
        <stp>BDP|5263574927779802120</stp>
        <tr r="V45" s="338"/>
      </tp>
      <tp t="s">
        <v>#N/A Requesting Data...2648085123</v>
        <stp/>
        <stp>BDP|4826530802423655876</stp>
        <tr r="C34" s="89"/>
      </tp>
      <tp t="s">
        <v>#N/A Requesting Data...3208907389</v>
        <stp/>
        <stp>BDP|2344935394120970850</stp>
        <tr r="C108" s="89"/>
      </tp>
      <tp t="s">
        <v>#N/A Requesting Data...2545330066</v>
        <stp/>
        <stp>BDP|1305485589197843027</stp>
        <tr r="AJ17" s="338"/>
        <tr r="AJ18" s="338"/>
        <tr r="AH17" s="338"/>
        <tr r="AH18" s="338"/>
      </tp>
      <tp t="s">
        <v>#N/A Requesting Data...4034557195</v>
        <stp/>
        <stp>BDP|9065585755010767336</stp>
        <tr r="F17" s="252"/>
      </tp>
      <tp t="e">
        <v>#N/A</v>
        <stp/>
        <stp>BDH|7549730895640279384</stp>
        <tr r="AR54" s="338"/>
      </tp>
      <tp t="e">
        <v>#N/A</v>
        <stp/>
        <stp>BDH|2018008801429906118</stp>
        <tr r="AP12" s="338"/>
      </tp>
      <tp t="e">
        <v>#N/A</v>
        <stp/>
        <stp>BDH|1361387446575589966</stp>
        <tr r="AP16" s="338"/>
        <tr r="AP40" s="338"/>
        <tr r="AP38" s="338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</tp>
      <tp t="s">
        <v>#N/A Requesting Data...4284670418</v>
        <stp/>
        <stp>BDP|7038982583049677518</stp>
        <tr r="T108" s="89"/>
      </tp>
      <tp t="s">
        <v>#N/A Requesting Data...2491442526</v>
        <stp/>
        <stp>BDP|1004337573258431787</stp>
        <tr r="L8" s="338"/>
        <tr r="H8" s="338"/>
        <tr r="L9" s="338"/>
        <tr r="H9" s="338"/>
      </tp>
      <tp t="s">
        <v>#N/A Requesting Data...4005150860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Data...2911290508</v>
        <stp/>
        <stp>BDP|7178361985324446248</stp>
        <tr r="Q52" s="338"/>
      </tp>
      <tp t="s">
        <v>#N/A Requesting Data...2647168743</v>
        <stp/>
        <stp>BDP|2786473499167807238</stp>
        <tr r="AI45" s="338"/>
      </tp>
      <tp t="e">
        <v>#N/A</v>
        <stp/>
        <stp>BDH|4954860012842670598</stp>
        <tr r="AP37" s="338"/>
      </tp>
      <tp t="s">
        <v>#N/A Requesting Data...2708563818</v>
        <stp/>
        <stp>BDP|9928781162902167014</stp>
        <tr r="AA171" s="89"/>
        <tr r="Z171" s="89"/>
      </tp>
      <tp t="s">
        <v>#N/A Requesting Data...3583885471</v>
        <stp/>
        <stp>BDP|6785747401219846296</stp>
        <tr r="S41" s="338"/>
      </tp>
      <tp t="s">
        <v>#N/A Requesting Data...2414063393</v>
        <stp/>
        <stp>BDP|9500211458423629792</stp>
        <tr r="V31" s="338"/>
      </tp>
      <tp t="s">
        <v>#N/A Requesting Data...2783910800</v>
        <stp/>
        <stp>BDP|3991525680666985223</stp>
        <tr r="C171" s="89"/>
      </tp>
      <tp t="s">
        <v>#N/A Requesting Data...3862568520</v>
        <stp/>
        <stp>BDP|4587517495856843492</stp>
        <tr r="T16" s="338"/>
        <tr r="T38" s="338"/>
      </tp>
      <tp t="s">
        <v>#N/A N/A</v>
        <stp/>
        <stp>BDP|8471485932241814460</stp>
        <tr r="AB248" s="89"/>
      </tp>
      <tp t="s">
        <v>#N/A Requesting Data...4012282796</v>
        <stp/>
        <stp>BDP|9965794027725386324</stp>
        <tr r="AB23" s="1"/>
        <tr r="F26" s="446"/>
      </tp>
      <tp t="s">
        <v>#N/A N/A</v>
        <stp/>
        <stp>BDP|1354781798976465315</stp>
        <tr r="R40" s="89"/>
      </tp>
      <tp t="s">
        <v>#N/A Requesting Data...2731348439</v>
        <stp/>
        <stp>BDP|8565626935242633520</stp>
        <tr r="D203" s="89"/>
      </tp>
      <tp t="s">
        <v>#N/A N/A</v>
        <stp/>
        <stp>BDP|1269563299172286598</stp>
        <tr r="AD22" s="2"/>
        <tr r="V56" s="89"/>
      </tp>
      <tp t="s">
        <v>#N/A Requesting Data...2829588769</v>
        <stp/>
        <stp>BDP|1001769831296786978</stp>
        <tr r="AI45" s="338"/>
        <tr r="AK45" s="338"/>
      </tp>
      <tp t="s">
        <v>#N/A Requesting Data...2917345889</v>
        <stp/>
        <stp>BDP|2779597998256859293</stp>
        <tr r="E188" s="89"/>
      </tp>
      <tp t="s">
        <v>#N/A Requesting Data...3013755423</v>
        <stp/>
        <stp>BDP|3394479430858909693</stp>
        <tr r="C96" s="89"/>
      </tp>
      <tp t="s">
        <v>#N/A Requesting Data...3941854792</v>
        <stp/>
        <stp>BDP|4524000010539321624</stp>
        <tr r="V129" s="89"/>
      </tp>
      <tp t="s">
        <v>#N/A N/A</v>
        <stp/>
        <stp>BDP|4490739810029630148</stp>
        <tr r="F31" s="2"/>
      </tp>
      <tp t="s">
        <v>#N/A N/A</v>
        <stp/>
        <stp>BDP|2140911238616808459</stp>
        <tr r="AQ9" s="2"/>
        <tr r="AQ11" s="2"/>
        <tr r="AQ10" s="2"/>
        <tr r="AB178" s="89"/>
        <tr r="AB233" s="89"/>
        <tr r="AB169" s="89"/>
        <tr r="AB170" s="89"/>
        <tr r="AB171" s="89"/>
        <tr r="AB179" s="89"/>
        <tr r="AB180" s="89"/>
        <tr r="AB234" s="89"/>
        <tr r="AB249" s="89"/>
      </tp>
      <tp t="s">
        <v>#N/A Requesting Data...3971210280</v>
        <stp/>
        <stp>BDP|3332604227028093513</stp>
        <tr r="S13" s="338"/>
      </tp>
      <tp t="s">
        <v>#N/A Requesting Data...2804643518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Data...2383911724</v>
        <stp/>
        <stp>BDP|3948059027399786291</stp>
        <tr r="C102" s="89"/>
      </tp>
      <tp>
        <v>21.6</v>
        <stp/>
        <stp>BDP|13965893341883543451|22</stp>
        <stp>LITE US 02/20/26 C400 Equity</stp>
        <stp>mid</stp>
        <tr r="L7" s="2"/>
      </tp>
      <tp>
        <v>1.26</v>
        <stp/>
        <stp>BDP|14038436426033759291|22</stp>
        <stp>QQQ US 01/16/26 C625 Equity</stp>
        <stp>ask</stp>
        <tr r="L7" s="89"/>
      </tp>
      <tp t="s">
        <v>#N/A Real Time</v>
        <stp/>
        <stp>BDP|11422101846013417478|22</stp>
        <stp>SPXW US 12/31/25 C6950 Index</stp>
        <stp>bid</stp>
        <tr r="K160" s="89"/>
      </tp>
      <tp>
        <v>30.18</v>
        <stp/>
        <stp>BDP|12794319931511644694|22</stp>
        <stp>TSM US 06/18/26 C340 Equity</stp>
        <stp>mid</stp>
        <tr r="L27" s="2"/>
      </tp>
      <tp t="s">
        <v>#N/A Requesting Data...3847137834</v>
        <stp/>
        <stp>BDP|6535458296649412984</stp>
        <tr r="T188" s="89"/>
      </tp>
      <tp t="s">
        <v>#N/A Requesting Data...3995149066</v>
        <stp/>
        <stp>BDP|8888687617413548780</stp>
        <tr r="L54" s="338"/>
        <tr r="J54" s="338"/>
      </tp>
      <tp t="s">
        <v>#N/A Requesting Data...3716004334</v>
        <stp/>
        <stp>BDP|2329729297960563787</stp>
        <tr r="U42" s="338"/>
      </tp>
      <tp t="s">
        <v>#N/A Requesting Data...3068010873</v>
        <stp/>
        <stp>BDP|5055978459833341163</stp>
        <tr r="S40" s="338"/>
      </tp>
      <tp t="s">
        <v>#N/A Requesting Data...2847455763</v>
        <stp/>
        <stp>BDP|9916250733583306071</stp>
        <tr r="V95" s="89"/>
      </tp>
      <tp t="s">
        <v>#N/A N/A</v>
        <stp/>
        <stp>BDP|4721614875256887832</stp>
        <tr r="AR12" s="2"/>
        <tr r="AR13" s="2"/>
      </tp>
      <tp t="s">
        <v>#N/A Requesting Data...2687747124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Data...4090369856</v>
        <stp/>
        <stp>BDP|4926041887351657654</stp>
        <tr r="D137" s="89"/>
      </tp>
      <tp t="s">
        <v>#N/A Requesting Data...2604986522</v>
        <stp/>
        <stp>BDP|5993041881332086452</stp>
        <tr r="E8" s="89"/>
      </tp>
      <tp t="s">
        <v>#N/A N/A</v>
        <stp/>
        <stp>BDP|9866940913692641877</stp>
        <tr r="AF22" s="1"/>
      </tp>
      <tp t="s">
        <v>#N/A Requesting Data...2835648019</v>
        <stp/>
        <stp>BDP|8737954890503872047</stp>
        <tr r="AC40" s="1"/>
        <tr r="D33" s="446"/>
      </tp>
      <tp t="s">
        <v>#N/A Requesting Data...3453397145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Data...3761091414</v>
        <stp/>
        <stp>BDP|4440081808298299792</stp>
        <tr r="AK42" s="338"/>
        <tr r="AI42" s="338"/>
      </tp>
      <tp t="s">
        <v>#N/A Requesting Data...2763341505</v>
        <stp/>
        <stp>BDP|6735248014207248991</stp>
        <tr r="T49" s="338"/>
      </tp>
      <tp t="s">
        <v>#N/A Requesting Data...2618805498</v>
        <stp/>
        <stp>BDP|2139028585213834226</stp>
        <tr r="Z123" s="89"/>
        <tr r="AA123" s="89"/>
      </tp>
      <tp t="s">
        <v>#N/A N/A</v>
        <stp/>
        <stp>BDP|3062590646899291014</stp>
        <tr r="AB153" s="89"/>
        <tr r="AB154" s="89"/>
      </tp>
      <tp t="s">
        <v>#N/A N/A</v>
        <stp/>
        <stp>BDP|4860326794961478469</stp>
        <tr r="C32" s="2"/>
      </tp>
      <tp t="s">
        <v>#N/A Requesting Data...2849343178</v>
        <stp/>
        <stp>BDP|8786342763721865752</stp>
        <tr r="P31" s="338"/>
      </tp>
      <tp t="s">
        <v>#N/A Requesting Data...3324534838</v>
        <stp/>
        <stp>BDP|7001248851652159998</stp>
        <tr r="T34" s="338"/>
      </tp>
      <tp t="s">
        <v>#N/A N/A</v>
        <stp/>
        <stp>BDP|1914533822549360466</stp>
        <tr r="K14" s="1"/>
      </tp>
      <tp t="s">
        <v>#N/A Requesting Data...3936003165</v>
        <stp/>
        <stp>BDP|1289760614308178430</stp>
        <tr r="E69" s="89"/>
      </tp>
      <tp t="s">
        <v>#N/A Requesting Data...3360096405</v>
        <stp/>
        <stp>BDP|8184963260888735426</stp>
        <tr r="Z180" s="89"/>
        <tr r="AA180" s="89"/>
      </tp>
      <tp t="s">
        <v>#N/A Requesting Data...4251470209</v>
        <stp/>
        <stp>BDP|7009075074579891280</stp>
        <tr r="AA31" s="2"/>
        <tr r="T197" s="89"/>
      </tp>
      <tp t="s">
        <v>#N/A N/A</v>
        <stp/>
        <stp>BDP|5051274982791237548</stp>
        <tr r="D32" s="2"/>
      </tp>
      <tp t="s">
        <v>#N/A Requesting Data...2514727272</v>
        <stp/>
        <stp>BDP|9762687753917905669</stp>
        <tr r="T12" s="338"/>
      </tp>
      <tp t="s">
        <v>#N/A N/A</v>
        <stp/>
        <stp>BDP|2220703499371845606</stp>
        <tr r="R250" s="89"/>
      </tp>
      <tp t="s">
        <v>#N/A Requesting Data...4011237268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Data...2594804336</v>
        <stp/>
        <stp>BDP|6241611932378988086</stp>
        <tr r="G42" s="446"/>
      </tp>
      <tp t="s">
        <v>#N/A Requesting Data...3577193300</v>
        <stp/>
        <stp>BDP|7985659615982817917</stp>
        <tr r="V36" s="338"/>
      </tp>
      <tp t="s">
        <v>#N/A N/A</v>
        <stp/>
        <stp>BDP|8038940098673839043</stp>
        <tr r="F26" s="2"/>
      </tp>
      <tp t="s">
        <v>#N/A Requesting Data...3286203296</v>
        <stp/>
        <stp>BDP|8637443246353684034</stp>
        <tr r="T51" s="338"/>
      </tp>
      <tp t="s">
        <v>#N/A N/A</v>
        <stp/>
        <stp>BDP|7254106586446704322</stp>
        <tr r="Z55" s="89"/>
        <tr r="AA55" s="89"/>
      </tp>
      <tp t="s">
        <v>#N/A N/A</v>
        <stp/>
        <stp>BDP|8959047049495095258</stp>
        <tr r="AV17" s="2"/>
        <tr r="AV19" s="2"/>
        <tr r="R211" s="89"/>
        <tr r="R212" s="89"/>
        <tr r="R213" s="89"/>
        <tr r="R246" s="89"/>
        <tr r="AV20" s="2"/>
        <tr r="AV18" s="2"/>
      </tp>
      <tp t="s">
        <v>#N/A Requesting Data...3704886215</v>
        <stp/>
        <stp>BDP|5187006175490775958</stp>
        <tr r="N7" s="252"/>
        <tr r="N7" s="252"/>
      </tp>
      <tp t="e">
        <v>#N/A</v>
        <stp/>
        <stp>BDH|2595128431359862284</stp>
        <tr r="AS49" s="338"/>
        <tr r="AS48" s="338"/>
      </tp>
      <tp t="e">
        <v>#N/A</v>
        <stp/>
        <stp>BDH|8241069753597777160</stp>
        <tr r="AU42" s="338"/>
      </tp>
      <tp t="s">
        <v>#N/A Requesting Data...2913498217</v>
        <stp/>
        <stp>BDP|2612160096671704068</stp>
        <tr r="D31" s="446"/>
      </tp>
      <tp t="s">
        <v>#N/A N/A</v>
        <stp/>
        <stp>BDP|7517755008088933364</stp>
        <tr r="AG17" s="1"/>
      </tp>
      <tp t="s">
        <v>#N/A Requesting Data...3139764368</v>
        <stp/>
        <stp>BDP|4718173344583097938</stp>
        <tr r="F16" s="252"/>
      </tp>
      <tp t="s">
        <v>#N/A Requesting Data...3459609582</v>
        <stp/>
        <stp>BDP|9318183699928316256</stp>
        <tr r="D43" s="446"/>
      </tp>
      <tp t="s">
        <v>#N/A Requesting Data...3943608794</v>
        <stp/>
        <stp>BDP|8502861475229042527</stp>
        <tr r="O69" s="89"/>
      </tp>
      <tp t="s">
        <v>#N/A Requesting Data...2963104249</v>
        <stp/>
        <stp>BDP|2397389796744963701</stp>
        <tr r="AK42" s="338"/>
      </tp>
      <tp t="s">
        <v>#N/A Requesting Data...2476178848</v>
        <stp/>
        <stp>BDP|9352295318971282043</stp>
        <tr r="T102" s="89"/>
      </tp>
      <tp t="s">
        <v>#N/A Requesting Data...3912407484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Data...3793907386</v>
        <stp/>
        <stp>BDP|4946496227111068830</stp>
        <tr r="T101" s="89"/>
      </tp>
      <tp t="s">
        <v>#N/A Requesting Data...3688229412</v>
        <stp/>
        <stp>BDP|4411149358442996952</stp>
        <tr r="O11" s="252"/>
      </tp>
      <tp t="s">
        <v>#N/A Requesting Data...3603819386</v>
        <stp/>
        <stp>BDP|8633363721614159645</stp>
        <tr r="G8" s="446"/>
      </tp>
      <tp t="s">
        <v>#N/A Requesting Data...2813484636</v>
        <stp/>
        <stp>BDP|3529759684584753366</stp>
        <tr r="T247" s="89"/>
      </tp>
      <tp t="s">
        <v>#N/A Requesting Data...4043103612</v>
        <stp/>
        <stp>BDP|2191174097923442203</stp>
        <tr r="AA29" s="2"/>
        <tr r="T195" s="89"/>
      </tp>
      <tp t="e">
        <v>#N/A</v>
        <stp/>
        <stp>BDH|9223150724567775614</stp>
        <tr r="AS30" s="338"/>
      </tp>
      <tp>
        <v>23.65</v>
        <stp/>
        <stp>BDP|16895049281307982456|22</stp>
        <stp>AVGO US 06/18/26 P300 Equity</stp>
        <stp>ask</stp>
        <tr r="L224" s="89"/>
      </tp>
      <tp t="s">
        <v>#N/A Real Time</v>
        <stp/>
        <stp>BDP|17619682917577655816|22</stp>
        <stp>ORCL US 10/03/25 P285 Equity</stp>
        <stp>ask</stp>
        <tr r="L247" s="89"/>
      </tp>
      <tp>
        <v>81.209999999999994</v>
        <stp/>
        <stp>BDP|2279876738225149449|22</stp>
        <stp>MRVL US Equity</stp>
        <stp>LAST_PRICE</stp>
        <tr r="Z12" s="2"/>
        <tr r="Z15" s="2"/>
        <tr r="Z16" s="2"/>
        <tr r="Z14" s="2"/>
        <tr r="Z13" s="2"/>
      </tp>
      <tp>
        <v>3.9</v>
        <stp/>
        <stp>BDP|16321192409833246773|22</stp>
        <stp>ASML US 01/23/26 P1100 Equity</stp>
        <stp>ask</stp>
        <tr r="L50" s="89"/>
      </tp>
      <tp>
        <v>-0.41937962174415588</v>
        <stp/>
        <stp>BDP|1393123865485650562|22</stp>
        <stp>MRVL US 03/20/26 P80 Equity</stp>
        <stp>DELTA_MID_RT</stp>
        <tr r="AF15" s="2"/>
        <tr r="AF14" s="2"/>
      </tp>
      <tp t="s">
        <v>#N/A N/A</v>
        <stp/>
        <stp>BDP|9669031297401111598</stp>
        <tr r="AG28" s="1"/>
        <tr r="AG29" s="1"/>
      </tp>
      <tp t="s">
        <v>#N/A N/A</v>
        <stp/>
        <stp>BDP|5437194871183662400</stp>
        <tr r="C63" s="89"/>
      </tp>
      <tp t="s">
        <v>#N/A N/A</v>
        <stp/>
        <stp>BDP|4283940605309327082</stp>
        <tr r="AV4" s="2"/>
        <tr r="R34" s="89"/>
        <tr r="R33" s="89"/>
      </tp>
      <tp t="s">
        <v>#N/A Requesting Data...3006297927</v>
        <stp/>
        <stp>BDP|8181530094431771194</stp>
        <tr r="C249" s="89"/>
      </tp>
      <tp t="s">
        <v>#N/A Requesting Data...2702475315</v>
        <stp/>
        <stp>BDP|7846163779046776380</stp>
        <tr r="V8" s="338"/>
      </tp>
      <tp t="s">
        <v>#N/A Requesting Data...3422960673</v>
        <stp/>
        <stp>BDP|4966659791349467604</stp>
        <tr r="AF15" s="1"/>
        <tr r="AF16" s="1"/>
        <tr r="AG45" s="338"/>
      </tp>
      <tp t="s">
        <v>#N/A Requesting Data...2980401510</v>
        <stp/>
        <stp>BDP|2906346500884364176</stp>
        <tr r="AJ31" s="338"/>
        <tr r="AJ32" s="338"/>
      </tp>
      <tp t="s">
        <v>#N/A N/A</v>
        <stp/>
        <stp>BDP|3419727698730200952</stp>
        <tr r="AR4" s="2"/>
      </tp>
      <tp t="s">
        <v>#N/A N/A</v>
        <stp/>
        <stp>BDP|6899414930851030473</stp>
        <tr r="V50" s="89"/>
      </tp>
      <tp t="s">
        <v>#N/A N/A</v>
        <stp/>
        <stp>BDP|1105691956700330633</stp>
        <tr r="AG30" s="1"/>
        <tr r="AG31" s="1"/>
      </tp>
      <tp t="s">
        <v>#N/A Requesting Data...3660185145</v>
        <stp/>
        <stp>BDP|7494523709231730773</stp>
        <tr r="F31" s="446"/>
      </tp>
      <tp t="s">
        <v>#N/A N/A</v>
        <stp/>
        <stp>BDP|2743037479982482367</stp>
        <tr r="AF39" s="1"/>
      </tp>
      <tp t="s">
        <v>#N/A N/A</v>
        <stp/>
        <stp>BDP|9847286686473857422</stp>
        <tr r="C25" s="2"/>
      </tp>
      <tp t="s">
        <v>#N/A N/A</v>
        <stp/>
        <stp>BDP|4436704469781548059</stp>
        <tr r="C62" s="89"/>
      </tp>
      <tp t="s">
        <v>#N/A Requesting Data...3045418579</v>
        <stp/>
        <stp>BDP|8549451961438864644</stp>
        <tr r="AJ55" s="338"/>
        <tr r="AK14" s="338"/>
        <tr r="AK55" s="338"/>
      </tp>
      <tp t="s">
        <v>#N/A Requesting Data...2501459035</v>
        <stp/>
        <stp>BDP|9945382899790540700</stp>
        <tr r="Z138" s="89"/>
        <tr r="AA138" s="89"/>
      </tp>
      <tp t="s">
        <v>#N/A Requesting Data...4241535211</v>
        <stp/>
        <stp>BDP|1051127841111916176</stp>
        <tr r="P16" s="252"/>
      </tp>
      <tp t="s">
        <v>#N/A Requesting Data...3624654144</v>
        <stp/>
        <stp>BDP|4663108797361832948</stp>
        <tr r="T240" s="89"/>
      </tp>
      <tp t="s">
        <v>#N/A Requesting Data...2587954288</v>
        <stp/>
        <stp>BDP|2199559048282875569</stp>
        <tr r="AI18" s="338"/>
      </tp>
      <tp t="s">
        <v>#N/A Requesting Data...2593332255</v>
        <stp/>
        <stp>BDP|4374742715501301730</stp>
        <tr r="N16" s="252"/>
        <tr r="N16" s="252"/>
      </tp>
      <tp t="s">
        <v>#N/A Requesting Data...3844355967</v>
        <stp/>
        <stp>BDP|3004206956470481008</stp>
        <tr r="AA20" s="89"/>
        <tr r="Z20" s="89"/>
      </tp>
      <tp t="s">
        <v>#N/A Requesting Data...3841356710</v>
        <stp/>
        <stp>BDP|8764335623844685936</stp>
        <tr r="T225" s="89"/>
      </tp>
      <tp t="s">
        <v>#N/A Requesting Data...4112112494</v>
        <stp/>
        <stp>BDP|1615244074723761330</stp>
        <tr r="T36" s="338"/>
      </tp>
      <tp t="s">
        <v>#N/A Requesting Data...4037390050</v>
        <stp/>
        <stp>BDP|1689501637441437267</stp>
        <tr r="E153" s="89"/>
        <tr r="E154" s="89"/>
      </tp>
      <tp t="s">
        <v>#N/A Requesting Data...3317708846</v>
        <stp/>
        <stp>BDP|8326860540126523632</stp>
        <tr r="E129" s="89"/>
      </tp>
      <tp t="e">
        <v>#N/A</v>
        <stp/>
        <stp>BDH|8906957649068493922</stp>
        <tr r="AS18" s="338"/>
      </tp>
      <tp t="e">
        <v>#N/A</v>
        <stp/>
        <stp>BDH|2935887217418193746</stp>
        <tr r="AR12" s="338"/>
      </tp>
      <tp t="s">
        <v>#N/A Requesting Data...3496109957</v>
        <stp/>
        <stp>BDP|5790626169004593599</stp>
        <tr r="F40" s="446"/>
      </tp>
      <tp t="s">
        <v>#N/A Requesting Data...3129009175</v>
        <stp/>
        <stp>BDP|9726257024364768910</stp>
        <tr r="O19" s="252"/>
      </tp>
      <tp t="s">
        <v>#N/A Requesting Data...3082923165</v>
        <stp/>
        <stp>BDP|3121965407037939996</stp>
        <tr r="T10" s="338"/>
      </tp>
      <tp t="s">
        <v>#N/A N/A</v>
        <stp/>
        <stp>BDP|6006028351715170233</stp>
        <tr r="F32" s="2"/>
      </tp>
      <tp t="s">
        <v>#N/A Requesting Data...3049938924</v>
        <stp/>
        <stp>BDP|5103135804965713501</stp>
        <tr r="Z75" s="89"/>
        <tr r="AA75" s="89"/>
      </tp>
      <tp t="s">
        <v>#N/A Requesting Data...3557533752</v>
        <stp/>
        <stp>BDP|2781273192095754848</stp>
        <tr r="P37" s="338"/>
      </tp>
      <tp t="s">
        <v>#N/A Requesting Data...3493466498</v>
        <stp/>
        <stp>BDP|5028796441871860363</stp>
        <tr r="D6" s="2"/>
        <tr r="C223" s="89"/>
      </tp>
      <tp t="s">
        <v>#N/A Requesting Data...3130813901</v>
        <stp/>
        <stp>BDP|5440482774885960773</stp>
        <tr r="AH36" s="338"/>
      </tp>
      <tp t="s">
        <v>#N/A Requesting Data...3094174944</v>
        <stp/>
        <stp>BDP|8903483087139985997</stp>
        <tr r="S8" s="252"/>
      </tp>
      <tp t="s">
        <v>#N/A Requesting Data...2548681457</v>
        <stp/>
        <stp>BDP|1490932935796586918</stp>
        <tr r="T19" s="89"/>
      </tp>
      <tp t="s">
        <v>#N/A Requesting Data...2688579641</v>
        <stp/>
        <stp>BDP|2357040805921494704</stp>
        <tr r="AJ10" s="338"/>
        <tr r="AJ11" s="338"/>
        <tr r="AJ33" s="338"/>
      </tp>
      <tp t="s">
        <v>#N/A N/A</v>
        <stp/>
        <stp>BDP|7928439714665118399</stp>
        <tr r="AR11" s="2"/>
      </tp>
      <tp t="s">
        <v>#N/A Requesting Data...4048926770</v>
        <stp/>
        <stp>BDP|2785695221570324283</stp>
        <tr r="O188" s="89"/>
      </tp>
      <tp t="s">
        <v>#N/A Requesting Data...3356569986</v>
        <stp/>
        <stp>BDP|1913639431982971268</stp>
        <tr r="V122" s="89"/>
      </tp>
      <tp t="s">
        <v>#N/A Requesting Data...3086485793</v>
        <stp/>
        <stp>BDP|8103428543709687520</stp>
        <tr r="G5" s="446"/>
        <tr r="G6" s="446"/>
      </tp>
      <tp t="s">
        <v>#N/A Requesting Data...3752842948</v>
        <stp/>
        <stp>BDP|5430094244624859152</stp>
        <tr r="D34" s="446"/>
      </tp>
      <tp t="s">
        <v>#N/A Requesting Data...2703536572</v>
        <stp/>
        <stp>BDP|5284294530751812164</stp>
        <tr r="AI12" s="338"/>
      </tp>
      <tp t="s">
        <v>#N/A Requesting Data...3652368731</v>
        <stp/>
        <stp>BDP|2593154816901666757</stp>
        <tr r="N13" s="252"/>
        <tr r="N13" s="252"/>
      </tp>
      <tp t="s">
        <v>#N/A Requesting Data...2799748190</v>
        <stp/>
        <stp>BDP|9638513960499697749</stp>
        <tr r="T46" s="338"/>
      </tp>
      <tp t="s">
        <v>#N/A N/A</v>
        <stp/>
        <stp>BDP|1095799839766349765</stp>
        <tr r="AR10" s="2"/>
      </tp>
      <tp>
        <v>0.33</v>
        <stp/>
        <stp>BDP|18359797587815865757|22</stp>
        <stp>QQQ US 01/16/26 C630 Equity</stp>
        <stp>ask</stp>
        <tr r="L8" s="89"/>
      </tp>
      <tp>
        <v>615.52</v>
        <stp/>
        <stp>BDP|3807768373389777345|22</stp>
        <stp>META Equity</stp>
        <stp>LAST_PRICE</stp>
        <tr r="I23" s="1"/>
      </tp>
      <tp>
        <v>104.32</v>
        <stp/>
        <stp>BDP|4389152314038046903|22</stp>
        <stp>QQQE Equity</stp>
        <stp>LAST_PRICE</stp>
        <tr r="I15" s="1"/>
        <tr r="I16" s="1"/>
      </tp>
      <tp>
        <v>96.86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USD</v>
        <stp/>
        <stp>BDP|13117275471365181877|22</stp>
        <stp>LITE US 02/20/26 C450 Equity</stp>
        <stp>QUOTED_CURRENCY_REALTIME</stp>
        <tr r="G8" s="2"/>
        <tr r="F27" s="89"/>
      </tp>
      <tp t="s">
        <v>#N/A N/A</v>
        <stp/>
        <stp>BDP|1163242074811817033</stp>
        <tr r="R248" s="89"/>
      </tp>
      <tp t="s">
        <v>#N/A Requesting Data...2695551404</v>
        <stp/>
        <stp>BDP|2926137671092226333</stp>
        <tr r="P14" s="252"/>
      </tp>
      <tp t="s">
        <v>#N/A Requesting Data...2969832198</v>
        <stp/>
        <stp>BDP|4780459414043985746</stp>
        <tr r="S33" s="338"/>
      </tp>
      <tp t="s">
        <v>#N/A Requesting Data...4172497425</v>
        <stp/>
        <stp>BDP|3715220583989463590</stp>
        <tr r="AB24" s="1"/>
        <tr r="F30" s="446"/>
      </tp>
      <tp t="s">
        <v>#N/A Requesting Data...3709199458</v>
        <stp/>
        <stp>BDP|2788681256181798550</stp>
        <tr r="V69" s="89"/>
      </tp>
      <tp t="s">
        <v>#N/A Requesting Data...4134780727</v>
        <stp/>
        <stp>BDP|3983744460122577503</stp>
        <tr r="AF30" s="1"/>
        <tr r="AF31" s="1"/>
        <tr r="AF36" s="338"/>
      </tp>
      <tp t="s">
        <v>#N/A Requesting Data...3361566352</v>
        <stp/>
        <stp>BDP|8403826222750594793</stp>
        <tr r="E196" s="89"/>
      </tp>
      <tp t="s">
        <v>#N/A N/A</v>
        <stp/>
        <stp>BDP|5013605744345919757</stp>
        <tr r="D20" s="2"/>
      </tp>
      <tp t="s">
        <v>#N/A Requesting Data...3200007171</v>
        <stp/>
        <stp>BDP|5308081551174601141</stp>
        <tr r="U11" s="338"/>
      </tp>
      <tp t="s">
        <v>#N/A N/A</v>
        <stp/>
        <stp>BDP|3051431949301095732</stp>
        <tr r="AB39" s="1"/>
      </tp>
      <tp t="s">
        <v>#N/A Requesting Data...3532087497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Data...2790573106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Data...2571064442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Data...3746660599</v>
        <stp/>
        <stp>BDP|2680507519705077633</stp>
        <tr r="C250" s="89"/>
      </tp>
      <tp t="s">
        <v>#N/A Requesting Data...2945028009</v>
        <stp/>
        <stp>BDP|8626964800726479283</stp>
        <tr r="T17" s="338"/>
      </tp>
      <tp t="s">
        <v>#N/A N/A</v>
        <stp/>
        <stp>BDP|7410592363259611858</stp>
        <tr r="K2" s="1"/>
      </tp>
      <tp t="s">
        <v>#N/A N/A</v>
        <stp/>
        <stp>BDP|5849251579912033793</stp>
        <tr r="D63" s="89"/>
      </tp>
      <tp t="s">
        <v>#N/A N/A</v>
        <stp/>
        <stp>BDP|6689657087039171489</stp>
        <tr r="D50" s="89"/>
      </tp>
      <tp t="s">
        <v>#N/A Requesting Data...3469596190</v>
        <stp/>
        <stp>BDP|6453493511390892665</stp>
        <tr r="T31" s="338"/>
      </tp>
      <tp t="s">
        <v>#N/A N/A</v>
        <stp/>
        <stp>BDP|1589468757956595330</stp>
        <tr r="AB15" s="1"/>
        <tr r="AB16" s="1"/>
      </tp>
      <tp t="s">
        <v>#N/A Requesting Data...3245354370</v>
        <stp/>
        <stp>BDP|1933423945534840047</stp>
        <tr r="AK9" s="338"/>
      </tp>
      <tp t="s">
        <v>#N/A Requesting Data...3105918147</v>
        <stp/>
        <stp>BDP|4087771710803757431</stp>
        <tr r="X54" s="338"/>
      </tp>
      <tp t="s">
        <v>#N/A Requesting Data...4110181067</v>
        <stp/>
        <stp>BDP|5606617135013296639</stp>
        <tr r="D11" s="2"/>
        <tr r="C234" s="89"/>
      </tp>
      <tp t="s">
        <v>#N/A Requesting Data...2814222098</v>
        <stp/>
        <stp>BDP|7419327903193598239</stp>
        <tr r="AJ15" s="338"/>
        <tr r="AJ39" s="338"/>
        <tr r="AK40" s="338"/>
      </tp>
      <tp t="s">
        <v>#N/A N/A</v>
        <stp/>
        <stp>BDP|9525835047501594141</stp>
        <tr r="AG21" s="1"/>
      </tp>
      <tp t="s">
        <v>#N/A N/A</v>
        <stp/>
        <stp>BDP|9212642566604321834</stp>
        <tr r="R89" s="89"/>
        <tr r="R90" s="89"/>
      </tp>
      <tp t="s">
        <v>#N/A Requesting Data...3570535809</v>
        <stp/>
        <stp>BDP|1252039566197775513</stp>
        <tr r="AK54" s="338"/>
      </tp>
      <tp t="s">
        <v>#N/A N/A</v>
        <stp/>
        <stp>BDP|6695752411146080338</stp>
        <tr r="AG26" s="1"/>
      </tp>
      <tp t="s">
        <v>#N/A N/A</v>
        <stp/>
        <stp>BDP|9107847052373360258</stp>
        <tr r="C9" s="2"/>
      </tp>
      <tp t="s">
        <v>#N/A Requesting Data...3404662205</v>
        <stp/>
        <stp>BDP|1340430251865159018</stp>
        <tr r="C122" s="89"/>
      </tp>
      <tp t="s">
        <v>#N/A Requesting Data...3671653166</v>
        <stp/>
        <stp>BDP|6397811860628218562</stp>
        <tr r="O40" s="89"/>
      </tp>
      <tp t="s">
        <v>#N/A Requesting Data...2976541874</v>
        <stp/>
        <stp>BDP|3777685039867817484</stp>
        <tr r="E20" s="89"/>
      </tp>
      <tp t="s">
        <v>#N/A N/A</v>
        <stp/>
        <stp>BDP|3531766210442590208</stp>
        <tr r="AF20" s="1"/>
      </tp>
      <tp t="s">
        <v>#N/A N/A</v>
        <stp/>
        <stp>BDP|3799144864516936797</stp>
        <tr r="C26" s="2"/>
      </tp>
      <tp t="s">
        <v>#N/A Requesting Data...4115609863</v>
        <stp/>
        <stp>BDP|6124212647123164610</stp>
        <tr r="Z109" s="89"/>
        <tr r="AA109" s="89"/>
      </tp>
      <tp t="s">
        <v>#N/A Requesting Data...3058537891</v>
        <stp/>
        <stp>BDP|2987580469143878743</stp>
        <tr r="Z115" s="89"/>
        <tr r="AA115" s="89"/>
      </tp>
      <tp t="s">
        <v>#N/A Requesting Data...4249629834</v>
        <stp/>
        <stp>BDP|4033619350390538205</stp>
        <tr r="E197" s="89"/>
      </tp>
      <tp t="s">
        <v>#N/A N/A</v>
        <stp/>
        <stp>BDP|7460910680203620073</stp>
        <tr r="E27" s="2"/>
      </tp>
      <tp t="s">
        <v>#N/A Requesting Data...3069113862</v>
        <stp/>
        <stp>BDP|1785534484179509007</stp>
        <tr r="U37" s="338"/>
      </tp>
      <tp t="s">
        <v>#N/A Requesting Data...3241861578</v>
        <stp/>
        <stp>BDP|6009938540699099761</stp>
        <tr r="Q15" s="338"/>
        <tr r="Q39" s="338"/>
      </tp>
      <tp t="s">
        <v>#N/A Real Time</v>
        <stp/>
        <stp>BDP|16483041364426568359|22</stp>
        <stp>NVDA US 10/03/25 P160 Equity</stp>
        <stp>ask</stp>
        <tr r="L250" s="89"/>
      </tp>
      <tp>
        <v>23.65</v>
        <stp/>
        <stp>BDP|16902259978573716312|22</stp>
        <stp>MSFT US 03/20/26 P465 Equity</stp>
        <stp>ask</stp>
        <tr r="Q20" s="2"/>
      </tp>
      <tp t="s">
        <v>#N/A N/A</v>
        <stp/>
        <stp>BDP|208621424304741710|22</stp>
        <stp>QQQ US 01/13/26 P623 Equity</stp>
        <stp>bid</stp>
        <tr r="K68" s="89"/>
      </tp>
      <tp t="s">
        <v>USD</v>
        <stp/>
        <stp>BDP|397487976034915571|22</stp>
        <stp>TSM US 06/18/26 C380 Equity</stp>
        <stp>QUOTED_CURRENCY_REALTIME</stp>
        <tr r="G28" s="2"/>
        <tr r="F14" s="89"/>
      </tp>
      <tp>
        <v>259.95999999999998</v>
        <stp/>
        <stp>BDP|4350104393385922955|22</stp>
        <stp>AAPL Equity</stp>
        <stp>LAST PRICE</stp>
        <tr r="I11" s="338"/>
      </tp>
      <tp>
        <v>-0.12822633981704712</v>
        <stp/>
        <stp>BDP|4567417713158786157|22</stp>
        <stp>AVGO US 06/18/26 C410 Equity</stp>
        <stp>theta_mid_rt</stp>
        <tr r="AN5" s="2"/>
      </tp>
      <tp t="s">
        <v>USD</v>
        <stp/>
        <stp>BDP|16294881056718250211|22</stp>
        <stp>ASHR US 07/17/26 C35 Equity</stp>
        <stp>QUOTED_CURRENCY_REALTIME</stp>
        <tr r="F34" s="89"/>
      </tp>
      <tp t="s">
        <v>#N/A Requesting Data...2871099438</v>
        <stp/>
        <stp>BDP|9823698439132005823</stp>
        <tr r="M12" s="252"/>
      </tp>
      <tp t="s">
        <v>#N/A N/A</v>
        <stp/>
        <stp>BDP|3841182258277076628</stp>
        <tr r="E32" s="2"/>
      </tp>
      <tp t="s">
        <v>#N/A Requesting Data...2789607282</v>
        <stp/>
        <stp>BDP|3019690065241065465</stp>
        <tr r="AI48" s="338"/>
        <tr r="AI49" s="338"/>
      </tp>
      <tp t="s">
        <v>#N/A Requesting Data...3359223502</v>
        <stp/>
        <stp>BDP|7188757863485888551</stp>
        <tr r="G39" s="446"/>
      </tp>
      <tp t="s">
        <v>#N/A Requesting Data...3065070861</v>
        <stp/>
        <stp>BDP|6357706968437215632</stp>
        <tr r="S51" s="338"/>
      </tp>
      <tp t="s">
        <v>#N/A Requesting Data...2904221323</v>
        <stp/>
        <stp>BDP|2912249135106636351</stp>
        <tr r="E171" s="89"/>
      </tp>
      <tp t="s">
        <v>#N/A Requesting Data...3052468782</v>
        <stp/>
        <stp>BDP|1443585917713323038</stp>
        <tr r="L30" s="338"/>
        <tr r="J30" s="338"/>
      </tp>
      <tp t="s">
        <v>#N/A Requesting Data...3227216289</v>
        <stp/>
        <stp>BDP|5276161858584454335</stp>
        <tr r="D29" s="2"/>
        <tr r="C195" s="89"/>
      </tp>
      <tp t="s">
        <v>#N/A Requesting Data...3491664089</v>
        <stp/>
        <stp>BDP|8062180154563076977</stp>
        <tr r="E234" s="89"/>
      </tp>
      <tp t="s">
        <v>#N/A Requesting Data...2565340898</v>
        <stp/>
        <stp>BDP|4646626558147768607</stp>
        <tr r="T144" s="89"/>
      </tp>
      <tp t="s">
        <v>#N/A Requesting Data...2931184162</v>
        <stp/>
        <stp>BDP|9958243614845156906</stp>
        <tr r="AK30" s="338"/>
        <tr r="AI30" s="338"/>
      </tp>
      <tp t="s">
        <v>#N/A Requesting Data...2711925194</v>
        <stp/>
        <stp>BDP|3175608666544602195</stp>
        <tr r="T171" s="89"/>
      </tp>
      <tp t="s">
        <v>#N/A Requesting Data...3889938302</v>
        <stp/>
        <stp>BDP|1754575979255457051</stp>
        <tr r="G14" s="446"/>
      </tp>
      <tp t="s">
        <v>#N/A Requesting Data...3804139976</v>
        <stp/>
        <stp>BDP|7065204913884869622</stp>
        <tr r="O239" s="89"/>
      </tp>
      <tp t="s">
        <v>#N/A N/A</v>
        <stp/>
        <stp>BDP|5130174576111125487</stp>
        <tr r="K37" s="1"/>
      </tp>
      <tp t="s">
        <v>#N/A Requesting Data...4014790194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Data...2805711526</v>
        <stp/>
        <stp>BDP|6095484704072209604</stp>
        <tr r="AJ13" s="338"/>
        <tr r="AJ34" s="338"/>
      </tp>
      <tp t="s">
        <v>#N/A Requesting Data...3407383033</v>
        <stp/>
        <stp>BDP|6921540255739678909</stp>
        <tr r="AK32" s="338"/>
        <tr r="AK46" s="338"/>
        <tr r="AK50" s="338"/>
        <tr r="AK8" s="338"/>
      </tp>
      <tp t="s">
        <v>#N/A Requesting Data...3623734451</v>
        <stp/>
        <stp>BDP|5918554856170734333</stp>
        <tr r="E204" s="89"/>
      </tp>
      <tp t="s">
        <v>#N/A Requesting Data...4004085844</v>
        <stp/>
        <stp>BDP|5836174453674625345</stp>
        <tr r="V34" s="338"/>
      </tp>
      <tp t="s">
        <v>#N/A Requesting Data...4114915964</v>
        <stp/>
        <stp>BDP|6914181187250139988</stp>
        <tr r="AA6" s="2"/>
        <tr r="T223" s="89"/>
      </tp>
      <tp t="s">
        <v>#N/A N/A</v>
        <stp/>
        <stp>BDP|2338594160066491111</stp>
        <tr r="AR32" s="2"/>
      </tp>
      <tp t="s">
        <v>#N/A N/A</v>
        <stp/>
        <stp>BDP|4812047156012255576</stp>
        <tr r="AB81" s="89"/>
      </tp>
      <tp t="s">
        <v>#N/A Requesting Data...2729619570</v>
        <stp/>
        <stp>BDP|3930578222146831483</stp>
        <tr r="G43" s="446"/>
      </tp>
      <tp t="s">
        <v>#N/A Requesting Data...3154671087</v>
        <stp/>
        <stp>BDP|1796976268448721036</stp>
        <tr r="E14" s="89"/>
      </tp>
      <tp t="s">
        <v>#N/A Requesting Data...3633553861</v>
        <stp/>
        <stp>BDP|9880395878588381367</stp>
        <tr r="AA188" s="89"/>
        <tr r="Z188" s="89"/>
      </tp>
      <tp t="s">
        <v>#N/A Requesting Data...3465413687</v>
        <stp/>
        <stp>BDP|3166087990788095446</stp>
        <tr r="G21" s="446"/>
      </tp>
      <tp t="s">
        <v>#N/A Requesting Data...2603841773</v>
        <stp/>
        <stp>BDP|4996607430791175657</stp>
        <tr r="T122" s="89"/>
      </tp>
      <tp t="s">
        <v>#N/A Requesting Data...3702961367</v>
        <stp/>
        <stp>BDP|3807948298497989200</stp>
        <tr r="P45" s="338"/>
      </tp>
      <tp t="s">
        <v>#N/A N/A</v>
        <stp/>
        <stp>BDP|6469126185579640087</stp>
        <tr r="F29" s="2"/>
      </tp>
      <tp t="s">
        <v>#N/A Requesting Data...3716255592</v>
        <stp/>
        <stp>BDP|5238012338866927602</stp>
        <tr r="D30" s="2"/>
        <tr r="C196" s="89"/>
      </tp>
      <tp t="s">
        <v>#N/A Requesting Data...4251075222</v>
        <stp/>
        <stp>BDP|6331404154158184946</stp>
        <tr r="T7" s="89"/>
      </tp>
      <tp t="s">
        <v>#N/A Requesting Data...3023270379</v>
        <stp/>
        <stp>BDP|2924047099948422524</stp>
        <tr r="D196" s="89"/>
      </tp>
      <tp t="s">
        <v>#N/A N/A</v>
        <stp/>
        <stp>BDP|4148348666006447154</stp>
        <tr r="AF21" s="1"/>
      </tp>
      <tp t="s">
        <v>#N/A N/A</v>
        <stp/>
        <stp>BDP|2876687939266845739</stp>
        <tr r="AA20" s="2"/>
      </tp>
      <tp t="s">
        <v>#N/A N/A</v>
        <stp/>
        <stp>BDP|9242806905375372266</stp>
        <tr r="R122" s="89"/>
        <tr r="R123" s="89"/>
      </tp>
      <tp t="s">
        <v>#N/A Requesting Data...3863142581</v>
        <stp/>
        <stp>BDP|3531676896459233342</stp>
        <tr r="G35" s="446"/>
      </tp>
      <tp t="s">
        <v>#N/A Requesting Data...3660099477</v>
        <stp/>
        <stp>BDP|9850960325197941300</stp>
        <tr r="AF41" s="1"/>
        <tr r="AF16" s="338"/>
        <tr r="AF38" s="338"/>
        <tr r="AF40" s="338"/>
      </tp>
      <tp t="s">
        <v>#N/A Requesting Data...2849647253</v>
        <stp/>
        <stp>BDP|5513318700529679908</stp>
        <tr r="Q55" s="338"/>
      </tp>
      <tp t="s">
        <v>#N/A Requesting Data...3590642677</v>
        <stp/>
        <stp>BDP|6405522765572861193</stp>
        <tr r="E195" s="89"/>
      </tp>
      <tp t="s">
        <v>#N/A Requesting Data...4153074913</v>
        <stp/>
        <stp>BDP|1831578601782415092</stp>
        <tr r="V18" s="338"/>
      </tp>
      <tp t="s">
        <v>#N/A N/A</v>
        <stp/>
        <stp>BDP|3400335775448774956</stp>
        <tr r="AF38" s="1"/>
      </tp>
      <tp t="s">
        <v>#N/A Requesting Data...2892619895</v>
        <stp/>
        <stp>BDP|9704022804526649977</stp>
        <tr r="Q51" s="338"/>
      </tp>
      <tp t="s">
        <v>#N/A N/A</v>
        <stp/>
        <stp>BDP|5315552559291956278</stp>
        <tr r="AA22" s="2"/>
        <tr r="T56" s="89"/>
      </tp>
      <tp t="s">
        <v>#N/A Requesting Data...3472399295</v>
        <stp/>
        <stp>BDP|9650470625011320866</stp>
        <tr r="AA225" s="89"/>
        <tr r="Z225" s="89"/>
      </tp>
      <tp t="s">
        <v>#N/A Requesting Data...3545677451</v>
        <stp/>
        <stp>BDP|9271742846914689876</stp>
        <tr r="S15" s="338"/>
        <tr r="S39" s="338"/>
      </tp>
      <tp t="s">
        <v>#N/A Requesting Data...2767358487</v>
        <stp/>
        <stp>BDP|1183356610207551274</stp>
        <tr r="T28" s="2"/>
        <tr r="O14" s="89"/>
      </tp>
      <tp t="s">
        <v>#N/A Requesting Data...2835802359</v>
        <stp/>
        <stp>BDP|3672362430114067167</stp>
        <tr r="T14" s="338"/>
      </tp>
      <tp t="e">
        <v>#N/A</v>
        <stp/>
        <stp>BDH|2591492312162091389</stp>
        <tr r="AM37" s="338"/>
      </tp>
      <tp t="s">
        <v>#N/A Requesting Data...3647364179</v>
        <stp/>
        <stp>BDP|2714917007269668409</stp>
        <tr r="M8" s="252"/>
      </tp>
      <tp t="s">
        <v>#N/A N/A</v>
        <stp/>
        <stp>BDP|3066523942234581020</stp>
        <tr r="AR31" s="2"/>
      </tp>
      <tp t="s">
        <v>#N/A Requesting Data...4147758085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Data...4117551525</v>
        <stp/>
        <stp>BDP|8510676947659670547</stp>
        <tr r="D34" s="89"/>
      </tp>
      <tp t="e">
        <v>#N/A</v>
        <stp/>
        <stp>BDH|7365050148341021493</stp>
        <tr r="AN14" s="338"/>
        <tr r="AN35" s="338"/>
      </tp>
      <tp t="s">
        <v>#N/A Requesting Data...4209148060</v>
        <stp/>
        <stp>BDP|8885961869603230210</stp>
        <tr r="AK32" s="338"/>
        <tr r="AK46" s="338"/>
        <tr r="AK50" s="338"/>
        <tr r="AK8" s="338"/>
      </tp>
      <tp t="s">
        <v>#N/A Requesting Data...4102257352</v>
        <stp/>
        <stp>BDP|5769981822101030995</stp>
        <tr r="T96" s="89"/>
      </tp>
      <tp t="s">
        <v>#N/A Requesting Data...4176961254</v>
        <stp/>
        <stp>BDP|4261590845912289184</stp>
        <tr r="D33" s="89"/>
      </tp>
      <tp t="s">
        <v>#N/A Requesting Data...3871887691</v>
        <stp/>
        <stp>BDP|8318036623599634512</stp>
        <tr r="D225" s="89"/>
      </tp>
      <tp t="s">
        <v>#N/A Requesting Data...3537376724</v>
        <stp/>
        <stp>BDP|7124738566005037518</stp>
        <tr r="Q29" s="338"/>
      </tp>
      <tp t="s">
        <v>#N/A Requesting Data...3091987524</v>
        <stp/>
        <stp>BDP|2784086996399992452</stp>
        <tr r="V68" s="89"/>
      </tp>
      <tp t="s">
        <v>#N/A Requesting Data...3212573659</v>
        <stp/>
        <stp>BDP|7214956164048318650</stp>
        <tr r="U34" s="338"/>
      </tp>
      <tp t="s">
        <v>#N/A Real Time</v>
        <stp/>
        <stp>BDP|16774619056895954310|22</stp>
        <stp>MSFT US 10/03/25 P485 Equity</stp>
        <stp>ask</stp>
        <tr r="L246" s="89"/>
      </tp>
      <tp>
        <v>615.52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-0.13715842366218567</v>
        <stp/>
        <stp>BDP|8795046347241444117|22</stp>
        <stp>AVGO US 06/18/26 C350 Equity</stp>
        <stp>theta_mid_rt</stp>
        <tr r="AN6" s="2"/>
      </tp>
      <tp t="s">
        <v>USD</v>
        <stp/>
        <stp>BDP|15745457023546852571|22</stp>
        <stp>NFLX US 03/20/26 P83 Equity</stp>
        <stp>QUOTED_CURRENCY_REALTIME</stp>
        <tr r="G25" s="2"/>
        <tr r="F205" s="89"/>
      </tp>
      <tp t="s">
        <v>#N/A Requesting Data...2661012556</v>
        <stp/>
        <stp>BDP|4283425441594897730</stp>
        <tr r="Z170" s="89"/>
        <tr r="AA170" s="89"/>
        <tr r="Z179" s="89"/>
        <tr r="AA179" s="89"/>
      </tp>
      <tp t="s">
        <v>#N/A Requesting Data...3889173703</v>
        <stp/>
        <stp>BDP|4245799967772009077</stp>
        <tr r="D37" s="446"/>
      </tp>
      <tp t="s">
        <v>#N/A Requesting Data...3556880413</v>
        <stp/>
        <stp>BDP|8970836561946482743</stp>
        <tr r="T249" s="89"/>
      </tp>
      <tp t="s">
        <v>#N/A Requesting Data...2600298985</v>
        <stp/>
        <stp>BDP|2863781781368349292</stp>
        <tr r="AJ16" s="338"/>
        <tr r="AJ38" s="338"/>
        <tr r="AJ40" s="338"/>
      </tp>
      <tp t="s">
        <v>#N/A Requesting Data...3242696841</v>
        <stp/>
        <stp>BDP|9413232260152715883</stp>
        <tr r="D31" s="2"/>
        <tr r="C197" s="89"/>
      </tp>
      <tp t="s">
        <v>#N/A Requesting Data...3525455457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Data...3847008010</v>
        <stp/>
        <stp>BDP|4897361001360642018</stp>
        <tr r="T48" s="338"/>
      </tp>
      <tp t="s">
        <v>#N/A N/A</v>
        <stp/>
        <stp>BDP|6577894425722203925</stp>
        <tr r="AI37" s="1"/>
      </tp>
      <tp t="s">
        <v>#N/A Requesting Data...3704713126</v>
        <stp/>
        <stp>BDP|5289094940154690244</stp>
        <tr r="S14" s="338"/>
      </tp>
      <tp t="s">
        <v>#N/A Requesting Data...3318957794</v>
        <stp/>
        <stp>BDP|1707015801081904771</stp>
        <tr r="S11" s="338"/>
      </tp>
      <tp t="s">
        <v>#N/A N/A</v>
        <stp/>
        <stp>BDP|5947737455944304421</stp>
        <tr r="AB37" s="1"/>
      </tp>
      <tp t="s">
        <v>#N/A Requesting Data...4196008819</v>
        <stp/>
        <stp>BDP|4804201201193410233</stp>
        <tr r="T212" s="89"/>
      </tp>
      <tp t="s">
        <v>#N/A Requesting Data...2687407635</v>
        <stp/>
        <stp>BDP|1510584037002581204</stp>
        <tr r="T115" s="89"/>
      </tp>
      <tp t="s">
        <v>#N/A Requesting Data...2769989596</v>
        <stp/>
        <stp>BDP|2412545287880145891</stp>
        <tr r="Z246" s="89"/>
        <tr r="AA246" s="89"/>
      </tp>
      <tp t="s">
        <v>#N/A Requesting Data...3023151038</v>
        <stp/>
        <stp>BDP|6917157052941035414</stp>
        <tr r="AK54" s="338"/>
      </tp>
      <tp t="s">
        <v>#N/A Requesting Data...3871167722</v>
        <stp/>
        <stp>BDP|1092378379464484650</stp>
        <tr r="G9" s="446"/>
      </tp>
      <tp t="s">
        <v>#N/A Requesting Data...2915982675</v>
        <stp/>
        <stp>BDP|5346594685016575959</stp>
        <tr r="AI18" s="338"/>
        <tr r="AK18" s="338"/>
      </tp>
      <tp t="e">
        <v>#N/A</v>
        <stp/>
        <stp>BDH|7997643890496610944</stp>
        <tr r="AN12" s="338"/>
      </tp>
      <tp t="s">
        <v>#N/A Requesting Data...4266914278</v>
        <stp/>
        <stp>BDP|5675170649634239369</stp>
        <tr r="E109" s="89"/>
      </tp>
      <tp t="s">
        <v>#N/A Requesting Data...2757483245</v>
        <stp/>
        <stp>BDP|6652393212940572345</stp>
        <tr r="Z195" s="89"/>
        <tr r="AA195" s="89"/>
      </tp>
      <tp t="s">
        <v>#N/A N/A</v>
        <stp/>
        <stp>BDP|7675645627431897518</stp>
        <tr r="C27" s="2"/>
      </tp>
      <tp t="s">
        <v>#N/A Requesting Data...2744867087</v>
        <stp/>
        <stp>BDP|4362279389520301931</stp>
        <tr r="T34" s="89"/>
      </tp>
      <tp t="s">
        <v>#N/A Requesting Data...4113137184</v>
        <stp/>
        <stp>BDP|3706549500372914371</stp>
        <tr r="E136" s="89"/>
      </tp>
      <tp t="s">
        <v>#N/A Requesting Data...2695030214</v>
        <stp/>
        <stp>BDP|7107626834487292286</stp>
        <tr r="L11" s="252"/>
        <tr r="L11" s="252"/>
      </tp>
      <tp t="s">
        <v>#N/A Requesting Data...3172411571</v>
        <stp/>
        <stp>BDP|8336092558638833275</stp>
        <tr r="M18" s="252"/>
      </tp>
      <tp t="s">
        <v>#N/A N/A</v>
        <stp/>
        <stp>BDP|9915235999563683689</stp>
        <tr r="E62" s="89"/>
      </tp>
      <tp t="s">
        <v>#N/A Requesting Data...4284055747</v>
        <stp/>
        <stp>BDP|2787535871500884705</stp>
        <tr r="S35" s="338"/>
      </tp>
      <tp t="s">
        <v>#N/A N/A</v>
        <stp/>
        <stp>BDP|3340874033607802822</stp>
        <tr r="AB18" s="1"/>
        <tr r="AB19" s="1"/>
      </tp>
      <tp t="s">
        <v>#N/A N/A</v>
        <stp/>
        <stp>BDP|7341491708322758684</stp>
        <tr r="AB144" s="89"/>
        <tr r="AB145" s="89"/>
      </tp>
      <tp t="s">
        <v>#N/A Requesting Data...3922457134</v>
        <stp/>
        <stp>BDP|7799311959944940249</stp>
        <tr r="Q54" s="338"/>
      </tp>
      <tp t="s">
        <v>#N/A Requesting Data...4095124222</v>
        <stp/>
        <stp>BDP|1288906989993060491</stp>
        <tr r="X49" s="338"/>
      </tp>
      <tp t="s">
        <v>#N/A N/A</v>
        <stp/>
        <stp>BDP|8185611637538225266</stp>
        <tr r="C11" s="2"/>
      </tp>
      <tp t="s">
        <v>#N/A Requesting Data...4208180662</v>
        <stp/>
        <stp>BDP|5938177747656903132</stp>
        <tr r="S55" s="338"/>
      </tp>
      <tp t="s">
        <v>#N/A Requesting Data...2842874922</v>
        <stp/>
        <stp>BDP|1855721819082945297</stp>
        <tr r="P52" s="338"/>
      </tp>
      <tp t="s">
        <v>#N/A Requesting Data...3020748390</v>
        <stp/>
        <stp>BDP|7226011316269547804</stp>
        <tr r="AA101" s="89"/>
        <tr r="Z101" s="89"/>
      </tp>
      <tp t="s">
        <v>#N/A Requesting Data...3375595683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Data...3732337913</v>
        <stp/>
        <stp>BDP|6362624963838148922</stp>
        <tr r="AF24" s="1"/>
        <tr r="AF8" s="338"/>
        <tr r="AF9" s="338"/>
      </tp>
      <tp t="s">
        <v>#N/A Requesting Data...4110115171</v>
        <stp/>
        <stp>BDP|2907663611126652497</stp>
        <tr r="D136" s="89"/>
      </tp>
      <tp t="s">
        <v>#N/A N/A</v>
        <stp/>
        <stp>BDP|7909641621027922343</stp>
        <tr r="O50" s="89"/>
      </tp>
      <tp t="s">
        <v>#N/A Requesting Data...3219560658</v>
        <stp/>
        <stp>BDP|5447413907492272417</stp>
        <tr r="AG48" s="338"/>
        <tr r="AG49" s="338"/>
      </tp>
      <tp t="s">
        <v>#N/A N/A</v>
        <stp/>
        <stp>BDP|6947845048025524815</stp>
        <tr r="D62" s="89"/>
      </tp>
      <tp t="s">
        <v>#N/A Requesting Data...3534027680</v>
        <stp/>
        <stp>BDP|2614909402095251903</stp>
        <tr r="L12" s="252"/>
        <tr r="L12" s="252"/>
      </tp>
      <tp t="s">
        <v>#N/A Requesting Data...3260156278</v>
        <stp/>
        <stp>BDP|5476793879341768354</stp>
        <tr r="AK30" s="338"/>
      </tp>
      <tp t="s">
        <v>#N/A Requesting Data...3242141760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Data...3523120933</v>
        <stp/>
        <stp>BDP|9356568301399407276</stp>
        <tr r="L29" s="338"/>
        <tr r="J29" s="338"/>
      </tp>
      <tp t="s">
        <v>#N/A Requesting Data...2737616760</v>
        <stp/>
        <stp>BDP|7057279456164256342</stp>
        <tr r="S32" s="338"/>
      </tp>
      <tp t="s">
        <v>#N/A N/A</v>
        <stp/>
        <stp>BDP|7250845338122873916</stp>
        <tr r="D16" s="2"/>
      </tp>
      <tp t="s">
        <v>#N/A Requesting Data...3202093833</v>
        <stp/>
        <stp>BDP|5679496740627876502</stp>
        <tr r="N20" s="252"/>
        <tr r="N20" s="252"/>
      </tp>
      <tp t="s">
        <v>#N/A Requesting Data...2908383557</v>
        <stp/>
        <stp>BDP|7775425857631476016</stp>
        <tr r="X53" s="338"/>
      </tp>
      <tp t="s">
        <v>#N/A Requesting Data...3461318490</v>
        <stp/>
        <stp>BDP|6730519311327945299</stp>
        <tr r="AK11" s="338"/>
      </tp>
      <tp t="s">
        <v>#N/A Requesting Data...3690092617</v>
        <stp/>
        <stp>BDP|7034052966182144450</stp>
        <tr r="G7" s="446"/>
      </tp>
      <tp t="s">
        <v>#N/A Requesting Data...3438394891</v>
        <stp/>
        <stp>BDP|5264049846531072744</stp>
        <tr r="AA95" s="89"/>
        <tr r="Z95" s="89"/>
      </tp>
      <tp t="s">
        <v>#N/A Requesting Data...3019788508</v>
        <stp/>
        <stp>BDP|7817792651205133748</stp>
        <tr r="U30" s="338"/>
      </tp>
      <tp t="s">
        <v>#N/A Requesting Data...3676997077</v>
        <stp/>
        <stp>BDP|1636158366620394139</stp>
        <tr r="V160" s="89"/>
      </tp>
      <tp t="s">
        <v>#N/A Requesting Data...3363362806</v>
        <stp/>
        <stp>BDP|7130911573469165773</stp>
        <tr r="AD6" s="2"/>
        <tr r="V223" s="89"/>
      </tp>
      <tp t="e">
        <v>#N/A</v>
        <stp/>
        <stp>BDH|9499304499216109298</stp>
        <tr r="AU30" s="338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236.65</v>
        <stp/>
        <stp>BDP|4344863504285541564|22</stp>
        <stp>AMZN Equity</stp>
        <stp>LAST_PRICE</stp>
        <tr r="I22" s="1"/>
      </tp>
      <tp t="s">
        <v>#N/A Requesting Data...3940959369</v>
        <stp/>
        <stp>BDP|7888925895296536105</stp>
        <tr r="D195" s="89"/>
      </tp>
      <tp t="s">
        <v>#N/A Requesting Data...4186619057</v>
        <stp/>
        <stp>BDP|9478381283761550308</stp>
        <tr r="AD27" s="2"/>
        <tr r="V13" s="89"/>
      </tp>
      <tp t="s">
        <v>#N/A Requesting Data...3650811232</v>
        <stp/>
        <stp>BDP|3454753217493992655</stp>
        <tr r="AB36" s="1"/>
        <tr r="F36" s="446"/>
      </tp>
      <tp t="s">
        <v>#N/A N/A</v>
        <stp/>
        <stp>BDP|8148908707662517398</stp>
        <tr r="AG23" s="1"/>
      </tp>
      <tp t="s">
        <v>#N/A Requesting Data...3659912724</v>
        <stp/>
        <stp>BDP|1189172247476298290</stp>
        <tr r="O7" s="252"/>
      </tp>
      <tp t="s">
        <v>#N/A Requesting Data...2919754744</v>
        <stp/>
        <stp>BDP|6955622269271151797</stp>
        <tr r="T4" s="2"/>
        <tr r="O33" s="89"/>
      </tp>
      <tp t="e">
        <v>#N/A</v>
        <stp/>
        <stp>BDH|6300508665442857747</stp>
        <tr r="J20" s="252"/>
      </tp>
      <tp t="s">
        <v>#N/A Requesting Data...2710030466</v>
        <stp/>
        <stp>BDP|7581312139944399354</stp>
        <tr r="V248" s="89"/>
      </tp>
      <tp t="s">
        <v>#N/A Requesting Data...3981037173</v>
        <stp/>
        <stp>BDP|2073373381748750195</stp>
        <tr r="F25" s="446"/>
      </tp>
      <tp t="s">
        <v>#N/A Requesting Data...3372340581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Data...3723852589</v>
        <stp/>
        <stp>BDP|5045073666933003089</stp>
        <tr r="V9" s="338"/>
      </tp>
      <tp t="s">
        <v>#N/A Requesting Data...4286651841</v>
        <stp/>
        <stp>BDP|4708682786482667866</stp>
        <tr r="O76" s="89"/>
      </tp>
      <tp t="s">
        <v>#N/A N/A</v>
        <stp/>
        <stp>BDP|7131418634293998332</stp>
        <tr r="T16" s="2"/>
      </tp>
      <tp t="s">
        <v>#N/A Requesting Data...3587569018</v>
        <stp/>
        <stp>BDP|4040561284001429885</stp>
        <tr r="Q34" s="338"/>
      </tp>
      <tp t="s">
        <v>#N/A Requesting Data...4213417281</v>
        <stp/>
        <stp>BDP|4874875695403262667</stp>
        <tr r="O169" s="89"/>
        <tr r="O178" s="89"/>
        <tr r="O233" s="89"/>
      </tp>
      <tp t="s">
        <v>#N/A N/A</v>
        <stp/>
        <stp>BDP|3833608477975887782</stp>
        <tr r="AC7" s="2"/>
        <tr r="AC8" s="2"/>
      </tp>
      <tp t="s">
        <v>#N/A Requesting Data...2835337198</v>
        <stp/>
        <stp>BDP|3872713712930116557</stp>
        <tr r="V186" s="89"/>
      </tp>
      <tp t="s">
        <v>#N/A Requesting Data...3637213282</v>
        <stp/>
        <stp>BDP|5526635939431875188</stp>
        <tr r="AI29" s="338"/>
      </tp>
      <tp t="s">
        <v>#N/A N/A</v>
        <stp/>
        <stp>BDP|6205570538009285907</stp>
        <tr r="K27" s="1"/>
      </tp>
      <tp t="s">
        <v>#N/A Requesting Data...3662819722</v>
        <stp/>
        <stp>BDP|5959149956824211564</stp>
        <tr r="G38" s="446"/>
      </tp>
      <tp t="e">
        <v>#N/A</v>
        <stp/>
        <stp>BDH|8210536742028848141</stp>
        <tr r="AN41" s="338"/>
        <tr r="AN42" s="338"/>
      </tp>
      <tp t="s">
        <v>#N/A N/A</v>
        <stp/>
        <stp>BDP|8609914140652937722</stp>
        <tr r="AA26" s="2"/>
      </tp>
      <tp t="s">
        <v>#N/A Requesting Data...3638155285</v>
        <stp/>
        <stp>BDP|5381969730908949709</stp>
        <tr r="AD4" s="2"/>
        <tr r="V33" s="89"/>
      </tp>
      <tp t="s">
        <v>#N/A Requesting Data...2677919048</v>
        <stp/>
        <stp>BDP|8739029094357904654</stp>
        <tr r="O20" s="89"/>
      </tp>
      <tp t="s">
        <v>#N/A Requesting Data...3981031401</v>
        <stp/>
        <stp>BDP|3572723856414756549</stp>
        <tr r="D5" s="2"/>
        <tr r="C222" s="89"/>
      </tp>
      <tp t="s">
        <v>#N/A Requesting Data...3946470838</v>
        <stp/>
        <stp>BDP|1905590006853613726</stp>
        <tr r="E169" s="89"/>
        <tr r="E178" s="89"/>
        <tr r="E233" s="89"/>
      </tp>
      <tp t="s">
        <v>#N/A Requesting Data...4220570607</v>
        <stp/>
        <stp>BDP|1141757261571362141</stp>
        <tr r="E68" s="89"/>
      </tp>
      <tp t="s">
        <v>#N/A Requesting Data...3634160293</v>
        <stp/>
        <stp>BDP|8781859390611325836</stp>
        <tr r="X12" s="338"/>
      </tp>
      <tp t="s">
        <v>#N/A Requesting Data...3979371330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Q6" s="2"/>
        <tr r="AB224" s="89"/>
        <tr r="AB222" s="89"/>
        <tr r="AB223" s="89"/>
        <tr r="AB225" s="89"/>
        <tr r="AB251" s="89"/>
      </tp>
      <tp t="s">
        <v>#N/A N/A</v>
        <stp/>
        <stp>BDP|2925650370332906175</stp>
        <tr r="AI28" s="1"/>
        <tr r="AI29" s="1"/>
      </tp>
      <tp t="s">
        <v>#N/A N/A</v>
        <stp/>
        <stp>BDP|2133575701433292462</stp>
        <tr r="C23" s="2"/>
      </tp>
      <tp t="s">
        <v>#N/A Requesting Data...3008059850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Data...3380256401</v>
        <stp/>
        <stp>BDP|4552037620785435316</stp>
        <tr r="P33" s="338"/>
      </tp>
      <tp t="s">
        <v>#N/A N/A</v>
        <stp/>
        <stp>BDP|8177301223040694940</stp>
        <tr r="AB20" s="1"/>
      </tp>
      <tp t="s">
        <v>#N/A Requesting Data...3424030654</v>
        <stp/>
        <stp>BDP|1912350260220949454</stp>
        <tr r="AJ29" s="338"/>
        <tr r="AJ30" s="338"/>
      </tp>
      <tp t="s">
        <v>#N/A Requesting Data...2900646146</v>
        <stp/>
        <stp>BDP|5137251643354744701</stp>
        <tr r="L36" s="338"/>
        <tr r="H36" s="338"/>
      </tp>
      <tp t="e">
        <v>#N/A</v>
        <stp/>
        <stp>BDH|6473728916316728676</stp>
        <tr r="AS13" s="338"/>
      </tp>
      <tp t="s">
        <v>#N/A Requesting Data...4185943712</v>
        <stp/>
        <stp>BDP|6283111272633911397</stp>
        <tr r="AJ14" s="338"/>
        <tr r="AJ35" s="338"/>
      </tp>
      <tp t="s">
        <v>#N/A Requesting Data...3809310415</v>
        <stp/>
        <stp>BDP|7112967104169217777</stp>
        <tr r="P30" s="338"/>
      </tp>
      <tp t="s">
        <v>#N/A Requesting Data...4173234669</v>
        <stp/>
        <stp>BDP|5682063267492381124</stp>
        <tr r="S12" s="338"/>
      </tp>
      <tp t="s">
        <v>#N/A Requesting Data...3587221080</v>
        <stp/>
        <stp>BDP|1018734111515407205</stp>
        <tr r="F18" s="252"/>
      </tp>
      <tp t="e">
        <v>#N/A</v>
        <stp/>
        <stp>BDH|6580134286118595739</stp>
        <tr r="AR9" s="338"/>
      </tp>
      <tp t="s">
        <v>#N/A Requesting Data...3260622824</v>
        <stp/>
        <stp>BDP|4028930726656593970</stp>
        <tr r="AJ16" s="338"/>
        <tr r="AJ38" s="338"/>
        <tr r="AJ40" s="338"/>
      </tp>
      <tp t="s">
        <v>#N/A Requesting Data...3797392279</v>
        <stp/>
        <stp>BDP|9163195119900175972</stp>
        <tr r="C188" s="89"/>
      </tp>
      <tp t="s">
        <v>#N/A Requesting Data...3159939382</v>
        <stp/>
        <stp>BDP|2540033372355370000</stp>
        <tr r="D153" s="89"/>
        <tr r="D154" s="89"/>
      </tp>
      <tp t="s">
        <v>#N/A Requesting Data...2955275300</v>
        <stp/>
        <stp>BDP|2307110121311336077</stp>
        <tr r="T68" s="89"/>
      </tp>
      <tp t="s">
        <v>#N/A Requesting Data...3463013643</v>
        <stp/>
        <stp>BDP|1494500509740882420</stp>
        <tr r="D96" s="89"/>
      </tp>
      <tp t="s">
        <v>#N/A Requesting Data...3652593321</v>
        <stp/>
        <stp>BDP|8313925844516597346</stp>
        <tr r="AA40" s="89"/>
        <tr r="Z40" s="89"/>
      </tp>
      <tp t="s">
        <v>#N/A Requesting Data...2952856720</v>
        <stp/>
        <stp>BDP|3485044105441809296</stp>
        <tr r="L12" s="338"/>
        <tr r="J12" s="338"/>
      </tp>
      <tp t="s">
        <v>#N/A N/A</v>
        <stp/>
        <stp>BDP|7774064174301905182</stp>
        <tr r="T49" s="89"/>
      </tp>
      <tp t="s">
        <v>#N/A Requesting Data...2972052293</v>
        <stp/>
        <stp>BDP|6637641837380428351</stp>
        <tr r="D89" s="89"/>
      </tp>
      <tp t="s">
        <v>#N/A Requesting Data...4271869079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>
        <v>35.9</v>
        <stp/>
        <stp>BDP|14709653448625040347|22</stp>
        <stp>TSM US 07/17/26 C340 Equity</stp>
        <stp>ask</stp>
        <tr r="L19" s="89"/>
      </tp>
      <tp>
        <v>-0.30506226420402527</v>
        <stp/>
        <stp>BDP|9340851764495106938|22</stp>
        <stp>AMAT US 01/23/26 P280 Equity</stp>
        <stp>theta_mid_rt</stp>
        <tr r="AN22" s="2"/>
      </tp>
      <tp>
        <v>17.100000000000001</v>
        <stp/>
        <stp>BDP|13708122924811862625|22</stp>
        <stp>TSM US 06/18/26 C380 Equity</stp>
        <stp>mid</stp>
        <tr r="L28" s="2"/>
      </tp>
      <tp>
        <v>198.68</v>
        <stp/>
        <stp>BDP|17027429052585223577|22</stp>
        <stp>RSP EQUITY</stp>
        <stp>LAST_PRICE</stp>
        <tr r="I5" s="1"/>
      </tp>
      <tp>
        <v>333.35</v>
        <stp/>
        <stp>BDP|11598227388227238953|22</stp>
        <stp>MU US Equity</stp>
        <stp>LAST_PRICE</stp>
        <tr r="S81" s="89"/>
      </tp>
      <tp>
        <v>69.3</v>
        <stp/>
        <stp>BDP|18172808545737565366|22</stp>
        <stp>MP US Equity</stp>
        <stp>LAST_PRICE</stp>
        <tr r="S240" s="89"/>
        <tr r="S239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Invalid Security</v>
        <stp/>
        <stp>BDP|14086404134299015260|22</stp>
        <stp>-2,8947048159628 Index</stp>
        <stp>mid</stp>
        <tr r="L1" s="2"/>
      </tp>
      <tp t="s">
        <v>#N/A N/A</v>
        <stp/>
        <stp>BDP|9913239814302158954</stp>
        <tr r="AD26" s="2"/>
      </tp>
      <tp t="s">
        <v>#N/A Requesting Data...4279212425</v>
        <stp/>
        <stp>BDP|5033376349836196559</stp>
        <tr r="X29" s="338"/>
      </tp>
      <tp t="s">
        <v>#N/A N/A</v>
        <stp/>
        <stp>BDP|3672774059107516773</stp>
        <tr r="AR24" s="2"/>
      </tp>
      <tp t="s">
        <v>#N/A N/A</v>
        <stp/>
        <stp>BDP|5906347697766862884</stp>
        <tr r="C20" s="2"/>
      </tp>
      <tp t="s">
        <v>#N/A Requesting Data...4075306394</v>
        <stp/>
        <stp>BDP|3552512649496298558</stp>
        <tr r="M14" s="252"/>
      </tp>
      <tp t="s">
        <v>#N/A N/A</v>
        <stp/>
        <stp>BDP|6512582705651116331</stp>
        <tr r="D14" s="2"/>
        <tr r="D15" s="2"/>
      </tp>
      <tp t="s">
        <v>#N/A N/A</v>
        <stp/>
        <stp>BDP|8548403483194970146</stp>
        <tr r="AD21" s="2"/>
        <tr r="V55" s="89"/>
      </tp>
      <tp t="s">
        <v>#N/A N/A</v>
        <stp/>
        <stp>BDP|3758548566115413498</stp>
        <tr r="F10" s="2"/>
      </tp>
      <tp t="s">
        <v>#N/A N/A</v>
        <stp/>
        <stp>BDP|8533714604917039989</stp>
        <tr r="F23" s="2"/>
      </tp>
      <tp t="s">
        <v>#N/A N/A</v>
        <stp/>
        <stp>BDP|5889104764011396273</stp>
        <tr r="AI32" s="1"/>
        <tr r="AI33" s="1"/>
        <tr r="AI34" s="1"/>
        <tr r="AI35" s="1"/>
      </tp>
      <tp t="s">
        <v>#N/A Requesting Data...3767834922</v>
        <stp/>
        <stp>BDP|5256432133392845134</stp>
        <tr r="C101" s="89"/>
      </tp>
      <tp t="s">
        <v>#N/A Requesting Data...3729152834</v>
        <stp/>
        <stp>BDP|7551465529835272566</stp>
        <tr r="N9" s="252"/>
        <tr r="N9" s="252"/>
      </tp>
      <tp t="s">
        <v>#N/A N/A</v>
        <stp/>
        <stp>BDP|1897815793981176051</stp>
        <tr r="AR16" s="2"/>
      </tp>
      <tp t="s">
        <v>#N/A Requesting Data...3489467779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Data...4236989890</v>
        <stp/>
        <stp>BDP|7601159166158268985</stp>
        <tr r="S16" s="252"/>
      </tp>
      <tp t="s">
        <v>#N/A Requesting Data...4241739847</v>
        <stp/>
        <stp>BDP|3235511292777879969</stp>
        <tr r="X11" s="338"/>
      </tp>
      <tp t="s">
        <v>#N/A Requesting Data...3479422882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Data...3663171399</v>
        <stp/>
        <stp>BDP|1748256233439783899</stp>
        <tr r="T15" s="338"/>
        <tr r="T39" s="338"/>
      </tp>
      <tp t="s">
        <v>#N/A Requesting Data...3687686643</v>
        <stp/>
        <stp>BDP|7660636101386198693</stp>
        <tr r="P15" s="338"/>
        <tr r="P39" s="338"/>
      </tp>
      <tp t="s">
        <v>#N/A Requesting Data...3532920842</v>
        <stp/>
        <stp>BDP|2272232279947205164</stp>
        <tr r="C251" s="89"/>
      </tp>
      <tp t="s">
        <v>#N/A Requesting Data...3044073522</v>
        <stp/>
        <stp>BDP|8463094131499939398</stp>
        <tr r="X18" s="338"/>
      </tp>
      <tp t="s">
        <v>#N/A Requesting Data...2772357873</v>
        <stp/>
        <stp>BDP|7404929821424807933</stp>
        <tr r="L16" s="338"/>
        <tr r="L38" s="338"/>
        <tr r="H16" s="338"/>
        <tr r="H38" s="338"/>
        <tr r="L40" s="338"/>
        <tr r="H40" s="338"/>
      </tp>
      <tp t="s">
        <v>#N/A Requesting Data...4172760872</v>
        <stp/>
        <stp>BDP|4539099601905635071</stp>
        <tr r="O20" s="252"/>
      </tp>
      <tp t="s">
        <v>#N/A N/A</v>
        <stp/>
        <stp>BDP|7860267098129973432</stp>
        <tr r="R109" s="89"/>
      </tp>
      <tp t="e">
        <v>#N/A</v>
        <stp/>
        <stp>BDH|4147797145742543448</stp>
        <tr r="AM18" s="338"/>
        <tr r="AM17" s="338"/>
      </tp>
      <tp t="s">
        <v>#N/A Requesting Data...3367374771</v>
        <stp/>
        <stp>BDP|6241899226908646569</stp>
        <tr r="D42" s="446"/>
      </tp>
      <tp t="s">
        <v>#N/A Requesting Data...3817434888</v>
        <stp/>
        <stp>BDP|2974198673022627786</stp>
        <tr r="AK48" s="338"/>
        <tr r="AK49" s="338"/>
      </tp>
      <tp t="s">
        <v>#N/A Requesting Data...3386983480</v>
        <stp/>
        <stp>BDP|5183368778820171035</stp>
        <tr r="F45" s="446"/>
      </tp>
      <tp t="s">
        <v>#N/A N/A</v>
        <stp/>
        <stp>BDP|5678783394829319341</stp>
        <tr r="F28" s="2"/>
      </tp>
      <tp t="s">
        <v>#N/A N/A</v>
        <stp/>
        <stp>BDP|9867815445690675470</stp>
        <tr r="E17" s="2"/>
        <tr r="E18" s="2"/>
      </tp>
      <tp t="s">
        <v>#N/A N/A</v>
        <stp/>
        <stp>BDP|5223714776062803600</stp>
        <tr r="AC13" s="1"/>
      </tp>
      <tp t="s">
        <v>#N/A N/A</v>
        <stp/>
        <stp>BDP|3451935198061445399</stp>
        <tr r="E20" s="2"/>
      </tp>
      <tp t="s">
        <v>#N/A Requesting Data...3200793739</v>
        <stp/>
        <stp>BDP|7603021556517835487</stp>
        <tr r="AH52" s="338"/>
        <tr r="AH53" s="338"/>
        <tr r="AH54" s="338"/>
      </tp>
      <tp t="s">
        <v>#N/A Requesting Data...2763052491</v>
        <stp/>
        <stp>BDP|4388333855843269056</stp>
        <tr r="P10" s="252"/>
      </tp>
      <tp t="s">
        <v>#N/A Requesting Data...3549551896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Data...3726774998</v>
        <stp/>
        <stp>BDP|2790133807587110508</stp>
        <tr r="O10" s="252"/>
      </tp>
      <tp t="s">
        <v>#N/A Requesting Data...4163801694</v>
        <stp/>
        <stp>BDP|7513670475916134150</stp>
        <tr r="AG18" s="338"/>
      </tp>
      <tp t="s">
        <v>#N/A N/A</v>
        <stp/>
        <stp>BDP|5135037260523416154</stp>
        <tr r="AC21" s="2"/>
        <tr r="AC22" s="2"/>
      </tp>
      <tp t="s">
        <v>#N/A N/A</v>
        <stp/>
        <stp>BDP|9633924773914414208</stp>
        <tr r="AC4" s="2"/>
      </tp>
      <tp t="s">
        <v>#N/A Requesting Data...3413898380</v>
        <stp/>
        <stp>BDP|9843491038236897916</stp>
        <tr r="C20" s="89"/>
      </tp>
      <tp t="s">
        <v>#N/A N/A</v>
        <stp/>
        <stp>BDP|9739406253298596110</stp>
        <tr r="AI21" s="1"/>
      </tp>
      <tp t="s">
        <v>#N/A N/A</v>
        <stp/>
        <stp>BDP|1821230040030393694</stp>
        <tr r="AQ12" s="2"/>
        <tr r="AQ13" s="2"/>
        <tr r="AQ14" s="2"/>
        <tr r="AQ15" s="2"/>
        <tr r="AQ16" s="2"/>
      </tp>
      <tp t="s">
        <v>#N/A Requesting Data...3262544475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32" s="2"/>
        <tr r="AQ33" s="2"/>
        <tr r="AQ26" s="2"/>
        <tr r="AQ27" s="2"/>
        <tr r="AQ28" s="2"/>
        <tr r="AQ31" s="2"/>
        <tr r="AQ29" s="2"/>
        <tr r="AQ30" s="2"/>
        <tr r="AB197" s="89"/>
        <tr r="AB19" s="89"/>
        <tr r="AB195" s="89"/>
        <tr r="AB196" s="89"/>
        <tr r="AB13" s="89"/>
        <tr r="AB14" s="89"/>
        <tr r="AB20" s="89"/>
      </tp>
      <tp t="s">
        <v>#N/A Requesting Data...3418482312</v>
        <stp/>
        <stp>BDP|8707806237397902583</stp>
        <tr r="S11" s="252"/>
      </tp>
      <tp t="s">
        <v>#N/A N/A</v>
        <stp/>
        <stp>BDP|2220747202747607343</stp>
        <tr r="K40" s="1"/>
      </tp>
      <tp t="s">
        <v>#N/A Requesting Data...3376084308</v>
        <stp/>
        <stp>BDP|9939228331380883944</stp>
        <tr r="G11" s="446"/>
      </tp>
      <tp t="s">
        <v>#N/A Requesting Data...3611258731</v>
        <stp/>
        <stp>BDP|2267087599569280367</stp>
        <tr r="P34" s="338"/>
      </tp>
      <tp t="s">
        <v>#N/A Requesting Data...3666532050</v>
        <stp/>
        <stp>BDP|2620429521461757456</stp>
        <tr r="AK42" s="338"/>
      </tp>
      <tp t="s">
        <v>#N/A Requesting Data...3989521970</v>
        <stp/>
        <stp>BDP|7066346967523510010</stp>
        <tr r="U9" s="338"/>
      </tp>
      <tp t="s">
        <v>#N/A N/A</v>
        <stp/>
        <stp>BDP|6497440232258298876</stp>
        <tr r="AF13" s="1"/>
      </tp>
      <tp t="e">
        <v>#N/A</v>
        <stp/>
        <stp>BDH|2659128149667151180</stp>
        <tr r="AN39" s="338"/>
        <tr r="AS40" s="338"/>
        <tr r="AN15" s="338"/>
      </tp>
      <tp t="s">
        <v>#N/A Requesting Data...3788620140</v>
        <stp/>
        <stp>BDP|4452676106120108316</stp>
        <tr r="Z251" s="89"/>
        <tr r="AA251" s="89"/>
      </tp>
      <tp>
        <v>18.22</v>
        <stp/>
        <stp>BDP|11372581848729563069|22</stp>
        <stp>META US 04/17/26 C690 Equity</stp>
        <stp>mid</stp>
        <tr r="L9" s="2"/>
      </tp>
      <tp>
        <v>1.67</v>
        <stp/>
        <stp>BDP|18227171608903191816|22</stp>
        <stp>NFLX US 03/20/26 C104 Equity</stp>
        <stp>bid</stp>
        <tr r="P23" s="2"/>
        <tr r="K203" s="89"/>
      </tp>
      <tp>
        <v>23.52</v>
        <stp/>
        <stp>BDP|16757164580454265033|22</stp>
        <stp>MSFT US 03/20/26 P465 Equity</stp>
        <stp>mid</stp>
        <tr r="L20" s="2"/>
      </tp>
      <tp>
        <v>9</v>
        <stp/>
        <stp>BDP|10072792451967782103|22</stp>
        <stp>ASML US 01/23/26 P1200 Equity</stp>
        <stp>bid</stp>
        <tr r="K49" s="89"/>
      </tp>
      <tp>
        <v>0.32</v>
        <stp/>
        <stp>BDP|12385625248316788310|22</stp>
        <stp>QQQ US 01/16/26 C630 Equity</stp>
        <stp>bid</stp>
        <tr r="K8" s="89"/>
      </tp>
      <tp t="s">
        <v>#N/A Requesting Data...3106790924</v>
        <stp/>
        <stp>BDP|5252092169507826608</stp>
        <tr r="T25" s="2"/>
        <tr r="O205" s="89"/>
      </tp>
      <tp t="s">
        <v>#N/A Requesting Data...2913775953</v>
        <stp/>
        <stp>BDP|7095772926996984633</stp>
        <tr r="T153" s="89"/>
        <tr r="T154" s="89"/>
      </tp>
      <tp t="s">
        <v>#N/A N/A</v>
        <stp/>
        <stp>BDP|6219652639352291374</stp>
        <tr r="D55" s="89"/>
      </tp>
      <tp t="s">
        <v>#N/A Requesting Data...3346087723</v>
        <stp/>
        <stp>BDP|7964758820092579227</stp>
        <tr r="AJ52" s="338"/>
        <tr r="AJ53" s="338"/>
        <tr r="AJ54" s="338"/>
      </tp>
      <tp t="e">
        <v>#N/A</v>
        <stp/>
        <stp>BDH|2962038677137705011</stp>
        <tr r="AP9" s="338"/>
        <tr r="AP8" s="338"/>
      </tp>
      <tp t="s">
        <v>#N/A N/A</v>
        <stp/>
        <stp>BDP|6976223375119574839</stp>
        <tr r="K39" s="1"/>
      </tp>
      <tp t="s">
        <v>#N/A Requesting Data...3671647723</v>
        <stp/>
        <stp>BDP|9060205111721083990</stp>
        <tr r="AI48" s="338"/>
        <tr r="AI49" s="338"/>
        <tr r="AK48" s="338"/>
        <tr r="AK49" s="338"/>
      </tp>
      <tp t="s">
        <v>#N/A Requesting Data...3849564266</v>
        <stp/>
        <stp>BDP|8644058243408809607</stp>
        <tr r="V49" s="338"/>
      </tp>
      <tp t="s">
        <v>#N/A Requesting Data...3154616761</v>
        <stp/>
        <stp>BDP|2721287269476965276</stp>
        <tr r="V35" s="338"/>
      </tp>
      <tp t="s">
        <v>#N/A Requesting Data...3618865347</v>
        <stp/>
        <stp>BDP|1927755561564288678</stp>
        <tr r="G45" s="446"/>
      </tp>
      <tp t="s">
        <v>#N/A N/A</v>
        <stp/>
        <stp>BDP|3284843281913962260</stp>
        <tr r="C6" s="2"/>
      </tp>
      <tp t="e">
        <v>#N/A</v>
        <stp/>
        <stp>BDH|5327055842976862540</stp>
        <tr r="AM34" s="338"/>
        <tr r="AM13" s="338"/>
      </tp>
      <tp t="s">
        <v>#N/A Requesting Data...3059983596</v>
        <stp/>
        <stp>BDP|5871188314703840456</stp>
        <tr r="L11" s="338"/>
        <tr r="J11" s="338"/>
      </tp>
      <tp t="s">
        <v>#N/A Requesting Data...3615774946</v>
        <stp/>
        <stp>BDP|5728718823292467081</stp>
        <tr r="L12" s="1"/>
        <tr r="L13" s="1"/>
        <tr r="L14" s="1"/>
        <tr r="L15" s="1"/>
        <tr r="L17" s="1"/>
        <tr r="L18" s="1"/>
        <tr r="L21" s="1"/>
        <tr r="L22" s="1"/>
        <tr r="L23" s="1"/>
        <tr r="L24" s="1"/>
        <tr r="L26" s="1"/>
        <tr r="L27" s="1"/>
        <tr r="L28" s="1"/>
        <tr r="L30" s="1"/>
        <tr r="L32" s="1"/>
        <tr r="L36" s="1"/>
        <tr r="L37" s="1"/>
        <tr r="L39" s="1"/>
        <tr r="L40" s="1"/>
        <tr r="L41" s="1"/>
        <tr r="L20" s="1"/>
        <tr r="L16" s="1"/>
        <tr r="L33" s="1"/>
        <tr r="L19" s="1"/>
        <tr r="L29" s="1"/>
        <tr r="L34" s="1"/>
        <tr r="L38" s="1"/>
        <tr r="L35" s="1"/>
        <tr r="L31" s="1"/>
        <tr r="S5" s="2"/>
        <tr r="S6" s="2"/>
        <tr r="S7" s="2"/>
        <tr r="S8" s="2"/>
        <tr r="S4" s="2"/>
        <tr r="S9" s="2"/>
        <tr r="S10" s="2"/>
        <tr r="S11" s="2"/>
        <tr r="S12" s="2"/>
        <tr r="S15" s="2"/>
        <tr r="S16" s="2"/>
        <tr r="S17" s="2"/>
        <tr r="S19" s="2"/>
        <tr r="S20" s="2"/>
        <tr r="S23" s="2"/>
        <tr r="S24" s="2"/>
        <tr r="S25" s="2"/>
        <tr r="S26" s="2"/>
        <tr r="S27" s="2"/>
        <tr r="S28" s="2"/>
        <tr r="S32" s="2"/>
        <tr r="S33" s="2"/>
        <tr r="N13" s="89"/>
        <tr r="N14" s="89"/>
        <tr r="N26" s="89"/>
        <tr r="N27" s="89"/>
        <tr r="N33" s="89"/>
        <tr r="N55" s="89"/>
        <tr r="N56" s="89"/>
        <tr r="N170" s="89"/>
        <tr r="N179" s="89"/>
        <tr r="N180" s="89"/>
        <tr r="N195" s="89"/>
        <tr r="N196" s="89"/>
        <tr r="N197" s="89"/>
        <tr r="N203" s="89"/>
        <tr r="N204" s="89"/>
        <tr r="N205" s="89"/>
        <tr r="N222" s="89"/>
        <tr r="N223" s="89"/>
        <tr r="N234" s="89"/>
        <tr r="S14" s="2"/>
        <tr r="S13" s="2"/>
        <tr r="S18" s="2"/>
        <tr r="S21" s="2"/>
        <tr r="S29" s="2"/>
        <tr r="S30" s="2"/>
        <tr r="S31" s="2"/>
        <tr r="S22" s="2"/>
        <tr r="N63" s="89"/>
        <tr r="N62" s="89"/>
        <tr r="N49" s="89"/>
        <tr r="N50" s="89"/>
        <tr r="N7" s="89"/>
        <tr r="N8" s="89"/>
        <tr r="N19" s="89"/>
        <tr r="N20" s="89"/>
        <tr r="N34" s="89"/>
        <tr r="N39" s="89"/>
        <tr r="N40" s="89"/>
        <tr r="N68" s="89"/>
        <tr r="N69" s="89"/>
        <tr r="N81" s="89"/>
        <tr r="N169" s="89"/>
        <tr r="N171" s="89"/>
        <tr r="N178" s="89"/>
        <tr r="N186" s="89"/>
        <tr r="N187" s="89"/>
        <tr r="N188" s="89"/>
        <tr r="N211" s="89"/>
        <tr r="N212" s="89"/>
        <tr r="N213" s="89"/>
        <tr r="N224" s="89"/>
        <tr r="N225" s="89"/>
        <tr r="N233" s="89"/>
        <tr r="N101" s="89"/>
        <tr r="N102" s="89"/>
        <tr r="N160" s="89"/>
        <tr r="N76" s="89"/>
        <tr r="N82" s="89"/>
        <tr r="N95" s="89"/>
      </tp>
      <tp t="s">
        <v>#N/A Requesting Data...3955044574</v>
        <stp/>
        <stp>BDP|5145625159843494775</stp>
        <tr r="P10" s="338"/>
      </tp>
      <tp t="s">
        <v>#N/A Requesting Data...3264343547</v>
        <stp/>
        <stp>BDP|9919677548080032985</stp>
        <tr r="G44" s="446"/>
      </tp>
      <tp t="s">
        <v>#N/A Requesting Data...3800919315</v>
        <stp/>
        <stp>BDP|6059442769123214510</stp>
        <tr r="O246" s="89"/>
      </tp>
      <tp t="e">
        <v>#N/A</v>
        <stp/>
        <stp>BDH|8742750652520756890</stp>
        <tr r="AM36" s="338"/>
      </tp>
      <tp t="s">
        <v>#N/A Requesting Data...3949067550</v>
        <stp/>
        <stp>BDP|3371693940045698635</stp>
        <tr r="V123" s="89"/>
      </tp>
      <tp t="s">
        <v>#N/A Requesting Data...3057047881</v>
        <stp/>
        <stp>BDP|8428913731466273690</stp>
        <tr r="L8" s="252"/>
        <tr r="L8" s="252"/>
      </tp>
      <tp t="s">
        <v>#N/A Requesting Data...3892163702</v>
        <stp/>
        <stp>BDP|6223131064210098392</stp>
        <tr r="V14" s="338"/>
      </tp>
      <tp t="s">
        <v>#N/A N/A</v>
        <stp/>
        <stp>BDP|1719336816579682885</stp>
        <tr r="K20" s="1"/>
      </tp>
      <tp t="s">
        <v>#N/A Requesting Data...3206795918</v>
        <stp/>
        <stp>BDP|1858131163537242367</stp>
        <tr r="E26" s="89"/>
      </tp>
      <tp t="s">
        <v>#N/A Requesting Data...4114468279</v>
        <stp/>
        <stp>BDP|3910223521378009966</stp>
        <tr r="N11" s="252"/>
        <tr r="N11" s="252"/>
      </tp>
      <tp t="s">
        <v>#N/A Requesting Data...3354753266</v>
        <stp/>
        <stp>BDP|5024341343609931931</stp>
        <tr r="AJ41" s="338"/>
        <tr r="AJ42" s="338"/>
      </tp>
      <tp t="s">
        <v>#N/A Requesting Data...3979771558</v>
        <stp/>
        <stp>BDP|2109542547769740886</stp>
        <tr r="AI29" s="338"/>
        <tr r="AK29" s="338"/>
      </tp>
      <tp t="e">
        <v>#N/A</v>
        <stp/>
        <stp>BDH|6512255260064934444</stp>
        <tr r="AR18" s="338"/>
      </tp>
      <tp t="s">
        <v>#N/A Requesting Data...3502013068</v>
        <stp/>
        <stp>BDP|2188034905218025854</stp>
        <tr r="Q32" s="338"/>
      </tp>
      <tp t="s">
        <v>#N/A N/A</v>
        <stp/>
        <stp>BDP|6172070853435387447</stp>
        <tr r="AB30" s="1"/>
        <tr r="AB31" s="1"/>
      </tp>
      <tp t="s">
        <v>#N/A Requesting Data...3623087722</v>
        <stp/>
        <stp>BDP|4636653477250550732</stp>
        <tr r="G31" s="446"/>
      </tp>
      <tp t="s">
        <v>#N/A N/A</v>
        <stp/>
        <stp>BDP|5714451203842663158</stp>
        <tr r="K8" s="1"/>
      </tp>
      <tp t="e">
        <v>#N/A</v>
        <stp/>
        <stp>BDH|4705348839957943111</stp>
        <tr r="AP36" s="338"/>
      </tp>
      <tp t="s">
        <v>#N/A N/A</v>
        <stp/>
        <stp>BDP|8497933515926378424</stp>
        <tr r="C21" s="2"/>
      </tp>
      <tp t="s">
        <v>#N/A N/A</v>
        <stp/>
        <stp>BDP|1766461430066331229</stp>
        <tr r="AC38" s="1"/>
      </tp>
      <tp t="s">
        <v>#N/A Requesting Data...3714821027</v>
        <stp/>
        <stp>BDP|4880433377190901556</stp>
        <tr r="E115" s="89"/>
      </tp>
      <tp t="s">
        <v>#N/A N/A</v>
        <stp/>
        <stp>BDP|8126676646820115803</stp>
        <tr r="C30" s="2"/>
      </tp>
      <tp t="s">
        <v>#N/A Requesting Data...4264482918</v>
        <stp/>
        <stp>BDP|5122715892759622055</stp>
        <tr r="Q33" s="338"/>
      </tp>
      <tp t="e">
        <v>#N/A</v>
        <stp/>
        <stp>BDH|9452835466416970392</stp>
        <tr r="AP34" s="338"/>
        <tr r="AP13" s="338"/>
      </tp>
      <tp t="s">
        <v>#N/A Requesting Data...3654234998</v>
        <stp/>
        <stp>BDP|3519061147724655148</stp>
        <tr r="AJ31" s="338"/>
        <tr r="AJ32" s="338"/>
      </tp>
      <tp t="s">
        <v>#N/A Requesting Data...3543865031</v>
        <stp/>
        <stp>BDP|2699638571759604842</stp>
        <tr r="Q8" s="338"/>
      </tp>
      <tp t="s">
        <v>#N/A Requesting Data...2864911200</v>
        <stp/>
        <stp>BDP|9125333988758543887</stp>
        <tr r="AJ17" s="338"/>
        <tr r="AJ18" s="338"/>
      </tp>
      <tp t="s">
        <v>#N/A N/A</v>
        <stp/>
        <stp>BDP|6725335069146326790</stp>
        <tr r="AR20" s="2"/>
      </tp>
      <tp t="s">
        <v>#N/A Requesting Data...3626194756</v>
        <stp/>
        <stp>BDP|7134890756011396990</stp>
        <tr r="L45" s="338"/>
        <tr r="J45" s="338"/>
      </tp>
      <tp t="s">
        <v>#N/A Requesting Data...3071911024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37.200000000000003</v>
        <stp/>
        <stp>BDP|14184441232848248848|22</stp>
        <stp>TSM US 03/20/26 C300 Equity</stp>
        <stp>bid</stp>
        <tr r="P32" s="2"/>
      </tp>
      <tp t="s">
        <v>USD</v>
        <stp/>
        <stp>BDP|13391010946162052310|22</stp>
        <stp>META US 04/17/26 P600 Equity</stp>
        <stp>QUOTED_CURRENCY_REALTIME</stp>
        <tr r="G10" s="2"/>
        <tr r="F180" s="89"/>
      </tp>
      <tp t="s">
        <v>#N/A Requesting Data...3375795117</v>
        <stp/>
        <stp>BDP|3002329712405351793</stp>
        <tr r="E203" s="89"/>
      </tp>
      <tp t="s">
        <v>#N/A N/A</v>
        <stp/>
        <stp>BDP|2288489672854050620</stp>
        <tr r="E9" s="2"/>
      </tp>
      <tp t="s">
        <v>#N/A N/A</v>
        <stp/>
        <stp>BDP|4669365388388290407</stp>
        <tr r="K17" s="1"/>
        <tr r="K5" s="1"/>
      </tp>
      <tp t="s">
        <v>#N/A N/A</v>
        <stp/>
        <stp>BDP|3552553571881858339</stp>
        <tr r="AA62" s="89"/>
        <tr r="Z62" s="89"/>
      </tp>
      <tp t="s">
        <v>#N/A Requesting Data...3070002591</v>
        <stp/>
        <stp>BDP|1294995983457020437</stp>
        <tr r="E222" s="89"/>
      </tp>
      <tp t="s">
        <v>#N/A Requesting Data...3057301645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13" s="1"/>
      </tp>
      <tp t="s">
        <v>#N/A Requesting Data...3778672258</v>
        <stp/>
        <stp>BDP|2625307773140485594</stp>
        <tr r="O213" s="89"/>
      </tp>
      <tp t="s">
        <v>#N/A N/A</v>
        <stp/>
        <stp>BDP|4116288240782894397</stp>
        <tr r="E30" s="2"/>
      </tp>
      <tp t="s">
        <v>#N/A N/A</v>
        <stp/>
        <stp>BDP|5534280926331575767</stp>
        <tr r="AR29" s="2"/>
      </tp>
      <tp t="s">
        <v>#N/A Requesting Data...4040504768</v>
        <stp/>
        <stp>BDP|2736589262953108158</stp>
        <tr r="E82" s="89"/>
      </tp>
      <tp t="s">
        <v>#N/A Requesting Data...4205505060</v>
        <stp/>
        <stp>BDP|7919916036548158668</stp>
        <tr r="AI9" s="338"/>
        <tr r="AK9" s="338"/>
      </tp>
      <tp t="s">
        <v>#N/A Requesting Data...3523755065</v>
        <stp/>
        <stp>BDP|5970596063913968630</stp>
        <tr r="AG30" s="338"/>
      </tp>
      <tp t="s">
        <v>#N/A Requesting Data...4055931345</v>
        <stp/>
        <stp>BDP|7170630364126625297</stp>
        <tr r="S52" s="338"/>
      </tp>
      <tp t="s">
        <v>#N/A N/A</v>
        <stp/>
        <stp>BDP|7115677759757668004</stp>
        <tr r="AC37" s="1"/>
      </tp>
      <tp t="s">
        <v>#N/A Requesting Data...4256349501</v>
        <stp/>
        <stp>BDP|3754293213215371607</stp>
        <tr r="F5" s="446"/>
        <tr r="F6" s="446"/>
      </tp>
      <tp t="e">
        <v>#N/A</v>
        <stp/>
        <stp>BDH|6102916490182799794</stp>
        <tr r="AM15" s="338"/>
        <tr r="AM39" s="338"/>
        <tr r="AR40" s="338"/>
      </tp>
      <tp t="s">
        <v>#N/A Requesting Data...3156921833</v>
        <stp/>
        <stp>BDP|2213180314153111209</stp>
        <tr r="AF17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Data...3293505810</v>
        <stp/>
        <stp>BDP|9390709548618762108</stp>
        <tr r="N6" s="252"/>
        <tr r="N6" s="252"/>
      </tp>
      <tp t="s">
        <v>#N/A Requesting Data...3176263831</v>
        <stp/>
        <stp>BDP|7796453577674837314</stp>
        <tr r="U44" s="338"/>
      </tp>
      <tp t="s">
        <v>#N/A Requesting Data...2845427949</v>
        <stp/>
        <stp>BDP|7961266924697349349</stp>
        <tr r="X36" s="338"/>
      </tp>
      <tp t="s">
        <v>#N/A Requesting Data...3371056789</v>
        <stp/>
        <stp>BDP|7659781264157478228</stp>
        <tr r="D95" s="89"/>
      </tp>
      <tp t="s">
        <v>#N/A Requesting Data...3567080558</v>
        <stp/>
        <stp>BDP|7777047645317887721</stp>
        <tr r="V145" s="89"/>
      </tp>
      <tp t="s">
        <v>#N/A Requesting Data...3787423895</v>
        <stp/>
        <stp>BDP|2793585885519216544</stp>
        <tr r="L19" s="252"/>
        <tr r="L19" s="252"/>
      </tp>
      <tp t="s">
        <v>#N/A N/A</v>
        <stp/>
        <stp>BDP|5417703218106448644</stp>
        <tr r="AI41" s="1"/>
      </tp>
      <tp t="s">
        <v>#N/A Requesting Data...3733725268</v>
        <stp/>
        <stp>BDP|8230930209200509213</stp>
        <tr r="X30" s="338"/>
      </tp>
      <tp t="e">
        <v>#N/A</v>
        <stp/>
        <stp>BDH|8827845078362901615</stp>
        <tr r="AP39" s="338"/>
        <tr r="AP15" s="338"/>
        <tr r="AU40" s="338"/>
      </tp>
      <tp t="e">
        <v>#N/A</v>
        <stp/>
        <stp>BDH|5311491779275871077</stp>
        <tr r="AM41" s="338"/>
        <tr r="AM42" s="338"/>
      </tp>
      <tp t="s">
        <v>#N/A N/A</v>
        <stp/>
        <stp>BDP|1465483163793446398</stp>
        <tr r="AI18" s="1"/>
        <tr r="AI19" s="1"/>
      </tp>
      <tp t="s">
        <v>#N/A Requesting Data...4186135092</v>
        <stp/>
        <stp>BDP|6169555274102368514</stp>
        <tr r="S10" s="338"/>
      </tp>
      <tp t="s">
        <v>#N/A Requesting Data...2839448067</v>
        <stp/>
        <stp>BDP|2465258476870377467</stp>
        <tr r="Z122" s="89"/>
        <tr r="AA122" s="89"/>
      </tp>
      <tp t="e">
        <v>#N/A</v>
        <stp/>
        <stp>BDH|9204787283192936723</stp>
        <tr r="AS54" s="338"/>
      </tp>
      <tp t="e">
        <v>#N/A</v>
        <stp/>
        <stp>BDH|8689811601780330373</stp>
        <tr r="AM38" s="338"/>
        <tr r="AM40" s="338"/>
        <tr r="AM16" s="338"/>
      </tp>
      <tp t="s">
        <v>#N/A Requesting Data...3194419662</v>
        <stp/>
        <stp>BDP|8020332285295353568</stp>
        <tr r="P32" s="338"/>
      </tp>
      <tp t="s">
        <v>#N/A N/A</v>
        <stp/>
        <stp>BDP|3712593953265415595</stp>
        <tr r="K21" s="1"/>
      </tp>
      <tp t="s">
        <v>#N/A Requesting Data...3497683335</v>
        <stp/>
        <stp>BDP|1102263639204652783</stp>
        <tr r="AA25" s="2"/>
        <tr r="T205" s="89"/>
      </tp>
      <tp t="s">
        <v>#N/A Requesting Data...3049521769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Data...3797476745</v>
        <stp/>
        <stp>BDP|5888175656914033689</stp>
        <tr r="AA27" s="2"/>
        <tr r="T13" s="89"/>
      </tp>
      <tp t="s">
        <v>#N/A Requesting Data...3711731545</v>
        <stp/>
        <stp>BDP|8606813376675771170</stp>
        <tr r="E75" s="89"/>
      </tp>
      <tp t="s">
        <v>#N/A N/A</v>
        <stp/>
        <stp>BDP|2411087539537646522</stp>
        <tr r="AD32" s="2"/>
      </tp>
      <tp t="e">
        <v>#N/A</v>
        <stp/>
        <stp>BDH|1321485229884139022</stp>
        <tr r="AU11" s="338"/>
      </tp>
      <tp t="s">
        <v>#N/A Requesting Data...3421228376</v>
        <stp/>
        <stp>BDP|6109913190467097261</stp>
        <tr r="AG32" s="338"/>
        <tr r="AG46" s="338"/>
        <tr r="AG50" s="338"/>
        <tr r="AG8" s="338"/>
      </tp>
      <tp t="s">
        <v>#N/A Requesting Data...4221140450</v>
        <stp/>
        <stp>BDP|5764387578793708167</stp>
        <tr r="M20" s="252"/>
      </tp>
      <tp t="s">
        <v>#N/A Requesting Data...3561717948</v>
        <stp/>
        <stp>BDP|3944606729323768717</stp>
        <tr r="D39" s="89"/>
      </tp>
      <tp t="s">
        <v>#N/A Requesting Data...4038499030</v>
        <stp/>
        <stp>BDP|2834421045940985100</stp>
        <tr r="E186" s="89"/>
      </tp>
      <tp t="s">
        <v>#N/A Requesting Data...2831243054</v>
        <stp/>
        <stp>BDP|3469315206342563101</stp>
        <tr r="Z248" s="89"/>
        <tr r="AA248" s="89"/>
      </tp>
      <tp t="s">
        <v>#N/A Requesting Data...3933739432</v>
        <stp/>
        <stp>BDP|6555173421444373279</stp>
        <tr r="AI13" s="338"/>
      </tp>
      <tp t="s">
        <v>#N/A Requesting Data...3512259046</v>
        <stp/>
        <stp>BDP|9226344490726854691</stp>
        <tr r="E101" s="89"/>
      </tp>
      <tp t="s">
        <v>#N/A N/A</v>
        <stp/>
        <stp>BDP|3588647240101790312</stp>
        <tr r="E29" s="2"/>
      </tp>
      <tp t="s">
        <v>#N/A N/A</v>
        <stp/>
        <stp>BDP|6281575064076017068</stp>
        <tr r="AC14" s="1"/>
      </tp>
      <tp t="s">
        <v>#N/A Requesting Data...4053202048</v>
        <stp/>
        <stp>BDP|6247087616267870331</stp>
        <tr r="AH29" s="338"/>
        <tr r="AH30" s="338"/>
      </tp>
      <tp t="s">
        <v>#N/A Requesting Data...3612295243</v>
        <stp/>
        <stp>BDP|4307029492407618910</stp>
        <tr r="AK45" s="338"/>
      </tp>
      <tp t="s">
        <v>#N/A N/A</v>
        <stp/>
        <stp>BDP|9553534995241448739</stp>
        <tr r="AC27" s="1"/>
      </tp>
      <tp t="s">
        <v>#N/A Requesting Data...3617206606</v>
        <stp/>
        <stp>BDP|8245865345547421013</stp>
        <tr r="AC24" s="1"/>
        <tr r="D30" s="446"/>
      </tp>
      <tp t="s">
        <v>#N/A Requesting Data...2903996657</v>
        <stp/>
        <stp>BDP|7283217290158408739</stp>
        <tr r="T246" s="89"/>
      </tp>
      <tp t="s">
        <v>#N/A N/A</v>
        <stp/>
        <stp>BDP|8680549524655746940</stp>
        <tr r="R247" s="89"/>
      </tp>
      <tp>
        <v>74.349999999999994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-0.10704832524061203</v>
        <stp/>
        <stp>BDP|6841380180102177424|22</stp>
        <stp>MSFT US 03/20/26 C515 Equity</stp>
        <stp>theta_mid_rt</stp>
        <tr r="AN17" s="2"/>
        <tr r="AN18" s="2"/>
      </tp>
      <tp>
        <v>459.38</v>
        <stp/>
        <stp>BDP|9988051122657863096|22</stp>
        <stp>MSFT US Equity</stp>
        <stp>LAST_PRICE</stp>
        <tr r="Z17" s="2"/>
        <tr r="Z19" s="2"/>
        <tr r="S211" s="89"/>
        <tr r="S212" s="89"/>
        <tr r="S213" s="89"/>
        <tr r="S246" s="89"/>
        <tr r="Z20" s="2"/>
        <tr r="Z18" s="2"/>
      </tp>
      <tp>
        <v>40</v>
        <stp/>
        <stp>BDP|680728060256356434|22</stp>
        <stp>TSM US 03/20/26 C300 Equity</stp>
        <stp>ask</stp>
        <tr r="Q32" s="2"/>
      </tp>
      <tp>
        <v>2.12</v>
        <stp/>
        <stp>BDP|15651630444215172509|22</stp>
        <stp>TSM US 01/16/26 P315 Equity</stp>
        <stp>ask</stp>
        <tr r="L197" s="89"/>
        <tr r="Q31" s="2"/>
      </tp>
      <tp>
        <v>2.06</v>
        <stp/>
        <stp>BDP|11741176430077758833|22</stp>
        <stp>TSM US 01/16/26 P315 Equity</stp>
        <stp>mid</stp>
        <tr r="L31" s="2"/>
      </tp>
      <tp>
        <v>-0.10656735301017761</v>
        <stp/>
        <stp>BDP|12098786877158670568|22</stp>
        <stp>TSM US 06/18/26 C340 Equity</stp>
        <stp>theta_mid_rt</stp>
        <tr r="AN27" s="2"/>
      </tp>
      <tp>
        <v>-1.1528428792953491</v>
        <stp/>
        <stp>BDP|10164041864230806919|22</stp>
        <stp>TSM US 01/16/26 C335 Equity</stp>
        <stp>theta_mid_rt</stp>
        <tr r="AN29" s="2"/>
      </tp>
      <tp>
        <v>459.38</v>
        <stp/>
        <stp>BDP|1720488993946020104|22</stp>
        <stp>MSFT Equity</stp>
        <stp>LAST PRICE</stp>
        <tr r="G8" s="338"/>
        <tr r="G9" s="338"/>
      </tp>
      <tp>
        <v>-0.54339867830276489</v>
        <stp/>
        <stp>BDP|2595831184962588402|22</stp>
        <stp>NFLX US 03/20/26 P92 Equity</stp>
        <stp>DELTA_MID_RT</stp>
        <tr r="AF24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2" s="2"/>
        <tr r="G13" s="2"/>
      </tp>
      <tp t="s">
        <v>USD</v>
        <stp/>
        <stp>BDP|17268974826636663743|22</stp>
        <stp>RKT US 05/15/26 C25 Equity</stp>
        <stp>QUOTED_CURRENCY_REALTIME</stp>
        <tr r="F39" s="89"/>
      </tp>
      <tp>
        <v>32.130000000000003</v>
        <stp/>
        <stp>BDP|12595944397153100458|22</stp>
        <stp>META US 04/17/26 P600 Equity</stp>
        <stp>mid</stp>
        <tr r="L10" s="2"/>
      </tp>
      <tp>
        <v>9315.56</v>
        <stp/>
        <stp>BDP|8345363860153837789|22</stp>
        <stp>HSCEI Index</stp>
        <stp>LAST_PRICE</stp>
        <tr r="H19" s="252"/>
        <tr r="H19" s="252"/>
      </tp>
      <tp>
        <v>7.9</v>
        <stp/>
        <stp>BDP|12933221309917084244|22</stp>
        <stp>NFLX US 03/20/26 P92 Equity</stp>
        <stp>ask</stp>
        <tr r="Q24" s="2"/>
        <tr r="L204" s="89"/>
      </tp>
      <tp>
        <v>21.6</v>
        <stp/>
        <stp>BDP|11549499930516457816|22</stp>
        <stp>AVGO US 06/18/26 C410 Equity</stp>
        <stp>bid</stp>
        <tr r="P5" s="2"/>
        <tr r="K222" s="89"/>
      </tp>
      <tp>
        <v>9.75</v>
        <stp/>
        <stp>BDP|16199323523634865039|22</stp>
        <stp>MRVL US 03/20/26 P85 Equity</stp>
        <stp>mid</stp>
        <tr r="L12" s="2"/>
        <tr r="L13" s="2"/>
      </tp>
      <tp>
        <v>0.22</v>
        <stp/>
        <stp>BDP|14056888098714208672|22</stp>
        <stp>AMAT US 01/16/26 P280 Equity</stp>
        <stp>bid</stp>
        <tr r="K63" s="89"/>
      </tp>
      <tp>
        <v>1.3</v>
        <stp/>
        <stp>BDP|16136972292554099540|22</stp>
        <stp>AMAT US 01/16/26 P290 Equity</stp>
        <stp>bid</stp>
        <tr r="K62" s="89"/>
      </tp>
      <tp>
        <v>41.3</v>
        <stp/>
        <stp>BDP|17652529992752880187|22</stp>
        <stp>AVGO US 06/18/26 C350 Equity</stp>
        <stp>bid</stp>
        <tr r="P6" s="2"/>
        <tr r="K223" s="89"/>
      </tp>
      <tp>
        <v>0.37</v>
        <stp/>
        <stp>BDP|15901604230708554053|22</stp>
        <stp>ASHR US 02/20/26 C35 Equity</stp>
        <stp>mid</stp>
        <tr r="L4" s="2"/>
      </tp>
      <tp>
        <v>1.79</v>
        <stp/>
        <stp>BDP|15861880550378598529|22</stp>
        <stp>AMAT US 01/16/26 P290 Equity</stp>
        <stp>ask</stp>
        <tr r="L62" s="89"/>
      </tp>
      <tp>
        <v>10.78</v>
        <stp/>
        <stp>BDP|18169547819762494862|22</stp>
        <stp>MSFT US 03/20/26 C490 Equity</stp>
        <stp>mid</stp>
        <tr r="L19" s="2"/>
      </tp>
      <tp t="s">
        <v>#N/A Real Time</v>
        <stp/>
        <stp>BDP|12739925640024976755|22</stp>
        <stp>NVDA US 10/03/25 P160 Equity</stp>
        <stp>QUOTED_CURRENCY_REALTIME</stp>
        <tr r="F250" s="89"/>
      </tp>
      <tp t="s">
        <v>USD</v>
        <stp/>
        <stp>BDP|14649358559893085324|22</stp>
        <stp>AVGO US 06/18/26 C350 Equity</stp>
        <stp>QUOTED_CURRENCY_REALTIME</stp>
        <tr r="G6" s="2"/>
        <tr r="F223" s="89"/>
      </tp>
      <tp>
        <v>20.88</v>
        <stp/>
        <stp>BDP|13045517909567750209|22</stp>
        <stp>META US 04/17/26 P570 Equity</stp>
        <stp>mid</stp>
        <tr r="L11" s="2"/>
      </tp>
      <tp>
        <v>0.73</v>
        <stp/>
        <stp>BDP|14756977529844805931|22</stp>
        <stp>AMAT US 01/16/26 P280 Equity</stp>
        <stp>ask</stp>
        <tr r="L63" s="89"/>
      </tp>
      <tp>
        <v>9.65</v>
        <stp/>
        <stp>BDP|10246542437065037496|22</stp>
        <stp>MRVL US 03/20/26 P85 Equity</stp>
        <stp>bid</stp>
        <tr r="P12" s="2"/>
        <tr r="P13" s="2"/>
      </tp>
      <tp>
        <v>184.11</v>
        <stp/>
        <stp>BDP|6334594798441429827|22</stp>
        <stp>COHR Equity</stp>
        <stp>LAST_PRICE</stp>
        <tr r="I27" s="1"/>
      </tp>
      <tp>
        <v>88.55</v>
        <stp/>
        <stp>BDP|2401224757541047929|22</stp>
        <stp>NFLX Equity</stp>
        <stp>LAST_PRICE</stp>
        <tr r="I20" s="1"/>
      </tp>
      <tp>
        <v>16.5</v>
        <stp/>
        <stp>BDP|982929759879592273|22</stp>
        <stp>TSM US 06/18/26 C380 Equity</stp>
        <stp>bid</stp>
        <tr r="P28" s="2"/>
        <tr r="K14" s="89"/>
      </tp>
      <tp>
        <v>3.3</v>
        <stp/>
        <stp>BDP|18217445081536365001|22</stp>
        <stp>NFLX US 03/20/26 P83 Equity</stp>
        <stp>bid</stp>
        <tr r="P25" s="2"/>
        <tr r="K205" s="89"/>
      </tp>
      <tp>
        <v>5.0999999999999996</v>
        <stp/>
        <stp>BDP|16776532931638824445|22</stp>
        <stp>MSFT US 03/20/26 C515 Equity</stp>
        <stp>ask</stp>
        <tr r="Q17" s="2"/>
        <tr r="Q18" s="2"/>
      </tp>
      <tp>
        <v>6.95</v>
        <stp/>
        <stp>BDP|12289700020985263311|22</stp>
        <stp>MRVL US 03/20/26 P80 Equity</stp>
        <stp>bid</stp>
        <tr r="P15" s="2"/>
        <tr r="P14" s="2"/>
      </tp>
      <tp>
        <v>700.90390000000002</v>
        <stp/>
        <stp>BDP|12318182968788510555|22</stp>
        <stp>NDEUCHF Index</stp>
        <stp>LAST_PRICE</stp>
        <tr r="H16" s="252"/>
        <tr r="H16" s="252"/>
      </tp>
      <tp>
        <v>3.65</v>
        <stp/>
        <stp>BDP|596244978164662614|22</stp>
        <stp>TSM US 01/16/26 C335 Equity</stp>
        <stp>mid</stp>
        <tr r="L29" s="2"/>
      </tp>
      <tp>
        <v>1.82</v>
        <stp/>
        <stp>BDP|17948842076370571403|22</stp>
        <stp>AMAT US 01/23/26 P280 Equity</stp>
        <stp>mid</stp>
        <tr r="L22" s="2"/>
      </tp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>
        <v>459.38</v>
        <stp/>
        <stp>BDP|1912830234697829517|22</stp>
        <stp>MSFT Equity</stp>
        <stp>LAST_PRICE</stp>
        <tr r="I24" s="1"/>
      </tp>
      <tp>
        <v>104.32</v>
        <stp/>
        <stp>BDP|11511261369815685982|22</stp>
        <stp>QQQE EQUITY</stp>
        <stp>LAST_PRICE</stp>
        <tr r="I7" s="1"/>
      </tp>
      <tp>
        <v>88.55</v>
        <stp/>
        <stp>BDP|8263106965958046051|22</stp>
        <stp>NFLX US Equity</stp>
        <stp>LAST_PRICE</stp>
        <tr r="Z23" s="2"/>
        <tr r="Z24" s="2"/>
        <tr r="Z25" s="2"/>
        <tr r="S186" s="89"/>
        <tr r="S187" s="89"/>
        <tr r="S188" s="89"/>
        <tr r="S203" s="89"/>
        <tr r="S204" s="89"/>
        <tr r="S205" s="89"/>
      </tp>
      <tp>
        <v>6.7</v>
        <stp/>
        <stp>BDP|12374218908081165086|22</stp>
        <stp>NFLX US 03/20/26 P90 Equity</stp>
        <stp>ask</stp>
        <tr r="L187" s="89"/>
      </tp>
      <tp>
        <v>-0.24221529066562653</v>
        <stp/>
        <stp>BDP|6852050318923921669|22</stp>
        <stp>NFLX US 03/20/26 P80 Equity</stp>
        <stp>DELTA_MID_RT</stp>
        <tr r="W188" s="89"/>
      </tp>
      <tp>
        <v>2</v>
        <stp/>
        <stp>BDP|13983178372231211717|22</stp>
        <stp>TSM US 01/16/26 P315 Equity</stp>
        <stp>bid</stp>
        <tr r="K197" s="89"/>
        <tr r="P31" s="2"/>
      </tp>
      <tp t="s">
        <v>#N/A Requesting Data...3953993463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7" s="2"/>
        <tr r="G18" s="2"/>
      </tp>
      <tp>
        <v>20.75</v>
        <stp/>
        <stp>BDP|10240673035974561197|22</stp>
        <stp>META US 04/17/26 P570 Equity</stp>
        <stp>bid</stp>
        <tr r="P11" s="2"/>
        <tr r="K234" s="89"/>
      </tp>
      <tp>
        <v>-4.9063656479120255E-2</v>
        <stp/>
        <stp>BDP|7284956293389292495|22</stp>
        <stp>ASML US 01/23/26 P1100 Equity</stp>
        <stp>DELTA_MID_RT</stp>
        <tr r="W50" s="89"/>
      </tp>
      <tp>
        <v>4.75</v>
        <stp/>
        <stp>BDP|14841963169371507253|22</stp>
        <stp>MRVL US 03/20/26 P75 Equity</stp>
        <stp>mid</stp>
        <tr r="L16" s="2"/>
      </tp>
      <tp t="s">
        <v>#N/A Real Time</v>
        <stp/>
        <stp>BDP|481629867145125801|22</stp>
        <stp>SMH US 12/26/25 P355 Equity</stp>
        <stp>QUOTED_CURRENCY_REALTIME</stp>
        <tr r="F75" s="89"/>
      </tp>
      <tp>
        <v>259.95999999999998</v>
        <stp/>
        <stp>BDP|13852632459561529635|22</stp>
        <stp>AAPL EQUITY</stp>
        <stp>LAST_PRICE</stp>
        <tr r="C6" s="1"/>
      </tp>
      <tp>
        <v>37752.089999999997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>
        <v>193.61</v>
        <stp/>
        <stp>BDP|8523820006929361112|22</stp>
        <stp>ORCL US Equity</stp>
        <stp>LAST_PRICE</stp>
        <tr r="S247" s="89"/>
      </tp>
      <tp>
        <v>546.82000000000005</v>
        <stp/>
        <stp>BDP|9828940858298145952|22</stp>
        <stp>MA Equity</stp>
        <stp>LAST PRICE</stp>
        <tr r="G16" s="338"/>
        <tr r="G38" s="338"/>
        <tr r="G40" s="338"/>
      </tp>
      <tp>
        <v>150.5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BDP|15674570356569526430|22</stp>
        <stp>AMAT US 01/16/26 P280 Equity</stp>
        <stp>QUOTED_CURRENCY_REALTIME</stp>
        <tr r="F63" s="89"/>
      </tp>
      <tp t="s">
        <v>USD</v>
        <stp/>
        <stp>BDP|13270901624241508025|22</stp>
        <stp>AMAT US 01/23/26 P280 Equity</stp>
        <stp>QUOTED_CURRENCY_REALTIME</stp>
        <tr r="F56" s="89"/>
        <tr r="G22" s="2"/>
      </tp>
      <tp>
        <v>4.9000000000000004</v>
        <stp/>
        <stp>BDP|17311283871303777118|22</stp>
        <stp>MRVL US 03/20/26 P75 Equity</stp>
        <stp>ask</stp>
        <tr r="Q16" s="2"/>
      </tp>
      <tp>
        <v>3.7</v>
        <stp/>
        <stp>BDP|11546932509834899026|22</stp>
        <stp>AMAT US 01/23/26 P290 Equity</stp>
        <stp>ask</stp>
        <tr r="L55" s="89"/>
        <tr r="Q21" s="2"/>
      </tp>
      <tp>
        <v>22.1</v>
        <stp/>
        <stp>BDP|13407383351402000483|22</stp>
        <stp>AVGO US 06/18/26 C410 Equity</stp>
        <stp>ask</stp>
        <tr r="Q5" s="2"/>
        <tr r="L222" s="89"/>
      </tp>
      <tp>
        <v>21.85</v>
        <stp/>
        <stp>BDP|14577375391089989808|22</stp>
        <stp>AVGO US 06/18/26 C410 Equity</stp>
        <stp>mid</stp>
        <tr r="L5" s="2"/>
      </tp>
      <tp>
        <v>183.14</v>
        <stp/>
        <stp>BDP|2630581548609766860|22</stp>
        <stp>NVDA US Equity</stp>
        <stp>LAST_PRICE</stp>
        <tr r="S250" s="89"/>
      </tp>
      <tp>
        <v>335.84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G5" s="2"/>
        <tr r="F222" s="89"/>
      </tp>
      <tp>
        <v>493.15</v>
        <stp/>
        <stp>BDP|16804995271076659285|22</stp>
        <stp>BRK/B Equity</stp>
        <stp>LAST PRICE</stp>
        <tr r="I18" s="338"/>
      </tp>
      <tp>
        <v>2.37</v>
        <stp/>
        <stp>BDP|2563613657122572105|22</stp>
        <stp>RKT US 05/15/26 C25 Equity</stp>
        <stp>bid</stp>
        <tr r="K39" s="89"/>
      </tp>
      <tp>
        <v>9.85</v>
        <stp/>
        <stp>BDP|13966874951199659074|22</stp>
        <stp>MRVL US 03/20/26 P85 Equity</stp>
        <stp>ask</stp>
        <tr r="Q12" s="2"/>
        <tr r="Q13" s="2"/>
      </tp>
      <tp>
        <v>31.95</v>
        <stp/>
        <stp>BDP|14266615157817866347|22</stp>
        <stp>META US 04/17/26 P600 Equity</stp>
        <stp>bid</stp>
        <tr r="P10" s="2"/>
        <tr r="K180" s="89"/>
      </tp>
      <tp>
        <v>42.1</v>
        <stp/>
        <stp>BDP|16021407028720881249|22</stp>
        <stp>AVGO US 06/18/26 C350 Equity</stp>
        <stp>ask</stp>
        <tr r="Q6" s="2"/>
        <tr r="L223" s="89"/>
      </tp>
      <tp>
        <v>193.99</v>
        <stp/>
        <stp>BDP|6290765801174780597|22</stp>
        <stp>WDAY Equity</stp>
        <stp>LAST PRICE</stp>
        <tr r="L10" s="446"/>
      </tp>
      <tp>
        <v>28.1</v>
        <stp/>
        <stp>BDP|13310992897897785440|22</stp>
        <stp>META US 04/17/26 P590 Equity</stp>
        <stp>ask</stp>
        <tr r="L171" s="89"/>
      </tp>
      <tp t="s">
        <v>#N/A Real Time</v>
        <stp/>
        <stp>BDP|18359407175122252576|22</stp>
        <stp>AMZN US 10/03/25 P220 Equity</stp>
        <stp>ask</stp>
        <tr r="L248" s="89"/>
      </tp>
      <tp>
        <v>6926.6</v>
        <stp/>
        <stp>BDP|2596990609892593565|22</stp>
        <stp>SPX Index</stp>
        <stp>LAST_PRICE</stp>
        <tr r="S160" s="89"/>
      </tp>
      <tp t="s">
        <v>#N/A Requesting Data...4001783745</v>
        <stp/>
        <stp>BDP|58362587440124964</stp>
        <tr r="C247" s="89"/>
      </tp>
      <tp>
        <v>8000.06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48" s="89"/>
      </tp>
      <tp>
        <v>388.35</v>
        <stp/>
        <stp>BDP|14458808308106996349|22</stp>
        <stp>SMH US Equity</stp>
        <stp>LAST_PRICE</stp>
        <tr r="S75" s="89"/>
        <tr r="S76" s="89"/>
      </tp>
      <tp t="s">
        <v>USD</v>
        <stp/>
        <stp>BDP|15498396242312000693|22</stp>
        <stp>MSFT US 06/18/26 C585 Equity</stp>
        <stp>QUOTED_CURRENCY_REALTIME</stp>
        <tr r="F211" s="89"/>
      </tp>
      <tp>
        <v>236.65</v>
        <stp/>
        <stp>BDP|12911088506019095722|22</stp>
        <stp>AMZN EQUITY</stp>
        <stp>LAST_PRICE</stp>
        <tr r="C5" s="1"/>
      </tp>
      <tp>
        <v>5.3928000000000003</v>
        <stp/>
        <stp>BDP|10515480241315630363|22</stp>
        <stp>brl Curncy</stp>
        <stp>LAST_PRICE</stp>
        <tr r="AC3" s="1"/>
      </tp>
      <tp>
        <v>5.6</v>
        <stp/>
        <stp>BDP|15144023089314931793|22</stp>
        <stp>TSM US 01/16/26 P325 Equity</stp>
        <stp>mid</stp>
        <tr r="L30" s="2"/>
      </tp>
      <tp t="s">
        <v>#N/A Requesting Data...3051774872</v>
        <stp/>
        <stp>BDP|31447539442012205</stp>
        <tr r="AD23" s="2"/>
        <tr r="V203" s="89"/>
      </tp>
      <tp t="s">
        <v>USD</v>
        <stp/>
        <stp>BDP|13998573931045965631|22</stp>
        <stp>MSFT US 03/20/26 P465 Equity</stp>
        <stp>QUOTED_CURRENCY_REALTIME</stp>
        <tr r="G20" s="2"/>
      </tp>
      <tp t="s">
        <v>USD</v>
        <stp/>
        <stp>BDP|13984816954757946914|22</stp>
        <stp>MSFT US 06/18/26 C515 Equity</stp>
        <stp>QUOTED_CURRENCY_REALTIME</stp>
        <tr r="F212" s="89"/>
      </tp>
      <tp>
        <v>3.4</v>
        <stp/>
        <stp>BDP|10306915659924416460|22</stp>
        <stp>NFLX US 03/20/26 P83 Equity</stp>
        <stp>mid</stp>
        <tr r="L25" s="2"/>
      </tp>
      <tp>
        <v>10.85</v>
        <stp/>
        <stp>BDP|10156068293807054847|22</stp>
        <stp>MSFT US 03/20/26 C490 Equity</stp>
        <stp>ask</stp>
        <tr r="Q19" s="2"/>
      </tp>
      <tp>
        <v>2.4500000000000002</v>
        <stp/>
        <stp>BDP|11810525163719928784|22</stp>
        <stp>NFLX US 03/20/26 P80 Equity</stp>
        <stp>ask</stp>
        <tr r="L188" s="89"/>
      </tp>
      <tp>
        <v>183.14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>
        <v>-0.45796385407447815</v>
        <stp/>
        <stp>BDP|5212348006943988893|22</stp>
        <stp>LITE US 02/20/26 C450 Equity</stp>
        <stp>theta_mid_rt</stp>
        <tr r="AN8" s="2"/>
      </tp>
      <tp>
        <v>-0.34922096133232117</v>
        <stp/>
        <stp>BDP|17181714877731926690|22</stp>
        <stp>TSM US 01/16/26 C300 Equity</stp>
        <stp>theta_mid_rt</stp>
        <tr r="AN26" s="2"/>
      </tp>
      <tp t="s">
        <v>#N/A Real Time</v>
        <stp/>
        <stp>BDP|17873404787619933773|22</stp>
        <stp>IMBWK5C4 5840 Index</stp>
        <stp>DELTA_MID_RT</stp>
        <tr r="W89" s="89"/>
      </tp>
      <tp>
        <v>33.200000000000003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Data...4002574178</v>
        <stp/>
        <stp>BDP|751520279507684047</stp>
        <tr r="X40" s="338"/>
      </tp>
      <tp t="s">
        <v>#N/A Requesting Data...4176258131</v>
        <stp/>
        <stp>BDP|196285167087372652</stp>
        <tr r="O19" s="89"/>
      </tp>
      <tp t="e">
        <v>#N/A</v>
        <stp/>
        <stp>BDH|536438199541334958</stp>
        <tr r="AM11" s="338"/>
        <tr r="AM10" s="338"/>
        <tr r="AM33" s="338"/>
      </tp>
      <tp t="s">
        <v>#N/A Requesting Data...4154815126</v>
        <stp/>
        <stp>BDP|708391392016349940</stp>
        <tr r="AD24" s="2"/>
        <tr r="V204" s="89"/>
      </tp>
      <tp t="s">
        <v>#N/A Requesting Data...4078557101</v>
        <stp/>
        <stp>BDP|486395361935198594</stp>
        <tr r="T29" s="2"/>
        <tr r="O195" s="89"/>
      </tp>
      <tp t="s">
        <v>#N/A Requesting Data...2998750610</v>
        <stp/>
        <stp>BDP|711948671629350257</stp>
        <tr r="E19" s="89"/>
      </tp>
      <tp t="s">
        <v>#N/A Requesting Data...3770313876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>
        <v>252.38</v>
        <stp/>
        <stp>BDP|15031025441735979532|22</stp>
        <stp>RDDT Equity</stp>
        <stp>LAST PRICE</stp>
        <tr r="L11" s="446"/>
      </tp>
      <tp>
        <v>20.149999999999999</v>
        <stp/>
        <stp>BDP|2492093532570295717|22</stp>
        <stp>TSM US 07/17/26 C380 Equity</stp>
        <stp>bid</stp>
        <tr r="K20" s="89"/>
      </tp>
      <tp>
        <v>20.75</v>
        <stp/>
        <stp>BDP|6998547858539711557|22</stp>
        <stp>TSM US 03/20/26 C330 Equity</stp>
        <stp>ask</stp>
        <tr r="Q33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Data...3620538789</v>
        <stp/>
        <stp>BDP|608595985359488024</stp>
        <tr r="AH13" s="338"/>
        <tr r="AH34" s="338"/>
        <tr r="AJ13" s="338"/>
        <tr r="AJ34" s="338"/>
      </tp>
      <tp t="s">
        <v>#N/A Requesting Data...4133443560</v>
        <stp/>
        <stp>BDP|654074041248648893</stp>
        <tr r="D13" s="89"/>
      </tp>
      <tp t="e">
        <v>#N/A</v>
        <stp/>
        <stp>BDH|291264102701235752</stp>
        <tr r="AP29" s="338"/>
        <tr r="AP30" s="338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N/A</v>
        <stp/>
        <stp>BDP|506862199115732352</stp>
        <tr r="AF27" s="1"/>
      </tp>
      <tp t="s">
        <v>#N/A Requesting Data...3365687186</v>
        <stp/>
        <stp>BDP|686234847331911027</stp>
        <tr r="G17" s="446"/>
      </tp>
      <tp t="s">
        <v>#N/A Requesting Data...3430456667</v>
        <stp/>
        <stp>BDP|845945561529258153</stp>
        <tr r="X37" s="338"/>
      </tp>
      <tp t="s">
        <v>#N/A N/A</v>
        <stp/>
        <stp>BDP|719080694298469649</stp>
        <tr r="F9" s="2"/>
      </tp>
      <tp t="s">
        <v>#N/A Requesting Data...3268818945</v>
        <stp/>
        <stp>BDP|408762416568436914</stp>
        <tr r="T116" s="89"/>
      </tp>
      <tp t="s">
        <v>#N/A Requesting Data...3500782580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5908.26</v>
        <stp/>
        <stp>BDP|7715274099356745424|22</stp>
        <stp>HSTECH Index</stp>
        <stp>LAST_PRICE</stp>
        <tr r="H14" s="252"/>
        <tr r="H14" s="252"/>
      </tp>
      <tp>
        <v>690.36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Data...3431956091</v>
        <stp/>
        <stp>BDP|780556548910196765</stp>
        <tr r="L52" s="338"/>
        <tr r="L53" s="338"/>
        <tr r="L54" s="338"/>
        <tr r="H52" s="338"/>
        <tr r="H53" s="338"/>
        <tr r="H54" s="338"/>
      </tp>
      <tp t="s">
        <v>#N/A N/A</v>
        <stp/>
        <stp>BDP|575304639910340627</stp>
        <tr r="AR5" s="2"/>
      </tp>
      <tp t="s">
        <v>#N/A N/A</v>
        <stp/>
        <stp>BDP|619052234926942338</stp>
        <tr r="O49" s="89"/>
      </tp>
      <tp t="s">
        <v>#N/A N/A</v>
        <stp/>
        <stp>BDP|703780504329627859</stp>
        <tr r="AI23" s="1"/>
      </tp>
      <tp t="s">
        <v>#N/A Requesting Data...3226556592</v>
        <stp/>
        <stp>BDP|691697916283485252</stp>
        <tr r="AA8" s="2"/>
        <tr r="T27" s="89"/>
      </tp>
      <tp t="s">
        <v>#N/A Requesting Data...3033120807</v>
        <stp/>
        <stp>BDP|107389883329186412</stp>
        <tr r="L15" s="338"/>
        <tr r="L39" s="338"/>
        <tr r="H15" s="338"/>
        <tr r="H39" s="338"/>
        <tr r="L40" s="338"/>
        <tr r="J40" s="338"/>
      </tp>
      <tp t="s">
        <v>#N/A Requesting Data...3027722104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 t="s">
        <v>#N/A Real Time</v>
        <stp/>
        <stp>BDP|12770217588166131188|22</stp>
        <stp>SMH US 12/26/25 P355 Equity</stp>
        <stp>DELTA_MID_RT</stp>
        <tr r="W75" s="89"/>
      </tp>
      <tp>
        <v>-6.8007394671440125E-2</v>
        <stp/>
        <stp>BDP|5158930325873586502|22</stp>
        <stp>AMAT US 01/16/26 P280 Equity</stp>
        <stp>DELTA_MID_RT</stp>
        <tr r="W63" s="89"/>
      </tp>
      <tp>
        <v>193.61</v>
        <stp/>
        <stp>BDP|7132801475716187902|22</stp>
        <stp>ORCL EQUITY</stp>
        <stp>LAST_PRICE</stp>
        <tr r="C10" s="1"/>
      </tp>
      <tp t="s">
        <v>USD</v>
        <stp/>
        <stp>BDP|2609820919196706415|22</stp>
        <stp>QQQ US 01/13/26 P623 Equity</stp>
        <stp>QUOTED_CURRENCY_REALTIME</stp>
        <tr r="F68" s="89"/>
      </tp>
      <tp t="s">
        <v>#N/A Requesting Data...3026036759</v>
        <stp/>
        <stp>BDP|930699410161740793</stp>
        <tr r="D27" s="2"/>
        <tr r="C13" s="89"/>
      </tp>
      <tp t="s">
        <v>#N/A Requesting Data...3042393288</v>
        <stp/>
        <stp>BDP|517543108217561323</stp>
        <tr r="P53" s="338"/>
      </tp>
      <tp t="s">
        <v>#N/A Requesting Data...3238475295</v>
        <stp/>
        <stp>BDP|244764414260319781</stp>
        <tr r="O18" s="252"/>
      </tp>
      <tp t="s">
        <v>#N/A Requesting Data...3136514568</v>
        <stp/>
        <stp>BDP|896518566545118787</stp>
        <tr r="AA102" s="89"/>
        <tr r="Z102" s="89"/>
      </tp>
      <tp t="s">
        <v>USD</v>
        <stp/>
        <stp>BDP|8953270605956463578|22</stp>
        <stp>TSM US 01/16/26 C300 Equity</stp>
        <stp>QUOTED_CURRENCY_REALTIME</stp>
        <tr r="G26" s="2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Data...3909400961</v>
        <stp/>
        <stp>BDP|999131207671054040</stp>
        <tr r="P55" s="338"/>
      </tp>
      <tp t="s">
        <v>#N/A Requesting Data...3185978659</v>
        <stp/>
        <stp>BDP|969726204681693639</stp>
        <tr r="C39" s="89"/>
      </tp>
      <tp t="s">
        <v>#N/A N/A</v>
        <stp/>
        <stp>BDP|798980087638306908</stp>
        <tr r="K4" s="1"/>
      </tp>
      <tp t="s">
        <v>#N/A Requesting Data...3236484248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2.5</v>
        <stp/>
        <stp>BDP|15424449240272503460|22</stp>
        <stp>RKT US 05/15/26 C25 Equity</stp>
        <stp>ask</stp>
        <tr r="L39" s="89"/>
      </tp>
      <tp>
        <v>198.68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Data...3850563692</v>
        <stp/>
        <stp>BDP|980575772465495456</stp>
        <tr r="AD30" s="2"/>
        <tr r="V196" s="89"/>
      </tp>
      <tp t="s">
        <v>#N/A Requesting Data...4101331678</v>
        <stp/>
        <stp>BDP|468402769761706049</stp>
        <tr r="V8" s="89"/>
      </tp>
      <tp t="s">
        <v>#N/A N/A</v>
        <stp/>
        <stp>BDP|202738465971911334</stp>
        <tr r="AB75" s="89"/>
        <tr r="AB76" s="89"/>
      </tp>
      <tp t="s">
        <v>#N/A Requesting Data...3735093411</v>
        <stp/>
        <stp>BDP|103387833183780070</stp>
        <tr r="Z108" s="89"/>
        <tr r="AA108" s="89"/>
      </tp>
      <tp>
        <v>85.12</v>
        <stp/>
        <stp>BDP|6244681688337820540|22</stp>
        <stp>KBWB EQUITY</stp>
        <stp>LAST_PRICE</stp>
        <tr r="I1" s="1"/>
      </tp>
      <tp>
        <v>17.309999999999999</v>
        <stp/>
        <stp>BDP|11593899381746563402|22</stp>
        <stp>RIOT Equity</stp>
        <stp>LAST_PRICE</stp>
        <tr r="I39" s="1"/>
      </tp>
      <tp>
        <v>17.7</v>
        <stp/>
        <stp>BDP|7303697284640564666|22</stp>
        <stp>TSM US 06/18/26 C380 Equity</stp>
        <stp>ask</stp>
        <tr r="Q28" s="2"/>
        <tr r="L14" s="89"/>
      </tp>
      <tp>
        <v>21.15</v>
        <stp/>
        <stp>BDP|3151677417243031834|22</stp>
        <stp>TSM US 07/17/26 C380 Equity</stp>
        <stp>ask</stp>
        <tr r="L20" s="89"/>
      </tp>
      <tp t="s">
        <v>#N/A Requesting Data...4230425531</v>
        <stp/>
        <stp>BDP|800460114691746600</stp>
        <tr r="T31" s="2"/>
        <tr r="O197" s="89"/>
      </tp>
      <tp t="s">
        <v>#N/A N/A</v>
        <stp/>
        <stp>BDP|867434005810212632</stp>
        <tr r="AR23" s="2"/>
      </tp>
      <tp t="s">
        <v>#N/A N/A</v>
        <stp/>
        <stp>BDP|450712038053400567</stp>
        <tr r="AG12" s="1"/>
      </tp>
      <tp t="s">
        <v>#N/A N/A</v>
        <stp/>
        <stp>BDP|485222895401231859</stp>
        <tr r="AR25" s="2"/>
      </tp>
      <tp t="s">
        <v>#N/A Requesting Data...3553885194</v>
        <stp/>
        <stp>BDP|665136997182388831</stp>
        <tr r="E213" s="89"/>
      </tp>
      <tp t="s">
        <v>#N/A Requesting Data...3303521251</v>
        <stp/>
        <stp>BDP|310378113498032857</stp>
        <tr r="F9" s="446"/>
      </tp>
      <tp>
        <v>-0.50338047742843628</v>
        <stp/>
        <stp>BDP|3113404587360388424|22</stp>
        <stp>MSFT US 03/20/26 P465 Equity</stp>
        <stp>DELTA_MID_RT</stp>
        <tr r="AF20" s="2"/>
      </tp>
      <tp t="s">
        <v>USD</v>
        <stp/>
        <stp>BDP|7916740187460441225|22</stp>
        <stp>TSM US 01/16/26 P325 Equity</stp>
        <stp>QUOTED_CURRENCY_REALTIME</stp>
        <tr r="F196" s="89"/>
        <tr r="G30" s="2"/>
      </tp>
      <tp>
        <v>-0.18797697126865387</v>
        <stp/>
        <stp>BDP|5551973401497312809|22</stp>
        <stp>AVGO US 06/18/26 P270 Equity</stp>
        <stp>DELTA_MID_RT</stp>
        <tr r="W225" s="89"/>
      </tp>
      <tp>
        <v>38.6</v>
        <stp/>
        <stp>BDP|4064819158649726562|22</stp>
        <stp>TSM US 03/20/26 C300 Equity</stp>
        <stp>mid</stp>
        <tr r="L32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Data...4034941298</v>
        <stp/>
        <stp>BDP|630836919334916088</stp>
        <tr r="X10" s="338"/>
      </tp>
      <tp t="s">
        <v>#N/A N/A</v>
        <stp/>
        <stp>BDP|894652130481491978</stp>
        <tr r="AC10" s="2"/>
        <tr r="AC11" s="2"/>
        <tr r="AC9" s="2"/>
      </tp>
      <tp t="s">
        <v>#N/A Requesting Data...3363084061</v>
        <stp/>
        <stp>BDP|270487313100359854</stp>
        <tr r="V17" s="338"/>
      </tp>
      <tp>
        <v>690.36</v>
        <stp/>
        <stp>BDP|13189918054944550299|22</stp>
        <stp>SPY Equity</stp>
        <stp>LAST_PRICE</stp>
        <tr r="X3" s="1"/>
      </tp>
      <tp>
        <v>-5.9763550758361816E-2</v>
        <stp/>
        <stp>BDP|3178362372691625299|22</stp>
        <stp>MRVL US 03/20/26 P80 Equity</stp>
        <stp>theta_mid_rt</stp>
        <tr r="AN15" s="2"/>
        <tr r="AN14" s="2"/>
      </tp>
      <tp>
        <v>114.6</v>
        <stp/>
        <stp>BDP|11864909502198122066|22</stp>
        <stp>W US Equity</stp>
        <stp>LAST_PRICE</stp>
        <tr r="S40" s="89"/>
      </tp>
      <tp>
        <v>331.9</v>
        <stp/>
        <stp>BDP|14332915070053504036|22</stp>
        <stp>SOXX Equity</stp>
        <stp>LAST PRICE</stp>
        <tr r="I13" s="338"/>
      </tp>
      <tp>
        <v>3.75</v>
        <stp/>
        <stp>BDP|9488167050605200857|22</stp>
        <stp>TSM US 01/16/26 C335 Equity</stp>
        <stp>ask</stp>
        <tr r="L195" s="89"/>
        <tr r="Q29" s="2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Data...3125380899</v>
        <stp/>
        <stp>BDP|127253274771311898</stp>
        <tr r="AG11" s="338"/>
      </tp>
      <tp t="s">
        <v>#N/A N/A</v>
        <stp/>
        <stp>BDP|127322122439208464</stp>
        <tr r="E33" s="2"/>
      </tp>
      <tp t="s">
        <v>#N/A Requesting Data...3502388568</v>
        <stp/>
        <stp>BDP|448570639588906265</stp>
        <tr r="T69" s="89"/>
      </tp>
      <tp t="s">
        <v>#N/A Requesting Data...3361743467</v>
        <stp/>
        <stp>BDP|827675090525898604</stp>
        <tr r="AF41" s="338"/>
        <tr r="AF42" s="338"/>
      </tp>
      <tp t="s">
        <v>#N/A Requesting Data...3385217124</v>
        <stp/>
        <stp>BDP|782705090920373269</stp>
        <tr r="D129" s="89"/>
      </tp>
      <tp t="s">
        <v>#N/A Requesting Data...3164134126</v>
        <stp/>
        <stp>BDP|616737592948373981</stp>
        <tr r="D8" s="89"/>
      </tp>
      <tp t="s">
        <v>#N/A N/A</v>
        <stp/>
        <stp>BDP|404252579678701218</stp>
        <tr r="T12" s="2"/>
        <tr r="T13" s="2"/>
      </tp>
      <tp t="s">
        <v>#N/A Requesting Data...3191614758</v>
        <stp/>
        <stp>BDP|747191926384069867</stp>
        <tr r="L15" s="252"/>
        <tr r="L15" s="252"/>
      </tp>
      <tp t="s">
        <v>#N/A Requesting Data...4262113540</v>
        <stp/>
        <stp>BDP|176347289857022339</stp>
        <tr r="S17" s="252"/>
      </tp>
      <tp t="s">
        <v>#N/A Requesting Data...4138025553</v>
        <stp/>
        <stp>BDP|929810247124719709</stp>
        <tr r="Q13" s="338"/>
      </tp>
      <tp t="s">
        <v>#N/A Requesting Data...4119149577</v>
        <stp/>
        <stp>BDP|209347099407616211</stp>
        <tr r="Z197" s="89"/>
        <tr r="AA197" s="89"/>
      </tp>
      <tp t="s">
        <v>#N/A Requesting Data...3756782017</v>
        <stp/>
        <stp>BDP|278537766618564487</stp>
        <tr r="U17" s="338"/>
      </tp>
      <tp t="s">
        <v>#N/A Requesting Data...4172695290</v>
        <stp/>
        <stp>BDP|985943877960620174</stp>
        <tr r="AD7" s="2"/>
        <tr r="V26" s="89"/>
      </tp>
      <tp t="s">
        <v>#N/A N/A</v>
        <stp/>
        <stp>BDP|987924063845804559</stp>
        <tr r="E4" s="1"/>
      </tp>
      <tp t="s">
        <v>#N/A Requesting Data...3729330339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615.52</v>
        <stp/>
        <stp>BDP|3305523752982270676|22</stp>
        <stp>META EQUITY</stp>
        <stp>LAST_PRICE</stp>
        <tr r="C9" s="1"/>
      </tp>
      <tp>
        <v>-0.26590275764465332</v>
        <stp/>
        <stp>BDP|4448489992068111945|22</stp>
        <stp>AMAT US 01/23/26 P290 Equity</stp>
        <stp>DELTA_MID_RT</stp>
        <tr r="W55" s="89"/>
        <tr r="AF21" s="2"/>
      </tp>
      <tp t="s">
        <v>#N/A Real Time</v>
        <stp/>
        <stp>BDP|8535644726168334880|22</stp>
        <stp>AVGO US 10/03/25 P330 Equity</stp>
        <stp>DELTA_MID_RT</stp>
        <tr r="W251" s="89"/>
      </tp>
      <tp>
        <v>-0.20384888350963593</v>
        <stp/>
        <stp>BDP|11616585170366627845|22</stp>
        <stp>ASML US 01/23/26 P1200 Equity</stp>
        <stp>DELTA_MID_RT</stp>
        <tr r="W49" s="89"/>
      </tp>
      <tp>
        <v>198.68</v>
        <stp/>
        <stp>BDP|10381440186149181728|22</stp>
        <stp>RSP Equity</stp>
        <stp>LAST_PRICE</stp>
        <tr r="I17" s="1"/>
      </tp>
      <tp t="s">
        <v>#N/A N/A</v>
        <stp/>
        <stp>BDP|887987616640012698</stp>
        <tr r="AB12" s="1"/>
      </tp>
      <tp t="s">
        <v>#N/A Requesting Data...3992318710</v>
        <stp/>
        <stp>BDP|250048024809964501</stp>
        <tr r="T250" s="89"/>
      </tp>
      <tp t="s">
        <v>#N/A Requesting Data...3879274314</v>
        <stp/>
        <stp>BDP|364330932177526925</stp>
        <tr r="S37" s="338"/>
      </tp>
      <tp t="s">
        <v>#N/A N/A</v>
        <stp/>
        <stp>BDP|308105164449948089</stp>
        <tr r="K26" s="1"/>
      </tp>
      <tp>
        <v>33.68</v>
        <stp/>
        <stp>BDP|18329643987132492211|22</stp>
        <stp>ASHR Equity</stp>
        <stp>LAST_PRICE</stp>
        <tr r="H6" s="252"/>
        <tr r="H6" s="252"/>
        <tr r="I14" s="1"/>
      </tp>
      <tp>
        <v>27.1</v>
        <stp/>
        <stp>BDP|3354072527797676939|22</stp>
        <stp>TSM US 01/16/26 C300 Equity</stp>
        <stp>bid</stp>
        <tr r="P26" s="2"/>
      </tp>
      <tp>
        <v>20.53</v>
        <stp/>
        <stp>BDP|9707829131950720246|22</stp>
        <stp>TSM US 03/20/26 C330 Equity</stp>
        <stp>mid</stp>
        <tr r="L33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Data...3347010733</v>
        <stp/>
        <stp>BDP|637311488093717158</stp>
        <tr r="Q48" s="338"/>
      </tp>
      <tp t="s">
        <v>#N/A Requesting Data...3891069016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Data...3802346016</v>
        <stp/>
        <stp>BDP|321567796020124549</stp>
        <tr r="F43" s="446"/>
      </tp>
      <tp t="s">
        <v>#N/A Requesting Data...3560539095</v>
        <stp/>
        <stp>BDP|748281786590893378</stp>
        <tr r="AA160" s="89"/>
        <tr r="Z160" s="89"/>
      </tp>
      <tp>
        <v>0.18547701835632324</v>
        <stp/>
        <stp>BDP|5582604017446869875|22</stp>
        <stp>MSFT US 03/20/26 C515 Equity</stp>
        <stp>DELTA_MID_RT</stp>
        <tr r="AF17" s="2"/>
        <tr r="AF18" s="2"/>
      </tp>
      <tp t="s">
        <v>USD</v>
        <stp/>
        <stp>BDP|8269890741732864088|22</stp>
        <stp>QQQ US 01/16/26 C630 Equity</stp>
        <stp>QUOTED_CURRENCY_REALTIME</stp>
        <tr r="F8" s="89"/>
      </tp>
      <tp>
        <v>43.17</v>
        <stp/>
        <stp>BDP|16955313478604069014|22</stp>
        <stp>XLU Equity</stp>
        <stp>LAST PRICE</stp>
        <tr r="I42" s="338"/>
      </tp>
      <tp t="s">
        <v>#N/A Requesting Data...3619525335</v>
        <stp/>
        <stp>BDP|908593419299646514</stp>
        <tr r="V212" s="89"/>
      </tp>
      <tp t="s">
        <v>#N/A Requesting Data...3937992300</v>
        <stp/>
        <stp>BDP|938081193165986446</stp>
        <tr r="U46" s="338"/>
      </tp>
      <tp t="s">
        <v>#N/A Requesting Data...3351098286</v>
        <stp/>
        <stp>BDP|345620769730348823</stp>
        <tr r="G20" s="446"/>
      </tp>
      <tp t="s">
        <v>#N/A Requesting Data...3638344483</v>
        <stp/>
        <stp>BDP|340320136489724108</stp>
        <tr r="T75" s="89"/>
      </tp>
      <tp t="s">
        <v>#N/A N/A</v>
        <stp/>
        <stp>BDP|771655587750732627</stp>
        <tr r="AI22" s="1"/>
      </tp>
      <tp>
        <v>0.32733887434005737</v>
        <stp/>
        <stp>BDP|1525054646503839834|22</stp>
        <stp>MSFT US 03/20/26 C490 Equity</stp>
        <stp>DELTA_MID_RT</stp>
        <tr r="AF19" s="2"/>
      </tp>
      <tp>
        <v>-0.19109269976615906</v>
        <stp/>
        <stp>BDP|4454416625777837945|22</stp>
        <stp>AMAT US 01/16/26 P290 Equity</stp>
        <stp>DELTA_MID_RT</stp>
        <tr r="W62" s="89"/>
      </tp>
      <tp t="s">
        <v>USD</v>
        <stp/>
        <stp>BDP|5876029209403858680|22</stp>
        <stp>TSM US 06/18/26 C340 Equity</stp>
        <stp>QUOTED_CURRENCY_REALTIME</stp>
        <tr r="G27" s="2"/>
        <tr r="F13" s="89"/>
      </tp>
      <tp>
        <v>0.21468795835971832</v>
        <stp/>
        <stp>BDP|4316414877333174269|22</stp>
        <stp>NFLX US 03/20/26 C104 Equity</stp>
        <stp>DELTA_MID_RT</stp>
        <tr r="AF23" s="2"/>
        <tr r="W203" s="89"/>
      </tp>
      <tp>
        <v>-0.14861464500427246</v>
        <stp/>
        <stp>BDP|1593024835823764098|22</stp>
        <stp>AMAT US 01/23/26 P280 Equity</stp>
        <stp>DELTA_MID_RT</stp>
        <tr r="W56" s="89"/>
        <tr r="AF22" s="2"/>
      </tp>
      <tp>
        <v>101.07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BDP|764078797243992127</stp>
        <tr r="D56" s="89"/>
      </tp>
      <tp t="s">
        <v>#N/A Requesting Data...3303452384</v>
        <stp/>
        <stp>BDP|237201852408926413</stp>
        <tr r="U35" s="338"/>
      </tp>
      <tp t="s">
        <v>#N/A Requesting Data...3682926158</v>
        <stp/>
        <stp>BDP|410647168382881996</stp>
        <tr r="V54" s="338"/>
      </tp>
      <tp t="s">
        <v>#N/A Requesting Data...3204240474</v>
        <stp/>
        <stp>BDP|981114986491900309</stp>
        <tr r="F8" s="252"/>
      </tp>
      <tp t="s">
        <v>#N/A Requesting Data...3638268036</v>
        <stp/>
        <stp>BDP|612746655750406928</stp>
        <tr r="S16" s="338"/>
        <tr r="S38" s="338"/>
      </tp>
      <tp t="s">
        <v>#N/A Requesting Data...3379243622</v>
        <stp/>
        <stp>BDP|354957367580482468</stp>
        <tr r="T23" s="2"/>
        <tr r="O203" s="89"/>
      </tp>
      <tp t="s">
        <v>#N/A Requesting Data...3949808232</v>
        <stp/>
        <stp>BDP|391308238739080354</stp>
        <tr r="C81" s="89"/>
      </tp>
      <tp t="e">
        <v>#N/A</v>
        <stp/>
        <stp>BDH|387176329870633937</stp>
        <tr r="AR36" s="338"/>
        <tr r="AR35" s="338"/>
        <tr r="AM50" s="338"/>
        <tr r="AR37" s="338"/>
        <tr r="AM51" s="338"/>
        <tr r="AR34" s="338"/>
      </tp>
      <tp t="s">
        <v>#N/A Real Time</v>
        <stp/>
        <stp>BDP|9931751547643048436|22</stp>
        <stp>4OK5C 21300 Index</stp>
        <stp>bid</stp>
        <tr r="K115" s="89"/>
      </tp>
      <tp t="s">
        <v>USD</v>
        <stp/>
        <stp>BDP|6095091838254785398|22</stp>
        <stp>TSM US 01/16/26 P315 Equity</stp>
        <stp>QUOTED_CURRENCY_REALTIME</stp>
        <tr r="F197" s="89"/>
        <tr r="G31" s="2"/>
      </tp>
      <tp>
        <v>339.89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81.209999999999994</v>
        <stp/>
        <stp>BDP|15428137786848034213|22</stp>
        <stp>MRVL Equity</stp>
        <stp>LAST PRICE</stp>
        <tr r="G37" s="338"/>
      </tp>
      <tp t="s">
        <v>#N/A Real Time</v>
        <stp/>
        <stp>BDP|9097540125672894597|22</stp>
        <stp>SMH US 12/26/25 P355 Equity</stp>
        <stp>bid</stp>
        <tr r="K75" s="89"/>
      </tp>
      <tp>
        <v>40.04</v>
        <stp/>
        <stp>BDP|15189910301226923788|22</stp>
        <stp>FXI Equity</stp>
        <stp>LAST_PRICE</stp>
        <tr r="H9" s="252"/>
        <tr r="H9" s="252"/>
      </tp>
      <tp>
        <v>-0.43641209602355957</v>
        <stp/>
        <stp>BDP|14709293869565824739|22</stp>
        <stp>TSM US 01/16/26 P325 Equity</stp>
        <stp>DELTA_MID_RT</stp>
        <tr r="W196" s="89"/>
        <tr r="AF30" s="2"/>
      </tp>
      <tp>
        <v>81.209999999999994</v>
        <stp/>
        <stp>BDP|14735743812855208855|22</stp>
        <stp>MRVL Equity</stp>
        <stp>LAST_PRICE</stp>
        <tr r="I37" s="1"/>
      </tp>
      <tp>
        <v>3.5</v>
        <stp/>
        <stp>BDP|8082030159047074741|22</stp>
        <stp>NFLX US 03/20/26 P83 Equity</stp>
        <stp>ask</stp>
        <tr r="Q25" s="2"/>
        <tr r="L205" s="89"/>
      </tp>
      <tp>
        <v>183.14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>
        <v>-4.7501947730779648E-2</v>
        <stp/>
        <stp>BDP|6222775794776934712|22</stp>
        <stp>NFLX US 03/20/26 P92 Equity</stp>
        <stp>theta_mid_rt</stp>
        <tr r="AN24" s="2"/>
      </tp>
      <tp>
        <v>7.03</v>
        <stp/>
        <stp>BDP|1603579272794795324|22</stp>
        <stp>MRVL US 03/20/26 P80 Equity</stp>
        <stp>mid</stp>
        <tr r="L15" s="2"/>
        <tr r="L14" s="2"/>
      </tp>
      <tp>
        <v>0.5</v>
        <stp/>
        <stp>BDP|1161171214054051929|22</stp>
        <stp>SMH US 01/09/26 P355 Equity</stp>
        <stp>ask</stp>
        <tr r="L76" s="89"/>
      </tp>
      <tp t="s">
        <v>#N/A Real Time</v>
        <stp/>
        <stp>BDP|8340553546063687451|22</stp>
        <stp>4OK5C 21650 Index</stp>
        <stp>DELTA_MID_RT</stp>
        <tr r="W116" s="89"/>
      </tp>
      <tp>
        <v>44.05</v>
        <stp/>
        <stp>BDP|16808406762660954717|22</stp>
        <stp>MU US 03/20/26 P350 Equity</stp>
        <stp>bid</stp>
        <tr r="K81" s="89"/>
      </tp>
      <tp>
        <v>183.14</v>
        <stp/>
        <stp>BDP|10556089213855348182|22</stp>
        <stp>NVDA Equity</stp>
        <stp>LAST_PRICE</stp>
        <tr r="I36" s="1"/>
      </tp>
      <tp>
        <v>7.7</v>
        <stp/>
        <stp>BDP|3429946602385955361|22</stp>
        <stp>NFLX US 03/20/26 P92 Equity</stp>
        <stp>bid</stp>
        <tr r="P24" s="2"/>
        <tr r="K204" s="89"/>
      </tp>
      <tp>
        <v>0.49806195497512817</v>
        <stp/>
        <stp>BDP|3367401678798717289|22</stp>
        <stp>W US 05/15/26 C125 Equity</stp>
        <stp>DELTA_MID_RT</stp>
        <tr r="W40" s="89"/>
      </tp>
      <tp>
        <v>104.32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9.1672211885452271E-2</v>
        <stp/>
        <stp>BDP|15810744454063572294|22</stp>
        <stp>QQQ US 01/16/26 C630 Equity</stp>
        <stp>DELTA_MID_RT</stp>
        <tr r="W8" s="89"/>
      </tp>
      <tp>
        <v>0.01</v>
        <stp/>
        <stp>BDP|1610378745609634603|22</stp>
        <stp>QQQ US 01/13/26 P622 Equity</stp>
        <stp>ask</stp>
        <tr r="L69" s="89"/>
      </tp>
      <tp t="s">
        <v>#N/A Real Time</v>
        <stp/>
        <stp>BDP|7909497283026172618|22</stp>
        <stp>4OK5C 21300 Index</stp>
        <stp>DELTA_MID_RT</stp>
        <tr r="W115" s="89"/>
      </tp>
      <tp>
        <v>-9.7500449046492577E-3</v>
        <stp/>
        <stp>BDP|5598166511208398697|22</stp>
        <stp>ASHR US 02/20/26 C35 Equity</stp>
        <stp>theta_mid_rt</stp>
        <tr r="AN4" s="2"/>
      </tp>
      <tp>
        <v>169.9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66.53</v>
        <stp/>
        <stp>BDP|16675559367525942243|22</stp>
        <stp>TTE Equity</stp>
        <stp>LAST PRICE</stp>
        <tr r="I29" s="338"/>
      </tp>
      <tp>
        <v>0.51445811986923218</v>
        <stp/>
        <stp>BDP|16687792746206833445|22</stp>
        <stp>TSM US 06/18/26 C340 Equity</stp>
        <stp>DELTA_MID_RT</stp>
        <tr r="AF27" s="2"/>
        <tr r="W13" s="89"/>
      </tp>
      <tp>
        <v>4126.0940000000001</v>
        <stp/>
        <stp>BDP|8077747707676540560|22</stp>
        <stp>SHCOMP Index</stp>
        <stp>LAST_PRICE</stp>
        <tr r="H20" s="252"/>
        <tr r="H20" s="252"/>
      </tp>
      <tp>
        <v>546.82000000000005</v>
        <stp/>
        <stp>BDP|597388678239350382|22</stp>
        <stp>MA Equity</stp>
        <stp>LAST_PRICE</stp>
        <tr r="I41" s="1"/>
      </tp>
      <tp>
        <v>119.67</v>
        <stp/>
        <stp>BDP|11576966289528241643|22</stp>
        <stp>HOOD Equity</stp>
        <stp>LAST PRICE</stp>
        <tr r="L5" s="446"/>
        <tr r="L6" s="446"/>
      </tp>
      <tp>
        <v>-7.6261195354163647E-3</v>
        <stp/>
        <stp>BDP|14383945353312961902|22</stp>
        <stp>QQQ US 01/13/26 P623 Equity</stp>
        <stp>DELTA_MID_RT</stp>
        <tr r="W68" s="89"/>
      </tp>
      <tp>
        <v>0.52713203430175781</v>
        <stp/>
        <stp>BDP|15150595801257451367|22</stp>
        <stp>TSM US 07/17/26 C340 Equity</stp>
        <stp>DELTA_MID_RT</stp>
        <tr r="W19" s="89"/>
      </tp>
      <tp>
        <v>331.62</v>
        <stp/>
        <stp>BDP|13530810646219131800|22</stp>
        <stp>LITE Equity</stp>
        <stp>LAST_PRICE</stp>
        <tr r="I28" s="1"/>
        <tr r="I29" s="1"/>
      </tp>
      <tp>
        <v>0.01</v>
        <stp/>
        <stp>BDP|3793377147133841627|22</stp>
        <stp>QQQ US 01/13/26 P623 Equity</stp>
        <stp>ask</stp>
        <tr r="L68" s="89"/>
      </tp>
      <tp>
        <v>5.65</v>
        <stp/>
        <stp>BDP|4962749215526977152|22</stp>
        <stp>TSM US 01/16/26 P325 Equity</stp>
        <stp>ask</stp>
        <tr r="L196" s="89"/>
        <tr r="Q30" s="2"/>
      </tp>
      <tp t="s">
        <v>#N/A Real Time</v>
        <stp/>
        <stp>BDP|9694420881586169364|22</stp>
        <stp>RFSWZ4C3 2360 Index</stp>
        <stp>QUOTED_CURRENCY_REALTIME</stp>
        <tr r="F122" s="89"/>
      </tp>
      <tp>
        <v>288.54000000000002</v>
        <stp/>
        <stp>BDP|13659659385475398852|22</stp>
        <stp>ACN Equity</stp>
        <stp>LAST PRICE</stp>
        <tr r="L8" s="446"/>
      </tp>
      <tp t="s">
        <v>#N/A Real Time</v>
        <stp/>
        <stp>BDP|8060157925001873899|22</stp>
        <stp>4OZ5C 25750 Index</stp>
        <stp>bid</stp>
        <tr r="K153" s="89"/>
        <tr r="K154" s="89"/>
      </tp>
      <tp>
        <v>3.65</v>
        <stp/>
        <stp>BDP|1719032219213666585|22</stp>
        <stp>ASHR US 07/17/26 C35 Equity</stp>
        <stp>ask</stp>
        <tr r="L34" s="89"/>
      </tp>
      <tp>
        <v>7.1</v>
        <stp/>
        <stp>BDP|8734482328934403813|22</stp>
        <stp>MRVL US 03/20/26 P80 Equity</stp>
        <stp>ask</stp>
        <tr r="Q15" s="2"/>
        <tr r="Q14" s="2"/>
      </tp>
      <tp>
        <v>2.4</v>
        <stp/>
        <stp>BDP|8993060904794494053|22</stp>
        <stp>NFLX US 03/20/26 P80 Equity</stp>
        <stp>bid</stp>
        <tr r="K188" s="89"/>
      </tp>
      <tp>
        <v>339.89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 t="s">
        <v>#N/A N/A</v>
        <stp/>
        <stp>BDP|4983500329025392016|22</stp>
        <stp>ASHR US 07/17/26 C35 Equity</stp>
        <stp>bid</stp>
        <tr r="K34" s="89"/>
      </tp>
      <tp t="s">
        <v>#N/A N/A</v>
        <stp/>
        <stp>BDP|3558546985543358606|22</stp>
        <stp>QQQ US 01/13/26 P622 Equity</stp>
        <stp>bid</stp>
        <tr r="K69" s="89"/>
      </tp>
      <tp>
        <v>-0.51075559854507446</v>
        <stp/>
        <stp>BDP|16567055746554839531|22</stp>
        <stp>MU US 03/20/26 P350 Equity</stp>
        <stp>DELTA_MID_RT</stp>
        <tr r="W81" s="89"/>
      </tp>
      <tp>
        <v>82.39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>
        <v>45.15</v>
        <stp/>
        <stp>BDP|10412858753154223263|22</stp>
        <stp>MU US 03/20/26 P350 Equity</stp>
        <stp>ask</stp>
        <tr r="L81" s="89"/>
      </tp>
      <tp>
        <v>0.15584051609039307</v>
        <stp/>
        <stp>BDP|9935221880457496648|22</stp>
        <stp>META US 04/17/26 C750 Equity</stp>
        <stp>DELTA_MID_RT</stp>
        <tr r="W169" s="89"/>
        <tr r="W178" s="89"/>
        <tr r="W233" s="89"/>
      </tp>
      <tp t="s">
        <v>#N/A Real Time</v>
        <stp/>
        <stp>BDP|1125275189986841671|22</stp>
        <stp>SMH US 12/26/25 P355 Equity</stp>
        <stp>ask</stp>
        <tr r="L75" s="89"/>
      </tp>
      <tp>
        <v>5187.0200000000004</v>
        <stp/>
        <stp>BDP|13402169581729532440|22</stp>
        <stp>BKNG Equity</stp>
        <stp>LAST PRICE</stp>
        <tr r="G12" s="338"/>
      </tp>
      <tp>
        <v>0.34590211510658264</v>
        <stp/>
        <stp>BDP|17478839230977938286|22</stp>
        <stp>TSM US 06/18/26 C380 Equity</stp>
        <stp>DELTA_MID_RT</stp>
        <tr r="AF28" s="2"/>
        <tr r="W14" s="89"/>
      </tp>
      <tp>
        <v>0.73685365915298462</v>
        <stp/>
        <stp>BDP|16089778845299134572|22</stp>
        <stp>TSM US 03/20/26 C300 Equity</stp>
        <stp>DELTA_MID_RT</stp>
        <tr r="AF32" s="2"/>
      </tp>
      <tp>
        <v>6.55</v>
        <stp/>
        <stp>BDP|4874141046161399317|22</stp>
        <stp>NFLX US 03/20/26 P90 Equity</stp>
        <stp>bid</stp>
        <tr r="K187" s="89"/>
      </tp>
      <tp t="s">
        <v>#N/A N/A</v>
        <stp/>
        <stp>BDP|4718342808891953704|22</stp>
        <stp>SMH US 01/09/26 P355 Equity</stp>
        <stp>bid</stp>
        <tr r="K76" s="89"/>
      </tp>
      <tp>
        <v>239.57</v>
        <stp/>
        <stp>BDP|18434337130911834676|22</stp>
        <stp>CRM Equity</stp>
        <stp>LAST PRICE</stp>
        <tr r="G31" s="338"/>
        <tr r="G32" s="338"/>
        <tr r="L9" s="446"/>
      </tp>
      <tp>
        <v>327.11</v>
        <stp/>
        <stp>BDP|13113113388917834281|22</stp>
        <stp>TSM Equity</stp>
        <stp>LAST_PRICE</stp>
        <tr r="I32" s="1"/>
        <tr r="I34" s="1"/>
        <tr r="I33" s="1"/>
        <tr r="I35" s="1"/>
      </tp>
      <tp>
        <v>336.31</v>
        <stp/>
        <stp>BDP|16760158171648826820|22</stp>
        <stp>GOOG Equity</stp>
        <stp>LAST_PRICE</stp>
        <tr r="I21" s="1"/>
      </tp>
      <tp>
        <v>0.28999999999999998</v>
        <stp/>
        <stp>BDP|9704315770915911503|22</stp>
        <stp>ASHR US 02/20/26 C35 Equity</stp>
        <stp>bid</stp>
        <tr r="P4" s="2"/>
        <tr r="K33" s="89"/>
      </tp>
      <tp>
        <v>-0.35384657979011536</v>
        <stp/>
        <stp>BDP|4306646786803793992|22</stp>
        <stp>META US 04/17/26 P590 Equity</stp>
        <stp>DELTA_MID_RT</stp>
        <tr r="W171" s="89"/>
      </tp>
      <tp>
        <v>5.55</v>
        <stp/>
        <stp>BDP|9153761627908789010|22</stp>
        <stp>TSM US 01/16/26 P325 Equity</stp>
        <stp>bid</stp>
        <tr r="K196" s="89"/>
        <tr r="P30" s="2"/>
      </tp>
      <tp t="s">
        <v>#N/A Real Time</v>
        <stp/>
        <stp>BDP|3703572431849033805|22</stp>
        <stp>3OF5C    22500 Index</stp>
        <stp>DELTA_MID_RT</stp>
        <tr r="W109" s="89"/>
      </tp>
      <tp>
        <v>5858</v>
        <stp/>
        <stp>BDP|18259571086573127790|22</stp>
        <stp>HCTA Index</stp>
        <stp>LAST PRICE</stp>
        <tr r="L12" s="446"/>
      </tp>
      <tp>
        <v>0.44</v>
        <stp/>
        <stp>BDP|8465872380432047250|22</stp>
        <stp>ASHR US 02/20/26 C35 Equity</stp>
        <stp>ask</stp>
        <tr r="Q4" s="2"/>
        <tr r="L33" s="89"/>
      </tp>
      <tp>
        <v>327.11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0.37260469794273376</v>
        <stp/>
        <stp>BDP|18231477560940764707|22</stp>
        <stp>TSM US 07/17/26 C380 Equity</stp>
        <stp>DELTA_MID_RT</stp>
        <tr r="W20" s="89"/>
      </tp>
      <tp>
        <v>4741.93</v>
        <stp/>
        <stp>BDP|6933862981827794123|22</stp>
        <stp>SHSZ300 Index</stp>
        <stp>LAST_PRICE</stp>
        <tr r="H8" s="252"/>
        <tr r="H8" s="252"/>
      </tp>
      <tp>
        <v>7.8</v>
        <stp/>
        <stp>BDP|9830961858792761021|22</stp>
        <stp>NFLX US 03/20/26 P92 Equity</stp>
        <stp>mid</stp>
        <tr r="L2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P&amp;L'!$B$12:$B$41</c:f>
              <c:strCache>
                <c:ptCount val="30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QQQE</c:v>
                </c:pt>
                <c:pt idx="4">
                  <c:v>QQQE</c:v>
                </c:pt>
                <c:pt idx="5">
                  <c:v>RSP</c:v>
                </c:pt>
                <c:pt idx="6">
                  <c:v>GDX </c:v>
                </c:pt>
                <c:pt idx="7">
                  <c:v>GDX </c:v>
                </c:pt>
                <c:pt idx="8">
                  <c:v>NFLX</c:v>
                </c:pt>
                <c:pt idx="9">
                  <c:v>GOOG</c:v>
                </c:pt>
                <c:pt idx="10">
                  <c:v>AMZN</c:v>
                </c:pt>
                <c:pt idx="11">
                  <c:v>META</c:v>
                </c:pt>
                <c:pt idx="12">
                  <c:v>MSFT</c:v>
                </c:pt>
                <c:pt idx="13">
                  <c:v>000660 KS</c:v>
                </c:pt>
                <c:pt idx="14">
                  <c:v>EWY</c:v>
                </c:pt>
                <c:pt idx="15">
                  <c:v>COHR</c:v>
                </c:pt>
                <c:pt idx="16">
                  <c:v>LITE</c:v>
                </c:pt>
                <c:pt idx="17">
                  <c:v>LITE</c:v>
                </c:pt>
                <c:pt idx="18">
                  <c:v>AVGO</c:v>
                </c:pt>
                <c:pt idx="19">
                  <c:v>AVGO</c:v>
                </c:pt>
                <c:pt idx="20">
                  <c:v>TSM</c:v>
                </c:pt>
                <c:pt idx="21">
                  <c:v>TSM</c:v>
                </c:pt>
                <c:pt idx="22">
                  <c:v>TSM</c:v>
                </c:pt>
                <c:pt idx="23">
                  <c:v>TSM</c:v>
                </c:pt>
                <c:pt idx="24">
                  <c:v>NVDA</c:v>
                </c:pt>
                <c:pt idx="25">
                  <c:v>MRVL</c:v>
                </c:pt>
                <c:pt idx="26">
                  <c:v>AMAT</c:v>
                </c:pt>
                <c:pt idx="27">
                  <c:v>RIOT</c:v>
                </c:pt>
                <c:pt idx="28">
                  <c:v>V</c:v>
                </c:pt>
                <c:pt idx="29">
                  <c:v>MA</c:v>
                </c:pt>
              </c:strCache>
            </c:strRef>
          </c:cat>
          <c:val>
            <c:numRef>
              <c:f>'Master P&amp;L'!$J$12:$J$41</c:f>
              <c:numCache>
                <c:formatCode>0.00%</c:formatCode>
                <c:ptCount val="30"/>
                <c:pt idx="0">
                  <c:v>1.7304353032752573E-2</c:v>
                </c:pt>
                <c:pt idx="1">
                  <c:v>7.7000334784065316E-3</c:v>
                </c:pt>
                <c:pt idx="2">
                  <c:v>-5.316007088009389E-3</c:v>
                </c:pt>
                <c:pt idx="3">
                  <c:v>-4.0099293488639054E-3</c:v>
                </c:pt>
                <c:pt idx="4">
                  <c:v>4.1389931658484258E-3</c:v>
                </c:pt>
                <c:pt idx="5">
                  <c:v>4.550510668419383E-3</c:v>
                </c:pt>
                <c:pt idx="6">
                  <c:v>4.0427075774851495E-3</c:v>
                </c:pt>
                <c:pt idx="7">
                  <c:v>8.6431323544724492E-3</c:v>
                </c:pt>
                <c:pt idx="8">
                  <c:v>-1.9596988485385269E-2</c:v>
                </c:pt>
                <c:pt idx="9">
                  <c:v>-3.5668638349728443E-4</c:v>
                </c:pt>
                <c:pt idx="10">
                  <c:v>-2.4525968672712284E-2</c:v>
                </c:pt>
                <c:pt idx="11">
                  <c:v>-2.4671599930279453E-2</c:v>
                </c:pt>
                <c:pt idx="12">
                  <c:v>-2.3987082244460112E-2</c:v>
                </c:pt>
                <c:pt idx="13">
                  <c:v>-4.0595399188092518E-3</c:v>
                </c:pt>
                <c:pt idx="14">
                  <c:v>1.9527617630648919E-2</c:v>
                </c:pt>
                <c:pt idx="15">
                  <c:v>-3.1152975845919029E-2</c:v>
                </c:pt>
                <c:pt idx="16">
                  <c:v>-8.2224005756510565E-2</c:v>
                </c:pt>
                <c:pt idx="17">
                  <c:v>-2.479047198941331E-2</c:v>
                </c:pt>
                <c:pt idx="18">
                  <c:v>-4.15103916979217E-2</c:v>
                </c:pt>
                <c:pt idx="19">
                  <c:v>1.8274530609838635E-3</c:v>
                </c:pt>
                <c:pt idx="20">
                  <c:v>-1.2378853295492154E-2</c:v>
                </c:pt>
                <c:pt idx="21">
                  <c:v>5.0079882020399591E-3</c:v>
                </c:pt>
                <c:pt idx="22">
                  <c:v>1.4082351140365379E-3</c:v>
                </c:pt>
                <c:pt idx="23">
                  <c:v>1.1017597551645775E-3</c:v>
                </c:pt>
                <c:pt idx="24">
                  <c:v>-1.4369517248802643E-2</c:v>
                </c:pt>
                <c:pt idx="25">
                  <c:v>-2.2155328115593065E-2</c:v>
                </c:pt>
                <c:pt idx="26">
                  <c:v>-9.7746580509725511E-3</c:v>
                </c:pt>
                <c:pt idx="27">
                  <c:v>3.3432835820895512E-2</c:v>
                </c:pt>
                <c:pt idx="28">
                  <c:v>3.934366231548081E-3</c:v>
                </c:pt>
                <c:pt idx="29">
                  <c:v>3.3578597772436769E-3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11205</xdr:colOff>
      <xdr:row>8</xdr:row>
      <xdr:rowOff>212911</xdr:rowOff>
    </xdr:from>
    <xdr:to>
      <xdr:col>19</xdr:col>
      <xdr:colOff>728381</xdr:colOff>
      <xdr:row>47</xdr:row>
      <xdr:rowOff>76646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6DFBD8-EE16-55ED-3A7F-8EEF0A086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56058" y="1837764"/>
          <a:ext cx="4538382" cy="81448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36.759663888886" createdVersion="8" refreshedVersion="8" minRefreshableVersion="3" recordCount="30" xr:uid="{C35D4399-4CEF-409A-AF8E-A02DC4C552E4}">
  <cacheSource type="worksheet">
    <worksheetSource name="Tabelad"/>
  </cacheSource>
  <cacheFields count="34">
    <cacheField name="Ticker" numFmtId="172">
      <sharedItems containsBlank="1" count="175">
        <s v="BABA"/>
        <s v="BIDU"/>
        <s v="ASHR"/>
        <s v="QQQE"/>
        <s v="RSP"/>
        <s v="GDX "/>
        <s v="NFLX"/>
        <s v="GOOG"/>
        <s v="AMZN"/>
        <s v="META"/>
        <s v="MSFT"/>
        <s v="000660 KS"/>
        <s v="EWY"/>
        <s v="COHR"/>
        <s v="LITE"/>
        <s v="AVGO"/>
        <s v="TSM"/>
        <s v="NVDA"/>
        <s v="MRVL"/>
        <s v="AMAT"/>
        <s v="RIOT"/>
        <s v="V"/>
        <s v="MA"/>
        <s v="SOXX" u="1"/>
        <s v="QQQ" u="1"/>
        <s v="WBD" u="1"/>
        <s v="SMH" u="1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6">
        <s v="China"/>
        <s v="Index"/>
        <s v="Metals"/>
        <s v="Internet/SW"/>
        <s v="Memory"/>
        <s v="Networking"/>
        <s v="Semis"/>
        <s v="Power "/>
        <s v="Payts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46000" maxValue="44500"/>
    </cacheField>
    <cacheField name="Price Today" numFmtId="43">
      <sharedItems containsSemiMixedTypes="0" containsString="0" containsNumber="1" minValue="17.309999999999999" maxValue="736000"/>
    </cacheField>
    <cacheField name="% Chg" numFmtId="10">
      <sharedItems containsSemiMixedTypes="0" containsString="0" containsNumber="1" minValue="-8.2224005756510565E-2" maxValue="3.3432835820895512E-2"/>
    </cacheField>
    <cacheField name="Price Yest" numFmtId="43">
      <sharedItems containsSemiMixedTypes="0" containsString="0" containsNumber="1" minValue="16.75" maxValue="739000"/>
    </cacheField>
    <cacheField name="FX" numFmtId="168">
      <sharedItems containsSemiMixedTypes="0" containsString="0" containsNumber="1" minValue="1" maxValue="1463.8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4798720" maxValue="4878980"/>
    </cacheField>
    <cacheField name="D1 Exp %" numFmtId="198">
      <sharedItems containsSemiMixedTypes="0" containsString="0" containsNumber="1" minValue="-2.128268307383632E-3" maxValue="2.1638642192831825E-3"/>
    </cacheField>
    <cacheField name="D1 P&amp;L bps" numFmtId="170">
      <sharedItems containsSemiMixedTypes="0" containsString="0" containsNumber="1" minValue="-0.42932479480277236" maxValue="0.41445775816259312"/>
    </cacheField>
    <cacheField name="Options Exp USD (delta adj)" numFmtId="166">
      <sharedItems containsString="0" containsBlank="1" containsNumber="1" minValue="-442601.35406255722" maxValue="4878109.2303059995"/>
    </cacheField>
    <cacheField name="Option Exp %" numFmtId="10">
      <sharedItems containsString="0" containsBlank="1" containsNumber="1" minValue="-1.962970197586903E-4" maxValue="2.1634780263936676E-3"/>
    </cacheField>
    <cacheField name="Options P&amp;L bps" numFmtId="170">
      <sharedItems containsString="0" containsBlank="1" containsNumber="1" minValue="-0.56879836794384953" maxValue="3.4815338700656534E-2"/>
    </cacheField>
    <cacheField name="Exp" numFmtId="166">
      <sharedItems containsSemiMixedTypes="0" containsString="0" containsNumber="1" minValue="-4798720" maxValue="6521363.3593185209"/>
    </cacheField>
    <cacheField name="Exp %" numFmtId="173">
      <sharedItems containsSemiMixedTypes="0" containsString="0" containsNumber="1" minValue="-2.128268307383632E-3" maxValue="2.8922735559837758E-3"/>
    </cacheField>
    <cacheField name="P&amp;L bps" numFmtId="170">
      <sharedItems containsSemiMixedTypes="0" containsString="0" containsNumber="1" minValue="-0.6998326586331356" maxValue="0.41445775816259312"/>
    </cacheField>
    <cacheField name="xx" numFmtId="166">
      <sharedItems containsSemiMixedTypes="0" containsString="0" containsNumber="1" minValue="1831.4055890379805" maxValue="65128.63388214905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6100.000000000002" maxValue="15575"/>
    </cacheField>
    <cacheField name="Beta Adj" numFmtId="170">
      <sharedItems containsSemiMixedTypes="0" containsString="0" containsNumber="1" minValue="-0.18943932540815661" maxValue="0.51952860439655768"/>
    </cacheField>
    <cacheField name="Expo Beta Adj" numFmtId="10">
      <sharedItems containsSemiMixedTypes="0" containsString="0" containsNumber="1" minValue="-2.1240804539500433E-3" maxValue="3.4575629463437321E-3"/>
    </cacheField>
    <cacheField name="Vol 10d" numFmtId="43">
      <sharedItems containsSemiMixedTypes="0" containsString="0" containsNumber="1" minValue="11.181961621943628" maxValue="121.58609062476584"/>
    </cacheField>
    <cacheField name="Beta Adj2" numFmtId="43">
      <sharedItems containsSemiMixedTypes="0" containsString="0" containsNumber="1" minValue="0.82557642459869385" maxValue="2.2279152870178223"/>
    </cacheField>
    <cacheField name="Daily P&amp;L" numFmtId="166">
      <sharedItems containsSemiMixedTypes="0" containsString="0" containsNumber="1" minValue="-90497.71695631223" maxValue="87363.882409299535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1.528435E-2" maxValue="3.283577E-2"/>
    </cacheField>
    <cacheField name="Column4" numFmtId="170">
      <sharedItems containsMixedTypes="1" containsNumber="1" minValue="-0.14810145019661317" maxValue="0.30383488300863137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m/>
    <s v="USD"/>
    <s v="Long"/>
    <m/>
    <n v="3378"/>
    <n v="169.9"/>
    <n v="1.7304353032752573E-2"/>
    <n v="167.01"/>
    <n v="1"/>
    <n v="1"/>
    <n v="573922.20000000007"/>
    <n v="2.5453879975574536E-4"/>
    <n v="4.329706482013583E-2"/>
    <n v="0"/>
    <n v="0"/>
    <n v="0"/>
    <n v="573922.20000000007"/>
    <n v="2.5453879975574536E-4"/>
    <n v="4.329706482013583E-2"/>
    <n v="6635.530620953502"/>
    <m/>
    <n v="1182.3000000000002"/>
    <n v="0.1150988323072691"/>
    <n v="2.2129209408133853E-4"/>
    <n v="72.349728948336406"/>
    <n v="0.8693845272064209"/>
    <n v="9126.6229310882882"/>
    <m/>
    <s v="20/02/2026"/>
    <e v="#VALUE!"/>
    <e v="#VALUE!"/>
    <s v="12/06/2025"/>
  </r>
  <r>
    <x v="1"/>
    <x v="0"/>
    <m/>
    <s v="USD"/>
    <s v="Long"/>
    <m/>
    <n v="3510"/>
    <n v="150.5"/>
    <n v="7.7000334784065316E-3"/>
    <n v="149.35"/>
    <n v="1"/>
    <n v="1"/>
    <n v="528255"/>
    <n v="2.3428505408045071E-4"/>
    <n v="1.7902180212127552E-2"/>
    <n v="0"/>
    <n v="0"/>
    <n v="0"/>
    <n v="528255"/>
    <n v="2.3428505408045071E-4"/>
    <n v="1.7902180212127552E-2"/>
    <n v="7490.874767441861"/>
    <m/>
    <n v="1228.4999999999998"/>
    <n v="0.128101548674774"/>
    <n v="2.4462709020323564E-4"/>
    <n v="87.484230986948361"/>
    <n v="1.0441429615020752"/>
    <n v="3773.6148886585361"/>
    <m/>
    <s v="17/02/2026"/>
    <e v="#VALUE!"/>
    <e v="#VALUE!"/>
    <s v="#N/A Field Not Applicable"/>
  </r>
  <r>
    <x v="2"/>
    <x v="0"/>
    <m/>
    <s v="USD"/>
    <s v="Long"/>
    <m/>
    <m/>
    <n v="33.68"/>
    <n v="-5.316007088009389E-3"/>
    <n v="33.86"/>
    <n v="1"/>
    <n v="1"/>
    <n v="0"/>
    <n v="0"/>
    <n v="0"/>
    <n v="1483059.6910715105"/>
    <n v="6.5774809500567986E-4"/>
    <n v="-6.4086787621217181E-2"/>
    <n v="1483059.6910715105"/>
    <n v="6.5774809500567986E-4"/>
    <n v="-6.4086787621217181E-2"/>
    <n v="33473.178518408553"/>
    <m/>
    <n v="15411.843582987789"/>
    <n v="6.8824363288564602E-2"/>
    <n v="7.5232115019077737E-4"/>
    <n v="16.741816828941552"/>
    <n v="1.1437830924987793"/>
    <n v="0"/>
    <m/>
    <s v="#N/A N/A"/>
    <n v="-4.430051E-3"/>
    <n v="-2.9138576060280065E-2"/>
    <s v="19/12/2025"/>
  </r>
  <r>
    <x v="3"/>
    <x v="1"/>
    <m/>
    <s v="USD"/>
    <s v="Short"/>
    <m/>
    <n v="-46000"/>
    <n v="104.32"/>
    <n v="-4.0099293488639054E-3"/>
    <n v="104.74"/>
    <n v="1"/>
    <n v="1"/>
    <n v="-4798720"/>
    <n v="-2.128268307383632E-3"/>
    <n v="8.5685648878559159E-2"/>
    <n v="0"/>
    <n v="0"/>
    <n v="0"/>
    <n v="-4798720"/>
    <n v="-2.128268307383632E-3"/>
    <n v="8.5685648878559159E-2"/>
    <n v="10806.908095283743"/>
    <m/>
    <n v="-16100.000000000002"/>
    <n v="-0.17075985359608709"/>
    <n v="-2.1240804539500433E-3"/>
    <n v="12.837468133405357"/>
    <n v="0.99803227186203003"/>
    <n v="18061.746475630589"/>
    <m/>
    <s v="#N/A N/A"/>
    <n v="-4.1968220000000002E-3"/>
    <n v="8.9319632543303898E-2"/>
    <s v="23/12/2025"/>
  </r>
  <r>
    <x v="3"/>
    <x v="1"/>
    <m/>
    <s v="USD"/>
    <s v="Short"/>
    <m/>
    <n v="36000"/>
    <n v="104.32"/>
    <n v="4.1389931658484258E-3"/>
    <n v="103.89"/>
    <n v="1"/>
    <n v="1"/>
    <n v="3755519.9999999995"/>
    <n v="1.6656012840393639E-3"/>
    <n v="6.8654960902695003E-2"/>
    <m/>
    <m/>
    <m/>
    <n v="3755519.9999999995"/>
    <n v="1.6656012840393639E-3"/>
    <n v="6.8654960902695003E-2"/>
    <n v="10806.908095283743"/>
    <m/>
    <n v="12599.999999999998"/>
    <n v="0.13363814629258988"/>
    <n v="1.6623238335261208E-3"/>
    <n v="12.837468133405357"/>
    <n v="0.99803227186203003"/>
    <n v="14471.8341326478"/>
    <m/>
    <s v="#N/A N/A"/>
    <n v="-4.1968220000000002E-3"/>
    <n v="-6.9902321120846517E-2"/>
    <s v="23/12/2025"/>
  </r>
  <r>
    <x v="4"/>
    <x v="1"/>
    <m/>
    <s v="USD"/>
    <s v="Short"/>
    <m/>
    <n v="-12500"/>
    <n v="198.68"/>
    <n v="4.550510668419383E-3"/>
    <n v="197.78"/>
    <n v="1"/>
    <n v="1"/>
    <n v="-2483500"/>
    <n v="-1.1014508746889275E-3"/>
    <n v="-4.989459367928533E-2"/>
    <n v="0"/>
    <n v="0"/>
    <n v="0"/>
    <n v="-2483500"/>
    <n v="-1.1014508746889275E-3"/>
    <n v="-4.989459367928533E-2"/>
    <n v="5674.3338660157042"/>
    <m/>
    <n v="-4375"/>
    <n v="-7.6977383807673924E-2"/>
    <n v="-1.0974975330069021E-3"/>
    <n v="11.181961621943628"/>
    <n v="0.9964107871055603"/>
    <n v="-10517.321317331498"/>
    <m/>
    <s v="#N/A N/A"/>
    <e v="#VALUE!"/>
    <e v="#VALUE!"/>
    <s v="22/12/2025"/>
  </r>
  <r>
    <x v="5"/>
    <x v="2"/>
    <m/>
    <s v="USD"/>
    <s v="Long"/>
    <m/>
    <n v="25121"/>
    <n v="96.86"/>
    <n v="4.0427075774851495E-3"/>
    <n v="96.47"/>
    <n v="1"/>
    <n v="1"/>
    <n v="2433220.06"/>
    <n v="1.0791513442309822E-3"/>
    <n v="4.3451272377667119E-2"/>
    <n v="0"/>
    <n v="0"/>
    <n v="0"/>
    <n v="2433220.06"/>
    <n v="1.0791513442309822E-3"/>
    <n v="4.3451272377667119E-2"/>
    <n v="11639.238617592402"/>
    <m/>
    <n v="8792.3499999999985"/>
    <n v="0.19213932134478082"/>
    <n v="1.0685569250135389E-3"/>
    <n v="28.487469880392265"/>
    <n v="0.99018263816833496"/>
    <n v="9159.1284655063537"/>
    <m/>
    <s v="#N/A N/A"/>
    <n v="2.0213510000000001E-2"/>
    <n v="0.21813436488126403"/>
    <s v="22/12/2025"/>
  </r>
  <r>
    <x v="5"/>
    <x v="2"/>
    <m/>
    <s v="USD"/>
    <s v="Long"/>
    <m/>
    <n v="2797"/>
    <n v="96.86"/>
    <n v="8.6431323544724492E-3"/>
    <n v="96.03"/>
    <n v="1"/>
    <n v="1"/>
    <n v="270917.42"/>
    <n v="1.2015390748035737E-4"/>
    <n v="1.0296070948657485E-2"/>
    <m/>
    <m/>
    <m/>
    <n v="270917.42"/>
    <n v="1.2015390748035737E-4"/>
    <n v="1.0296070948657485E-2"/>
    <n v="11639.238617592402"/>
    <m/>
    <n v="978.94999999999993"/>
    <n v="2.1393005127238244E-2"/>
    <n v="1.1897431309513429E-4"/>
    <n v="28.487469880392265"/>
    <n v="0.99018263816833496"/>
    <n v="2170.3170321242701"/>
    <m/>
    <s v="#N/A N/A"/>
    <n v="2.0213510000000001E-2"/>
    <n v="2.4287322103932786E-2"/>
    <s v="22/12/2025"/>
  </r>
  <r>
    <x v="6"/>
    <x v="3"/>
    <m/>
    <s v="USD"/>
    <s v="Short"/>
    <m/>
    <n v="0"/>
    <n v="88.53"/>
    <n v="-1.981842338352513E-2"/>
    <n v="90.32"/>
    <n v="1"/>
    <n v="1"/>
    <n v="0"/>
    <n v="0"/>
    <n v="0"/>
    <n v="-436506.5762346983"/>
    <n v="-1.9359394008503219E-4"/>
    <n v="3.392832370191376E-2"/>
    <n v="-436506.5762346983"/>
    <n v="-1.9359394008503219E-4"/>
    <n v="3.392832370191376E-2"/>
    <n v="12734.402490681126"/>
    <m/>
    <n v="-1725.7122069597244"/>
    <n v="-2.4770136027954123E-2"/>
    <n v="-2.1493148628436094E-4"/>
    <n v="20.471827593011927"/>
    <n v="1.1102180480957031"/>
    <n v="0"/>
    <m/>
    <s v="20/01/2026"/>
    <n v="1.0185979999999999E-2"/>
    <n v="-1.971944001827336E-2"/>
    <s v="#N/A Field Not Applicable"/>
  </r>
  <r>
    <x v="7"/>
    <x v="3"/>
    <m/>
    <s v="USD"/>
    <s v="Long"/>
    <m/>
    <n v="1780"/>
    <n v="336.31"/>
    <n v="-3.5668638349728443E-4"/>
    <n v="336.43"/>
    <n v="1"/>
    <n v="1"/>
    <n v="598631.80000000005"/>
    <n v="2.6549769266221346E-4"/>
    <n v="-9.4733201865739415E-4"/>
    <n v="0"/>
    <n v="0"/>
    <n v="0"/>
    <n v="598631.80000000005"/>
    <n v="2.6549769266221346E-4"/>
    <n v="-9.4733201865739415E-4"/>
    <n v="3352.194857423211"/>
    <m/>
    <n v="623"/>
    <n v="2.4531463828465001E-2"/>
    <n v="2.7127140584369769E-4"/>
    <n v="14.783684834309014"/>
    <n v="1.0217467546463013"/>
    <n v="-199.68887407840705"/>
    <m/>
    <s v="04/02/2026"/>
    <n v="-5.2016759999999997E-3"/>
    <n v="-1.3810329759764118E-2"/>
    <s v="08/12/2025"/>
  </r>
  <r>
    <x v="8"/>
    <x v="3"/>
    <m/>
    <s v="USD"/>
    <s v="Long"/>
    <m/>
    <n v="16435"/>
    <n v="236.71"/>
    <n v="-2.4278647980214285E-2"/>
    <n v="242.6"/>
    <n v="1"/>
    <n v="1"/>
    <n v="3890328.85"/>
    <n v="1.7253900199960014E-3"/>
    <n v="-0.42932479480277236"/>
    <n v="0"/>
    <n v="0"/>
    <n v="0"/>
    <n v="3890328.85"/>
    <n v="1.7253900199960014E-3"/>
    <n v="-0.42932479480277236"/>
    <n v="4762.6912783574844"/>
    <m/>
    <n v="5752.2499999999991"/>
    <n v="0.36239890717630385"/>
    <n v="2.2034280737379102E-3"/>
    <n v="33.60621336406188"/>
    <n v="1.277060866355896"/>
    <n v="-90497.71695631223"/>
    <m/>
    <s v="06/02/2026"/>
    <n v="-6.4303900000000002E-3"/>
    <n v="-0.11094930730682087"/>
    <s v="#N/A Field Not Applicable"/>
  </r>
  <r>
    <x v="9"/>
    <x v="3"/>
    <m/>
    <s v="USD"/>
    <s v="Long"/>
    <m/>
    <n v="6000"/>
    <n v="615.58000000000004"/>
    <n v="-2.4576526327465209E-2"/>
    <n v="631.09"/>
    <n v="1"/>
    <n v="1"/>
    <n v="3693480.0000000005"/>
    <n v="1.6380860787783612E-3"/>
    <n v="-0.41272807891504537"/>
    <n v="1235490.4690074921"/>
    <n v="5.4794928840673864E-4"/>
    <n v="-0.14427298954552381"/>
    <n v="4928970.4690074921"/>
    <n v="2.1860353671850998E-3"/>
    <n v="-0.55700106846056918"/>
    <n v="1831.4055890379805"/>
    <m/>
    <n v="2802.4621725082397"/>
    <n v="0.29514053835198811"/>
    <n v="2.6465382389271892E-3"/>
    <n v="21.601885699189417"/>
    <n v="1.2106566429138184"/>
    <n v="-86999.281936965548"/>
    <m/>
    <s v="29/01/2026"/>
    <e v="#VALUE!"/>
    <e v="#VALUE!"/>
    <s v="15/12/2025"/>
  </r>
  <r>
    <x v="10"/>
    <x v="3"/>
    <m/>
    <s v="USD"/>
    <s v="Long"/>
    <m/>
    <n v="8510"/>
    <n v="459.53399999999999"/>
    <n v="-2.365988909426997E-2"/>
    <n v="470.67"/>
    <n v="1"/>
    <n v="1"/>
    <n v="3910634.34"/>
    <n v="1.7343956570894127E-3"/>
    <n v="-0.42030034855631443"/>
    <n v="2610729.019318521"/>
    <n v="1.1578778988943631E-3"/>
    <n v="-0.2561255808869965"/>
    <n v="6521363.3593185209"/>
    <n v="2.8922735559837758E-3"/>
    <n v="-0.67642592944331092"/>
    <n v="2453.3041135149961"/>
    <m/>
    <n v="4966.9386286139488"/>
    <n v="0.39990735234074154"/>
    <n v="2.9475023919263003E-3"/>
    <n v="22.122795488048077"/>
    <n v="1.0190953016281128"/>
    <n v="-88595.446712464371"/>
    <m/>
    <s v="28/01/2026"/>
    <e v="#VALUE!"/>
    <e v="#VALUE!"/>
    <s v="19/02/2026"/>
  </r>
  <r>
    <x v="11"/>
    <x v="4"/>
    <m/>
    <s v="KRW"/>
    <s v="Long"/>
    <m/>
    <n v="1500"/>
    <n v="736000"/>
    <n v="-4.0595399188092518E-3"/>
    <n v="739000"/>
    <n v="1463.85"/>
    <n v="1"/>
    <n v="754175.63274925714"/>
    <n v="3.3448254896748322E-4"/>
    <n v="-1.3633799550305022E-2"/>
    <n v="0"/>
    <n v="0"/>
    <n v="0"/>
    <n v="754175.63274925714"/>
    <n v="3.3448254896748322E-4"/>
    <n v="-1.3633799550305022E-2"/>
    <n v="2242.2694466876696"/>
    <m/>
    <n v="0.35864330361717389"/>
    <n v="7.6629324813671101E-2"/>
    <n v="5.5431518359048016E-4"/>
    <n v="36.655700000000003"/>
    <n v="1.657232"/>
    <n v="-2873.879514248436"/>
    <m/>
    <s v="22/01/2026"/>
    <e v="#VALUE!"/>
    <e v="#VALUE!"/>
    <s v="27/11/2025"/>
  </r>
  <r>
    <x v="12"/>
    <x v="4"/>
    <m/>
    <s v="USD"/>
    <s v="Long"/>
    <m/>
    <n v="44500"/>
    <n v="109.64"/>
    <n v="1.9527617630648919E-2"/>
    <n v="107.54"/>
    <n v="1"/>
    <n v="1"/>
    <n v="4878980"/>
    <n v="2.1638642192831825E-3"/>
    <n v="0.41445775816259312"/>
    <n v="0"/>
    <n v="0"/>
    <n v="0"/>
    <n v="4878980"/>
    <n v="2.1638642192831825E-3"/>
    <n v="0.41445775816259312"/>
    <n v="10282.530577344036"/>
    <m/>
    <n v="15575"/>
    <n v="0.44094155289920672"/>
    <n v="2.0147344023579124E-3"/>
    <n v="32.604008992414599"/>
    <n v="0.93108171224594116"/>
    <n v="87363.882409299535"/>
    <m/>
    <s v="#N/A N/A"/>
    <n v="1.404131E-2"/>
    <n v="0.30383488300863137"/>
    <s v="16/12/2025"/>
  </r>
  <r>
    <x v="13"/>
    <x v="5"/>
    <m/>
    <s v="USD"/>
    <s v="Long"/>
    <m/>
    <n v="3120"/>
    <n v="184.11"/>
    <n v="-3.1152975845919029E-2"/>
    <n v="190.03"/>
    <n v="1"/>
    <n v="1"/>
    <n v="574423.20000000007"/>
    <n v="2.5476099701293047E-4"/>
    <n v="-8.1917609163899036E-2"/>
    <n v="0"/>
    <n v="0"/>
    <n v="0"/>
    <n v="574423.20000000007"/>
    <n v="2.5476099701293047E-4"/>
    <n v="-8.1917609163899036E-2"/>
    <n v="6123.3863043832489"/>
    <m/>
    <n v="1092"/>
    <n v="0.1299579670170698"/>
    <n v="5.6758591978100961E-4"/>
    <n v="81.618752346442562"/>
    <n v="2.2279152870178223"/>
    <n v="-17267.478369745608"/>
    <m/>
    <s v="05/02/2026"/>
    <n v="7.7356270000000001E-3"/>
    <n v="1.970736047040144E-2"/>
    <s v="27/02/2004"/>
  </r>
  <r>
    <x v="14"/>
    <x v="5"/>
    <m/>
    <s v="USD"/>
    <s v="Long"/>
    <m/>
    <n v="1500"/>
    <n v="331.62"/>
    <n v="-8.2224005756510565E-2"/>
    <n v="361.33"/>
    <n v="1"/>
    <n v="1"/>
    <n v="497430"/>
    <n v="2.2061393541232663E-4"/>
    <n v="-0.19764911709487426"/>
    <n v="1044073.7450891733"/>
    <n v="4.6305453584385514E-4"/>
    <n v="-0.50218354153826139"/>
    <n v="1541503.7450891733"/>
    <n v="6.8366847125618177E-4"/>
    <n v="-0.6998326586331356"/>
    <n v="3399.603921657319"/>
    <m/>
    <n v="1626.9414111971855"/>
    <n v="0.51952860439655768"/>
    <n v="1.3743719908110603E-3"/>
    <n v="121.58609062476584"/>
    <n v="2.0102901458740234"/>
    <n v="-41662.615511722222"/>
    <m/>
    <s v="03/02/2026"/>
    <e v="#VALUE!"/>
    <e v="#VALUE!"/>
    <s v="#N/A N/A"/>
  </r>
  <r>
    <x v="14"/>
    <x v="5"/>
    <m/>
    <s v="USD"/>
    <s v="Long"/>
    <m/>
    <n v="500"/>
    <n v="331.62"/>
    <n v="-2.479047198941331E-2"/>
    <n v="340.05"/>
    <n v="1"/>
    <n v="1"/>
    <n v="165810"/>
    <n v="7.3537978470775538E-5"/>
    <n v="-1.869384109850547E-2"/>
    <m/>
    <m/>
    <m/>
    <n v="165810"/>
    <n v="7.3537978470775538E-5"/>
    <n v="-1.869384109850547E-2"/>
    <n v="3399.603921657319"/>
    <m/>
    <n v="174.99999999999997"/>
    <n v="5.5882470716936208E-2"/>
    <n v="1.4783267346729615E-4"/>
    <n v="121.58609062476584"/>
    <n v="2.0102901458740234"/>
    <n v="-3940.4897202268467"/>
    <m/>
    <s v="03/02/2026"/>
    <e v="#VALUE!"/>
    <e v="#VALUE!"/>
    <s v="#N/A N/A"/>
  </r>
  <r>
    <x v="15"/>
    <x v="6"/>
    <m/>
    <s v="USD"/>
    <s v="Long"/>
    <m/>
    <n v="4892"/>
    <n v="339.89"/>
    <n v="-4.15103916979217E-2"/>
    <n v="354.61"/>
    <n v="1"/>
    <n v="1"/>
    <n v="1662741.88"/>
    <n v="7.374384932989376E-4"/>
    <n v="-0.31937081471536038"/>
    <n v="332167.94934868801"/>
    <n v="1.4731897658696989E-4"/>
    <n v="-6.7634893654141826E-2"/>
    <n v="1994909.829348688"/>
    <n v="8.8475746988590754E-4"/>
    <n v="-0.38700570836950221"/>
    <n v="3316.8867942569659"/>
    <m/>
    <n v="2054.2482575893396"/>
    <n v="0.21909726685502529"/>
    <n v="1.7854430059762712E-3"/>
    <n v="39.621663438823042"/>
    <n v="2.0180027484893799"/>
    <n v="-67320.429530502588"/>
    <m/>
    <s v="06/03/2026"/>
    <n v="-1.528435E-2"/>
    <n v="-0.13522942834850671"/>
    <s v="22/12/2025"/>
  </r>
  <r>
    <x v="15"/>
    <x v="6"/>
    <m/>
    <s v="USD"/>
    <s v="Long"/>
    <m/>
    <n v="2108"/>
    <n v="339.89"/>
    <n v="1.8274530609838635E-3"/>
    <n v="339.27"/>
    <n v="1"/>
    <n v="1"/>
    <n v="716488.12"/>
    <n v="3.1776785443053158E-4"/>
    <n v="5.7964656137847841E-3"/>
    <m/>
    <m/>
    <m/>
    <n v="716488.12"/>
    <n v="3.1776785443053158E-4"/>
    <n v="5.7964656137847841E-3"/>
    <n v="3316.8867942569659"/>
    <m/>
    <n v="737.8"/>
    <n v="7.8690568624521465E-2"/>
    <n v="6.4125640362238594E-4"/>
    <n v="39.621663438823042"/>
    <n v="2.0180027484893799"/>
    <n v="1221.8416239021856"/>
    <m/>
    <s v="06/03/2026"/>
    <n v="-1.528435E-2"/>
    <n v="-4.8568751058652958E-2"/>
    <s v="22/12/2025"/>
  </r>
  <r>
    <x v="16"/>
    <x v="6"/>
    <m/>
    <s v="USD"/>
    <s v="Long"/>
    <m/>
    <n v="-4300"/>
    <n v="327.11"/>
    <n v="-1.2378853295492154E-2"/>
    <n v="331.21"/>
    <n v="1"/>
    <n v="1"/>
    <n v="-1406573"/>
    <n v="-6.2382567391335963E-4"/>
    <n v="7.8190372139181119E-2"/>
    <n v="4878109.2303059995"/>
    <n v="2.1634780263936676E-3"/>
    <n v="-0.56879836794384953"/>
    <n v="3471536.2303059995"/>
    <n v="1.539652352480308E-3"/>
    <n v="-0.49060799580466841"/>
    <n v="3446.4756580355233"/>
    <m/>
    <n v="3714.4620482623573"/>
    <n v="0.35901284932501054"/>
    <n v="2.2767412626746352E-3"/>
    <n v="37.308458496793264"/>
    <n v="1.4787372350692749"/>
    <n v="16481.811095515699"/>
    <m/>
    <s v="15/01/2026"/>
    <e v="#VALUE!"/>
    <e v="#VALUE!"/>
    <s v="17/03/2026"/>
  </r>
  <r>
    <x v="16"/>
    <x v="6"/>
    <m/>
    <s v="USD"/>
    <s v="Long"/>
    <m/>
    <n v="4300"/>
    <n v="327.11"/>
    <n v="5.0079882020399591E-3"/>
    <n v="325.48"/>
    <n v="1"/>
    <n v="1"/>
    <n v="1406573"/>
    <n v="6.2382567391335963E-4"/>
    <n v="3.1085440630942908E-2"/>
    <m/>
    <m/>
    <m/>
    <n v="1406573"/>
    <n v="6.2382567391335963E-4"/>
    <n v="3.1085440630942908E-2"/>
    <n v="3446.4756580355233"/>
    <m/>
    <n v="1504.9999999999998"/>
    <n v="0.14546233915269166"/>
    <n v="9.2247425220786847E-4"/>
    <n v="37.308458496793264"/>
    <n v="1.4787372350692749"/>
    <n v="6552.5248989489601"/>
    <m/>
    <s v="15/01/2026"/>
    <e v="#VALUE!"/>
    <e v="#VALUE!"/>
    <s v="17/03/2026"/>
  </r>
  <r>
    <x v="16"/>
    <x v="6"/>
    <m/>
    <s v="USD"/>
    <s v="Long"/>
    <m/>
    <n v="-5600"/>
    <n v="327.11"/>
    <n v="1.4082351140365379E-3"/>
    <n v="326.64999999999998"/>
    <n v="1"/>
    <n v="1"/>
    <n v="-1831816"/>
    <n v="-8.1242413346856147E-4"/>
    <n v="-1.1424753183808744E-2"/>
    <m/>
    <m/>
    <m/>
    <n v="-1831816"/>
    <n v="-8.1242413346856147E-4"/>
    <n v="-1.1424753183808744E-2"/>
    <n v="3446.4756580355233"/>
    <m/>
    <n v="-1959.9999999999998"/>
    <n v="-0.18943932540815661"/>
    <n v="-1.2013618168288521E-3"/>
    <n v="37.308458496793264"/>
    <n v="1.4787372350692749"/>
    <n v="-2408.2328634175924"/>
    <m/>
    <s v="15/01/2026"/>
    <e v="#VALUE!"/>
    <e v="#VALUE!"/>
    <s v="17/03/2026"/>
  </r>
  <r>
    <x v="16"/>
    <x v="6"/>
    <m/>
    <s v="USD"/>
    <s v="Long"/>
    <m/>
    <n v="5600"/>
    <n v="327.11"/>
    <n v="1.1017597551645775E-3"/>
    <n v="326.75"/>
    <n v="1"/>
    <n v="1"/>
    <n v="1831816"/>
    <n v="8.1242413346856147E-4"/>
    <n v="8.9411111873282136E-3"/>
    <m/>
    <m/>
    <m/>
    <n v="1831816"/>
    <n v="8.1242413346856147E-4"/>
    <n v="8.9411111873282136E-3"/>
    <n v="3446.4756580355233"/>
    <m/>
    <n v="1959.9999999999998"/>
    <n v="0.18943932540815661"/>
    <n v="1.2013618168288521E-3"/>
    <n v="37.308458496793264"/>
    <n v="1.4787372350692749"/>
    <n v="1884.703980065864"/>
    <m/>
    <s v="15/01/2026"/>
    <e v="#VALUE!"/>
    <e v="#VALUE!"/>
    <s v="17/03/2026"/>
  </r>
  <r>
    <x v="17"/>
    <x v="6"/>
    <m/>
    <s v="USD"/>
    <s v="Long"/>
    <m/>
    <n v="22892"/>
    <n v="183.14"/>
    <n v="-1.4369517248802643E-2"/>
    <n v="185.81"/>
    <n v="1"/>
    <n v="1"/>
    <n v="4192440.88"/>
    <n v="1.8593789709513253E-3"/>
    <n v="-0.27107905713880465"/>
    <n v="0"/>
    <n v="0"/>
    <n v="0"/>
    <n v="4192440.88"/>
    <n v="1.8593789709513253E-3"/>
    <n v="-0.27107905713880465"/>
    <n v="6155.8187861745118"/>
    <m/>
    <n v="8012.1999999999989"/>
    <n v="0.22676274256939294"/>
    <n v="3.4575629463437321E-3"/>
    <n v="19.512987603887801"/>
    <n v="1.8595256805419922"/>
    <n v="-57140.971317534342"/>
    <m/>
    <s v="25/02/2026"/>
    <n v="-7.9651029999999994E-3"/>
    <n v="-0.14810145019661317"/>
    <s v="04/12/2025"/>
  </r>
  <r>
    <x v="18"/>
    <x v="6"/>
    <m/>
    <s v="USD"/>
    <s v="Short"/>
    <m/>
    <n v="0"/>
    <n v="81.209999999999994"/>
    <n v="-2.2155328115593065E-2"/>
    <n v="83.05"/>
    <n v="1"/>
    <n v="1"/>
    <n v="0"/>
    <n v="0"/>
    <n v="0"/>
    <n v="-243961.89809739584"/>
    <n v="-1.0819893136708179E-4"/>
    <n v="3.4815338700656534E-2"/>
    <n v="-243961.89809739584"/>
    <n v="-1.0819893136708179E-4"/>
    <n v="3.4815338700656534E-2"/>
    <n v="13882.239287033619"/>
    <m/>
    <n v="-1051.4304190874097"/>
    <n v="-2.8266398398921738E-2"/>
    <n v="-2.1309464225630653E-4"/>
    <n v="41.799153528455562"/>
    <n v="1.9694708585739136"/>
    <n v="0"/>
    <m/>
    <s v="05/03/2026"/>
    <n v="-1.4449459999999999E-3"/>
    <n v="1.5634161308313937E-3"/>
    <s v="09/01/2026"/>
  </r>
  <r>
    <x v="19"/>
    <x v="6"/>
    <m/>
    <s v="USD"/>
    <s v="Short"/>
    <m/>
    <n v="0"/>
    <n v="301.89"/>
    <n v="-9.7746580509725511E-3"/>
    <n v="304.87"/>
    <n v="1"/>
    <n v="1"/>
    <n v="0"/>
    <n v="0"/>
    <n v="0"/>
    <n v="-442601.35406255722"/>
    <n v="-1.962970197586903E-4"/>
    <n v="-2.1066606220142583E-2"/>
    <n v="-442601.35406255722"/>
    <n v="-1.962970197586903E-4"/>
    <n v="-2.1066606220142583E-2"/>
    <n v="3734.3954834542387"/>
    <m/>
    <n v="-513.13549280166626"/>
    <n v="-7.160717519938381E-2"/>
    <n v="-3.0481077273905192E-4"/>
    <n v="58.366388068376096"/>
    <n v="1.5528038740158081"/>
    <n v="0"/>
    <m/>
    <s v="12/02/2026"/>
    <n v="-1.2693920000000001E-2"/>
    <n v="2.4917786650552338E-2"/>
    <s v="19/02/2026"/>
  </r>
  <r>
    <x v="20"/>
    <x v="7"/>
    <m/>
    <s v="USD"/>
    <s v="Long"/>
    <m/>
    <n v="22000"/>
    <n v="17.309999999999999"/>
    <n v="3.3432835820895512E-2"/>
    <n v="16.75"/>
    <n v="1"/>
    <n v="1"/>
    <n v="380820"/>
    <n v="1.6889652591062506E-4"/>
    <n v="5.4640123922559111E-2"/>
    <n v="0"/>
    <n v="0"/>
    <n v="0"/>
    <n v="380820"/>
    <n v="1.6889652591062506E-4"/>
    <n v="5.4640123922559111E-2"/>
    <n v="65128.633882149057"/>
    <m/>
    <n v="7699.9999999999991"/>
    <n v="6.2195213729195932E-2"/>
    <n v="3.5324419205037707E-4"/>
    <n v="58.919117151866359"/>
    <n v="2.0914828777313232"/>
    <n v="11517.635433735373"/>
    <m/>
    <s v="24/02/2026"/>
    <n v="3.283577E-2"/>
    <n v="5.5458474786003249E-2"/>
    <s v="12/10/2017"/>
  </r>
  <r>
    <x v="21"/>
    <x v="8"/>
    <m/>
    <s v="USD"/>
    <s v="Long"/>
    <m/>
    <n v="3500"/>
    <n v="329.17"/>
    <n v="3.934366231548081E-3"/>
    <n v="327.88"/>
    <n v="1"/>
    <n v="1"/>
    <n v="1152095"/>
    <n v="5.1096277248831887E-4"/>
    <n v="2.0024363596620038E-2"/>
    <n v="0"/>
    <n v="0"/>
    <n v="0"/>
    <n v="1152095"/>
    <n v="5.1096277248831887E-4"/>
    <n v="2.0024363596620038E-2"/>
    <n v="3424.9070465109216"/>
    <m/>
    <n v="1225"/>
    <n v="9.7820526973462524E-2"/>
    <n v="4.2183881881394211E-4"/>
    <n v="30.630967965698147"/>
    <n v="0.82557642459869385"/>
    <n v="4220.951622022415"/>
    <m/>
    <s v="30/01/2026"/>
    <e v="#VALUE!"/>
    <e v="#VALUE!"/>
    <s v="12/11/2025"/>
  </r>
  <r>
    <x v="22"/>
    <x v="8"/>
    <m/>
    <s v="USD"/>
    <s v="Long"/>
    <m/>
    <n v="2100"/>
    <n v="546.82000000000005"/>
    <n v="3.3578597772436769E-3"/>
    <n v="544.99"/>
    <n v="1"/>
    <n v="1"/>
    <n v="1148322"/>
    <n v="5.0928941869319048E-4"/>
    <n v="1.7043993200844144E-2"/>
    <n v="0"/>
    <n v="0"/>
    <n v="0"/>
    <n v="1148322"/>
    <n v="5.0928941869319048E-4"/>
    <n v="1.7043993200844144E-2"/>
    <n v="2061.6960837204197"/>
    <m/>
    <n v="734.99999999999989"/>
    <n v="8.6850458118314613E-2"/>
    <n v="4.2927727749669147E-4"/>
    <n v="27.285218951901495"/>
    <n v="0.84289455413818359"/>
    <n v="3592.7169620004975"/>
    <m/>
    <s v="29/01/2026"/>
    <e v="#VALUE!"/>
    <e v="#VALUE!"/>
    <s v="09/01/20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5" firstHeaderRow="0" firstDataRow="1" firstDataCol="1"/>
  <pivotFields count="34">
    <pivotField axis="axisRow" showAll="0">
      <items count="176">
        <item m="1" x="172"/>
        <item m="1" x="168"/>
        <item m="1" x="148"/>
        <item m="1" x="73"/>
        <item m="1" x="129"/>
        <item x="2"/>
        <item m="1" x="92"/>
        <item m="1" x="51"/>
        <item m="1" x="94"/>
        <item m="1" x="72"/>
        <item m="1" x="105"/>
        <item m="1" x="27"/>
        <item m="1" x="173"/>
        <item m="1" x="166"/>
        <item m="1" x="171"/>
        <item m="1" x="77"/>
        <item m="1" x="144"/>
        <item m="1" x="37"/>
        <item x="22"/>
        <item x="9"/>
        <item m="1" x="38"/>
        <item x="10"/>
        <item m="1" x="85"/>
        <item m="1" x="113"/>
        <item x="17"/>
        <item m="1" x="174"/>
        <item x="4"/>
        <item m="1" x="23"/>
        <item m="1" x="65"/>
        <item x="16"/>
        <item m="1" x="35"/>
        <item m="1" x="34"/>
        <item x="21"/>
        <item m="1" x="49"/>
        <item m="1" x="89"/>
        <item m="1" x="170"/>
        <item m="1" x="169"/>
        <item m="1" x="33"/>
        <item m="1" x="53"/>
        <item m="1" x="160"/>
        <item m="1" x="26"/>
        <item m="1" x="24"/>
        <item m="1" x="43"/>
        <item m="1" x="44"/>
        <item m="1" x="45"/>
        <item m="1" x="57"/>
        <item m="1" x="50"/>
        <item m="1" x="66"/>
        <item m="1" x="167"/>
        <item m="1" x="81"/>
        <item m="1" x="126"/>
        <item m="1" x="110"/>
        <item m="1" x="46"/>
        <item m="1" x="158"/>
        <item m="1" x="108"/>
        <item m="1" x="164"/>
        <item m="1" x="103"/>
        <item m="1" x="165"/>
        <item m="1" x="154"/>
        <item m="1" x="163"/>
        <item m="1" x="159"/>
        <item x="8"/>
        <item m="1" x="161"/>
        <item m="1" x="162"/>
        <item m="1" x="146"/>
        <item m="1" x="157"/>
        <item m="1" x="88"/>
        <item m="1" x="134"/>
        <item x="15"/>
        <item m="1" x="132"/>
        <item m="1" x="141"/>
        <item m="1" x="62"/>
        <item m="1" x="79"/>
        <item m="1" x="147"/>
        <item m="1" x="41"/>
        <item m="1" x="140"/>
        <item m="1" x="156"/>
        <item m="1" x="155"/>
        <item m="1" x="100"/>
        <item m="1" x="101"/>
        <item x="12"/>
        <item m="1" x="54"/>
        <item m="1" x="153"/>
        <item x="11"/>
        <item m="1" x="151"/>
        <item m="1" x="150"/>
        <item m="1" x="116"/>
        <item m="1" x="87"/>
        <item m="1" x="149"/>
        <item m="1" x="152"/>
        <item x="18"/>
        <item m="1" x="142"/>
        <item m="1" x="99"/>
        <item m="1" x="39"/>
        <item m="1" x="82"/>
        <item m="1" x="145"/>
        <item m="1" x="55"/>
        <item m="1" x="109"/>
        <item m="1" x="143"/>
        <item m="1" x="47"/>
        <item m="1" x="127"/>
        <item m="1" x="128"/>
        <item m="1" x="114"/>
        <item m="1" x="56"/>
        <item m="1" x="139"/>
        <item m="1" x="95"/>
        <item m="1" x="138"/>
        <item m="1" x="136"/>
        <item m="1" x="137"/>
        <item m="1" x="135"/>
        <item m="1" x="131"/>
        <item m="1" x="69"/>
        <item x="19"/>
        <item m="1" x="133"/>
        <item m="1" x="130"/>
        <item m="1" x="112"/>
        <item x="6"/>
        <item m="1" x="119"/>
        <item m="1" x="120"/>
        <item m="1" x="59"/>
        <item m="1" x="123"/>
        <item m="1" x="115"/>
        <item m="1" x="104"/>
        <item m="1" x="117"/>
        <item m="1" x="125"/>
        <item m="1" x="122"/>
        <item m="1" x="124"/>
        <item m="1" x="90"/>
        <item m="1" x="64"/>
        <item m="1" x="121"/>
        <item m="1" x="78"/>
        <item m="1" x="118"/>
        <item m="1" x="96"/>
        <item m="1" x="97"/>
        <item m="1" x="83"/>
        <item m="1" x="60"/>
        <item m="1" x="106"/>
        <item m="1" x="42"/>
        <item m="1" x="91"/>
        <item m="1" x="80"/>
        <item m="1" x="84"/>
        <item m="1" x="86"/>
        <item m="1" x="61"/>
        <item m="1" x="107"/>
        <item m="1" x="111"/>
        <item m="1" x="102"/>
        <item m="1" x="93"/>
        <item x="3"/>
        <item m="1" x="98"/>
        <item m="1" x="70"/>
        <item m="1" x="76"/>
        <item m="1" x="58"/>
        <item m="1" x="52"/>
        <item m="1" x="68"/>
        <item m="1" x="75"/>
        <item m="1" x="74"/>
        <item m="1" x="71"/>
        <item m="1" x="67"/>
        <item m="1" x="63"/>
        <item m="1" x="48"/>
        <item m="1" x="40"/>
        <item m="1" x="36"/>
        <item m="1" x="28"/>
        <item x="14"/>
        <item m="1" x="25"/>
        <item m="1" x="29"/>
        <item x="13"/>
        <item m="1" x="32"/>
        <item m="1" x="30"/>
        <item x="20"/>
        <item m="1" x="31"/>
        <item x="5"/>
        <item x="1"/>
        <item x="0"/>
        <item x="7"/>
        <item t="default"/>
      </items>
    </pivotField>
    <pivotField axis="axisRow" showAll="0">
      <items count="27">
        <item x="0"/>
        <item m="1" x="17"/>
        <item x="1"/>
        <item m="1" x="9"/>
        <item sd="0" m="1" x="23"/>
        <item x="2"/>
        <item m="1" x="12"/>
        <item m="1" x="21"/>
        <item m="1" x="25"/>
        <item m="1" x="10"/>
        <item m="1" x="11"/>
        <item m="1" x="24"/>
        <item m="1" x="22"/>
        <item x="6"/>
        <item x="4"/>
        <item m="1" x="16"/>
        <item m="1" x="19"/>
        <item m="1" x="20"/>
        <item m="1" x="15"/>
        <item m="1" x="14"/>
        <item m="1" x="18"/>
        <item x="5"/>
        <item m="1" x="13"/>
        <item x="7"/>
        <item x="8"/>
        <item x="3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3">
    <i>
      <x/>
    </i>
    <i r="1">
      <x v="5"/>
    </i>
    <i r="1">
      <x v="172"/>
    </i>
    <i r="1">
      <x v="173"/>
    </i>
    <i>
      <x v="2"/>
    </i>
    <i r="1">
      <x v="26"/>
    </i>
    <i r="1">
      <x v="147"/>
    </i>
    <i>
      <x v="5"/>
    </i>
    <i r="1">
      <x v="171"/>
    </i>
    <i>
      <x v="13"/>
    </i>
    <i r="1">
      <x v="24"/>
    </i>
    <i r="1">
      <x v="29"/>
    </i>
    <i r="1">
      <x v="68"/>
    </i>
    <i r="1">
      <x v="90"/>
    </i>
    <i r="1">
      <x v="112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>
      <x v="24"/>
    </i>
    <i r="1">
      <x v="18"/>
    </i>
    <i r="1">
      <x v="32"/>
    </i>
    <i>
      <x v="25"/>
    </i>
    <i r="1">
      <x v="19"/>
    </i>
    <i r="1">
      <x v="21"/>
    </i>
    <i r="1">
      <x v="61"/>
    </i>
    <i r="1">
      <x v="116"/>
    </i>
    <i r="1">
      <x v="1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outline="0" collapsedLevelsAreSubtotals="1" fieldPosition="0"/>
    </format>
    <format dxfId="1764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type="all" dataOnly="0" outline="0" fieldPosition="0"/>
    </format>
    <format dxfId="1759">
      <pivotArea dataOnly="0" labelOnly="1" grandRow="1" outline="0" fieldPosition="0"/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grandRow="1" outline="0" fieldPosition="0"/>
    </format>
    <format dxfId="1752">
      <pivotArea type="all" dataOnly="0" outline="0" fieldPosition="0"/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type="all" dataOnly="0" outline="0" fieldPosition="0"/>
    </format>
    <format dxfId="1749">
      <pivotArea outline="0" collapsedLevelsAreSubtotals="1" fieldPosition="0"/>
    </format>
    <format dxfId="1748">
      <pivotArea dataOnly="0" labelOnly="1" grandRow="1" outline="0" fieldPosition="0"/>
    </format>
    <format dxfId="17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1">
      <pivotArea type="all" dataOnly="0" outline="0" fieldPosition="0"/>
    </format>
    <format dxfId="1740">
      <pivotArea outline="0" collapsedLevelsAreSubtotals="1" fieldPosition="0"/>
    </format>
    <format dxfId="1739">
      <pivotArea dataOnly="0" labelOnly="1" grandRow="1" outline="0" fieldPosition="0"/>
    </format>
    <format dxfId="17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dataOnly="0" labelOnly="1" grandRow="1" outline="0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2">
      <pivotArea field="1" type="button" dataOnly="0" labelOnly="1" outline="0" axis="axisRow" fieldPosition="0"/>
    </format>
    <format dxfId="17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425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1" totalsRowShown="0" headerRowDxfId="1726" dataDxfId="1724" headerRowBorderDxfId="1725" tableBorderDxfId="1723">
  <autoFilter ref="B11:AI41" xr:uid="{488A667B-27C2-4003-A53C-C52DE885F6F5}"/>
  <sortState xmlns:xlrd2="http://schemas.microsoft.com/office/spreadsheetml/2017/richdata2" ref="B12:AI41">
    <sortCondition ref="C11:C41"/>
  </sortState>
  <tableColumns count="34">
    <tableColumn id="1" xr3:uid="{C4869650-AB2A-4E52-A8FD-8FC4A1E9B450}" name="Ticker" dataDxfId="1722" totalsRowDxfId="1721"/>
    <tableColumn id="2" xr3:uid="{3392DCC0-4423-44FF-B70A-0E06289D8EEE}" name="Sector" dataDxfId="1720"/>
    <tableColumn id="29" xr3:uid="{7A835F51-8D98-481A-BCE1-CD91D7445A8F}" name="Diretoria" dataDxfId="1719"/>
    <tableColumn id="3" xr3:uid="{B1589ED3-B8E2-4F6B-B66F-D68F68C1ABA6}" name="Crncy" dataDxfId="1718"/>
    <tableColumn id="4" xr3:uid="{616D46BC-AC49-4393-8BDA-875BFB778D29}" name="Long / Short" dataDxfId="1717" totalsRowDxfId="1716">
      <calculatedColumnFormula>IF(T12&gt;0,"Long","Short")</calculatedColumnFormula>
    </tableColumn>
    <tableColumn id="33" xr3:uid="{F6985B5B-9203-43DA-8157-CAE6E92D0561}" name="Qtdd " dataDxfId="1715"/>
    <tableColumn id="5" xr3:uid="{9A4DCF38-5D0D-4646-8CF9-69904711743E}" name="Qtt Shs" dataDxfId="1714"/>
    <tableColumn id="6" xr3:uid="{BC11B5F3-DE4D-477B-AAED-C5AB103E9DA0}" name="Price Today" dataDxfId="1713" totalsRowDxfId="1712">
      <calculatedColumnFormula array="1">_xll.BDP(B12&amp;" Equity","LAST_PRICE")</calculatedColumnFormula>
    </tableColumn>
    <tableColumn id="7" xr3:uid="{704FFD7D-1208-4AA6-81A9-0E257F085F19}" name="% Chg" dataDxfId="1711" totalsRowDxfId="1710">
      <calculatedColumnFormula>I12/K12-1</calculatedColumnFormula>
    </tableColumn>
    <tableColumn id="8" xr3:uid="{E069BEAC-4A43-4F60-BD21-C3F1FDA777D4}" name="Price Yest" dataDxfId="1709" dataCellStyle="Comma">
      <calculatedColumnFormula array="1">_xll.BDP(B12&amp;" EQUITY","PX_YEST_CLOSE")</calculatedColumnFormula>
    </tableColumn>
    <tableColumn id="9" xr3:uid="{A2F51CF4-C965-4A1F-975F-FCDA401F7124}" name="FX" dataDxfId="1708" totalsRowDxfId="1707">
      <calculatedColumnFormula array="1">_xll.BDP(E12&amp;" Curncy","PX_LAST")</calculatedColumnFormula>
    </tableColumn>
    <tableColumn id="10" xr3:uid="{0525E66F-8EF5-4CCF-835F-559F3DAE7E58}" name="Mult" dataDxfId="1706" totalsRowDxfId="1705" dataCellStyle="Comma"/>
    <tableColumn id="11" xr3:uid="{8FC681CE-75F1-4027-AD99-551C42A97619}" name="D1 Exp USD" dataDxfId="1704">
      <calculatedColumnFormula>IFERROR(IF(((I12/L12)*H12*M12)&lt;&gt;0,((I12/L12)*H12*M12),0),"-")</calculatedColumnFormula>
    </tableColumn>
    <tableColumn id="12" xr3:uid="{BE55CED1-1EEB-46EA-A2E5-D244B7925B83}" name="D1 Exp %" dataDxfId="1703">
      <calculatedColumnFormula>IFERROR(IF(Tabelad[[#This Row],[D1 Exp USD]]&lt;&gt;0,N12/$AE$7,0),"-")</calculatedColumnFormula>
    </tableColumn>
    <tableColumn id="13" xr3:uid="{622A85AF-E726-48C1-A6C0-2A26A6E13A5C}" name="D1 P&amp;L bps" dataDxfId="1702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1" totalsRowDxfId="1700">
      <calculatedColumnFormula>IF(SUM(SUMIFS(Options!$AL$4:$AL$33, Options!$D$4:$D$33, B12), SUMIFS(Options!$AL$4:$AL$33, Options!$D$4:$D$33, B12 &amp; " US"))=0,0,SUM(SUMIFS(Options!$AL$4:$AL$33, Options!$D$4:$D$33, B12), SUMIFS(Options!$AL$4:$AL$33, Options!$D$4:$D$33, B12 &amp; " US")))</calculatedColumnFormula>
    </tableColumn>
    <tableColumn id="15" xr3:uid="{F6743957-5F8D-4443-94E6-3E6136CB024F}" name="Option Exp %" dataDxfId="1699" totalsRowDxfId="1698" dataCellStyle="Percent">
      <calculatedColumnFormula>Q12/$AE$7</calculatedColumnFormula>
    </tableColumn>
    <tableColumn id="16" xr3:uid="{48C8F341-ED13-4859-B6ED-AB346A494BEF}" name="Options P&amp;L bps" dataDxfId="1697" totalsRowDxfId="1696">
      <calculatedColumnFormula>IF(SUM(SUMIFS(Options!$AK$4:$AK$33, Options!$D$4:$D$33, B12), SUMIFS(Options!$AK$4:$AK$33, Options!$D$4:$D$33, B12 &amp; " US"))=0,0,SUM(SUMIFS(Options!$AK$4:$AK$33, Options!$D$4:$D$33, B12), SUMIFS(Options!AK$4:$AK$33, Options!$D$4:$D$33, B12 &amp; " US")))</calculatedColumnFormula>
    </tableColumn>
    <tableColumn id="17" xr3:uid="{4E94A772-CD12-4BE4-A04C-0E1B9CF86096}" name="Exp" dataDxfId="1695" totalsRowDxfId="1694">
      <calculatedColumnFormula>N12+Q12</calculatedColumnFormula>
    </tableColumn>
    <tableColumn id="18" xr3:uid="{56683745-C1CE-4341-A873-C851B97E4432}" name="Exp %" dataDxfId="1693" totalsRowDxfId="1692">
      <calculatedColumnFormula>T12/$AE$7</calculatedColumnFormula>
    </tableColumn>
    <tableColumn id="19" xr3:uid="{AD790890-4299-4C9E-A460-9342E2B4BE92}" name="P&amp;L bps" dataDxfId="1691" totalsRowDxfId="1690">
      <calculatedColumnFormula>P12+S12</calculatedColumnFormula>
    </tableColumn>
    <tableColumn id="20" xr3:uid="{A3132FF2-B491-42D2-B6D5-98FB024D0411}" name="xx" dataDxfId="1689" totalsRowDxfId="1688">
      <calculatedColumnFormula>$W$10/(I12/L12*M12)</calculatedColumnFormula>
    </tableColumn>
    <tableColumn id="21" xr3:uid="{68119C5E-24ED-4841-8DFC-985A70CC957B}" name="Ticker2" dataDxfId="1687" totalsRowDxfId="1686"/>
    <tableColumn id="22" xr3:uid="{EAB0ADAA-AF64-4574-AD5E-BAD2211681D1}" name="xx2" dataDxfId="1685" totalsRowDxfId="1684">
      <calculatedColumnFormula>Tabelad[[#This Row],[Exp %]]*$Y$10*$AD$7/Tabelad[[#This Row],[Price Today]]</calculatedColumnFormula>
    </tableColumn>
    <tableColumn id="23" xr3:uid="{160D9866-3FEF-4C23-ADDC-0615A4FD8D8A}" name="Beta Adj" dataDxfId="1683">
      <calculatedColumnFormula>Tabelad[[#This Row],[Vol 10d]]/16*Tabelad[[#This Row],[Exp %]]*100</calculatedColumnFormula>
    </tableColumn>
    <tableColumn id="27" xr3:uid="{5FC9F15D-E683-4C75-83A6-A027ED24C573}" name="Expo Beta Adj" dataDxfId="1682" totalsRowDxfId="1681">
      <calculatedColumnFormula>Tabelad[[#This Row],[Exp %]]*Tabelad[[#This Row],[Beta Adj2]]</calculatedColumnFormula>
    </tableColumn>
    <tableColumn id="24" xr3:uid="{02F0D998-EE72-4509-80A1-181D260811AE}" name="Vol 10d" dataDxfId="1680">
      <calculatedColumnFormula>_xll.BDP($B12&amp;" Equity","volatility_10d")</calculatedColumnFormula>
    </tableColumn>
    <tableColumn id="25" xr3:uid="{06753197-209B-42CE-8324-F5BF4E6BBC8C}" name="Beta Adj2" dataDxfId="1679" totalsRowDxfId="1678">
      <calculatedColumnFormula>_xll.BDP(B12&amp;" EQUITY","eqy_beta")</calculatedColumnFormula>
    </tableColumn>
    <tableColumn id="26" xr3:uid="{E0099784-2515-472D-A708-E950C7C1F961}" name="Daily P&amp;L" dataDxfId="1677" totalsRowDxfId="1676">
      <calculatedColumnFormula>Tabelad[[#This Row],[D1 P&amp;L bps]]*$AD$5/10000</calculatedColumnFormula>
    </tableColumn>
    <tableColumn id="28" xr3:uid="{E8C15306-AE60-46ED-BE32-1873B2B613BE}" name="VALUE" dataDxfId="1675" totalsRowDxfId="1674"/>
    <tableColumn id="30" xr3:uid="{3553EED7-0690-4464-BFF1-737C1D716FE2}" name="Report Date2" dataDxfId="1673" totalsRowDxfId="1672">
      <calculatedColumnFormula>_xll.BDP(B12&amp;" Equity","EXPECTED_REPORT_DT")</calculatedColumnFormula>
    </tableColumn>
    <tableColumn id="31" xr3:uid="{5102101F-2C4E-4C70-B272-6AB453BA1BFE}" name="Column3" dataDxfId="1671" totalsRowDxfId="1670">
      <calculatedColumnFormula>_xll.BDP(B12&amp;" Index","CHG_PCT_1D_PRE_FROM_REGULAR")/100</calculatedColumnFormula>
    </tableColumn>
    <tableColumn id="32" xr3:uid="{78144925-541C-4BB9-B1CE-5128912D0AEA}" name="Column4" dataDxfId="1669">
      <calculatedColumnFormula>(T12*AG12)/$AD$7*10000</calculatedColumnFormula>
    </tableColumn>
    <tableColumn id="34" xr3:uid="{F48AA587-E15F-424C-9278-DC54512DF635}" name="Column5" dataDxfId="1668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7" dataDxfId="1666" totalsRowBorderDxfId="1665">
  <autoFilter ref="F3:G136" xr:uid="{50594F44-C7EB-4454-89DA-F08A9C91DB54}"/>
  <tableColumns count="2">
    <tableColumn id="1" xr3:uid="{C2C1762E-B58F-491C-8249-F5F204F351C6}" name="De (Lote)" totalsRowFunction="count" dataDxfId="1664"/>
    <tableColumn id="2" xr3:uid="{2A11C67E-26BC-4BE0-826C-B31A77595F54}" name="Para (Ticker Daniel)" totalsRowFunction="count" dataDxfId="166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2027</v>
      </c>
    </row>
    <row r="3" spans="2:12">
      <c r="B3" t="s">
        <v>2026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2015</v>
      </c>
      <c r="D5" t="s">
        <v>2014</v>
      </c>
    </row>
    <row r="6" spans="2:12">
      <c r="B6" t="s">
        <v>2008</v>
      </c>
      <c r="C6" s="398">
        <v>0.41</v>
      </c>
      <c r="D6" s="395">
        <f>C6^2</f>
        <v>0.16809999999999997</v>
      </c>
    </row>
    <row r="7" spans="2:12">
      <c r="B7" t="s">
        <v>2006</v>
      </c>
      <c r="C7" s="398">
        <v>0.25</v>
      </c>
      <c r="D7" s="395">
        <f>C7^2</f>
        <v>6.25E-2</v>
      </c>
    </row>
    <row r="8" spans="2:12">
      <c r="B8" t="s">
        <v>2004</v>
      </c>
      <c r="C8" s="393">
        <f>SQRT(D6+D7+2*C10)</f>
        <v>0.35791060336346558</v>
      </c>
    </row>
    <row r="9" spans="2:12">
      <c r="B9" t="s">
        <v>2002</v>
      </c>
      <c r="C9" s="397">
        <v>-0.5</v>
      </c>
    </row>
    <row r="10" spans="2:12">
      <c r="B10" t="s">
        <v>2000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2015</v>
      </c>
      <c r="D15" t="s">
        <v>2014</v>
      </c>
      <c r="J15" s="402">
        <f>J14/5.19</f>
        <v>53179190.751445085</v>
      </c>
    </row>
    <row r="16" spans="2:12">
      <c r="B16" t="s">
        <v>2025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2024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2004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2002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2000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2023</v>
      </c>
      <c r="U23">
        <f>0.89-0.24</f>
        <v>0.65</v>
      </c>
    </row>
    <row r="24" spans="1:21">
      <c r="C24" t="s">
        <v>2015</v>
      </c>
      <c r="D24" t="s">
        <v>2014</v>
      </c>
      <c r="U24">
        <f>U23/2</f>
        <v>0.32500000000000001</v>
      </c>
    </row>
    <row r="25" spans="1:21">
      <c r="A25" s="400">
        <v>0.82</v>
      </c>
      <c r="B25" t="s">
        <v>2022</v>
      </c>
      <c r="C25" s="398">
        <v>0.3</v>
      </c>
      <c r="D25" s="395">
        <f>C25^2</f>
        <v>0.09</v>
      </c>
      <c r="I25" t="s">
        <v>2021</v>
      </c>
      <c r="J25">
        <v>21</v>
      </c>
    </row>
    <row r="26" spans="1:21">
      <c r="A26">
        <f>1-A25</f>
        <v>0.18000000000000005</v>
      </c>
      <c r="B26" t="s">
        <v>2020</v>
      </c>
      <c r="C26" s="398">
        <v>0.4</v>
      </c>
      <c r="D26" s="395">
        <f>C26^2</f>
        <v>0.16000000000000003</v>
      </c>
      <c r="I26" t="s">
        <v>2019</v>
      </c>
      <c r="J26">
        <v>1</v>
      </c>
      <c r="R26" s="399"/>
    </row>
    <row r="27" spans="1:21">
      <c r="B27" t="s">
        <v>2018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2017</v>
      </c>
      <c r="C28" s="397">
        <v>0.3</v>
      </c>
    </row>
    <row r="29" spans="1:21">
      <c r="B29" t="s">
        <v>2016</v>
      </c>
      <c r="C29">
        <f>C28*C25*C26</f>
        <v>3.5999999999999997E-2</v>
      </c>
    </row>
    <row r="31" spans="1:21">
      <c r="C31" t="s">
        <v>2015</v>
      </c>
      <c r="D31" t="s">
        <v>2014</v>
      </c>
      <c r="F31" t="s">
        <v>2013</v>
      </c>
      <c r="G31" t="s">
        <v>2012</v>
      </c>
      <c r="H31" t="s">
        <v>2011</v>
      </c>
      <c r="I31" t="s">
        <v>2010</v>
      </c>
      <c r="J31" t="s">
        <v>2009</v>
      </c>
    </row>
    <row r="32" spans="1:21">
      <c r="B32" t="s">
        <v>2008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2007</v>
      </c>
      <c r="Q32" s="43">
        <v>0.36620000000000003</v>
      </c>
    </row>
    <row r="33" spans="2:17">
      <c r="B33" t="s">
        <v>2006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2005</v>
      </c>
    </row>
    <row r="34" spans="2:17">
      <c r="B34" t="s">
        <v>2004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2003</v>
      </c>
    </row>
    <row r="35" spans="2:17">
      <c r="B35" t="s">
        <v>2002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2001</v>
      </c>
      <c r="Q35" s="43">
        <v>0.27179999999999999</v>
      </c>
    </row>
    <row r="36" spans="2:17">
      <c r="B36" t="s">
        <v>2000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1999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1998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1997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1996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1995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1994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1993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6.3267233238904791E-2</v>
      </c>
      <c r="B6" s="145">
        <f>H6-J6</f>
        <v>10.59</v>
      </c>
      <c r="C6" s="145">
        <f>L6-H6</f>
        <v>0.67000000000000171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33.68</v>
      </c>
      <c r="I6" s="153">
        <f>H6/J6-1</f>
        <v>0.45864010394110011</v>
      </c>
      <c r="J6" s="149" cm="1">
        <f t="array" ref="J6">IF(ISTEXT($E6),_xll.BDH($E6,"PX_LAST",J$2,J$2,"Fill=P","CDR=US"),"")</f>
        <v>23.09</v>
      </c>
      <c r="K6" s="153">
        <f t="shared" ref="K6:K20" si="0">H6/L6-1</f>
        <v>-1.9505094614264973E-2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-6.7417159676551819E-2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8000.06</v>
      </c>
      <c r="I7" s="153">
        <f t="shared" ref="I7:I20" si="1">H7/J7-1</f>
        <v>0.53657894787387095</v>
      </c>
      <c r="J7" s="143" cm="1">
        <f t="array" ref="J7">IF(ISTEXT($E7),_xll.BDH($E7,"PX_LAST",J$2,J$2,"Fill=P","CDR=US"),"")</f>
        <v>5206.41</v>
      </c>
      <c r="K7" s="153">
        <f t="shared" si="0"/>
        <v>-9.569958501292386E-3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17.026804925741221</v>
      </c>
      <c r="Q7" s="153">
        <f>$P7/T7-1</f>
        <v>0.2617588592197726</v>
      </c>
      <c r="R7" s="153">
        <f>$P7/U7-1</f>
        <v>0.12840551865094785</v>
      </c>
      <c r="S7" s="144" cm="1">
        <f t="array" ref="S7">_xll.BDP($E7,S$2)</f>
        <v>10.872095872012771</v>
      </c>
      <c r="T7" s="150">
        <f>MEDIAN(_xll.BDH($E7," best pe ratio","-7ay",""," be997=1gy","array=true"," dts=h"  ))</f>
        <v>13.4945</v>
      </c>
      <c r="U7" s="151">
        <f>T7+W7</f>
        <v>15.089260593210694</v>
      </c>
      <c r="V7" s="151">
        <f>T7-W7</f>
        <v>11.899739406789307</v>
      </c>
      <c r="W7" s="150">
        <f>STDEV(_xll.BDH($E7," best pe ratio","-7ay",""," be997=1gy","array=true"," dts=h"  ))</f>
        <v>1.5947605932106943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4741.93</v>
      </c>
      <c r="I8" s="154">
        <f t="shared" si="1"/>
        <v>0.47596770378117248</v>
      </c>
      <c r="J8" s="140" cm="1">
        <f t="array" ref="J8">IF(ISTEXT($E8),_xll.BDH($E8,"PX_LAST",J$2,J$2,"Fill=P","CDR=US"),"")</f>
        <v>3212.76</v>
      </c>
      <c r="K8" s="154">
        <f t="shared" si="0"/>
        <v>-1.9646637557474089E-2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16.926444793245111</v>
      </c>
      <c r="Q8" s="154">
        <f>P8/T8-1</f>
        <v>0.2418703717769235</v>
      </c>
      <c r="R8" s="154">
        <f>$P8/U8-1</f>
        <v>0.10477116458378255</v>
      </c>
      <c r="S8" s="141" cm="1">
        <f t="array" ref="S8">_xll.BDP($E8,S$2)</f>
        <v>10.815160217740878</v>
      </c>
      <c r="T8" s="146">
        <f>MEDIAN(_xll.BDH($E8," best pe ratio","-7ay",""," be997=1gy","array=true"," dts=h"  ))</f>
        <v>13.629799999999999</v>
      </c>
      <c r="U8" s="147">
        <f>T8+W8</f>
        <v>15.321222472005838</v>
      </c>
      <c r="V8" s="147">
        <f>T8-W8</f>
        <v>11.938377527994161</v>
      </c>
      <c r="W8" s="146">
        <f>STDEV(_xll.BDH($E8," best pe ratio","-7ay",""," be997=1gy","array=true"," dts=h"  ))</f>
        <v>1.6914224720058375</v>
      </c>
    </row>
    <row r="9" spans="1:26">
      <c r="A9" s="2">
        <f>C9/B9</f>
        <v>0.15857605177993536</v>
      </c>
      <c r="B9" s="145">
        <f>H9-J9</f>
        <v>12.36</v>
      </c>
      <c r="C9" s="145">
        <f>L9-H9</f>
        <v>1.9600000000000009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40.04</v>
      </c>
      <c r="I9" s="153">
        <f t="shared" si="1"/>
        <v>0.44653179190751446</v>
      </c>
      <c r="J9" s="149" cm="1">
        <f t="array" ref="J9">IF(ISTEXT($E9),_xll.BDH($E9,"PX_LAST",J$2,J$2,"Fill=P","CDR=US"),"")</f>
        <v>27.68</v>
      </c>
      <c r="K9" s="153">
        <f t="shared" si="0"/>
        <v>-4.6666666666666634E-2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37752.089999999997</v>
      </c>
      <c r="I10" s="153">
        <f t="shared" si="1"/>
        <v>0.54249953625429104</v>
      </c>
      <c r="J10" s="143" cm="1">
        <f t="array" ref="J10">IF(ISTEXT($E10),_xll.BDH($E10,"PX_LAST",J$2,J$2,"Fill=P","CDR=US"),"")</f>
        <v>24474.62</v>
      </c>
      <c r="K10" s="153">
        <f t="shared" si="0"/>
        <v>-2.7922444092541854E-2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26905.97</v>
      </c>
      <c r="O10" t="str" cm="1">
        <f t="array" ref="O10">_xll.BDP(E10,O$2)</f>
        <v>15/01/2025</v>
      </c>
      <c r="P10" s="144" cm="1">
        <f t="array" ref="P10">_xll.BDP($E10,P$2)</f>
        <v>11.513744953607626</v>
      </c>
      <c r="Q10" s="153">
        <f>P10/T10-1</f>
        <v>0.26469079015900987</v>
      </c>
      <c r="R10" s="153">
        <f>$P10/U10-1</f>
        <v>9.1347074698906239E-2</v>
      </c>
      <c r="S10" s="144" cm="1">
        <f t="array" ref="S10">_xll.BDP($E10,S$2)</f>
        <v>11.294805771468516</v>
      </c>
      <c r="T10" s="150">
        <f>MEDIAN(_xll.BDH($E10," best pe ratio","-7ay",""," be997=1gy","array=true"," dts=h"  ))</f>
        <v>9.1039999999999992</v>
      </c>
      <c r="U10" s="151">
        <f>T10+W10</f>
        <v>10.550030526983521</v>
      </c>
      <c r="V10" s="151">
        <f>T10-W10</f>
        <v>7.6579694730164771</v>
      </c>
      <c r="W10" s="150">
        <f>STDEV(_xll.BDH($E10," best pe ratio","-7ay",""," be997=1gy","array=true"," dts=h"  ))</f>
        <v>1.4460305269835216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15333.04</v>
      </c>
      <c r="I11" s="154">
        <f t="shared" si="1"/>
        <v>0.35376737122777269</v>
      </c>
      <c r="J11" s="140" cm="1">
        <f t="array" ref="J11">IF(ISTEXT($E11),_xll.BDH($E11,"PX_LAST",J$2,J$2,"Fill=P","CDR=US"),"")</f>
        <v>11326.2</v>
      </c>
      <c r="K11" s="154">
        <f t="shared" si="0"/>
        <v>-2.7067294177965051E-2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13.76679650690321</v>
      </c>
      <c r="Q11" s="154">
        <f>P11/T11-1</f>
        <v>0.19334591740013773</v>
      </c>
      <c r="R11" s="154">
        <f>$P11/U11-1</f>
        <v>5.6809962802710112E-2</v>
      </c>
      <c r="S11" s="141" cm="1">
        <f t="array" ref="S11">_xll.BDP($E11,S$2)</f>
        <v>12.236742811303222</v>
      </c>
      <c r="T11" s="146">
        <f>MEDIAN(_xll.BDH($E11," best pe ratio","-7ay",""," be997=1gy","array=true"," dts=h"  ))</f>
        <v>11.536300000000001</v>
      </c>
      <c r="U11" s="147">
        <f>T11+W11</f>
        <v>13.02674746781627</v>
      </c>
      <c r="V11" s="147">
        <f>T11-W11</f>
        <v>10.045852532183732</v>
      </c>
      <c r="W11" s="146">
        <f>STDEV(_xll.BDH($E11," best pe ratio","-7ay",""," be997=1gy","array=true"," dts=h"  ))</f>
        <v>1.4904474678162685</v>
      </c>
    </row>
    <row r="12" spans="1:26">
      <c r="A12" s="2">
        <f>C12/B12</f>
        <v>0.68248175182481774</v>
      </c>
      <c r="B12" s="145">
        <f>H12-J12</f>
        <v>9.59</v>
      </c>
      <c r="C12" s="145">
        <f>L12-H12</f>
        <v>6.5450000000000017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36.82</v>
      </c>
      <c r="I12" s="153">
        <f t="shared" si="1"/>
        <v>0.3521850899742931</v>
      </c>
      <c r="J12" s="149" cm="1">
        <f t="array" ref="J12">IF(ISTEXT($E12),_xll.BDH($E12,"PX_LAST",J$2,J$2,"Fill=P","CDR=US"),"")</f>
        <v>27.23</v>
      </c>
      <c r="K12" s="153">
        <f t="shared" si="0"/>
        <v>-0.15092816787732044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6277.4258</v>
      </c>
      <c r="I13" s="153">
        <f t="shared" si="1"/>
        <v>0.501776147900443</v>
      </c>
      <c r="J13" s="143" cm="1">
        <f t="array" ref="J13">IF(ISTEXT($E13),_xll.BDH($E13,"PX_LAST",J$2,J$2,"Fill=P","CDR=US"),"")</f>
        <v>4180.0010000000002</v>
      </c>
      <c r="K13" s="153">
        <f t="shared" si="0"/>
        <v>-8.6933297416285193E-2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4555.4269999999997</v>
      </c>
      <c r="O13" t="str" cm="1">
        <f t="array" ref="O13">_xll.BDP(E13,O$2)</f>
        <v>15/01/2025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5908.26</v>
      </c>
      <c r="I14" s="154">
        <f t="shared" si="1"/>
        <v>0.59757400081659817</v>
      </c>
      <c r="J14" s="140" cm="1">
        <f t="array" ref="J14">IF(ISTEXT($E14),_xll.BDH($E14,"PX_LAST",J$2,J$2,"Fill=P","CDR=US"),"")</f>
        <v>3698.27</v>
      </c>
      <c r="K14" s="154">
        <f t="shared" si="0"/>
        <v>-0.12020025433849657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28.551376981302802</v>
      </c>
      <c r="Q14" s="154">
        <f>P14/T14-1</f>
        <v>5.4338346201529664E-2</v>
      </c>
      <c r="R14" s="154">
        <f>$P14/U14-1</f>
        <v>-0.25991348070361475</v>
      </c>
      <c r="S14" s="141" cm="1">
        <f t="array" ref="S14">_xll.BDP($E14,S$2)</f>
        <v>9.5191244804005475</v>
      </c>
      <c r="T14" s="146">
        <f>MEDIAN(_xll.BDH($E14," best pe ratio","-7ay",""," be997=1gy","array=true"," dts=h"  ))</f>
        <v>27.079899999999999</v>
      </c>
      <c r="U14" s="147">
        <f>T14+W14</f>
        <v>38.578431354819372</v>
      </c>
      <c r="V14" s="147">
        <f>T14-W14</f>
        <v>15.581368645180621</v>
      </c>
      <c r="W14" s="146">
        <f>STDEV(_xll.BDH($E14," best pe ratio","-7ay",""," be997=1gy","array=true"," dts=h"  ))</f>
        <v>11.498531354819377</v>
      </c>
    </row>
    <row r="15" spans="1:26">
      <c r="A15" s="2">
        <f>C15/B15</f>
        <v>0.18845598157780141</v>
      </c>
      <c r="B15" s="145">
        <f>H15-J15</f>
        <v>20.269999999999996</v>
      </c>
      <c r="C15" s="145">
        <f>L15-H15</f>
        <v>3.8200027465820341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63.55</v>
      </c>
      <c r="I15" s="153">
        <f t="shared" si="1"/>
        <v>0.46834565619223656</v>
      </c>
      <c r="J15" s="149" cm="1">
        <f t="array" ref="J15">IF(ISTEXT($E15),_xll.BDH($E15,"PX_LAST",J$2,J$2,"Fill=P","CDR=US"),"")</f>
        <v>43.28</v>
      </c>
      <c r="K15" s="153">
        <f t="shared" si="0"/>
        <v>-5.6701834508620985E-2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700.90390000000002</v>
      </c>
      <c r="I16" s="153">
        <f t="shared" si="1"/>
        <v>0.55043566358232932</v>
      </c>
      <c r="J16" s="143" cm="1">
        <f t="array" ref="J16">IF(ISTEXT($E16),_xll.BDH($E16,"PX_LAST",J$2,J$2,"Fill=P","CDR=US"),"")</f>
        <v>452.06900000000002</v>
      </c>
      <c r="K16" s="153">
        <f t="shared" si="0"/>
        <v>-3.8741558006254784E-2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484.0668</v>
      </c>
      <c r="O16" t="str" cm="1">
        <f t="array" ref="O16">_xll.BDP(E16,O$2)</f>
        <v>14/01/2025</v>
      </c>
      <c r="P16" s="144" cm="1">
        <f t="array" ref="P16">_xll.BDP($E16,P$2)</f>
        <v>14.451361150949651</v>
      </c>
      <c r="Q16" s="153">
        <f>P16/T16-1</f>
        <v>0.17737703075961364</v>
      </c>
      <c r="R16" s="153">
        <f>$P16/U16-1</f>
        <v>-2.5339882633615751E-2</v>
      </c>
      <c r="S16" s="144" cm="1">
        <f t="array" ref="S16">_xll.BDP($E16,S$2)</f>
        <v>11.472643458870255</v>
      </c>
      <c r="T16" s="150">
        <f>MEDIAN(_xll.BDH($E16," best pe ratio","-7ay",""," be997=1gy","array=true"," dts=h"  ))</f>
        <v>12.2742</v>
      </c>
      <c r="U16" s="151">
        <f>T16+W16</f>
        <v>14.827077556018683</v>
      </c>
      <c r="V16" s="151">
        <f>T16-W16</f>
        <v>9.7213224439813182</v>
      </c>
      <c r="W16" s="150">
        <f>STDEV(_xll.BDH($E16," best pe ratio","-7ay",""," be997=1gy","array=true"," dts=h"  ))</f>
        <v>2.5528775560186832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87.61</v>
      </c>
      <c r="I17" s="154">
        <f t="shared" si="1"/>
        <v>0.51364892881824464</v>
      </c>
      <c r="J17" s="140" cm="1">
        <f t="array" ref="J17">IF(ISTEXT($E17),_xll.BDH($E17,"PX_LAST",J$2,J$2,"Fill=P","CDR=US"),"")</f>
        <v>57.88</v>
      </c>
      <c r="K17" s="154">
        <f t="shared" si="0"/>
        <v>-4.3454525603231819E-2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60.29</v>
      </c>
      <c r="O17" s="138" t="str" cm="1">
        <f t="array" ref="O17">_xll.BDP(E17,O$2)</f>
        <v>14/01/2025</v>
      </c>
      <c r="P17" s="141" cm="1">
        <f t="array" ref="P17">_xll.BDP($E17,P$2)</f>
        <v>14.460380568113612</v>
      </c>
      <c r="Q17" s="154">
        <f>P17/T17-1</f>
        <v>0.17830385490080114</v>
      </c>
      <c r="R17" s="154">
        <f>$P17/U17-1</f>
        <v>-2.4605398282712798E-2</v>
      </c>
      <c r="S17" s="141" cm="1">
        <f t="array" ref="S17">_xll.BDP($E17,S$2)</f>
        <v>11.472643458870253</v>
      </c>
      <c r="T17" s="146">
        <f>MEDIAN(_xll.BDH($E17," best pe ratio","-7ay",""," be997=1gy","array=true"," dts=h"  ))</f>
        <v>12.2722</v>
      </c>
      <c r="U17" s="147">
        <f>T17+W17</f>
        <v>14.825159522776275</v>
      </c>
      <c r="V17" s="147">
        <f>T17-W17</f>
        <v>9.7192404772237246</v>
      </c>
      <c r="W17" s="146">
        <f>STDEV(_xll.BDH($E17," best pe ratio","-7ay",""," be997=1gy","array=true"," dts=h"  ))</f>
        <v>2.5529595227762751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26999.81</v>
      </c>
      <c r="I18" s="153">
        <f t="shared" si="1"/>
        <v>0.47967595964511633</v>
      </c>
      <c r="J18" s="143" cm="1">
        <f t="array" ref="J18">IF(ISTEXT($E18),_xll.BDH($E18,"PX_LAST",J$2,J$2,"Fill=P","CDR=US"),"")</f>
        <v>18247.11</v>
      </c>
      <c r="K18" s="153">
        <f t="shared" si="0"/>
        <v>-1.3951947714251456E-2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18901.560000000001</v>
      </c>
      <c r="O18" t="str" cm="1">
        <f t="array" ref="O18">_xll.BDP(E18,O$2)</f>
        <v>14/01/2025</v>
      </c>
      <c r="P18" s="144" cm="1">
        <f t="array" ref="P18">_xll.BDP($E18,P$2)</f>
        <v>13.129869855532327</v>
      </c>
      <c r="Q18" s="153">
        <f>P18/T18-1</f>
        <v>0.20574777816338163</v>
      </c>
      <c r="R18" s="153">
        <f>$P18/U18-1</f>
        <v>4.6512181813269216E-2</v>
      </c>
      <c r="S18" s="144" cm="1">
        <f t="array" ref="S18">_xll.BDP($E18,S$2)</f>
        <v>10.552600153880169</v>
      </c>
      <c r="T18" s="150">
        <f>MEDIAN(_xll.BDH($E18," best pe ratio","-7ay",""," be997=1gy","array=true"," dts=h"  ))</f>
        <v>10.8894</v>
      </c>
      <c r="U18" s="151">
        <f>T18+W18</f>
        <v>12.546313443559235</v>
      </c>
      <c r="V18" s="151">
        <f>T18-W18</f>
        <v>9.2324865564407652</v>
      </c>
      <c r="W18" s="150">
        <f>STDEV(_xll.BDH($E18," best pe ratio","-7ay",""," be997=1gy","array=true"," dts=h"  ))</f>
        <v>1.6569134435592352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9315.56</v>
      </c>
      <c r="I19" s="153">
        <f t="shared" si="1"/>
        <v>0.45804403763922186</v>
      </c>
      <c r="J19" s="143" cm="1">
        <f t="array" ref="J19">IF(ISTEXT($E19),_xll.BDH($E19,"PX_LAST",J$2,J$2,"Fill=P","CDR=US"),"")</f>
        <v>6389.08</v>
      </c>
      <c r="K19" s="153">
        <f t="shared" si="0"/>
        <v>-4.6534311954400165E-2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6959.89</v>
      </c>
      <c r="O19" t="str" cm="1">
        <f t="array" ref="O19">_xll.BDP(E19,O$2)</f>
        <v>15/01/2025</v>
      </c>
      <c r="P19" s="144" cm="1">
        <f t="array" ref="P19">_xll.BDP($E19,P$2)</f>
        <v>12.014287463127271</v>
      </c>
      <c r="Q19" s="153">
        <f>P19/T19-1</f>
        <v>0.35136240516588169</v>
      </c>
      <c r="R19" s="153">
        <f>$P19/U19-1</f>
        <v>0.18807677455868643</v>
      </c>
      <c r="S19" s="144" cm="1">
        <f t="array" ref="S19">_xll.BDP($E19,S$2)</f>
        <v>11.069087856086858</v>
      </c>
      <c r="T19" s="150">
        <f>MEDIAN(_xll.BDH($E19," best pe ratio","-7ay",""," be997=1gy","array=true"," dts=h"  ))</f>
        <v>8.8904999999999994</v>
      </c>
      <c r="U19" s="151">
        <f>T19+W19</f>
        <v>10.1123830718684</v>
      </c>
      <c r="V19" s="151">
        <f>T19-W19</f>
        <v>7.6686169281315983</v>
      </c>
      <c r="W19" s="150">
        <f>STDEV(_xll.BDH($E19," best pe ratio","-7ay",""," be997=1gy","array=true"," dts=h"  ))</f>
        <v>1.2218830718684006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4126.0940000000001</v>
      </c>
      <c r="I20" s="153">
        <f t="shared" si="1"/>
        <v>0.50098838888609976</v>
      </c>
      <c r="J20" s="143" cm="1">
        <f t="array" ref="J20">IF(ISTEXT($E20),_xll.BDH($E20,"PX_LAST",J$2,J$2,"Fill=P","CDR=US"),"")</f>
        <v>2748.9180000000001</v>
      </c>
      <c r="K20" s="153">
        <f t="shared" si="0"/>
        <v>-1.2825794757616693E-2</v>
      </c>
      <c r="L20" s="143" cm="1">
        <f t="array" ref="L20">IF(ISNUMBER(_xlfn.SINGLE(_xll.BDP($E20,L$2))),  _xll.BDP($E20,L$2), "nmf")</f>
        <v>4179.7020000000002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15.97194226879679</v>
      </c>
      <c r="Q20" s="153">
        <f>P20/T20-1</f>
        <v>0.30842486022747506</v>
      </c>
      <c r="R20" s="153">
        <f>$P20/U20-1</f>
        <v>0.17371431359808653</v>
      </c>
      <c r="S20" s="144" cm="1">
        <f t="array" ref="S20">_xll.BDP($E20,S$2)</f>
        <v>9.646363131695642</v>
      </c>
      <c r="T20" s="150">
        <f>MEDIAN(_xll.BDH($E20," best pe ratio","-7ay",""," be997=1gy","array=true"," dts=h"  ))</f>
        <v>12.207000000000001</v>
      </c>
      <c r="U20" s="151">
        <f>T20+W20</f>
        <v>13.608032281581291</v>
      </c>
      <c r="V20" s="151">
        <f>T20-W20</f>
        <v>10.80596771841871</v>
      </c>
      <c r="W20" s="150">
        <f>STDEV(_xll.BDH($E20," best pe ratio","-7ay",""," be997=1gy","array=true"," dts=h"  ))</f>
        <v>1.4010322815812899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6.1445600632154306E-3</v>
      </c>
      <c r="AP1" s="23"/>
    </row>
    <row r="2" spans="1:47" outlineLevel="1">
      <c r="D2" s="7" t="s">
        <v>66</v>
      </c>
      <c r="E2" s="265">
        <f>D4+E4</f>
        <v>3.9416583138375755E-3</v>
      </c>
      <c r="Q2" s="179">
        <f ca="1">WORKDAY(Q3,-126)</f>
        <v>45860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46036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46006</v>
      </c>
      <c r="AN3" s="180">
        <f ca="1">WORKDAY($Q$3,-66)</f>
        <v>45944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5.043109188526503E-3</v>
      </c>
      <c r="E4" s="265">
        <f>SUM(E8:E24)</f>
        <v>-1.1014508746889275E-3</v>
      </c>
      <c r="Q4" s="181" t="str">
        <f ca="1">YEAR($Q$2)&amp;TEXT(MONTH($Q$2),"00")&amp;TEXT(DAY($Q$2),"00")</f>
        <v>20250722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20260114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459.38</v>
      </c>
      <c r="H8" s="188" cm="1">
        <f t="array" ref="H8">G8/_xll.BDP(B8&amp;" Equity", "PREV_CLOSE_VAL")-1</f>
        <v>-2.3987082244460112E-2</v>
      </c>
      <c r="I8" s="187" cm="1">
        <f t="array" ref="I8">_xll.BDP(C8&amp;" Equity","LAST PRICE")</f>
        <v>101.07</v>
      </c>
      <c r="J8" s="188" cm="1">
        <f t="array" ref="J8">I8/_xll.BDP(C8&amp;" Equity", "PREV_CLOSE_VAL")-1</f>
        <v>-2.20609579100145E-2</v>
      </c>
      <c r="K8" s="189">
        <f t="shared" ref="K8:K18" si="1">G8/I8</f>
        <v>4.5451667161373308</v>
      </c>
      <c r="L8" s="188" cm="1">
        <f t="array" ref="L8">K8/(_xll.BDP(B8&amp;" Equity", "PREV_CLOSE_VAL")/_xll.BDP(C8&amp;" Equity", "PREV_CLOSE_VAL"))-1</f>
        <v>-1.9695750466504069E-3</v>
      </c>
      <c r="M8" s="188"/>
      <c r="N8" s="190">
        <f t="shared" ref="N8:N18" si="2">ABS(L8/O8)</f>
        <v>0.1570680574116485</v>
      </c>
      <c r="O8" s="191">
        <f t="shared" ref="O8:O18" si="3">P8/15.87/100</f>
        <v>1.2539628229363579E-2</v>
      </c>
      <c r="P8" s="192" cm="1">
        <f t="array" ref="P8">_xll.BDP($A8&amp;" Index","VOLATILITY_30D")</f>
        <v>19.900390000000002</v>
      </c>
      <c r="Q8" s="192" cm="1">
        <f t="array" aca="1" ref="Q8" ca="1">(_xll.BDP(($B8&amp; " Equity"),"CORR_COEF", "BETA_OVERRIDE_REL_INDEX",($C8&amp; " Equity"),"BETA_OVERRIDE_END_DT",$Q$5,"BETA_OVERRIDE_START_DT",$Q$4))*100</f>
        <v>61.870939955351268</v>
      </c>
      <c r="R8" s="188"/>
      <c r="S8" s="188" cm="1">
        <f t="array" ref="S8">_xll.BDP($A8&amp;" Index","CHG_PCT_2D")/100</f>
        <v>4.6047300000000005E-3</v>
      </c>
      <c r="T8" s="188" cm="1">
        <f t="array" ref="T8">_xll.BDP($A8&amp;" Index","CHG_PCT_5D")/100</f>
        <v>-8.877689E-5</v>
      </c>
      <c r="U8" s="188" cm="1">
        <f t="array" ref="U8">K8/_xll.BDP($A8&amp;" Index","HIGH_52WEEK")-1</f>
        <v>-5.9088577787990926E-2</v>
      </c>
      <c r="V8" s="188" cm="1">
        <f t="array" ref="V8">K8/_xll.BDP($A8&amp;" Index","LOW_52WEEK")-1</f>
        <v>0.1964302453150959</v>
      </c>
      <c r="W8" s="188"/>
      <c r="X8" s="192" cm="1">
        <f t="array" ref="X8">_xll.BDP($A8&amp;" Index","RSI_14D")</f>
        <v>50.884549999999997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4.008391673623124E-2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2.3745749978920325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1.6510253736531144E-2</v>
      </c>
      <c r="AN8" s="194">
        <f ca="1">IF(ISTEXT(B8),AP8/_xll.BDH(B8 &amp;  " Equity","BEST_EPS",$AN$3,$AN$3,"BEST_FPERIOD_OVERRIDE=1BF","CDR=US","Fill=p")-1,"")</f>
        <v>7.0461200585651529E-2</v>
      </c>
      <c r="AO8" s="196">
        <f t="shared" ref="AO8:AO18" ca="1" si="7">G8/AP8</f>
        <v>26.179973784692539</v>
      </c>
      <c r="AP8" s="196" cm="1">
        <f t="array" aca="1" ref="AP8" ca="1">IF(ISTEXT(B8),_xll.BDH(B8 &amp;  " Equity","BEST_EPS",$Q$3,$Q$3,"BEST_FPERIOD_OVERRIDE=1BF","CDR=US","Fill=p"),"")</f>
        <v>17.547000000000001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cm="1">
        <f t="array" ref="G9">_xll.BDP(B9&amp;" Equity","LAST PRICE")</f>
        <v>459.38</v>
      </c>
      <c r="H9" s="188" cm="1">
        <f t="array" ref="H9">G9/_xll.BDP(B9&amp;" Equity", "PREV_CLOSE_VAL")-1</f>
        <v>-2.3987082244460112E-2</v>
      </c>
      <c r="I9" s="187" cm="1">
        <f t="array" ref="I9">_xll.BDP(C9&amp;" Equity","LAST PRICE")</f>
        <v>82.23</v>
      </c>
      <c r="J9" s="188" cm="1">
        <f t="array" ref="J9">I9/_xll.BDP(C9&amp;" Equity", "PREV_CLOSE_VAL")-1</f>
        <v>1.3808408334360811E-2</v>
      </c>
      <c r="K9" s="189">
        <f t="shared" si="1"/>
        <v>5.586525598929831</v>
      </c>
      <c r="L9" s="188" cm="1">
        <f t="array" ref="L9">K9/(_xll.BDP(B9&amp;" Equity", "PREV_CLOSE_VAL")/_xll.BDP(C9&amp;" Equity", "PREV_CLOSE_VAL"))-1</f>
        <v>-3.7280703403236637E-2</v>
      </c>
      <c r="M9" s="188"/>
      <c r="N9" s="190">
        <f t="shared" si="2"/>
        <v>2.158022571475863</v>
      </c>
      <c r="O9" s="191">
        <f t="shared" si="3"/>
        <v>1.7275400126023945E-2</v>
      </c>
      <c r="P9" s="192" cm="1">
        <f t="array" ref="P9">_xll.BDP($A9&amp;" Index","VOLATILITY_30D")</f>
        <v>27.416060000000002</v>
      </c>
      <c r="Q9" s="192" cm="1">
        <f t="array" aca="1" ref="Q9" ca="1">(_xll.BDP(($B9&amp; " Equity"),"CORR_COEF", "BETA_OVERRIDE_REL_INDEX",($C9&amp; " Equity"),"BETA_OVERRIDE_END_DT",$Q$5,"BETA_OVERRIDE_START_DT",$Q$4))*100</f>
        <v>1.1681513799969738</v>
      </c>
      <c r="R9" s="188"/>
      <c r="S9" s="188" cm="1">
        <f t="array" ref="S9">_xll.BDP($A9&amp;" Index","CHG_PCT_2D")/100</f>
        <v>-6.2810699999999997E-2</v>
      </c>
      <c r="T9" s="188" cm="1">
        <f t="array" ref="T9">_xll.BDP($A9&amp;" Index","CHG_PCT_5D")/100</f>
        <v>-0.1160736</v>
      </c>
      <c r="U9" s="188" cm="1">
        <f t="array" ref="U9">K9/_xll.BDP($A9&amp;" Index","HIGH_52WEEK")-1</f>
        <v>-0.21001548442736728</v>
      </c>
      <c r="V9" s="188" cm="1">
        <f t="array" ref="V9">K9/_xll.BDP($A9&amp;" Index","LOW_52WEEK")-1</f>
        <v>0.26144829337312658</v>
      </c>
      <c r="W9" s="188"/>
      <c r="X9" s="192" cm="1">
        <f t="array" ref="X9">_xll.BDP($A9&amp;" Index","RSI_14D")</f>
        <v>33.68103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8.398122550510978E-3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2.3745749978920325</v>
      </c>
      <c r="AI9" s="196" cm="1">
        <f t="array" ref="AI9">(_xll.BDP(C9&amp;" Equity","SHORT_INT")/_xll.BDP(C9&amp;" Equity","VOLUME_AVG_90D"))</f>
        <v>3.9719893866172749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1.6510253736531144E-2</v>
      </c>
      <c r="AN9" s="194">
        <f ca="1">IF(ISTEXT(B9),AP9/_xll.BDH(B9 &amp;  " Equity","BEST_EPS",$AN$3,$AN$3,"BEST_FPERIOD_OVERRIDE=1BF","CDR=US","Fill=p")-1,"")</f>
        <v>7.0461200585651529E-2</v>
      </c>
      <c r="AO9" s="196">
        <f t="shared" ca="1" si="7"/>
        <v>26.179973784692539</v>
      </c>
      <c r="AP9" s="196" cm="1">
        <f t="array" aca="1" ref="AP9" ca="1">IF(ISTEXT(B9),_xll.BDH(B9 &amp;  " Equity","BEST_EPS",$Q$3,$Q$3,"BEST_FPERIOD_OVERRIDE=1BF","CDR=US","Fill=p"),"")</f>
        <v>17.547000000000001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615.52</v>
      </c>
      <c r="H10" s="257" cm="1">
        <f t="array" ref="H10">G10/_xll.BDP(B10&amp;" Equity", "PREV_CLOSE_VAL")-1</f>
        <v>-2.4671599930279453E-2</v>
      </c>
      <c r="I10" s="256" cm="1">
        <f t="array" ref="I10">_xll.BDP(C10&amp;" Equity","LAST PRICE")</f>
        <v>690.36</v>
      </c>
      <c r="J10" s="257" cm="1">
        <f t="array" ref="J10">I10/_xll.BDP(C10&amp;" Equity", "PREV_CLOSE_VAL")-1</f>
        <v>-4.9151736166164195E-3</v>
      </c>
      <c r="K10" s="258">
        <f t="shared" si="1"/>
        <v>0.89159279216640586</v>
      </c>
      <c r="L10" s="257" cm="1">
        <f t="array" ref="L10">K10/(_xll.BDP(B10&amp;" Equity", "PREV_CLOSE_VAL")/_xll.BDP(C10&amp;" Equity", "PREV_CLOSE_VAL"))-1</f>
        <v>-1.9854012230763662E-2</v>
      </c>
      <c r="M10" s="257"/>
      <c r="N10" s="190">
        <f t="shared" si="2"/>
        <v>1.5620602553280418</v>
      </c>
      <c r="O10" s="191">
        <f t="shared" si="3"/>
        <v>1.2710144927536231E-2</v>
      </c>
      <c r="P10" s="259" cm="1">
        <f t="array" ref="P10">_xll.BDP($A10&amp;" Index","VOLATILITY_30D")</f>
        <v>20.170999999999999</v>
      </c>
      <c r="Q10" s="259" cm="1">
        <f t="array" aca="1" ref="Q10" ca="1">(_xll.BDP(($B10&amp; " Equity"),"CORR_COEF", "BETA_OVERRIDE_REL_INDEX",($C10&amp; " Equity"),"BETA_OVERRIDE_END_DT",$Q$5,"BETA_OVERRIDE_START_DT",$Q$4))*100</f>
        <v>33.863694258050778</v>
      </c>
      <c r="R10" s="257"/>
      <c r="S10" s="257" cm="1">
        <f t="array" ref="S10">_xll.BDP($A10&amp;" Index","CHG_PCT_2D")/100</f>
        <v>-2.95459E-2</v>
      </c>
      <c r="T10" s="257" cm="1">
        <f t="array" ref="T10">_xll.BDP($A10&amp;" Index","CHG_PCT_5D")/100</f>
        <v>-4.7308240000000001E-2</v>
      </c>
      <c r="U10" s="257" cm="1">
        <f t="array" ref="U10">K10/_xll.BDP($A10&amp;" Index","HIGH_52WEEK")-1</f>
        <v>-0.27515727639819043</v>
      </c>
      <c r="V10" s="257" cm="1">
        <f t="array" ref="V10">K10/_xll.BDP($A10&amp;" Index","LOW_52WEEK")-1</f>
        <v>8.1133292894119968E-4</v>
      </c>
      <c r="W10" s="257"/>
      <c r="X10" s="259" cm="1">
        <f t="array" ref="X10">_xll.BDP($A10&amp;" Index","RSI_14D")</f>
        <v>32.438540000000003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-0.18946109803054023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2.0192571587017509</v>
      </c>
      <c r="AI10" s="262" cm="1">
        <f t="array" ref="AI10">(_xll.BDP(C10&amp;" Equity","SHORT_INT")/_xll.BDP(C10&amp;" Equity","VOLUME_AVG_90D"))</f>
        <v>1.2811570083701678</v>
      </c>
      <c r="AJ10" s="262" cm="1">
        <f t="array" ref="AJ10">(_xll.BDP(B10&amp;" Equity","SHORT_INT"))/((_xll.BDP(B10&amp;" Equity","EQY_FREE_FLOAT_PCT"))*(_xll.BDP(B10&amp;" Equity","EQY_SH_OUT_TOT_MULT_SH")))/100</f>
        <v>1.315029992310595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2.4393189228353984E-2</v>
      </c>
      <c r="AN10" s="260">
        <f ca="1">IF(ISTEXT(B10),AP10/_xll.BDH(B10 &amp;  " Equity","BEST_EPS",$AN$3,$AN$3,"BEST_FPERIOD_OVERRIDE=1BF","CDR=US","Fill=p")-1,"")</f>
        <v>-1.6207126496767255E-2</v>
      </c>
      <c r="AO10" s="262">
        <f t="shared" ca="1" si="7"/>
        <v>18.139809029824352</v>
      </c>
      <c r="AP10" s="262" cm="1">
        <f t="array" aca="1" ref="AP10" ca="1">IF(ISTEXT(B10),_xll.BDH(B10 &amp;  " Equity","BEST_EPS",$Q$3,$Q$3,"BEST_FPERIOD_OVERRIDE=1BF","CDR=US","Fill=p"),"")</f>
        <v>33.932000000000002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615.52</v>
      </c>
      <c r="H11" s="257" cm="1">
        <f t="array" ref="H11">G11/_xll.BDP(B11&amp;" Equity", "PREV_CLOSE_VAL")-1</f>
        <v>-2.4671599930279453E-2</v>
      </c>
      <c r="I11" s="256" cm="1">
        <f t="array" ref="I11">_xll.BDP(C11&amp;" Equity","LAST PRICE")</f>
        <v>259.95999999999998</v>
      </c>
      <c r="J11" s="257" cm="1">
        <f t="array" ref="J11">I11/_xll.BDP(C11&amp;" Equity", "PREV_CLOSE_VAL")-1</f>
        <v>-4.1754453169892125E-3</v>
      </c>
      <c r="K11" s="258">
        <f t="shared" si="1"/>
        <v>2.3677488844437606</v>
      </c>
      <c r="L11" s="257" cm="1">
        <f t="array" ref="L11">K11/(_xll.BDP(B11&amp;" Equity", "PREV_CLOSE_VAL")/_xll.BDP(C11&amp;" Equity", "PREV_CLOSE_VAL"))-1</f>
        <v>-2.0582094021385666E-2</v>
      </c>
      <c r="M11" s="257"/>
      <c r="N11" s="190">
        <f t="shared" si="2"/>
        <v>1.2251126970113506</v>
      </c>
      <c r="O11" s="191">
        <f t="shared" si="3"/>
        <v>1.6800163831127916E-2</v>
      </c>
      <c r="P11" s="259" cm="1">
        <f t="array" ref="P11">_xll.BDP($A11&amp;" Index","VOLATILITY_30D")</f>
        <v>26.661860000000001</v>
      </c>
      <c r="Q11" s="259" cm="1">
        <f t="array" aca="1" ref="Q11" ca="1">(_xll.BDP(($B11&amp; " Equity"),"CORR_COEF", "BETA_OVERRIDE_REL_INDEX",($C11&amp; " Equity"),"BETA_OVERRIDE_END_DT",$Q$5,"BETA_OVERRIDE_START_DT",$Q$4))*100</f>
        <v>5.6441742900495058</v>
      </c>
      <c r="R11" s="257"/>
      <c r="S11" s="257" cm="1">
        <f t="array" ref="S11">_xll.BDP($A11&amp;" Index","CHG_PCT_2D")/100</f>
        <v>-3.5359969999999998E-2</v>
      </c>
      <c r="T11" s="257" cm="1">
        <f t="array" ref="T11">_xll.BDP($A11&amp;" Index","CHG_PCT_5D")/100</f>
        <v>-4.5059410000000001E-2</v>
      </c>
      <c r="U11" s="257" cm="1">
        <f t="array" ref="U11">K11/_xll.BDP($A11&amp;" Index","HIGH_52WEEK")-1</f>
        <v>-0.37982951768151063</v>
      </c>
      <c r="V11" s="257" cm="1">
        <f t="array" ref="V11">K11/_xll.BDP($A11&amp;" Index","LOW_52WEEK")-1</f>
        <v>8.173190691173926E-2</v>
      </c>
      <c r="W11" s="257"/>
      <c r="X11" s="259" cm="1">
        <f t="array" ref="X11">_xll.BDP($A11&amp;" Index","RSI_14D")</f>
        <v>48.32517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-0.22113523538034185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2.0192571587017509</v>
      </c>
      <c r="AI11" s="262" cm="1">
        <f t="array" ref="AI11">(_xll.BDP(C11&amp;" Equity","SHORT_INT")/_xll.BDP(C11&amp;" Equity","VOLUME_AVG_90D"))</f>
        <v>2.3205113141735292</v>
      </c>
      <c r="AJ11" s="262" cm="1">
        <f t="array" ref="AJ11">(_xll.BDP(B11&amp;" Equity","SHORT_INT"))/((_xll.BDP(B11&amp;" Equity","EQY_FREE_FLOAT_PCT"))*(_xll.BDP(B11&amp;" Equity","EQY_SH_OUT_TOT_MULT_SH")))/100</f>
        <v>1.315029992310595</v>
      </c>
      <c r="AK11" s="262" cm="1">
        <f t="array" ref="AK11">(_xll.BDP(C11&amp;" Equity","SHORT_INT"))/((_xll.BDP(C11&amp;" Equity","EQY_FREE_FLOAT_PCT"))*(_xll.BDP(C11&amp;" Equity","EQY_SH_OUT_TOT_MULT_SH")))/100</f>
        <v>0.78048766895737354</v>
      </c>
      <c r="AM11" s="260">
        <f ca="1">IF(ISTEXT(B11),AP11/_xll.BDH(B11 &amp;  " Equity","BEST_EPS",$AM$3,$AM$3,"BEST_FPERIOD_OVERRIDE=1BF","CDR=US","Fill=p")-1,"")</f>
        <v>2.4393189228353984E-2</v>
      </c>
      <c r="AN11" s="260">
        <f ca="1">IF(ISTEXT(B11),AP11/_xll.BDH(B11 &amp;  " Equity","BEST_EPS",$AN$3,$AN$3,"BEST_FPERIOD_OVERRIDE=1BF","CDR=US","Fill=p")-1,"")</f>
        <v>-1.6207126496767255E-2</v>
      </c>
      <c r="AO11" s="262">
        <f t="shared" ca="1" si="7"/>
        <v>18.139809029824352</v>
      </c>
      <c r="AP11" s="262" cm="1">
        <f t="array" aca="1" ref="AP11" ca="1">IF(ISTEXT(B11),_xll.BDH(B11 &amp;  " Equity","BEST_EPS",$Q$3,$Q$3,"BEST_FPERIOD_OVERRIDE=1BF","CDR=US","Fill=p"),"")</f>
        <v>33.932000000000002</v>
      </c>
      <c r="AR11" s="260">
        <f ca="1">IF(ISTEXT(C11),AU11/_xll.BDH(C11 &amp;  " Equity","BEST_EPS",$AM$3,$AM$3,"BEST_FPERIOD_OVERRIDE=1BF","CDR=US","Fill=p")-1,"")</f>
        <v>6.1553030303029832E-3</v>
      </c>
      <c r="AS11" s="260">
        <f ca="1">IF(ISTEXT(C11),AU11/_xll.BDH(C11 &amp;  " Equity","BEST_EPS",$AN$3,$AN$3,"BEST_FPERIOD_OVERRIDE=1BF","CDR=US","Fill=p")-1,"")</f>
        <v>6.5162907268170311E-2</v>
      </c>
      <c r="AT11" s="262">
        <f t="shared" ca="1" si="8"/>
        <v>30.583529411764705</v>
      </c>
      <c r="AU11" s="262" cm="1">
        <f t="array" aca="1" ref="AU11" ca="1">IF(ISTEXT(C11),_xll.BDH(C11 &amp;  " Equity","BEST_EPS",$Q$3,$Q$3,"BEST_FPERIOD_OVERRIDE=1BF","CDR=US","Fill=p"),"")</f>
        <v>8.5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5187.0200000000004</v>
      </c>
      <c r="H12" s="188" cm="1">
        <f t="array" ref="H12">G12/_xll.BDP(B12&amp;" Equity", "PREV_CLOSE_VAL")-1</f>
        <v>-2.4025769985568268E-2</v>
      </c>
      <c r="I12" s="187" cm="1">
        <f t="array" ref="I12">_xll.BDP(C12&amp;" Equity","LAST PRICE")</f>
        <v>132.79</v>
      </c>
      <c r="J12" s="188" cm="1">
        <f t="array" ref="J12">I12/_xll.BDP(C12&amp;" Equity", "PREV_CLOSE_VAL")-1</f>
        <v>-5.1974012993503238E-2</v>
      </c>
      <c r="K12" s="189">
        <f t="shared" si="1"/>
        <v>39.061826944800067</v>
      </c>
      <c r="L12" s="188" cm="1">
        <f t="array" ref="L12">K12/(_xll.BDP(B12&amp;" Equity", "PREV_CLOSE_VAL")/_xll.BDP(C12&amp;" Equity", "PREV_CLOSE_VAL"))-1</f>
        <v>2.9480460863931413E-2</v>
      </c>
      <c r="M12" s="188"/>
      <c r="N12" s="190">
        <f t="shared" si="2"/>
        <v>1.9374141824210092</v>
      </c>
      <c r="O12" s="191">
        <f t="shared" si="3"/>
        <v>1.5216395715185887E-2</v>
      </c>
      <c r="P12" s="192" cm="1">
        <f t="array" ref="P12">_xll.BDP($A12&amp;" Index","VOLATILITY_30D")</f>
        <v>24.148420000000002</v>
      </c>
      <c r="Q12" s="192" cm="1">
        <f t="array" aca="1" ref="Q12" ca="1">(_xll.BDP(($B12&amp; " Equity"),"CORR_COEF", "BETA_OVERRIDE_REL_INDEX",($C12&amp; " Equity"),"BETA_OVERRIDE_END_DT",$Q$5,"BETA_OVERRIDE_START_DT",$Q$4))*100</f>
        <v>68.955831127893745</v>
      </c>
      <c r="R12" s="188"/>
      <c r="S12" s="188" cm="1">
        <f t="array" ref="S12">_xll.BDP($A12&amp;" Index","CHG_PCT_2D")/100</f>
        <v>8.4230929999999996E-3</v>
      </c>
      <c r="T12" s="188" cm="1">
        <f t="array" ref="T12">_xll.BDP($A12&amp;" Index","CHG_PCT_5D")/100</f>
        <v>-1.220942E-2</v>
      </c>
      <c r="U12" s="188" cm="1">
        <f t="array" ref="U12">K12/_xll.BDP($A12&amp;" Index","HIGH_52WEEK")-1</f>
        <v>-0.15431370885590745</v>
      </c>
      <c r="V12" s="188" cm="1">
        <f t="array" ref="V12">K12/_xll.BDP($A12&amp;" Index","LOW_52WEEK")-1</f>
        <v>0.24997246236578285</v>
      </c>
      <c r="W12" s="188"/>
      <c r="X12" s="192" cm="1">
        <f t="array" ref="X12">_xll.BDP($A12&amp;" Index","RSI_14D")</f>
        <v>33.974530000000001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9.0887870007767546E-3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2.7023383366630012</v>
      </c>
      <c r="AI12" s="196" cm="1">
        <f t="array" ref="AI12">(_xll.BDP(C12&amp;" Equity","SHORT_INT")/_xll.BDP(C12&amp;" Equity","VOLUME_AVG_90D"))</f>
        <v>3.790211632152042</v>
      </c>
      <c r="AJ12" s="196" cm="1">
        <f t="array" ref="AJ12">(_xll.BDP(B12&amp;" Equity","SHORT_INT"))/((_xll.BDP(B12&amp;" Equity","EQY_FREE_FLOAT_PCT"))*(_xll.BDP(B12&amp;" Equity","EQY_SH_OUT_TOT_MULT_SH")))/100</f>
        <v>2.0741542073562114</v>
      </c>
      <c r="AK12" s="196" cm="1">
        <f t="array" ref="AK12">(_xll.BDP(C12&amp;" Equity","SHORT_INT"))/((_xll.BDP(C12&amp;" Equity","EQY_FREE_FLOAT_PCT"))*(_xll.BDP(C12&amp;" Equity","EQY_SH_OUT_TOT_MULT_SH")))/100</f>
        <v>3.322025169676381</v>
      </c>
      <c r="AM12" s="194">
        <f ca="1">IF(ISTEXT(B12),AP12/_xll.BDH(B12 &amp;  " Equity","BEST_EPS",$AM$3,$AM$3,"BEST_FPERIOD_OVERRIDE=1BF","CDR=US","Fill=p")-1,"")</f>
        <v>1.5250528136295349E-2</v>
      </c>
      <c r="AN12" s="194">
        <f ca="1">IF(ISTEXT(B12),AP12/_xll.BDH(B12 &amp;  " Equity","BEST_EPS",$AN$3,$AN$3,"BEST_FPERIOD_OVERRIDE=1BF","CDR=US","Fill=p")-1,"")</f>
        <v>6.7993392966861244E-2</v>
      </c>
      <c r="AO12" s="196">
        <f t="shared" ca="1" si="7"/>
        <v>19.37740021816769</v>
      </c>
      <c r="AP12" s="196" cm="1">
        <f t="array" aca="1" ref="AP12" ca="1">IF(ISTEXT(B12),_xll.BDH(B12 &amp;  " Equity","BEST_EPS",$Q$3,$Q$3,"BEST_FPERIOD_OVERRIDE=1BF","CDR=US","Fill=p"),"")</f>
        <v>267.68400000000003</v>
      </c>
      <c r="AR12" s="194">
        <f ca="1">IF(ISTEXT(C12),AU12/_xll.BDH(C12 &amp;  " Equity","BEST_EPS",$AM$3,$AM$3,"BEST_FPERIOD_OVERRIDE=1BF","CDR=US","Fill=p")-1,"")</f>
        <v>1.4725828327843526E-2</v>
      </c>
      <c r="AS12" s="194">
        <f ca="1">IF(ISTEXT(C12),AU12/_xll.BDH(C12 &amp;  " Equity","BEST_EPS",$AN$3,$AN$3,"BEST_FPERIOD_OVERRIDE=1BF","CDR=US","Fill=p")-1,"")</f>
        <v>0.12165345898479352</v>
      </c>
      <c r="AT12" s="196">
        <f t="shared" ca="1" si="8"/>
        <v>25.356119915982429</v>
      </c>
      <c r="AU12" s="196" cm="1">
        <f t="array" aca="1" ref="AU12" ca="1">IF(ISTEXT(C12),_xll.BDH(C12 &amp;  " Equity","BEST_EPS",$Q$3,$Q$3,"BEST_FPERIOD_OVERRIDE=1BF","CDR=US","Fill=p"),"")</f>
        <v>5.2370000000000001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2.1634780263936676E-3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327.11</v>
      </c>
      <c r="H13" s="257" cm="1">
        <f t="array" ref="H13">G13/_xll.BDP(B13&amp;" Equity", "PREV_CLOSE_VAL")-1</f>
        <v>-1.2378853295492154E-2</v>
      </c>
      <c r="I13" s="256" cm="1">
        <f t="array" ref="I13">_xll.BDP(C13&amp;" Equity","LAST PRICE")</f>
        <v>331.9</v>
      </c>
      <c r="J13" s="257" cm="1">
        <f t="array" ref="J13">I13/_xll.BDP(C13&amp;" Equity", "PREV_CLOSE_VAL")-1</f>
        <v>-4.2004200420042714E-3</v>
      </c>
      <c r="K13" s="258">
        <f t="shared" si="1"/>
        <v>0.98556794215125043</v>
      </c>
      <c r="L13" s="257" cm="1">
        <f t="array" ref="L13">K13/(_xll.BDP(B13&amp;" Equity", "PREV_CLOSE_VAL")/_xll.BDP(C13&amp;" Equity", "PREV_CLOSE_VAL"))-1</f>
        <v>-8.21293101352083E-3</v>
      </c>
      <c r="M13" s="257"/>
      <c r="N13" s="190">
        <f t="shared" si="2"/>
        <v>0.74051070880479897</v>
      </c>
      <c r="O13" s="191">
        <f t="shared" si="3"/>
        <v>1.1090901071203529E-2</v>
      </c>
      <c r="P13" s="259" cm="1">
        <f t="array" ref="P13">_xll.BDP($A13&amp;" Index","VOLATILITY_30D")</f>
        <v>17.60126</v>
      </c>
      <c r="Q13" s="259" cm="1">
        <f t="array" aca="1" ref="Q13" ca="1">(_xll.BDP(($B13&amp; " Equity"),"CORR_COEF", "BETA_OVERRIDE_REL_INDEX",($C13&amp; " Equity"),"BETA_OVERRIDE_END_DT",$Q$5,"BETA_OVERRIDE_START_DT",$Q$4))*100</f>
        <v>74.397815249858425</v>
      </c>
      <c r="R13" s="257"/>
      <c r="S13" s="257" cm="1">
        <f t="array" ref="S13">_xll.BDP($A13&amp;" Index","CHG_PCT_2D")/100</f>
        <v>-1.4475780000000001E-2</v>
      </c>
      <c r="T13" s="257" cm="1">
        <f t="array" ref="T13">_xll.BDP($A13&amp;" Index","CHG_PCT_5D")/100</f>
        <v>9.047129000000001E-3</v>
      </c>
      <c r="U13" s="257" cm="1">
        <f t="array" ref="U13">K13/_xll.BDP($A13&amp;" Index","HIGH_52WEEK")-1</f>
        <v>-7.3069670493340899E-2</v>
      </c>
      <c r="V13" s="257" cm="1">
        <f t="array" ref="V13">K13/_xll.BDP($A13&amp;" Index","LOW_52WEEK")-1</f>
        <v>0.15203733740648784</v>
      </c>
      <c r="W13" s="257"/>
      <c r="X13" s="259" cm="1">
        <f t="array" ref="X13">_xll.BDP($A13&amp;" Index","RSI_14D")</f>
        <v>52.011719999999997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9.5075491279167146E-2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1.8924475827126281</v>
      </c>
      <c r="AI13" s="262" cm="1">
        <f t="array" ref="AI13">(_xll.BDP(C13&amp;" Equity","SHORT_INT")/_xll.BDP(C13&amp;" Equity","VOLUME_AVG_90D"))</f>
        <v>1.0852522503847324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4.9351919005151235E-2</v>
      </c>
      <c r="AN13" s="260">
        <f ca="1">IF(ISTEXT(B13),AP13/_xll.BDH(B13 &amp;  " Equity","BEST_EPS",$AN$3,$AN$3,"BEST_FPERIOD_OVERRIDE=1BF","CDR=US","Fill=p")-1,"")</f>
        <v>0.15200158657015028</v>
      </c>
      <c r="AO13" s="262">
        <f t="shared" ca="1" si="7"/>
        <v>0.82813496845537682</v>
      </c>
      <c r="AP13" s="262" cm="1">
        <f t="array" aca="1" ref="AP13" ca="1">IF(ISTEXT(B13),_xll.BDH(B13 &amp;  " Equity","BEST_EPS",$Q$3,$Q$3,"BEST_FPERIOD_OVERRIDE=1BF","CDR=US","Fill=p"),"")</f>
        <v>394.99599999999998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1.8593789709513253E-3</v>
      </c>
      <c r="E14" s="263"/>
      <c r="F14" s="254"/>
      <c r="G14" s="256" cm="1">
        <f t="array" ref="G14">_xll.BDP(B14&amp;" Equity","LAST PRICE")</f>
        <v>183.14</v>
      </c>
      <c r="H14" s="257" cm="1">
        <f t="array" ref="H14">G14/_xll.BDP(B14&amp;" Equity", "PREV_CLOSE_VAL")-1</f>
        <v>-1.4369517248802643E-2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1.4057915452077652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1.0985610035169553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4.281387665198233E-2</v>
      </c>
      <c r="AN14" s="260">
        <f ca="1">IF(ISTEXT(B14),AP14/_xll.BDH(B14 &amp;  " Equity","BEST_EPS",$AN$3,$AN$3,"BEST_FPERIOD_OVERRIDE=1BF","CDR=US","Fill=p")-1,"")</f>
        <v>0.29731118342181873</v>
      </c>
      <c r="AO14" s="262">
        <f t="shared" ca="1" si="7"/>
        <v>24.176897689768975</v>
      </c>
      <c r="AP14" s="262" cm="1">
        <f t="array" aca="1" ref="AP14" ca="1">IF(ISTEXT(B14),_xll.BDH(B14 &amp;  " Equity","BEST_EPS",$Q$3,$Q$3,"BEST_FPERIOD_OVERRIDE=1BF","CDR=US","Fill=p"),"")</f>
        <v>7.5750000000000002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5.1096277248831887E-4</v>
      </c>
      <c r="E15" s="255">
        <f>-D15</f>
        <v>-5.1096277248831887E-4</v>
      </c>
      <c r="F15" s="254"/>
      <c r="G15" s="187" cm="1">
        <f t="array" ref="G15">_xll.BDP(B15&amp;" Equity","LAST PRICE")</f>
        <v>329.17</v>
      </c>
      <c r="H15" s="188" cm="1">
        <f t="array" ref="H15">G15/_xll.BDP(B15&amp;" Equity", "PREV_CLOSE_VAL")-1</f>
        <v>3.934366231548081E-3</v>
      </c>
      <c r="I15" s="187" cm="1">
        <f t="array" ref="I15">_xll.BDP(C15&amp;" Equity","LAST PRICE")</f>
        <v>198.68</v>
      </c>
      <c r="J15" s="188" cm="1">
        <f t="array" ref="J15">I15/_xll.BDP(C15&amp;" Equity", "PREV_CLOSE_VAL")-1</f>
        <v>4.550510668419383E-3</v>
      </c>
      <c r="K15" s="189">
        <f t="shared" si="1"/>
        <v>1.656784779544997</v>
      </c>
      <c r="L15" s="188" cm="1">
        <f t="array" ref="L15">K15/(_xll.BDP(B15&amp;" Equity", "PREV_CLOSE_VAL")/_xll.BDP(C15&amp;" Equity", "PREV_CLOSE_VAL"))-1</f>
        <v>-6.1335336583645539E-4</v>
      </c>
      <c r="M15" s="188"/>
      <c r="N15" s="190">
        <f t="shared" si="2"/>
        <v>3.8334479685289718E-2</v>
      </c>
      <c r="O15" s="191">
        <f t="shared" si="3"/>
        <v>1.6000044108380594E-2</v>
      </c>
      <c r="P15" s="192" cm="1">
        <f t="array" ref="P15">_xll.BDP($A15&amp;" Index","VOLATILITY_30D")</f>
        <v>25.39207</v>
      </c>
      <c r="Q15" s="192" cm="1">
        <f t="array" aca="1" ref="Q15" ca="1">(_xll.BDP(($B15&amp; " Equity"),"CORR_COEF", "BETA_OVERRIDE_REL_INDEX",($C15&amp; " Equity"),"BETA_OVERRIDE_END_DT",$Q$5,"BETA_OVERRIDE_START_DT",$Q$4))*100</f>
        <v>68.996789128665554</v>
      </c>
      <c r="R15" s="188"/>
      <c r="S15" s="188" cm="1">
        <f t="array" ref="S15">_xll.BDP($A15&amp;" Index","CHG_PCT_2D")/100</f>
        <v>-4.2979700000000003E-2</v>
      </c>
      <c r="T15" s="188" cm="1">
        <f t="array" ref="T15">_xll.BDP($A15&amp;" Index","CHG_PCT_5D")/100</f>
        <v>-9.1031000000000001E-2</v>
      </c>
      <c r="U15" s="188" cm="1">
        <f t="array" ref="U15">K15/_xll.BDP($A15&amp;" Index","HIGH_52WEEK")-1</f>
        <v>-0.20513882873722167</v>
      </c>
      <c r="V15" s="188" cm="1">
        <f t="array" ref="V15">K15/_xll.BDP($A15&amp;" Index","LOW_52WEEK")-1</f>
        <v>-6.123901888062111E-4</v>
      </c>
      <c r="W15" s="188"/>
      <c r="X15" s="192" cm="1">
        <f t="array" ref="X15">_xll.BDP($A15&amp;" Index","RSI_14D")</f>
        <v>25.807590000000001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-0.17160761022750148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3.6294450708249677</v>
      </c>
      <c r="AI15" s="196" cm="1">
        <f t="array" ref="AI15">(_xll.BDP(C15&amp;" Equity","SHORT_INT")/_xll.BDP(C15&amp;" Equity","VOLUME_AVG_90D"))</f>
        <v>3.1118767396296247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1.0202527790467597E-2</v>
      </c>
      <c r="AN15" s="194">
        <f ca="1">IF(ISTEXT(B15),AP15/_xll.BDH(B15 &amp;  " Equity","BEST_EPS",$AN$3,$AN$3,"BEST_FPERIOD_OVERRIDE=1BF","CDR=US","Fill=p")-1,"")</f>
        <v>2.7650840368677931E-2</v>
      </c>
      <c r="AO15" s="196">
        <f t="shared" ca="1" si="7"/>
        <v>24.809315646668676</v>
      </c>
      <c r="AP15" s="196" cm="1">
        <f t="array" aca="1" ref="AP15" ca="1">IF(ISTEXT(B15),_xll.BDH(B15 &amp;  " Equity","BEST_EPS",$Q$3,$Q$3,"BEST_FPERIOD_OVERRIDE=1BF","CDR=US","Fill=p"),"")</f>
        <v>13.268000000000001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5.0928941869319048E-4</v>
      </c>
      <c r="E16" s="255">
        <f>-D16</f>
        <v>-5.0928941869319048E-4</v>
      </c>
      <c r="F16" s="254"/>
      <c r="G16" s="187" cm="1">
        <f t="array" ref="G16">_xll.BDP(B16&amp;" Equity","LAST PRICE")</f>
        <v>546.82000000000005</v>
      </c>
      <c r="H16" s="188" cm="1">
        <f t="array" ref="H16">G16/_xll.BDP(B16&amp;" Equity", "PREV_CLOSE_VAL")-1</f>
        <v>3.3578597772436769E-3</v>
      </c>
      <c r="I16" s="187" cm="1">
        <f t="array" ref="I16">_xll.BDP(C16&amp;" Equity","LAST PRICE")</f>
        <v>198.68</v>
      </c>
      <c r="J16" s="188" cm="1">
        <f t="array" ref="J16">I16/_xll.BDP(C16&amp;" Equity", "PREV_CLOSE_VAL")-1</f>
        <v>4.550510668419383E-3</v>
      </c>
      <c r="K16" s="189">
        <f t="shared" si="1"/>
        <v>2.7522649486611637</v>
      </c>
      <c r="L16" s="188" cm="1">
        <f t="array" ref="L16">K16/(_xll.BDP(B16&amp;" Equity", "PREV_CLOSE_VAL")/_xll.BDP(C16&amp;" Equity", "PREV_CLOSE_VAL"))-1</f>
        <v>-1.1872483050974214E-3</v>
      </c>
      <c r="M16" s="188"/>
      <c r="N16" s="190">
        <f t="shared" si="2"/>
        <v>8.6152190869554626E-2</v>
      </c>
      <c r="O16" s="191">
        <f t="shared" si="3"/>
        <v>1.3780825456836801E-2</v>
      </c>
      <c r="P16" s="192" cm="1">
        <f t="array" ref="P16">_xll.BDP($A16&amp;" Index","VOLATILITY_30D")</f>
        <v>21.870170000000002</v>
      </c>
      <c r="Q16" s="192" cm="1">
        <f t="array" aca="1" ref="Q16" ca="1">(_xll.BDP(($B16&amp; " Equity"),"CORR_COEF", "BETA_OVERRIDE_REL_INDEX",($C16&amp; " Equity"),"BETA_OVERRIDE_END_DT",$Q$5,"BETA_OVERRIDE_START_DT",$Q$4))*100</f>
        <v>74.825279441890558</v>
      </c>
      <c r="R16" s="188"/>
      <c r="S16" s="188" cm="1">
        <f t="array" ref="S16">_xll.BDP($A16&amp;" Index","CHG_PCT_2D")/100</f>
        <v>-3.6948759999999997E-2</v>
      </c>
      <c r="T16" s="188" cm="1">
        <f t="array" ref="T16">_xll.BDP($A16&amp;" Index","CHG_PCT_5D")/100</f>
        <v>-7.381712E-2</v>
      </c>
      <c r="U16" s="188" cm="1">
        <f t="array" ref="U16">K16/_xll.BDP($A16&amp;" Index","HIGH_52WEEK")-1</f>
        <v>-0.17079473461322636</v>
      </c>
      <c r="V16" s="188" cm="1">
        <f t="array" ref="V16">K16/_xll.BDP($A16&amp;" Index","LOW_52WEEK")-1</f>
        <v>-1.1885334050081298E-3</v>
      </c>
      <c r="W16" s="188"/>
      <c r="X16" s="192" cm="1">
        <f t="array" ref="X16">_xll.BDP($A16&amp;" Index","RSI_14D")</f>
        <v>28.164190000000001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-0.15574694826344671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2.3212241454498175</v>
      </c>
      <c r="AI16" s="196" cm="1">
        <f t="array" ref="AI16">(_xll.BDP(C16&amp;" Equity","SHORT_INT")/_xll.BDP(C16&amp;" Equity","VOLUME_AVG_90D"))</f>
        <v>3.1118767396296247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1.3158587294068047E-2</v>
      </c>
      <c r="AN16" s="194">
        <f ca="1">IF(ISTEXT(B16),AP16/_xll.BDH(B16 &amp;  " Equity","BEST_EPS",$AN$3,$AN$3,"BEST_FPERIOD_OVERRIDE=1BF","CDR=US","Fill=p")-1,"")</f>
        <v>4.614130434782604E-2</v>
      </c>
      <c r="AO16" s="196">
        <f t="shared" ca="1" si="7"/>
        <v>28.407709491402155</v>
      </c>
      <c r="AP16" s="196" cm="1">
        <f t="array" aca="1" ref="AP16" ca="1">IF(ISTEXT(B16),_xll.BDH(B16 &amp;  " Equity","BEST_EPS",$Q$3,$Q$3,"BEST_FPERIOD_OVERRIDE=1BF","CDR=US","Fill=p"),"")</f>
        <v>19.248999999999999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8.119868350741819E-5</v>
      </c>
      <c r="E17" s="255">
        <f>SUMIF(Tabelad[Ticker],PAIR_Monitor!C17,Tabelad[Exp %])-E16-E15</f>
        <v>-8.119868350741819E-5</v>
      </c>
      <c r="F17" s="254"/>
      <c r="G17" s="187" cm="1">
        <f t="array" ref="G17">_xll.BDP(B17&amp;" Equity","LAST PRICE")</f>
        <v>54.15</v>
      </c>
      <c r="H17" s="188" cm="1">
        <f t="array" ref="H17">G17/_xll.BDP(B17&amp;" Equity", "PREV_CLOSE_VAL")-1</f>
        <v>-1.4751982297620536E-3</v>
      </c>
      <c r="I17" s="187" cm="1">
        <f t="array" ref="I17">_xll.BDP(C17&amp;" Equity","LAST PRICE")</f>
        <v>198.68</v>
      </c>
      <c r="J17" s="188" cm="1">
        <f t="array" ref="J17">I17/_xll.BDP(C17&amp;" Equity", "PREV_CLOSE_VAL")-1</f>
        <v>4.550510668419383E-3</v>
      </c>
      <c r="K17" s="189">
        <f t="shared" si="1"/>
        <v>0.27254882222669619</v>
      </c>
      <c r="L17" s="188" cm="1">
        <f t="array" ref="L17">K17/(_xll.BDP(B17&amp;" Equity", "PREV_CLOSE_VAL")/_xll.BDP(C17&amp;" Equity", "PREV_CLOSE_VAL"))-1</f>
        <v>-5.9984130555785775E-3</v>
      </c>
      <c r="M17" s="188"/>
      <c r="N17" s="190">
        <f t="shared" si="2"/>
        <v>0.94274787540424998</v>
      </c>
      <c r="O17" s="191">
        <f t="shared" si="3"/>
        <v>6.3626906112161322E-3</v>
      </c>
      <c r="P17" s="192" cm="1">
        <f t="array" ref="P17">_xll.BDP($A17&amp;" Index","VOLATILITY_30D")</f>
        <v>10.09759</v>
      </c>
      <c r="Q17" s="192" cm="1">
        <f t="array" aca="1" ref="Q17" ca="1">(_xll.BDP(($B17&amp; " Equity"),"CORR_COEF", "BETA_OVERRIDE_REL_INDEX",($C17&amp; " Equity"),"BETA_OVERRIDE_END_DT",$Q$5,"BETA_OVERRIDE_START_DT",$Q$4))*100</f>
        <v>84.957933721980666</v>
      </c>
      <c r="R17" s="188"/>
      <c r="S17" s="188" cm="1">
        <f t="array" ref="S17">_xll.BDP($A17&amp;" Index","CHG_PCT_2D")/100</f>
        <v>-2.369139E-2</v>
      </c>
      <c r="T17" s="188" cm="1">
        <f t="array" ref="T17">_xll.BDP($A17&amp;" Index","CHG_PCT_5D")/100</f>
        <v>-4.398415E-2</v>
      </c>
      <c r="U17" s="188" cm="1">
        <f t="array" ref="U17">K17/_xll.BDP($A17&amp;" Index","HIGH_52WEEK")-1</f>
        <v>-6.0985969933863293E-2</v>
      </c>
      <c r="V17" s="188" cm="1">
        <f t="array" ref="V17">K17/_xll.BDP($A17&amp;" Index","LOW_52WEEK")-1</f>
        <v>-5.3688700580388771E-3</v>
      </c>
      <c r="W17" s="188"/>
      <c r="X17" s="192" cm="1">
        <f t="array" ref="X17">_xll.BDP($A17&amp;" Index","RSI_14D")</f>
        <v>28.59693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-6.017647508035795E-2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1.4775227876760111</v>
      </c>
      <c r="AI17" s="196" cm="1">
        <f t="array" ref="AI17">(_xll.BDP(C17&amp;" Equity","SHORT_INT")/_xll.BDP(C17&amp;" Equity","VOLUME_AVG_90D"))</f>
        <v>3.1118767396296247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54.15</v>
      </c>
      <c r="H18" s="188" cm="1">
        <f t="array" ref="H18">G18/_xll.BDP(B18&amp;" Equity", "PREV_CLOSE_VAL")-1</f>
        <v>-1.4751982297620536E-3</v>
      </c>
      <c r="I18" s="187" cm="1">
        <f t="array" ref="I18">_xll.BDP(C18&amp;" Equity","LAST PRICE")</f>
        <v>493.15</v>
      </c>
      <c r="J18" s="188" cm="1">
        <f t="array" ref="J18">I18/_xll.BDP(C18&amp;" Equity", "PREV_CLOSE_VAL")-1</f>
        <v>-4.2201760762459184E-3</v>
      </c>
      <c r="K18" s="189">
        <f t="shared" si="1"/>
        <v>0.10980431917266552</v>
      </c>
      <c r="L18" s="188" cm="1">
        <f t="array" ref="L18">K18/(_xll.BDP(B18&amp;" Equity", "PREV_CLOSE_VAL")/_xll.BDP(C18&amp;" Equity", "PREV_CLOSE_VAL"))-1</f>
        <v>2.7566112312535918E-3</v>
      </c>
      <c r="M18" s="188"/>
      <c r="N18" s="190">
        <f t="shared" si="2"/>
        <v>0.27811402928026518</v>
      </c>
      <c r="O18" s="191">
        <f t="shared" si="3"/>
        <v>9.9118021424070574E-3</v>
      </c>
      <c r="P18" s="192" cm="1">
        <f t="array" ref="P18">_xll.BDP($A18&amp;" Index","VOLATILITY_30D")</f>
        <v>15.730029999999999</v>
      </c>
      <c r="Q18" s="192" cm="1">
        <f t="array" aca="1" ref="Q18" ca="1">(_xll.BDP(($B18&amp; " Equity"),"CORR_COEF", "BETA_OVERRIDE_REL_INDEX",($C18&amp; " Equity"),"BETA_OVERRIDE_END_DT",$Q$5,"BETA_OVERRIDE_START_DT",$Q$4))*100</f>
        <v>46.774654126220923</v>
      </c>
      <c r="R18" s="188"/>
      <c r="S18" s="188" cm="1">
        <f t="array" ref="S18">_xll.BDP($A18&amp;" Index","CHG_PCT_2D")/100</f>
        <v>-1.3753340000000001E-2</v>
      </c>
      <c r="T18" s="188" cm="1">
        <f t="array" ref="T18">_xll.BDP($A18&amp;" Index","CHG_PCT_5D")/100</f>
        <v>-2.44429E-2</v>
      </c>
      <c r="U18" s="188" cm="1">
        <f t="array" ref="U18">K18/_xll.BDP($A18&amp;" Index","HIGH_52WEEK")-1</f>
        <v>-2.8881938863840828E-2</v>
      </c>
      <c r="V18" s="188" cm="1">
        <f t="array" ref="V18">K18/_xll.BDP($A18&amp;" Index","LOW_52WEEK")-1</f>
        <v>0.23361778645843745</v>
      </c>
      <c r="W18" s="188"/>
      <c r="X18" s="192" cm="1">
        <f t="array" ref="X18">_xll.BDP($A18&amp;" Index","RSI_14D")</f>
        <v>48.493819999999999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9.8043191726655099E-2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1.4775227876760111</v>
      </c>
      <c r="AI18" s="196" cm="1">
        <f t="array" ref="AI18">(_xll.BDP(C18&amp;" Equity","SHORT_INT")/_xll.BDP(C18&amp;" Equity","VOLUME_AVG_90D"))</f>
        <v>2.4254382820219118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2.2658610271901747E-3</v>
      </c>
      <c r="AS18" s="194">
        <f ca="1">IF(ISTEXT(C18),AU18/_xll.BDH(C18 &amp;  " Equity","BEST_EPS",$AN$3,$AN$3,"BEST_FPERIOD_OVERRIDE=1BF","CDR=US","Fill=p")-1,"")</f>
        <v>-1.062441752096932E-2</v>
      </c>
      <c r="AT18" s="196">
        <f t="shared" ca="1" si="8"/>
        <v>23.226733232856066</v>
      </c>
      <c r="AU18" s="196" cm="1">
        <f t="array" aca="1" ref="AU18" ca="1">IF(ISTEXT(C18),_xll.BDH(C18 &amp;  " Equity","BEST_EPS",$Q$3,$Q$3,"BEST_FPERIOD_OVERRIDE=1BF","CDR=US","Fill=p"),"")</f>
        <v>21.231999999999999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-8.119868350741819E-5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35.82</v>
      </c>
      <c r="H29" s="188" cm="1">
        <f t="array" ref="H29">G29/_xll.BDP(B29&amp;" Equity", "PREV_CLOSE_VAL")-1</f>
        <v>1.300904977375561E-2</v>
      </c>
      <c r="I29" s="187" cm="1">
        <f t="array" ref="I29">_xll.BDP(C29&amp;" Equity","LAST PRICE")</f>
        <v>66.53</v>
      </c>
      <c r="J29" s="188" cm="1">
        <f t="array" ref="J29">I29/_xll.BDP(C29&amp;" Equity", "PREV_CLOSE_VAL")-1</f>
        <v>1.1094224924012241E-2</v>
      </c>
      <c r="K29" s="189">
        <f t="shared" ref="K29:K41" si="9">G29/I29</f>
        <v>0.53840372764166544</v>
      </c>
      <c r="L29" s="188" cm="1">
        <f t="array" ref="L29">K29/(_xll.BDP(B29&amp;" Equity", "PREV_CLOSE_VAL")/_xll.BDP(C29&amp;" Equity", "PREV_CLOSE_VAL"))-1</f>
        <v>1.89381444631187E-3</v>
      </c>
      <c r="M29" s="188"/>
      <c r="N29" s="190">
        <f t="shared" ref="N29:N41" si="10">ABS(L29/O29)</f>
        <v>0.16164249283600296</v>
      </c>
      <c r="O29" s="191">
        <f>P29/15.87/100</f>
        <v>1.1716068052930058E-2</v>
      </c>
      <c r="P29" s="192" cm="1">
        <f t="array" ref="P29">_xll.BDP($A29&amp;" Index","VOLATILITY_30D")</f>
        <v>18.593399999999999</v>
      </c>
      <c r="Q29" s="192" cm="1">
        <f t="array" aca="1" ref="Q29" ca="1">(_xll.BDP(($B29&amp; " Equity"),"CORR_COEF", "BETA_OVERRIDE_REL_INDEX",($C29&amp; " Equity"),"BETA_OVERRIDE_END_DT",$Q$5,"BETA_OVERRIDE_START_DT",$Q$4))*100</f>
        <v>53.912292064677104</v>
      </c>
      <c r="R29" s="188"/>
      <c r="S29" s="188" cm="1">
        <f t="array" ref="S29">_xll.BDP($A29&amp;" Index","CHG_PCT_2D")/100</f>
        <v>1.1012559999999999E-2</v>
      </c>
      <c r="T29" s="188" cm="1">
        <f t="array" ref="T29">_xll.BDP($A29&amp;" Index","CHG_PCT_5D")/100</f>
        <v>1.622631E-3</v>
      </c>
      <c r="U29" s="188" cm="1">
        <f t="array" ref="U29">K29/_xll.BDP($A29&amp;" Index","HIGH_52WEEK")-1</f>
        <v>-9.2083223484147991E-2</v>
      </c>
      <c r="V29" s="188" cm="1">
        <f t="array" ref="V29">K29/_xll.BDP($A29&amp;" Index","LOW_52WEEK")-1</f>
        <v>0.14124197732298671</v>
      </c>
      <c r="W29" s="188"/>
      <c r="X29" s="192" cm="1">
        <f t="array" ref="X29">_xll.BDP($A29&amp;" Index","RSI_14D")</f>
        <v>50.290239999999997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1.5764199410224635</v>
      </c>
      <c r="AI29" s="196" cm="1">
        <f t="array" ref="AI29">(_xll.BDP(C29&amp;" Equity","SHORT_INT")/_xll.BDP(C29&amp;" Equity","VOLUME_AVG_90D"))</f>
        <v>17.136565830923402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-2.5614754098360559E-2</v>
      </c>
      <c r="AN29" s="194">
        <f ca="1">IF(ISTEXT(B29),AP29/_xll.BDH(B29 &amp;  " Equity","BEST_EPS",$AN$3,$AN$3,"BEST_FPERIOD_OVERRIDE=1BF","CDR=US","Fill=p")-1,"")</f>
        <v>5.8627087198515948E-2</v>
      </c>
      <c r="AO29" s="196">
        <f t="shared" ref="AO29:AO41" ca="1" si="14">G29/AP29</f>
        <v>12.55520504731861</v>
      </c>
      <c r="AP29" s="196" cm="1">
        <f t="array" aca="1" ref="AP29" ca="1">IF(ISTEXT(B29),_xll.BDH(B29 &amp;  " Equity","BEST_EPS",$Q$3,$Q$3,"BEST_FPERIOD_OVERRIDE=1BF","CDR=US","Fill=p"),"")</f>
        <v>2.8530000000000002</v>
      </c>
      <c r="AR29" s="194">
        <f ca="1">IF(ISTEXT(C29),AU29/_xll.BDH(C29 &amp;  " Equity","BEST_EPS",$AM$3,$AM$3,"BEST_FPERIOD_OVERRIDE=1BF","CDR=US","Fill=p")-1,"")</f>
        <v>-1.5024304021210688E-2</v>
      </c>
      <c r="AS29" s="194">
        <f ca="1">IF(ISTEXT(C29),AU29/_xll.BDH(C29 &amp;  " Equity","BEST_EPS",$AN$3,$AN$3,"BEST_FPERIOD_OVERRIDE=1BF","CDR=US","Fill=p")-1,"")</f>
        <v>-2.9603831084022647E-2</v>
      </c>
      <c r="AT29" s="196">
        <f t="shared" ref="AT29:AT41" ca="1" si="15">I29/AU29</f>
        <v>9.9491550770151029</v>
      </c>
      <c r="AU29" s="196" cm="1">
        <f t="array" aca="1" ref="AU29" ca="1">IF(ISTEXT(C29),_xll.BDH(C29 &amp;  " Equity","BEST_EPS",$Q$3,$Q$3,"BEST_FPERIOD_OVERRIDE=1BF","CDR=US","Fill=p"),"")</f>
        <v>6.6870000000000003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35.82</v>
      </c>
      <c r="H30" s="188" cm="1">
        <f t="array" ref="H30">G30/_xll.BDP(B30&amp;" Equity", "PREV_CLOSE_VAL")-1</f>
        <v>1.300904977375561E-2</v>
      </c>
      <c r="I30" s="187" cm="1">
        <f t="array" ref="I30">_xll.BDP(C30&amp;" Equity","LAST PRICE")</f>
        <v>74.349999999999994</v>
      </c>
      <c r="J30" s="188" cm="1">
        <f t="array" ref="J30">I30/_xll.BDP(C30&amp;" Equity", "PREV_CLOSE_VAL")-1</f>
        <v>1.5987974856517928E-2</v>
      </c>
      <c r="K30" s="189">
        <f t="shared" si="9"/>
        <v>0.4817753866845999</v>
      </c>
      <c r="L30" s="188" cm="1">
        <f t="array" ref="L30">K30/(_xll.BDP(B30&amp;" Equity", "PREV_CLOSE_VAL")/_xll.BDP(C30&amp;" Equity", "PREV_CLOSE_VAL"))-1</f>
        <v>-2.9320475797787182E-3</v>
      </c>
      <c r="M30" s="188"/>
      <c r="N30" s="190">
        <f>ABS(L30/O30)</f>
        <v>0.24761569685538451</v>
      </c>
      <c r="O30" s="191">
        <f>P30/15.87/100</f>
        <v>1.1841121613106491E-2</v>
      </c>
      <c r="P30" s="192" cm="1">
        <f t="array" ref="P30">_xll.BDP($A30&amp;" Index","VOLATILITY_30D")</f>
        <v>18.79186</v>
      </c>
      <c r="Q30" s="192" cm="1">
        <f t="array" aca="1" ref="Q30" ca="1">(_xll.BDP(($B30&amp; " Equity"),"CORR_COEF", "BETA_OVERRIDE_REL_INDEX",($C30&amp; " Equity"),"BETA_OVERRIDE_END_DT",$Q$5,"BETA_OVERRIDE_START_DT",$Q$4))*100</f>
        <v>64.316137866395479</v>
      </c>
      <c r="R30" s="188"/>
      <c r="S30" s="188" cm="1">
        <f t="array" ref="S30">_xll.BDP($A30&amp;" Index","CHG_PCT_2D")/100</f>
        <v>3.510736E-3</v>
      </c>
      <c r="T30" s="188" cm="1">
        <f t="array" ref="T30">_xll.BDP($A30&amp;" Index","CHG_PCT_5D")/100</f>
        <v>2.384851E-2</v>
      </c>
      <c r="U30" s="188" cm="1">
        <f t="array" ref="U30">K30/_xll.BDP($A30&amp;" Index","HIGH_52WEEK")-1</f>
        <v>-7.5961128764816532E-2</v>
      </c>
      <c r="V30" s="188" cm="1">
        <f t="array" ref="V30">K30/_xll.BDP($A30&amp;" Index","LOW_52WEEK")-1</f>
        <v>0.1417290013143111</v>
      </c>
      <c r="W30" s="188"/>
      <c r="X30" s="192" cm="1">
        <f t="array" ref="X30">_xll.BDP($A30&amp;" Index","RSI_14D")</f>
        <v>54.264760000000003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1.5764199410224635</v>
      </c>
      <c r="AI30" s="196" cm="1">
        <f t="array" ref="AI30">(_xll.BDP(C30&amp;" Equity","SHORT_INT")/_xll.BDP(C30&amp;" Equity","VOLUME_AVG_90D"))</f>
        <v>2.7819187291805867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-2.5614754098360559E-2</v>
      </c>
      <c r="AN30" s="194">
        <f ca="1">IF(ISTEXT(B30),AP30/_xll.BDH(B30 &amp;  " Equity","BEST_EPS",$AN$3,$AN$3,"BEST_FPERIOD_OVERRIDE=1BF","CDR=US","Fill=p")-1,"")</f>
        <v>5.8627087198515948E-2</v>
      </c>
      <c r="AO30" s="196">
        <f t="shared" ca="1" si="14"/>
        <v>12.55520504731861</v>
      </c>
      <c r="AP30" s="196" cm="1">
        <f t="array" aca="1" ref="AP30" ca="1">IF(ISTEXT(B30),_xll.BDH(B30 &amp;  " Equity","BEST_EPS",$Q$3,$Q$3,"BEST_FPERIOD_OVERRIDE=1BF","CDR=US","Fill=p"),"")</f>
        <v>2.8530000000000002</v>
      </c>
      <c r="AR30" s="194">
        <f ca="1">IF(ISTEXT(C30),AU30/_xll.BDH(C30 &amp;  " Equity","BEST_EPS",$AM$3,$AM$3,"BEST_FPERIOD_OVERRIDE=1BF","CDR=US","Fill=p")-1,"")</f>
        <v>-1.9120458891013214E-3</v>
      </c>
      <c r="AS30" s="194">
        <f ca="1">IF(ISTEXT(C30),AU30/_xll.BDH(C30 &amp;  " Equity","BEST_EPS",$AN$3,$AN$3,"BEST_FPERIOD_OVERRIDE=1BF","CDR=US","Fill=p")-1,"")</f>
        <v>2.8818443804035088E-3</v>
      </c>
      <c r="AT30" s="196">
        <f t="shared" ca="1" si="15"/>
        <v>11.869412515964239</v>
      </c>
      <c r="AU30" s="196" cm="1">
        <f t="array" aca="1" ref="AU30" ca="1">IF(ISTEXT(C30),_xll.BDH(C30 &amp;  " Equity","BEST_EPS",$Q$3,$Q$3,"BEST_FPERIOD_OVERRIDE=1BF","CDR=US","Fill=p"),"")</f>
        <v>6.2640000000000002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239.57</v>
      </c>
      <c r="H31" s="188" cm="1">
        <f t="array" ref="H31">G31/_xll.BDP(B31&amp;" Equity", "PREV_CLOSE_VAL")-1</f>
        <v>-6.1810337675267668E-3</v>
      </c>
      <c r="I31" s="187" cm="1">
        <f t="array" ref="I31">_xll.BDP(C31&amp;" Equity","LAST PRICE")</f>
        <v>619.54999999999995</v>
      </c>
      <c r="J31" s="188" cm="1">
        <f t="array" ref="J31">I31/_xll.BDP(C31&amp;" Equity", "PREV_CLOSE_VAL")-1</f>
        <v>-1.0682805314256583E-2</v>
      </c>
      <c r="K31" s="189">
        <f t="shared" si="9"/>
        <v>0.38668388346380439</v>
      </c>
      <c r="L31" s="188" cm="1">
        <f t="array" ref="L31">K31/(_xll.BDP(B31&amp;" Equity", "PREV_CLOSE_VAL")/_xll.BDP(C31&amp;" Equity", "PREV_CLOSE_VAL"))-1</f>
        <v>4.5503823959713863E-3</v>
      </c>
      <c r="M31" s="188"/>
      <c r="N31" s="190">
        <f t="shared" si="10"/>
        <v>0.19884163317943901</v>
      </c>
      <c r="O31" s="191">
        <f>P31/15.87/100</f>
        <v>2.2884454946439824E-2</v>
      </c>
      <c r="P31" s="192" cm="1">
        <f t="array" ref="P31">_xll.BDP($A31&amp;" Index","VOLATILITY_30D")</f>
        <v>36.317630000000001</v>
      </c>
      <c r="Q31" s="192" cm="1">
        <f t="array" aca="1" ref="Q31" ca="1">(_xll.BDP(($B31&amp; " Equity"),"CORR_COEF", "BETA_OVERRIDE_REL_INDEX",($C31&amp; " Equity"),"BETA_OVERRIDE_END_DT",$Q$5,"BETA_OVERRIDE_START_DT",$Q$4))*100</f>
        <v>40.845706813020207</v>
      </c>
      <c r="R31" s="188"/>
      <c r="S31" s="188" cm="1">
        <f t="array" ref="S31">_xll.BDP($A31&amp;" Index","CHG_PCT_2D")/100</f>
        <v>-6.8239190000000005E-2</v>
      </c>
      <c r="T31" s="188" cm="1">
        <f t="array" ref="T31">_xll.BDP($A31&amp;" Index","CHG_PCT_5D")/100</f>
        <v>-9.6329390000000001E-2</v>
      </c>
      <c r="U31" s="188" cm="1">
        <f t="array" ref="U31">K31/_xll.BDP($A31&amp;" Index","HIGH_52WEEK")-1</f>
        <v>-0.43943421599599253</v>
      </c>
      <c r="V31" s="188" cm="1">
        <f t="array" ref="V31">K31/_xll.BDP($A31&amp;" Index","LOW_52WEEK")-1</f>
        <v>4.1096019233763492E-2</v>
      </c>
      <c r="W31" s="188"/>
      <c r="X31" s="192" cm="1">
        <f t="array" ref="X31">_xll.BDP($A31&amp;" Index","RSI_14D")</f>
        <v>33.320079999999997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2.0268262462317042</v>
      </c>
      <c r="AI31" s="196" cm="1">
        <f t="array" ref="AI31">(_xll.BDP(C31&amp;" Equity","SHORT_INT")/_xll.BDP(C31&amp;" Equity","VOLUME_AVG_90D"))</f>
        <v>0.78084690567455362</v>
      </c>
      <c r="AJ31" s="196" cm="1">
        <f t="array" ref="AJ31">(_xll.BDP(B31&amp;" Equity","SHORT_INT"))/((_xll.BDP(B31&amp;" Equity","EQY_FREE_FLOAT_PCT"))*(_xll.BDP(B31&amp;" Equity","EQY_SH_OUT_TOT_MULT_SH")))/100</f>
        <v>1.8450547438555855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1.4262585768252345E-2</v>
      </c>
      <c r="AN31" s="194">
        <f ca="1">IF(ISTEXT(B31),AP31/_xll.BDH(B31 &amp;  " Equity","BEST_EPS",$AN$3,$AN$3,"BEST_FPERIOD_OVERRIDE=1BF","CDR=US","Fill=p")-1,"")</f>
        <v>6.968046182616483E-2</v>
      </c>
      <c r="AO31" s="196">
        <f t="shared" ca="1" si="14"/>
        <v>18.20994223168136</v>
      </c>
      <c r="AP31" s="196" cm="1">
        <f t="array" aca="1" ref="AP31" ca="1">IF(ISTEXT(B31),_xll.BDH(B31 &amp;  " Equity","BEST_EPS",$Q$3,$Q$3,"BEST_FPERIOD_OVERRIDE=1BF","CDR=US","Fill=p"),"")</f>
        <v>13.156000000000001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239.57</v>
      </c>
      <c r="H32" s="188" cm="1">
        <f t="array" ref="H32">G32/_xll.BDP(B32&amp;" Equity", "PREV_CLOSE_VAL")-1</f>
        <v>-6.1810337675267668E-3</v>
      </c>
      <c r="I32" s="187" cm="1">
        <f t="array" ref="I32">_xll.BDP(C32&amp;" Equity","LAST PRICE")</f>
        <v>101.07</v>
      </c>
      <c r="J32" s="188" cm="1">
        <f t="array" ref="J32">I32/_xll.BDP(C32&amp;" Equity", "PREV_CLOSE_VAL")-1</f>
        <v>-2.20609579100145E-2</v>
      </c>
      <c r="K32" s="189">
        <f t="shared" si="9"/>
        <v>2.3703373899277729</v>
      </c>
      <c r="L32" s="188" cm="1">
        <f t="array" ref="L32">K32/(_xll.BDP(B32&amp;" Equity", "PREV_CLOSE_VAL")/_xll.BDP(C32&amp;" Equity", "PREV_CLOSE_VAL"))-1</f>
        <v>1.6238153360305763E-2</v>
      </c>
      <c r="M32" s="188"/>
      <c r="N32" s="190">
        <f t="shared" si="10"/>
        <v>0.99136580557594334</v>
      </c>
      <c r="O32" s="191">
        <f t="shared" ref="O32:O55" si="17">P32/15.87/100</f>
        <v>1.6379577819785759E-2</v>
      </c>
      <c r="P32" s="192" cm="1">
        <f t="array" ref="P32">_xll.BDP($A32&amp;" Index","VOLATILITY_30D")</f>
        <v>25.994389999999999</v>
      </c>
      <c r="Q32" s="192" cm="1">
        <f t="array" aca="1" ref="Q32" ca="1">(_xll.BDP(($B32&amp; " Equity"),"CORR_COEF", "BETA_OVERRIDE_REL_INDEX",($C32&amp; " Equity"),"BETA_OVERRIDE_END_DT",$Q$5,"BETA_OVERRIDE_START_DT",$Q$4))*100</f>
        <v>70.12301245055842</v>
      </c>
      <c r="R32" s="188"/>
      <c r="S32" s="188" cm="1">
        <f t="array" ref="S32">_xll.BDP($A32&amp;" Index","CHG_PCT_2D")/100</f>
        <v>-3.9901810000000003E-2</v>
      </c>
      <c r="T32" s="188" cm="1">
        <f t="array" ref="T32">_xll.BDP($A32&amp;" Index","CHG_PCT_5D")/100</f>
        <v>-5.6239879999999999E-2</v>
      </c>
      <c r="U32" s="188" cm="1">
        <f t="array" ref="U32">K32/_xll.BDP($A32&amp;" Index","HIGH_52WEEK")-1</f>
        <v>-0.30862105870115886</v>
      </c>
      <c r="V32" s="188" cm="1">
        <f t="array" ref="V32">K32/_xll.BDP($A32&amp;" Index","LOW_52WEEK")-1</f>
        <v>0.15726133780277252</v>
      </c>
      <c r="W32" s="188"/>
      <c r="X32" s="192" cm="1">
        <f t="array" ref="X32">_xll.BDP($A32&amp;" Index","RSI_14D")</f>
        <v>37.985759999999999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2.0268262462317042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1.8450547438555855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1.4262585768252345E-2</v>
      </c>
      <c r="AN32" s="194">
        <f ca="1">IF(ISTEXT(B32),AP32/_xll.BDH(B32 &amp;  " Equity","BEST_EPS",$AN$3,$AN$3,"BEST_FPERIOD_OVERRIDE=1BF","CDR=US","Fill=p")-1,"")</f>
        <v>6.968046182616483E-2</v>
      </c>
      <c r="AO32" s="196">
        <f t="shared" ca="1" si="14"/>
        <v>18.20994223168136</v>
      </c>
      <c r="AP32" s="196" cm="1">
        <f t="array" aca="1" ref="AP32" ca="1">IF(ISTEXT(B32),_xll.BDH(B32 &amp;  " Equity","BEST_EPS",$Q$3,$Q$3,"BEST_FPERIOD_OVERRIDE=1BF","CDR=US","Fill=p"),"")</f>
        <v>13.156000000000001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615.52</v>
      </c>
      <c r="H33" s="188" cm="1">
        <f t="array" ref="H33">G33/_xll.BDP(B33&amp;" Equity", "PREV_CLOSE_VAL")-1</f>
        <v>-2.4671599930279453E-2</v>
      </c>
      <c r="I33" s="187" cm="1">
        <f t="array" ref="I33">_xll.BDP(C33&amp;" Equity","LAST PRICE")</f>
        <v>619.54999999999995</v>
      </c>
      <c r="J33" s="188" cm="1">
        <f t="array" ref="J33">I33/_xll.BDP(C33&amp;" Equity", "PREV_CLOSE_VAL")-1</f>
        <v>-1.0682805314256583E-2</v>
      </c>
      <c r="K33" s="189">
        <f t="shared" si="9"/>
        <v>0.99349527883140998</v>
      </c>
      <c r="L33" s="188" cm="1">
        <f t="array" ref="L33">K33/(_xll.BDP(B33&amp;" Equity", "PREV_CLOSE_VAL")/_xll.BDP(C33&amp;" Equity", "PREV_CLOSE_VAL"))-1</f>
        <v>-1.4139847857861598E-2</v>
      </c>
      <c r="M33" s="188"/>
      <c r="N33" s="190">
        <f t="shared" si="10"/>
        <v>1.1030330321166524</v>
      </c>
      <c r="O33" s="191">
        <f t="shared" si="17"/>
        <v>1.2819061121613106E-2</v>
      </c>
      <c r="P33" s="192" cm="1">
        <f t="array" ref="P33">_xll.BDP($A33&amp;" Index","VOLATILITY_30D")</f>
        <v>20.34385</v>
      </c>
      <c r="Q33" s="192" cm="1">
        <f t="array" aca="1" ref="Q33" ca="1">(_xll.BDP(($B33&amp; " Equity"),"CORR_COEF", "BETA_OVERRIDE_REL_INDEX",($C33&amp; " Equity"),"BETA_OVERRIDE_END_DT",$Q$5,"BETA_OVERRIDE_START_DT",$Q$4))*100</f>
        <v>40.624854173516681</v>
      </c>
      <c r="R33" s="188"/>
      <c r="S33" s="188" cm="1">
        <f t="array" ref="S33">_xll.BDP($A33&amp;" Index","CHG_PCT_2D")/100</f>
        <v>-2.3434979999999998E-2</v>
      </c>
      <c r="T33" s="188" cm="1">
        <f t="array" ref="T33">_xll.BDP($A33&amp;" Index","CHG_PCT_5D")/100</f>
        <v>-3.8405670000000003E-2</v>
      </c>
      <c r="U33" s="188" cm="1">
        <f t="array" ref="U33">K33/_xll.BDP($A33&amp;" Index","HIGH_52WEEK")-1</f>
        <v>-0.27814046441080442</v>
      </c>
      <c r="V33" s="188" cm="1">
        <f t="array" ref="V33">K33/_xll.BDP($A33&amp;" Index","LOW_52WEEK")-1</f>
        <v>1.3181393303292932E-2</v>
      </c>
      <c r="W33" s="188"/>
      <c r="X33" s="192" cm="1">
        <f t="array" ref="X33">_xll.BDP($A33&amp;" Index","RSI_14D")</f>
        <v>32.611170000000001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2.0192571587017509</v>
      </c>
      <c r="AI33" s="196" cm="1">
        <f t="array" ref="AI33">(_xll.BDP(C33&amp;" Equity","SHORT_INT")/_xll.BDP(C33&amp;" Equity","VOLUME_AVG_90D"))</f>
        <v>0.78084690567455362</v>
      </c>
      <c r="AJ33" s="196" cm="1">
        <f t="array" ref="AJ33">(_xll.BDP(B33&amp;" Equity","SHORT_INT"))/((_xll.BDP(B33&amp;" Equity","EQY_FREE_FLOAT_PCT"))*(_xll.BDP(B33&amp;" Equity","EQY_SH_OUT_TOT_MULT_SH")))/100</f>
        <v>1.315029992310595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2.4393189228353984E-2</v>
      </c>
      <c r="AN33" s="194">
        <f ca="1">IF(ISTEXT(B33),AP33/_xll.BDH(B33 &amp;  " Equity","BEST_EPS",$AN$3,$AN$3,"BEST_FPERIOD_OVERRIDE=1BF","CDR=US","Fill=p")-1,"")</f>
        <v>-1.6207126496767255E-2</v>
      </c>
      <c r="AO33" s="196">
        <f t="shared" ca="1" si="14"/>
        <v>18.139809029824352</v>
      </c>
      <c r="AP33" s="196" cm="1">
        <f t="array" aca="1" ref="AP33" ca="1">IF(ISTEXT(B33),_xll.BDH(B33 &amp;  " Equity","BEST_EPS",$Q$3,$Q$3,"BEST_FPERIOD_OVERRIDE=1BF","CDR=US","Fill=p"),"")</f>
        <v>33.932000000000002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327.11</v>
      </c>
      <c r="H34" s="188" cm="1">
        <f t="array" ref="H34">G34/_xll.BDP(B34&amp;" Equity", "PREV_CLOSE_VAL")-1</f>
        <v>-1.2378853295492154E-2</v>
      </c>
      <c r="I34" s="187" cm="1">
        <f t="array" ref="I34">_xll.BDP(C34&amp;" Equity","LAST PRICE")</f>
        <v>388.35</v>
      </c>
      <c r="J34" s="188" cm="1">
        <f t="array" ref="J34">I34/_xll.BDP(C34&amp;" Equity", "PREV_CLOSE_VAL")-1</f>
        <v>-8.1219829898090401E-3</v>
      </c>
      <c r="K34" s="189">
        <f t="shared" si="9"/>
        <v>0.84230719711600355</v>
      </c>
      <c r="L34" s="188" cm="1">
        <f t="array" ref="L34">K34/(_xll.BDP(B34&amp;" Equity", "PREV_CLOSE_VAL")/_xll.BDP(C34&amp;" Equity", "PREV_CLOSE_VAL"))-1</f>
        <v>-4.2917276446096109E-3</v>
      </c>
      <c r="M34" s="188"/>
      <c r="N34" s="190">
        <f t="shared" si="10"/>
        <v>0.43096914815032111</v>
      </c>
      <c r="O34" s="191">
        <f t="shared" si="17"/>
        <v>9.9583175803402649E-3</v>
      </c>
      <c r="P34" s="192" cm="1">
        <f t="array" ref="P34">_xll.BDP($A34&amp;" Index","VOLATILITY_30D")</f>
        <v>15.803850000000001</v>
      </c>
      <c r="Q34" s="192" cm="1">
        <f t="array" aca="1" ref="Q34" ca="1">(_xll.BDP(($B34&amp; " Equity"),"CORR_COEF", "BETA_OVERRIDE_REL_INDEX",($C34&amp; " Equity"),"BETA_OVERRIDE_END_DT",$Q$5,"BETA_OVERRIDE_START_DT",$Q$4))*100</f>
        <v>81.011714740684681</v>
      </c>
      <c r="R34" s="188"/>
      <c r="S34" s="188" cm="1">
        <f t="array" ref="S34">_xll.BDP($A34&amp;" Index","CHG_PCT_2D")/100</f>
        <v>-5.3989670000000002E-3</v>
      </c>
      <c r="T34" s="188" cm="1">
        <f t="array" ref="T34">_xll.BDP($A34&amp;" Index","CHG_PCT_5D")/100</f>
        <v>2.0505930000000002E-2</v>
      </c>
      <c r="U34" s="188" cm="1">
        <f t="array" ref="U34">K34/_xll.BDP($A34&amp;" Index","HIGH_52WEEK")-1</f>
        <v>-5.5222203023976957E-2</v>
      </c>
      <c r="V34" s="188" cm="1">
        <f t="array" ref="V34">K34/_xll.BDP($A34&amp;" Index","LOW_52WEEK")-1</f>
        <v>0.11863156672953279</v>
      </c>
      <c r="W34" s="188"/>
      <c r="X34" s="192" cm="1">
        <f t="array" ref="X34">_xll.BDP($A34&amp;" Index","RSI_14D")</f>
        <v>56.617269999999998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1.8924475827126281</v>
      </c>
      <c r="AI34" s="196" cm="1">
        <f t="array" ref="AI34">(_xll.BDP(C34&amp;" Equity","SHORT_INT")/_xll.BDP(C34&amp;" Equity","VOLUME_AVG_90D"))</f>
        <v>1.2263346946401568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4.9351919005151235E-2</v>
      </c>
      <c r="AN34" s="194">
        <f ca="1">IF(ISTEXT(B34),AP34/_xll.BDH(B34 &amp;  " Equity","BEST_EPS",$AN$3,$AN$3,"BEST_FPERIOD_OVERRIDE=1BF","CDR=US","Fill=p")-1,"")</f>
        <v>0.15200158657015028</v>
      </c>
      <c r="AO34" s="196">
        <f t="shared" ca="1" si="14"/>
        <v>0.82813496845537682</v>
      </c>
      <c r="AP34" s="196" cm="1">
        <f t="array" aca="1" ref="AP34" ca="1">IF(ISTEXT(B34),_xll.BDH(B34 &amp;  " Equity","BEST_EPS",$Q$3,$Q$3,"BEST_FPERIOD_OVERRIDE=1BF","CDR=US","Fill=p"),"")</f>
        <v>394.99599999999998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183.14</v>
      </c>
      <c r="H35" s="188" cm="1">
        <f t="array" ref="H35">G35/_xll.BDP(B35&amp;" Equity", "PREV_CLOSE_VAL")-1</f>
        <v>-1.4369517248802643E-2</v>
      </c>
      <c r="I35" s="187" cm="1">
        <f t="array" ref="I35">_xll.BDP(C35&amp;" Equity","LAST PRICE")</f>
        <v>388.35</v>
      </c>
      <c r="J35" s="188" cm="1">
        <f t="array" ref="J35">I35/_xll.BDP(C35&amp;" Equity", "PREV_CLOSE_VAL")-1</f>
        <v>-8.1219829898090401E-3</v>
      </c>
      <c r="K35" s="189">
        <f t="shared" si="9"/>
        <v>0.47158491051886181</v>
      </c>
      <c r="L35" s="188" cm="1">
        <f t="array" ref="L35">K35/(_xll.BDP(B35&amp;" Equity", "PREV_CLOSE_VAL")/_xll.BDP(C35&amp;" Equity", "PREV_CLOSE_VAL"))-1</f>
        <v>-6.298692129325878E-3</v>
      </c>
      <c r="M35" s="188"/>
      <c r="N35" s="190">
        <f t="shared" si="10"/>
        <v>0.42566777253317556</v>
      </c>
      <c r="O35" s="191">
        <f t="shared" si="17"/>
        <v>1.4797202268431004E-2</v>
      </c>
      <c r="P35" s="192" cm="1">
        <f t="array" ref="P35">_xll.BDP($A35&amp;" Index","VOLATILITY_30D")</f>
        <v>23.483160000000002</v>
      </c>
      <c r="Q35" s="192" cm="1">
        <f t="array" aca="1" ref="Q35" ca="1">(_xll.BDP(($B35&amp; " Equity"),"CORR_COEF", "BETA_OVERRIDE_REL_INDEX",($C35&amp; " Equity"),"BETA_OVERRIDE_END_DT",$Q$5,"BETA_OVERRIDE_START_DT",$Q$4))*100</f>
        <v>58.210063206318686</v>
      </c>
      <c r="R35" s="188"/>
      <c r="S35" s="188" cm="1">
        <f t="array" ref="S35">_xll.BDP($A35&amp;" Index","CHG_PCT_2D")/100</f>
        <v>-3.3671030000000002E-3</v>
      </c>
      <c r="T35" s="188" cm="1">
        <f t="array" ref="T35">_xll.BDP($A35&amp;" Index","CHG_PCT_5D")/100</f>
        <v>-3.941472E-2</v>
      </c>
      <c r="U35" s="188" cm="1">
        <f t="array" ref="U35">K35/_xll.BDP($A35&amp;" Index","HIGH_52WEEK")-1</f>
        <v>-0.24665743778836435</v>
      </c>
      <c r="V35" s="188" cm="1">
        <f t="array" ref="V35">K35/_xll.BDP($A35&amp;" Index","LOW_52WEEK")-1</f>
        <v>-3.8341560649306494E-3</v>
      </c>
      <c r="W35" s="188"/>
      <c r="X35" s="192" cm="1">
        <f t="array" ref="X35">_xll.BDP($A35&amp;" Index","RSI_14D")</f>
        <v>32.7624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1.4057915452077652</v>
      </c>
      <c r="AI35" s="196" cm="1">
        <f t="array" ref="AI35">(_xll.BDP(C35&amp;" Equity","SHORT_INT")/_xll.BDP(C35&amp;" Equity","VOLUME_AVG_90D"))</f>
        <v>1.2263346946401568</v>
      </c>
      <c r="AJ35" s="196" cm="1">
        <f t="array" ref="AJ35">(_xll.BDP(B35&amp;" Equity","SHORT_INT"))/((_xll.BDP(B35&amp;" Equity","EQY_FREE_FLOAT_PCT"))*(_xll.BDP(B35&amp;" Equity","EQY_SH_OUT_TOT_MULT_SH")))/100</f>
        <v>1.0985610035169553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4.281387665198233E-2</v>
      </c>
      <c r="AN35" s="194">
        <f ca="1">IF(ISTEXT(B35),AP35/_xll.BDH(B35 &amp;  " Equity","BEST_EPS",$AN$3,$AN$3,"BEST_FPERIOD_OVERRIDE=1BF","CDR=US","Fill=p")-1,"")</f>
        <v>0.29731118342181873</v>
      </c>
      <c r="AO35" s="196">
        <f t="shared" ca="1" si="14"/>
        <v>24.176897689768975</v>
      </c>
      <c r="AP35" s="196" cm="1">
        <f t="array" aca="1" ref="AP35" ca="1">IF(ISTEXT(B35),_xll.BDH(B35 &amp;  " Equity","BEST_EPS",$Q$3,$Q$3,"BEST_FPERIOD_OVERRIDE=1BF","CDR=US","Fill=p"),"")</f>
        <v>7.5750000000000002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339.89</v>
      </c>
      <c r="H36" s="188" cm="1">
        <f t="array" ref="H36">G36/_xll.BDP(B36&amp;" Equity", "PREV_CLOSE_VAL")-1</f>
        <v>-4.15103916979217E-2</v>
      </c>
      <c r="I36" s="187" cm="1">
        <f t="array" ref="I36">_xll.BDP(C36&amp;" Equity","LAST PRICE")</f>
        <v>388.35</v>
      </c>
      <c r="J36" s="188" cm="1">
        <f t="array" ref="J36">I36/_xll.BDP(C36&amp;" Equity", "PREV_CLOSE_VAL")-1</f>
        <v>-8.1219829898090401E-3</v>
      </c>
      <c r="K36" s="189">
        <f t="shared" si="9"/>
        <v>0.87521565598042994</v>
      </c>
      <c r="L36" s="188" cm="1">
        <f t="array" ref="L36">K36/(_xll.BDP(B36&amp;" Equity", "PREV_CLOSE_VAL")/_xll.BDP(C36&amp;" Equity", "PREV_CLOSE_VAL"))-1</f>
        <v>-3.3661809351068217E-2</v>
      </c>
      <c r="M36" s="188"/>
      <c r="N36" s="190">
        <f t="shared" si="10"/>
        <v>1.5449748735128028</v>
      </c>
      <c r="O36" s="191">
        <f t="shared" si="17"/>
        <v>2.1787933207309387E-2</v>
      </c>
      <c r="P36" s="192" cm="1">
        <f t="array" ref="P36">_xll.BDP($A36&amp;" Index","VOLATILITY_30D")</f>
        <v>34.577449999999999</v>
      </c>
      <c r="Q36" s="192" cm="1">
        <f t="array" aca="1" ref="Q36" ca="1">(_xll.BDP(($B36&amp; " Equity"),"CORR_COEF", "BETA_OVERRIDE_REL_INDEX",($C36&amp; " Equity"),"BETA_OVERRIDE_END_DT",$Q$5,"BETA_OVERRIDE_START_DT",$Q$4))*100</f>
        <v>60.431188618752373</v>
      </c>
      <c r="R36" s="188"/>
      <c r="S36" s="188" cm="1">
        <f t="array" ref="S36">_xll.BDP($A36&amp;" Index","CHG_PCT_2D")/100</f>
        <v>-2.7492719999999998E-2</v>
      </c>
      <c r="T36" s="188" cm="1">
        <f t="array" ref="T36">_xll.BDP($A36&amp;" Index","CHG_PCT_5D")/100</f>
        <v>-1.7229390000000001E-2</v>
      </c>
      <c r="U36" s="188" cm="1">
        <f t="array" ref="U36">K36/_xll.BDP($A36&amp;" Index","HIGH_52WEEK")-1</f>
        <v>-0.28757374360567356</v>
      </c>
      <c r="V36" s="188" cm="1">
        <f t="array" ref="V36">K36/_xll.BDP($A36&amp;" Index","LOW_52WEEK")-1</f>
        <v>0.11139907297925045</v>
      </c>
      <c r="W36" s="188"/>
      <c r="X36" s="192" cm="1">
        <f t="array" ref="X36">_xll.BDP($A36&amp;" Index","RSI_14D")</f>
        <v>35.959609999999998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1.9461277524386145</v>
      </c>
      <c r="AI36" s="196" cm="1">
        <f t="array" ref="AI36">(_xll.BDP(C36&amp;" Equity","SHORT_INT")/_xll.BDP(C36&amp;" Equity","VOLUME_AVG_90D"))</f>
        <v>1.2263346946401568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3.6601810826430548E-2</v>
      </c>
      <c r="AN36" s="194">
        <f ca="1">IF(ISTEXT(B36),AP36/_xll.BDH(B36 &amp;  " Equity","BEST_EPS",$AN$3,$AN$3,"BEST_FPERIOD_OVERRIDE=1BF","CDR=US","Fill=p")-1,"")</f>
        <v>0.17207580047919846</v>
      </c>
      <c r="AO36" s="196">
        <f t="shared" ca="1" si="14"/>
        <v>31.582419624605091</v>
      </c>
      <c r="AP36" s="196" cm="1">
        <f t="array" aca="1" ref="AP36" ca="1">IF(ISTEXT(B36),_xll.BDH(B36 &amp;  " Equity","BEST_EPS",$Q$3,$Q$3,"BEST_FPERIOD_OVERRIDE=1BF","CDR=US","Fill=p"),"")</f>
        <v>10.762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81.209999999999994</v>
      </c>
      <c r="H37" s="188" cm="1">
        <f t="array" ref="H37">G37/_xll.BDP(B37&amp;" Equity", "PREV_CLOSE_VAL")-1</f>
        <v>-2.2155328115593065E-2</v>
      </c>
      <c r="I37" s="187" cm="1">
        <f t="array" ref="I37">_xll.BDP(C37&amp;" Equity","LAST PRICE")</f>
        <v>388.35</v>
      </c>
      <c r="J37" s="188" cm="1">
        <f t="array" ref="J37">I37/_xll.BDP(C37&amp;" Equity", "PREV_CLOSE_VAL")-1</f>
        <v>-8.1219829898090401E-3</v>
      </c>
      <c r="K37" s="189">
        <f t="shared" si="9"/>
        <v>0.20911548860563922</v>
      </c>
      <c r="L37" s="188" cm="1">
        <f t="array" ref="L37">K37/(_xll.BDP(B37&amp;" Equity", "PREV_CLOSE_VAL")/_xll.BDP(C37&amp;" Equity", "PREV_CLOSE_VAL"))-1</f>
        <v>-1.4148257028706479E-2</v>
      </c>
      <c r="M37" s="188"/>
      <c r="N37" s="190">
        <f t="shared" si="10"/>
        <v>0.52547696511477082</v>
      </c>
      <c r="O37" s="191">
        <f t="shared" si="17"/>
        <v>2.6924599873976059E-2</v>
      </c>
      <c r="P37" s="192" cm="1">
        <f t="array" ref="P37">_xll.BDP($A37&amp;" Index","VOLATILITY_30D")</f>
        <v>42.729340000000001</v>
      </c>
      <c r="Q37" s="192" cm="1">
        <f t="array" aca="1" ref="Q37" ca="1">(_xll.BDP(($B37&amp; " Equity"),"CORR_COEF", "BETA_OVERRIDE_REL_INDEX",($C37&amp; " Equity"),"BETA_OVERRIDE_END_DT",$Q$5,"BETA_OVERRIDE_START_DT",$Q$4))*100</f>
        <v>69.2560329286231</v>
      </c>
      <c r="R37" s="188"/>
      <c r="S37" s="188" cm="1">
        <f t="array" ref="S37">_xll.BDP($A37&amp;" Index","CHG_PCT_2D")/100</f>
        <v>-2.6107149999999999E-2</v>
      </c>
      <c r="T37" s="188" cm="1">
        <f t="array" ref="T37">_xll.BDP($A37&amp;" Index","CHG_PCT_5D")/100</f>
        <v>-6.0012450000000002E-2</v>
      </c>
      <c r="U37" s="188" cm="1">
        <f t="array" ref="U37">K37/_xll.BDP($A37&amp;" Index","HIGH_52WEEK")-1</f>
        <v>-0.56713829723527387</v>
      </c>
      <c r="V37" s="188" cm="1">
        <f t="array" ref="V37">K37/_xll.BDP($A37&amp;" Index","LOW_52WEEK")-1</f>
        <v>-1.4164206083164155E-2</v>
      </c>
      <c r="W37" s="188"/>
      <c r="X37" s="192" cm="1">
        <f t="array" ref="X37">_xll.BDP($A37&amp;" Index","RSI_14D")</f>
        <v>28.64714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2.0627673833249958</v>
      </c>
      <c r="AI37" s="196" cm="1">
        <f t="array" ref="AI37">(_xll.BDP(C37&amp;" Equity","SHORT_INT")/_xll.BDP(C37&amp;" Equity","VOLUME_AVG_90D"))</f>
        <v>1.2263346946401568</v>
      </c>
      <c r="AJ37" s="196" cm="1">
        <f t="array" ref="AJ37">(_xll.BDP(B37&amp;" Equity","SHORT_INT"))/((_xll.BDP(B37&amp;" Equity","EQY_FREE_FLOAT_PCT"))*(_xll.BDP(B37&amp;" Equity","EQY_SH_OUT_TOT_MULT_SH")))/100</f>
        <v>4.5784632137618599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1.9821890261419117E-2</v>
      </c>
      <c r="AN37" s="194">
        <f ca="1">IF(ISTEXT(B37),AP37/_xll.BDH(B37 &amp;  " Equity","BEST_EPS",$AN$3,$AN$3,"BEST_FPERIOD_OVERRIDE=1BF","CDR=US","Fill=p")-1,"")</f>
        <v>0.10488639900404606</v>
      </c>
      <c r="AO37" s="196">
        <f t="shared" ca="1" si="14"/>
        <v>22.876056338028167</v>
      </c>
      <c r="AP37" s="196" cm="1">
        <f t="array" aca="1" ref="AP37" ca="1">IF(ISTEXT(B37),_xll.BDH(B37 &amp;  " Equity","BEST_EPS",$Q$3,$Q$3,"BEST_FPERIOD_OVERRIDE=1BF","CDR=US","Fill=p"),"")</f>
        <v>3.55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546.82000000000005</v>
      </c>
      <c r="H38" s="188" cm="1">
        <f t="array" ref="H38">G38/_xll.BDP(B38&amp;" Equity", "PREV_CLOSE_VAL")-1</f>
        <v>3.3578597772436769E-3</v>
      </c>
      <c r="I38" s="187" cm="1">
        <f t="array" ref="I38">_xll.BDP(C38&amp;" Equity","LAST PRICE")</f>
        <v>198.68</v>
      </c>
      <c r="J38" s="188" cm="1">
        <f t="array" ref="J38">I38/_xll.BDP(C38&amp;" Equity", "PREV_CLOSE_VAL")-1</f>
        <v>4.550510668419383E-3</v>
      </c>
      <c r="K38" s="189">
        <f t="shared" si="9"/>
        <v>2.7522649486611637</v>
      </c>
      <c r="L38" s="188" cm="1">
        <f t="array" ref="L38">K38/(_xll.BDP(B38&amp;" Equity", "PREV_CLOSE_VAL")/_xll.BDP(C38&amp;" Equity", "PREV_CLOSE_VAL"))-1</f>
        <v>-1.1872483050974214E-3</v>
      </c>
      <c r="M38" s="188"/>
      <c r="N38" s="190">
        <f t="shared" si="10"/>
        <v>8.6152190869554626E-2</v>
      </c>
      <c r="O38" s="191">
        <f t="shared" si="17"/>
        <v>1.3780825456836801E-2</v>
      </c>
      <c r="P38" s="192" cm="1">
        <f t="array" ref="P38">_xll.BDP($A38&amp;" Index","VOLATILITY_30D")</f>
        <v>21.870170000000002</v>
      </c>
      <c r="Q38" s="192" cm="1">
        <f t="array" aca="1" ref="Q38" ca="1">(_xll.BDP(($B38&amp; " Equity"),"CORR_COEF", "BETA_OVERRIDE_REL_INDEX",($C38&amp; " Equity"),"BETA_OVERRIDE_END_DT",$Q$5,"BETA_OVERRIDE_START_DT",$Q$4))*100</f>
        <v>74.825279441890558</v>
      </c>
      <c r="R38" s="188"/>
      <c r="S38" s="188" cm="1">
        <f t="array" ref="S38">_xll.BDP($A38&amp;" Index","CHG_PCT_2D")/100</f>
        <v>-3.6948759999999997E-2</v>
      </c>
      <c r="T38" s="188" cm="1">
        <f t="array" ref="T38">_xll.BDP($A38&amp;" Index","CHG_PCT_5D")/100</f>
        <v>-7.381712E-2</v>
      </c>
      <c r="U38" s="188" cm="1">
        <f t="array" ref="U38">K38/_xll.BDP($A38&amp;" Index","HIGH_52WEEK")-1</f>
        <v>-0.17079473461322636</v>
      </c>
      <c r="V38" s="188" cm="1">
        <f t="array" ref="V38">K38/_xll.BDP($A38&amp;" Index","LOW_52WEEK")-1</f>
        <v>-1.1885334050081298E-3</v>
      </c>
      <c r="W38" s="188"/>
      <c r="X38" s="192" cm="1">
        <f t="array" ref="X38">_xll.BDP($A38&amp;" Index","RSI_14D")</f>
        <v>28.164190000000001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2.3212241454498175</v>
      </c>
      <c r="AI38" s="196" cm="1">
        <f t="array" ref="AI38">(_xll.BDP(C38&amp;" Equity","SHORT_INT")/_xll.BDP(C38&amp;" Equity","VOLUME_AVG_90D"))</f>
        <v>3.1118767396296247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1.3158587294068047E-2</v>
      </c>
      <c r="AN38" s="194">
        <f ca="1">IF(ISTEXT(B38),AP38/_xll.BDH(B38 &amp;  " Equity","BEST_EPS",$AN$3,$AN$3,"BEST_FPERIOD_OVERRIDE=1BF","CDR=US","Fill=p")-1,"")</f>
        <v>4.614130434782604E-2</v>
      </c>
      <c r="AO38" s="196">
        <f t="shared" ca="1" si="14"/>
        <v>28.407709491402155</v>
      </c>
      <c r="AP38" s="196" cm="1">
        <f t="array" aca="1" ref="AP38" ca="1">IF(ISTEXT(B38),_xll.BDH(B38 &amp;  " Equity","BEST_EPS",$Q$3,$Q$3,"BEST_FPERIOD_OVERRIDE=1BF","CDR=US","Fill=p"),"")</f>
        <v>19.248999999999999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329.17</v>
      </c>
      <c r="H39" s="188" cm="1">
        <f t="array" ref="H39">G39/_xll.BDP(B39&amp;" Equity", "PREV_CLOSE_VAL")-1</f>
        <v>3.934366231548081E-3</v>
      </c>
      <c r="I39" s="187" cm="1">
        <f t="array" ref="I39">_xll.BDP(C39&amp;" Equity","LAST PRICE")</f>
        <v>198.68</v>
      </c>
      <c r="J39" s="188" cm="1">
        <f t="array" ref="J39">I39/_xll.BDP(C39&amp;" Equity", "PREV_CLOSE_VAL")-1</f>
        <v>4.550510668419383E-3</v>
      </c>
      <c r="K39" s="189">
        <f t="shared" si="9"/>
        <v>1.656784779544997</v>
      </c>
      <c r="L39" s="188" cm="1">
        <f t="array" ref="L39">K39/(_xll.BDP(B39&amp;" Equity", "PREV_CLOSE_VAL")/_xll.BDP(C39&amp;" Equity", "PREV_CLOSE_VAL"))-1</f>
        <v>-6.1335336583645539E-4</v>
      </c>
      <c r="M39" s="188"/>
      <c r="N39" s="190">
        <f t="shared" si="10"/>
        <v>3.8334479685289718E-2</v>
      </c>
      <c r="O39" s="191">
        <f>P39/15.87/100</f>
        <v>1.6000044108380594E-2</v>
      </c>
      <c r="P39" s="192" cm="1">
        <f t="array" ref="P39">_xll.BDP($A39&amp;" Index","VOLATILITY_30D")</f>
        <v>25.39207</v>
      </c>
      <c r="Q39" s="192" cm="1">
        <f t="array" aca="1" ref="Q39" ca="1">(_xll.BDP(($B39&amp; " Equity"),"CORR_COEF", "BETA_OVERRIDE_REL_INDEX",($C39&amp; " Equity"),"BETA_OVERRIDE_END_DT",$Q$5,"BETA_OVERRIDE_START_DT",$Q$4))*100</f>
        <v>68.996789128665554</v>
      </c>
      <c r="R39" s="188"/>
      <c r="S39" s="188" cm="1">
        <f t="array" ref="S39">_xll.BDP($A39&amp;" Index","CHG_PCT_2D")/100</f>
        <v>-4.2979700000000003E-2</v>
      </c>
      <c r="T39" s="188" cm="1">
        <f t="array" ref="T39">_xll.BDP($A39&amp;" Index","CHG_PCT_5D")/100</f>
        <v>-9.1031000000000001E-2</v>
      </c>
      <c r="U39" s="188" cm="1">
        <f t="array" ref="U39">K39/_xll.BDP($A39&amp;" Index","HIGH_52WEEK")-1</f>
        <v>-0.20513882873722167</v>
      </c>
      <c r="V39" s="188" cm="1">
        <f t="array" ref="V39">K39/_xll.BDP($A39&amp;" Index","LOW_52WEEK")-1</f>
        <v>-6.123901888062111E-4</v>
      </c>
      <c r="W39" s="188"/>
      <c r="X39" s="192" cm="1">
        <f t="array" ref="X39">_xll.BDP($A39&amp;" Index","RSI_14D")</f>
        <v>25.807590000000001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3.6294450708249677</v>
      </c>
      <c r="AI39" s="196" cm="1">
        <f t="array" ref="AI39">(_xll.BDP(C39&amp;" Equity","SHORT_INT")/_xll.BDP(C39&amp;" Equity","VOLUME_AVG_90D"))</f>
        <v>3.1118767396296247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1.0202527790467597E-2</v>
      </c>
      <c r="AN39" s="194">
        <f ca="1">IF(ISTEXT(B39),AP39/_xll.BDH(B39 &amp;  " Equity","BEST_EPS",$AN$3,$AN$3,"BEST_FPERIOD_OVERRIDE=1BF","CDR=US","Fill=p")-1,"")</f>
        <v>2.7650840368677931E-2</v>
      </c>
      <c r="AO39" s="196">
        <f t="shared" ca="1" si="14"/>
        <v>24.809315646668676</v>
      </c>
      <c r="AP39" s="196" cm="1">
        <f t="array" aca="1" ref="AP39" ca="1">IF(ISTEXT(B39),_xll.BDH(B39 &amp;  " Equity","BEST_EPS",$Q$3,$Q$3,"BEST_FPERIOD_OVERRIDE=1BF","CDR=US","Fill=p"),"")</f>
        <v>13.268000000000001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546.82000000000005</v>
      </c>
      <c r="H40" s="188" cm="1">
        <f t="array" ref="H40">G40/_xll.BDP(B40&amp;" Equity", "PREV_CLOSE_VAL")-1</f>
        <v>3.3578597772436769E-3</v>
      </c>
      <c r="I40" s="187" cm="1">
        <f t="array" ref="I40">_xll.BDP(C40&amp;" Equity","LAST PRICE")</f>
        <v>329.17</v>
      </c>
      <c r="J40" s="188" cm="1">
        <f t="array" ref="J40">I40/_xll.BDP(C40&amp;" Equity", "PREV_CLOSE_VAL")-1</f>
        <v>3.934366231548081E-3</v>
      </c>
      <c r="K40" s="189">
        <f t="shared" si="9"/>
        <v>1.6612084940911991</v>
      </c>
      <c r="L40" s="188" cm="1">
        <f t="array" ref="L40">K40/(_xll.BDP(B40&amp;" Equity", "PREV_CLOSE_VAL")/_xll.BDP(C40&amp;" Equity", "PREV_CLOSE_VAL"))-1</f>
        <v>-5.7424715568654694E-4</v>
      </c>
      <c r="M40" s="188"/>
      <c r="N40" s="190">
        <f t="shared" si="10"/>
        <v>8.4882845075975669E-2</v>
      </c>
      <c r="O40" s="191">
        <f>P40/15.87/100</f>
        <v>6.7651732829237567E-3</v>
      </c>
      <c r="P40" s="192" cm="1">
        <f t="array" ref="P40">_xll.BDP($A40&amp;" Index","VOLATILITY_30D")</f>
        <v>10.736330000000001</v>
      </c>
      <c r="Q40" s="192" cm="1">
        <f t="array" aca="1" ref="Q40" ca="1">(_xll.BDP(($B40&amp; " Equity"),"CORR_COEF", "BETA_OVERRIDE_REL_INDEX",($C40&amp; " Equity"),"BETA_OVERRIDE_END_DT",$Q$5,"BETA_OVERRIDE_START_DT",$Q$4))*100</f>
        <v>79.869568243930573</v>
      </c>
      <c r="R40" s="188"/>
      <c r="S40" s="188" cm="1">
        <f t="array" ref="S40">_xll.BDP($A40&amp;" Index","CHG_PCT_2D")/100</f>
        <v>6.3030299999999994E-3</v>
      </c>
      <c r="T40" s="188" cm="1">
        <f t="array" ref="T40">_xll.BDP($A40&amp;" Index","CHG_PCT_5D")/100</f>
        <v>1.8939109999999999E-2</v>
      </c>
      <c r="U40" s="188" cm="1">
        <f t="array" ref="U40">K40/_xll.BDP($A40&amp;" Index","HIGH_52WEEK")-1</f>
        <v>-4.1398485766352744E-2</v>
      </c>
      <c r="V40" s="188" cm="1">
        <f t="array" ref="V40">K40/_xll.BDP($A40&amp;" Index","LOW_52WEEK")-1</f>
        <v>8.6531250427558826E-2</v>
      </c>
      <c r="W40" s="188"/>
      <c r="X40" s="192" cm="1">
        <f t="array" ref="X40">_xll.BDP($A40&amp;" Index","RSI_14D")</f>
        <v>61.749290000000002</v>
      </c>
      <c r="Y40" s="193">
        <v>1.67</v>
      </c>
      <c r="Z40" s="188">
        <f t="shared" si="11"/>
        <v>5.2922351047877125E-3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2.3212241454498175</v>
      </c>
      <c r="AI40" s="196" cm="1">
        <f t="array" ref="AI40">(_xll.BDP(C40&amp;" Equity","SHORT_INT")/_xll.BDP(C40&amp;" Equity","VOLUME_AVG_90D"))</f>
        <v>3.6294450708249677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1.3158587294068047E-2</v>
      </c>
      <c r="AN40" s="194">
        <f ca="1">IF(ISTEXT(B40),AP40/_xll.BDH(B40 &amp;  " Equity","BEST_EPS",$AN$3,$AN$3,"BEST_FPERIOD_OVERRIDE=1BF","CDR=US","Fill=p")-1,"")</f>
        <v>4.614130434782604E-2</v>
      </c>
      <c r="AO40" s="196">
        <f t="shared" ca="1" si="14"/>
        <v>28.407709491402155</v>
      </c>
      <c r="AP40" s="196" cm="1">
        <f t="array" aca="1" ref="AP40" ca="1">IF(ISTEXT(B40),_xll.BDH(B40 &amp;  " Equity","BEST_EPS",$Q$3,$Q$3,"BEST_FPERIOD_OVERRIDE=1BF","CDR=US","Fill=p"),"")</f>
        <v>19.248999999999999</v>
      </c>
      <c r="AR40" s="194">
        <f ca="1">IF(ISTEXT(C40),AU40/_xll.BDH(C40 &amp;  " Equity","BEST_EPS",$AM$3,$AM$3,"BEST_FPERIOD_OVERRIDE=1BF","CDR=US","Fill=p")-1,"")</f>
        <v>1.0202527790467597E-2</v>
      </c>
      <c r="AS40" s="194">
        <f ca="1">IF(ISTEXT(C40),AU40/_xll.BDH(C40 &amp;  " Equity","BEST_EPS",$AN$3,$AN$3,"BEST_FPERIOD_OVERRIDE=1BF","CDR=US","Fill=p")-1,"")</f>
        <v>2.7650840368677931E-2</v>
      </c>
      <c r="AT40" s="196">
        <f t="shared" ca="1" si="15"/>
        <v>24.809315646668676</v>
      </c>
      <c r="AU40" s="196" cm="1">
        <f t="array" aca="1" ref="AU40" ca="1">IF(ISTEXT(C40),_xll.BDH(C40 &amp;  " Equity","BEST_EPS",$Q$3,$Q$3,"BEST_FPERIOD_OVERRIDE=1BF","CDR=US","Fill=p"),"")</f>
        <v>13.268000000000001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213.2</v>
      </c>
      <c r="H41" s="188" cm="1">
        <f t="array" ref="H41">G41/_xll.BDP(B41&amp;" Equity", "PREV_CLOSE_VAL")-1</f>
        <v>-2.8996352071836151E-3</v>
      </c>
      <c r="I41" s="187" cm="1">
        <f t="array" ref="I41">_xll.BDP(C41&amp;" Equity","LAST PRICE")</f>
        <v>619.54999999999995</v>
      </c>
      <c r="J41" s="188" cm="1">
        <f t="array" ref="J41">I41/_xll.BDP(C41&amp;" Equity", "PREV_CLOSE_VAL")-1</f>
        <v>-1.0682805314256583E-2</v>
      </c>
      <c r="K41" s="189">
        <f t="shared" si="9"/>
        <v>0.34412073278992816</v>
      </c>
      <c r="L41" s="188" cm="1">
        <f t="array" ref="L41">K41/(_xll.BDP(B41&amp;" Equity", "PREV_CLOSE_VAL")/_xll.BDP(C41&amp;" Equity", "PREV_CLOSE_VAL"))-1</f>
        <v>7.8672140228446263E-3</v>
      </c>
      <c r="M41" s="188"/>
      <c r="N41" s="190">
        <f t="shared" si="10"/>
        <v>0.58532388338472707</v>
      </c>
      <c r="O41" s="191">
        <f t="shared" si="17"/>
        <v>1.3440787649653434E-2</v>
      </c>
      <c r="P41" s="192" cm="1">
        <f t="array" ref="P41">_xll.BDP($A41&amp;" Index","VOLATILITY_30D")</f>
        <v>21.33053</v>
      </c>
      <c r="Q41" s="192" cm="1">
        <f t="array" aca="1" ref="Q41" ca="1">(_xll.BDP(($B41&amp; " Equity"),"CORR_COEF", "BETA_OVERRIDE_REL_INDEX",($C41&amp; " Equity"),"BETA_OVERRIDE_END_DT",$Q$5,"BETA_OVERRIDE_START_DT",$Q$4))*100</f>
        <v>55.589889999999997</v>
      </c>
      <c r="R41" s="188"/>
      <c r="S41" s="188" cm="1">
        <f t="array" ref="S41">_xll.BDP($A41&amp;" Index","CHG_PCT_2D")/100</f>
        <v>1.9871960000000001E-2</v>
      </c>
      <c r="T41" s="188" cm="1">
        <f t="array" ref="T41">_xll.BDP($A41&amp;" Index","CHG_PCT_5D")/100</f>
        <v>2.8964599999999997E-2</v>
      </c>
      <c r="U41" s="188" cm="1">
        <f t="array" ref="U41">K41/_xll.BDP($A41&amp;" Index","HIGH_52WEEK")-1</f>
        <v>-8.0333708937067261E-2</v>
      </c>
      <c r="V41" s="188" cm="1">
        <f t="array" ref="V41">K41/_xll.BDP($A41&amp;" Index","LOW_52WEEK")-1</f>
        <v>0.27447402981344471</v>
      </c>
      <c r="W41" s="188"/>
      <c r="X41" s="192" cm="1">
        <f t="array" ref="X41">_xll.BDP($A41&amp;" Index","RSI_14D")</f>
        <v>54.657919999999997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0.78084690567455362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1.0407690499905087E-3</v>
      </c>
      <c r="AN41" s="194">
        <f ca="1">IF(ISTEXT(B41),AP41/_xll.BDH(B41 &amp;  " Equity","BEST_EPS",$AN$3,$AN$3,"BEST_FPERIOD_OVERRIDE=1BF","CDR=US","Fill=p")-1,"")</f>
        <v>5.4076666548826813E-2</v>
      </c>
      <c r="AO41" s="196">
        <f t="shared" ca="1" si="14"/>
        <v>23.83454443823365</v>
      </c>
      <c r="AP41" s="196" cm="1">
        <f t="array" aca="1" ref="AP41" ca="1">IF(ISTEXT(B41),_xll.BDH(B41 &amp;  " Equity","BEST_EPS",$Q$3,$Q$3,"BEST_FPERIOD_OVERRIDE=1BF","CDR=US","Fill=p"),"")</f>
        <v>8.9450000000000003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213.2</v>
      </c>
      <c r="H42" s="188" cm="1">
        <f t="array" ref="H42">G42/_xll.BDP(B42&amp;" Equity", "PREV_CLOSE_VAL")-1</f>
        <v>-2.8996352071836151E-3</v>
      </c>
      <c r="I42" s="187" cm="1">
        <f t="array" ref="I42">_xll.BDP(C42&amp;" Equity","LAST PRICE")</f>
        <v>43.17</v>
      </c>
      <c r="J42" s="188" cm="1">
        <f t="array" ref="J42">I42/_xll.BDP(C42&amp;" Equity", "PREV_CLOSE_VAL")-1</f>
        <v>7.4679113185531776E-3</v>
      </c>
      <c r="K42" s="189">
        <f t="shared" ref="K42:K55" si="18">G42/I42</f>
        <v>4.9386147787815604</v>
      </c>
      <c r="L42" s="188" cm="1">
        <f t="array" ref="L42">K42/(_xll.BDP(B42&amp;" Equity", "PREV_CLOSE_VAL")/_xll.BDP(C42&amp;" Equity", "PREV_CLOSE_VAL"))-1</f>
        <v>-1.0290696516743747E-2</v>
      </c>
      <c r="M42" s="188"/>
      <c r="N42" s="190">
        <f t="shared" ref="N42:N55" si="19">ABS(L42/O42)</f>
        <v>0.69518739672851582</v>
      </c>
      <c r="O42" s="191">
        <f t="shared" si="17"/>
        <v>1.4802766225582862E-2</v>
      </c>
      <c r="P42" s="192" cm="1">
        <f t="array" ref="P42">_xll.BDP($A42&amp;" Index","VOLATILITY_30D")</f>
        <v>23.491990000000001</v>
      </c>
      <c r="Q42" s="192" cm="1">
        <f t="array" aca="1" ref="Q42" ca="1">(_xll.BDP(($B42&amp; " Equity"),"CORR_COEF", "BETA_OVERRIDE_REL_INDEX",($C42&amp; " Equity"),"BETA_OVERRIDE_END_DT",$Q$5,"BETA_OVERRIDE_START_DT",$Q$4))*100</f>
        <v>57.581570000000006</v>
      </c>
      <c r="R42" s="188"/>
      <c r="S42" s="188" cm="1">
        <f t="array" ref="S42">_xll.BDP($A42&amp;" Index","CHG_PCT_2D")/100</f>
        <v>-1.1159859999999999E-2</v>
      </c>
      <c r="T42" s="188" cm="1">
        <f t="array" ref="T42">_xll.BDP($A42&amp;" Index","CHG_PCT_5D")/100</f>
        <v>-1.4027130000000001E-2</v>
      </c>
      <c r="U42" s="188" cm="1">
        <f t="array" ref="U42">K42/_xll.BDP($A42&amp;" Index","HIGH_52WEEK")-1</f>
        <v>-1.6390499176133333E-2</v>
      </c>
      <c r="V42" s="188" cm="1">
        <f t="array" ref="V42">K42/_xll.BDP($A42&amp;" Index","LOW_52WEEK")-1</f>
        <v>0.50899687078922518</v>
      </c>
      <c r="W42" s="188"/>
      <c r="X42" s="192" cm="1">
        <f t="array" ref="X42">_xll.BDP($A42&amp;" Index","RSI_14D")</f>
        <v>59.405929999999998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1.1071198383477321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1.0407690499905087E-3</v>
      </c>
      <c r="AN42" s="194">
        <f ca="1">IF(ISTEXT(B42),AP42/_xll.BDH(B42 &amp;  " Equity","BEST_EPS",$AN$3,$AN$3,"BEST_FPERIOD_OVERRIDE=1BF","CDR=US","Fill=p")-1,"")</f>
        <v>5.4076666548826813E-2</v>
      </c>
      <c r="AO42" s="196">
        <f t="shared" ref="AO42:AO55" ca="1" si="23">G42/AP42</f>
        <v>23.83454443823365</v>
      </c>
      <c r="AP42" s="196" cm="1">
        <f t="array" aca="1" ref="AP42" ca="1">IF(ISTEXT(B42),_xll.BDH(B42 &amp;  " Equity","BEST_EPS",$Q$3,$Q$3,"BEST_FPERIOD_OVERRIDE=1BF","CDR=US","Fill=p"),"")</f>
        <v>8.9450000000000003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690.36</v>
      </c>
      <c r="H44" s="188" cm="1">
        <f t="array" ref="H44">G44/_xll.BDP(B44&amp;" Equity", "PREV_CLOSE_VAL")-1</f>
        <v>-4.9151736166164195E-3</v>
      </c>
      <c r="I44" s="187" cm="1">
        <f t="array" ref="I44">_xll.BDP(C44&amp;" Equity","LAST PRICE")</f>
        <v>198.68</v>
      </c>
      <c r="J44" s="188" cm="1">
        <f t="array" ref="J44">I44/_xll.BDP(C44&amp;" Equity", "PREV_CLOSE_VAL")-1</f>
        <v>4.550510668419383E-3</v>
      </c>
      <c r="K44" s="189">
        <f t="shared" si="18"/>
        <v>3.4747332393799075</v>
      </c>
      <c r="L44" s="188" cm="1">
        <f t="array" ref="L44">K44/(_xll.BDP(B44&amp;" Equity", "PREV_CLOSE_VAL")/_xll.BDP(C44&amp;" Equity", "PREV_CLOSE_VAL"))-1</f>
        <v>-9.4228057071390481E-3</v>
      </c>
      <c r="M44" s="188"/>
      <c r="N44" s="190">
        <f t="shared" si="19"/>
        <v>2.0116226833813666</v>
      </c>
      <c r="O44" s="191">
        <f t="shared" si="17"/>
        <v>4.6841814744801513E-3</v>
      </c>
      <c r="P44" s="192" cm="1">
        <f t="array" ref="P44">_xll.BDP($A44&amp;" Index","VOLATILITY_30D")</f>
        <v>7.4337960000000001</v>
      </c>
      <c r="Q44" s="192" cm="1">
        <f t="array" aca="1" ref="Q44" ca="1">(_xll.BDP(($B44&amp; " Equity"),"CORR_COEF", "BETA_OVERRIDE_REL_INDEX",($C44&amp; " Equity"),"BETA_OVERRIDE_END_DT",$Q$5,"BETA_OVERRIDE_START_DT",$Q$4))*100</f>
        <v>79.116124912607319</v>
      </c>
      <c r="R44" s="188"/>
      <c r="S44" s="188" cm="1">
        <f t="array" ref="S44">_xll.BDP($A44&amp;" Index","CHG_PCT_2D")/100</f>
        <v>-1.1788389999999999E-2</v>
      </c>
      <c r="T44" s="188" cm="1">
        <f t="array" ref="T44">_xll.BDP($A44&amp;" Index","CHG_PCT_5D")/100</f>
        <v>-1.885247E-2</v>
      </c>
      <c r="U44" s="188" cm="1">
        <f t="array" ref="U44">K44/_xll.BDP($A44&amp;" Index","HIGH_52WEEK")-1</f>
        <v>-4.7997424770979125E-2</v>
      </c>
      <c r="V44" s="188" cm="1">
        <f t="array" ref="V44">K44/_xll.BDP($A44&amp;" Index","LOW_52WEEK")-1</f>
        <v>8.0902253855744455E-2</v>
      </c>
      <c r="W44" s="188"/>
      <c r="X44" s="192" cm="1">
        <f t="array" ref="X44">_xll.BDP($A44&amp;" Index","RSI_14D")</f>
        <v>40.435380000000002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1.2811570083701678</v>
      </c>
      <c r="AI44" s="196" cm="1">
        <f t="array" ref="AI44">(_xll.BDP(C44&amp;" Equity","SHORT_INT")/_xll.BDP(C44&amp;" Equity","VOLUME_AVG_90D"))</f>
        <v>3.1118767396296247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619.54999999999995</v>
      </c>
      <c r="H45" s="188" cm="1">
        <f t="array" ref="H45">G45/_xll.BDP(B45&amp;" Equity", "PREV_CLOSE_VAL")-1</f>
        <v>-1.0682805314256583E-2</v>
      </c>
      <c r="I45" s="187" cm="1">
        <f t="array" ref="I45">_xll.BDP(C45&amp;" Equity","LAST PRICE")</f>
        <v>104.32</v>
      </c>
      <c r="J45" s="188" cm="1">
        <f t="array" ref="J45">I45/_xll.BDP(C45&amp;" Equity", "PREV_CLOSE_VAL")-1</f>
        <v>-4.0099293488639054E-3</v>
      </c>
      <c r="K45" s="189">
        <f t="shared" si="18"/>
        <v>5.9389378834355826</v>
      </c>
      <c r="L45" s="188" cm="1">
        <f t="array" ref="L45">K45/(_xll.BDP(B45&amp;" Equity", "PREV_CLOSE_VAL")/_xll.BDP(C45&amp;" Equity", "PREV_CLOSE_VAL"))-1</f>
        <v>-6.6997414552840695E-3</v>
      </c>
      <c r="M45" s="188"/>
      <c r="N45" s="190">
        <f t="shared" si="19"/>
        <v>1.4683303234135587</v>
      </c>
      <c r="O45" s="191">
        <f t="shared" si="17"/>
        <v>4.5628298676748582E-3</v>
      </c>
      <c r="P45" s="192" cm="1">
        <f t="array" ref="P45">_xll.BDP($A45&amp;" Index","VOLATILITY_30D")</f>
        <v>7.2412109999999998</v>
      </c>
      <c r="Q45" s="192" cm="1">
        <f t="array" aca="1" ref="Q45" ca="1">(_xll.BDP(($B45&amp; " Equity"),"CORR_COEF", "BETA_OVERRIDE_REL_INDEX",($C45&amp; " Equity"),"BETA_OVERRIDE_END_DT",$Q$5,"BETA_OVERRIDE_START_DT",$Q$4))*100</f>
        <v>86.877035809949206</v>
      </c>
      <c r="R45" s="188"/>
      <c r="S45" s="188" cm="1">
        <f t="array" ref="S45">_xll.BDP($A45&amp;" Index","CHG_PCT_2D")/100</f>
        <v>-5.1939349999999994E-3</v>
      </c>
      <c r="T45" s="188" cm="1">
        <f t="array" ref="T45">_xll.BDP($A45&amp;" Index","CHG_PCT_5D")/100</f>
        <v>-2.4559320000000001E-3</v>
      </c>
      <c r="U45" s="188" cm="1">
        <f t="array" ref="U45">K45/_xll.BDP($A45&amp;" Index","HIGH_52WEEK")-1</f>
        <v>-2.8501107700982908E-2</v>
      </c>
      <c r="V45" s="188" cm="1">
        <f t="array" ref="V45">K45/_xll.BDP($A45&amp;" Index","LOW_52WEEK")-1</f>
        <v>0.10946801086419145</v>
      </c>
      <c r="W45" s="188"/>
      <c r="X45" s="192" cm="1">
        <f t="array" ref="X45">_xll.BDP($A45&amp;" Index","RSI_14D")</f>
        <v>49.490639999999999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0.78084690567455362</v>
      </c>
      <c r="AI45" s="196" cm="1">
        <f t="array" ref="AI45">(_xll.BDP(C45&amp;" Equity","SHORT_INT")/_xll.BDP(C45&amp;" Equity","VOLUME_AVG_90D"))</f>
        <v>4.6447915689576202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619.54999999999995</v>
      </c>
      <c r="H46" s="188" cm="1">
        <f t="array" ref="H46">G46/_xll.BDP(B46&amp;" Equity", "PREV_CLOSE_VAL")-1</f>
        <v>-1.0682805314256583E-2</v>
      </c>
      <c r="I46" s="187" cm="1">
        <f t="array" ref="I46">_xll.BDP(C46&amp;" Equity","LAST PRICE")</f>
        <v>101.07</v>
      </c>
      <c r="J46" s="188" cm="1">
        <f t="array" ref="J46">I46/_xll.BDP(C46&amp;" Equity", "PREV_CLOSE_VAL")-1</f>
        <v>-2.20609579100145E-2</v>
      </c>
      <c r="K46" s="189">
        <f>G46/I46</f>
        <v>6.1299099633917082</v>
      </c>
      <c r="L46" s="188" cm="1">
        <f t="array" ref="L46">K46/(_xll.BDP(B46&amp;" Equity", "PREV_CLOSE_VAL")/_xll.BDP(C46&amp;" Equity", "PREV_CLOSE_VAL"))-1</f>
        <v>1.1634828047606405E-2</v>
      </c>
      <c r="M46" s="188"/>
      <c r="N46" s="190">
        <f>ABS(L46/O46)</f>
        <v>1.1950666001892074</v>
      </c>
      <c r="O46" s="191">
        <f>P46/15.87/100</f>
        <v>9.7357151858853182E-3</v>
      </c>
      <c r="P46" s="192" cm="1">
        <f t="array" ref="P46">_xll.BDP($A46&amp;" Index","VOLATILITY_30D")</f>
        <v>15.45058</v>
      </c>
      <c r="Q46" s="192" cm="1">
        <f t="array" aca="1" ref="Q46" ca="1">(_xll.BDP(($B46&amp; " Equity"),"CORR_COEF", "BETA_OVERRIDE_REL_INDEX",($C46&amp; " Equity"),"BETA_OVERRIDE_END_DT",$Q$5,"BETA_OVERRIDE_START_DT",$Q$4))*100</f>
        <v>80.619754850697717</v>
      </c>
      <c r="R46" s="188"/>
      <c r="S46" s="188" cm="1">
        <f t="array" ref="S46">_xll.BDP($A46&amp;" Index","CHG_PCT_2D")/100</f>
        <v>3.0376249999999997E-2</v>
      </c>
      <c r="T46" s="188" cm="1">
        <f t="array" ref="T46">_xll.BDP($A46&amp;" Index","CHG_PCT_5D")/100</f>
        <v>4.4326200000000003E-2</v>
      </c>
      <c r="U46" s="188" cm="1">
        <f t="array" ref="U46">K46/_xll.BDP($A46&amp;" Index","HIGH_52WEEK")-1</f>
        <v>1.1634790085455204E-2</v>
      </c>
      <c r="V46" s="188" cm="1">
        <f t="array" ref="V46">K46/_xll.BDP($A46&amp;" Index","LOW_52WEEK")-1</f>
        <v>0.2605306157960805</v>
      </c>
      <c r="W46" s="188"/>
      <c r="X46" s="192" cm="1">
        <f t="array" ref="X46">_xll.BDP($A46&amp;" Index","RSI_14D")</f>
        <v>70.179599999999994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0.78084690567455362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690.36</v>
      </c>
      <c r="H47" s="188" cm="1">
        <f t="array" ref="H47">G47/_xll.BDP(B47&amp;" Equity", "PREV_CLOSE_VAL")-1</f>
        <v>-4.9151736166164195E-3</v>
      </c>
      <c r="I47" s="187" cm="1">
        <f t="array" ref="I47">_xll.BDP(C47&amp;" Equity","LAST PRICE")</f>
        <v>619.54999999999995</v>
      </c>
      <c r="J47" s="188" cm="1">
        <f t="array" ref="J47">I47/_xll.BDP(C47&amp;" Equity", "PREV_CLOSE_VAL")-1</f>
        <v>-1.0682805314256583E-2</v>
      </c>
      <c r="K47" s="189">
        <f t="shared" si="18"/>
        <v>1.1142926317488502</v>
      </c>
      <c r="L47" s="188" cm="1">
        <f t="array" ref="L47">K47/(_xll.BDP(B47&amp;" Equity", "PREV_CLOSE_VAL")/_xll.BDP(C47&amp;" Equity", "PREV_CLOSE_VAL"))-1</f>
        <v>5.8299115072717456E-3</v>
      </c>
      <c r="M47" s="188"/>
      <c r="N47" s="190">
        <f t="shared" si="19"/>
        <v>0.16443884797768149</v>
      </c>
      <c r="O47" s="191">
        <f t="shared" si="17"/>
        <v>3.54533711405167E-2</v>
      </c>
      <c r="P47" s="192" cm="1">
        <f t="array" ref="P47">_xll.BDP($A47&amp;" Index","VOLATILITY_30D")</f>
        <v>56.264499999999998</v>
      </c>
      <c r="Q47" s="192" cm="1">
        <f t="array" aca="1" ref="Q47" ca="1">(_xll.BDP(($B47&amp; " Equity"),"CORR_COEF", "BETA_OVERRIDE_REL_INDEX",($C47&amp; " Equity"),"BETA_OVERRIDE_END_DT",$Q$5,"BETA_OVERRIDE_START_DT",$Q$4))*100</f>
        <v>94.473256189022294</v>
      </c>
      <c r="R47" s="188"/>
      <c r="S47" s="188" cm="1">
        <f t="array" ref="S47">_xll.BDP($A47&amp;" Index","CHG_PCT_2D")/100</f>
        <v>4.6468809999999999E-2</v>
      </c>
      <c r="T47" s="188" cm="1">
        <f t="array" ref="T47">_xll.BDP($A47&amp;" Index","CHG_PCT_5D")/100</f>
        <v>8.605931E-2</v>
      </c>
      <c r="U47" s="188" cm="1">
        <f t="array" ref="U47">K47/_xll.BDP($A47&amp;" Index","HIGH_52WEEK")-1</f>
        <v>-0.98765737005151921</v>
      </c>
      <c r="V47" s="188" cm="1">
        <f t="array" ref="V47">K47/_xll.BDP($A47&amp;" Index","LOW_52WEEK")-1</f>
        <v>-0.97820667647665072</v>
      </c>
      <c r="W47" s="188"/>
      <c r="X47" s="192" cm="1">
        <f t="array" ref="X47">_xll.BDP($A47&amp;" Index","RSI_14D")</f>
        <v>53.530720000000002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1.2811570083701678</v>
      </c>
      <c r="AI47" s="196" cm="1">
        <f t="array" ref="AI47">(_xll.BDP(C47&amp;" Equity","SHORT_INT")/_xll.BDP(C47&amp;" Equity","VOLUME_AVG_90D"))</f>
        <v>0.78084690567455362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690.36</v>
      </c>
      <c r="H48" s="188" cm="1">
        <f t="array" ref="H48">G48/_xll.BDP(B48&amp;" Equity", "PREV_CLOSE_VAL")-1</f>
        <v>-4.9151736166164195E-3</v>
      </c>
      <c r="I48" s="187" cm="1">
        <f t="array" ref="I48">_xll.BDP(C48&amp;" Equity","LAST PRICE")</f>
        <v>263.19</v>
      </c>
      <c r="J48" s="188" cm="1">
        <f t="array" ref="J48">I48/_xll.BDP(C48&amp;" Equity", "PREV_CLOSE_VAL")-1</f>
        <v>7.0403673235124309E-3</v>
      </c>
      <c r="K48" s="189">
        <f t="shared" si="18"/>
        <v>2.6230479881454465</v>
      </c>
      <c r="L48" s="188" cm="1">
        <f t="array" ref="L48">K48/(_xll.BDP(B48&amp;" Equity", "PREV_CLOSE_VAL")/_xll.BDP(C48&amp;" Equity", "PREV_CLOSE_VAL"))-1</f>
        <v>-1.1871957994994742E-2</v>
      </c>
      <c r="M48" s="188"/>
      <c r="N48" s="190">
        <f t="shared" si="19"/>
        <v>1.8236865306564465</v>
      </c>
      <c r="O48" s="191">
        <f t="shared" si="17"/>
        <v>6.5098676748582239E-3</v>
      </c>
      <c r="P48" s="192" cm="1">
        <f t="array" ref="P48">_xll.BDP($A48&amp;" Index","VOLATILITY_30D")</f>
        <v>10.331160000000001</v>
      </c>
      <c r="Q48" s="192" cm="1">
        <f t="array" aca="1" ref="Q48" ca="1">(_xll.BDP(($B48&amp; " Equity"),"CORR_COEF", "BETA_OVERRIDE_REL_INDEX",($C48&amp; " Equity"),"BETA_OVERRIDE_END_DT",$Q$5,"BETA_OVERRIDE_START_DT",$Q$4))*100</f>
        <v>81.728327435953688</v>
      </c>
      <c r="R48" s="188"/>
      <c r="S48" s="188" cm="1">
        <f t="array" ref="S48">_xll.BDP($A48&amp;" Index","CHG_PCT_2D")/100</f>
        <v>-1.3657310000000001E-2</v>
      </c>
      <c r="T48" s="188" cm="1">
        <f t="array" ref="T48">_xll.BDP($A48&amp;" Index","CHG_PCT_5D")/100</f>
        <v>-2.8566349999999997E-2</v>
      </c>
      <c r="U48" s="188" cm="1">
        <f t="array" ref="U48">K48/_xll.BDP($A48&amp;" Index","HIGH_52WEEK")-1</f>
        <v>-9.4307678339935253E-2</v>
      </c>
      <c r="V48" s="188" cm="1">
        <f t="array" ref="V48">K48/_xll.BDP($A48&amp;" Index","LOW_52WEEK")-1</f>
        <v>-4.9612736660642476E-4</v>
      </c>
      <c r="W48" s="188"/>
      <c r="X48" s="192" cm="1">
        <f t="array" ref="X48">_xll.BDP($A48&amp;" Index","RSI_14D")</f>
        <v>32.328029999999998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1.2811570083701678</v>
      </c>
      <c r="AI48" s="196" cm="1">
        <f t="array" ref="AI48">(_xll.BDP(C48&amp;" Equity","SHORT_INT")/_xll.BDP(C48&amp;" Equity","VOLUME_AVG_90D"))</f>
        <v>2.0139127712954816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619.54999999999995</v>
      </c>
      <c r="H49" s="188" cm="1">
        <f t="array" ref="H49">G49/_xll.BDP(B49&amp;" Equity", "PREV_CLOSE_VAL")-1</f>
        <v>-1.0682805314256583E-2</v>
      </c>
      <c r="I49" s="187" cm="1">
        <f t="array" ref="I49">_xll.BDP(C49&amp;" Equity","LAST PRICE")</f>
        <v>263.19</v>
      </c>
      <c r="J49" s="188" cm="1">
        <f t="array" ref="J49">I49/_xll.BDP(C49&amp;" Equity", "PREV_CLOSE_VAL")-1</f>
        <v>7.0403673235124309E-3</v>
      </c>
      <c r="K49" s="189">
        <f t="shared" si="18"/>
        <v>2.3540028116569776</v>
      </c>
      <c r="L49" s="188" cm="1">
        <f t="array" ref="L49">K49/(_xll.BDP(B49&amp;" Equity", "PREV_CLOSE_VAL")/_xll.BDP(C49&amp;" Equity", "PREV_CLOSE_VAL"))-1</f>
        <v>-1.7599267331133261E-2</v>
      </c>
      <c r="M49" s="188"/>
      <c r="N49" s="190">
        <f t="shared" si="19"/>
        <v>2.0832211235586775</v>
      </c>
      <c r="O49" s="191">
        <f t="shared" si="17"/>
        <v>8.4481033396345308E-3</v>
      </c>
      <c r="P49" s="192" cm="1">
        <f t="array" ref="P49">_xll.BDP($A49&amp;" Index","VOLATILITY_30D")</f>
        <v>13.40714</v>
      </c>
      <c r="Q49" s="192" cm="1">
        <f t="array" aca="1" ref="Q49" ca="1">(_xll.BDP(($B49&amp; " Equity"),"CORR_COEF", "BETA_OVERRIDE_REL_INDEX",($C49&amp; " Equity"),"BETA_OVERRIDE_END_DT",$Q$5,"BETA_OVERRIDE_START_DT",$Q$4))*100</f>
        <v>69.066450734096719</v>
      </c>
      <c r="R49" s="188"/>
      <c r="S49" s="188" cm="1">
        <f t="array" ref="S49">_xll.BDP($A49&amp;" Index","CHG_PCT_2D")/100</f>
        <v>-1.98119E-2</v>
      </c>
      <c r="T49" s="188" cm="1">
        <f t="array" ref="T49">_xll.BDP($A49&amp;" Index","CHG_PCT_5D")/100</f>
        <v>-3.7542890000000002E-2</v>
      </c>
      <c r="U49" s="188" cm="1">
        <f t="array" ref="U49">K49/_xll.BDP($A49&amp;" Index","HIGH_52WEEK")-1</f>
        <v>-9.73223362002541E-2</v>
      </c>
      <c r="V49" s="188" cm="1">
        <f t="array" ref="V49">K49/_xll.BDP($A49&amp;" Index","LOW_52WEEK")-1</f>
        <v>3.6896016129121856E-2</v>
      </c>
      <c r="W49" s="188"/>
      <c r="X49" s="192" cm="1">
        <f t="array" ref="X49">_xll.BDP($A49&amp;" Index","RSI_14D")</f>
        <v>35.36759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0.78084690567455362</v>
      </c>
      <c r="AI49" s="196" cm="1">
        <f t="array" ref="AI49">(_xll.BDP(C49&amp;" Equity","SHORT_INT")/_xll.BDP(C49&amp;" Equity","VOLUME_AVG_90D"))</f>
        <v>2.0139127712954816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388.35</v>
      </c>
      <c r="H50" s="188" cm="1">
        <f t="array" ref="H50">G50/_xll.BDP(B50&amp;" Equity", "PREV_CLOSE_VAL")-1</f>
        <v>-8.1219829898090401E-3</v>
      </c>
      <c r="I50" s="187" cm="1">
        <f t="array" ref="I50">_xll.BDP(C50&amp;" Equity","LAST PRICE")</f>
        <v>101.07</v>
      </c>
      <c r="J50" s="188" cm="1">
        <f t="array" ref="J50">I50/_xll.BDP(C50&amp;" Equity", "PREV_CLOSE_VAL")-1</f>
        <v>-2.20609579100145E-2</v>
      </c>
      <c r="K50" s="189">
        <f>G50/I50</f>
        <v>3.8423864648263586</v>
      </c>
      <c r="L50" s="188" cm="1">
        <f t="array" ref="L50">K50/(_xll.BDP(B50&amp;" Equity", "PREV_CLOSE_VAL")/_xll.BDP(C50&amp;" Equity", "PREV_CLOSE_VAL"))-1</f>
        <v>1.4253418996766909E-2</v>
      </c>
      <c r="M50" s="188"/>
      <c r="N50" s="190">
        <f>ABS(L50/O50)</f>
        <v>0.79768496653660304</v>
      </c>
      <c r="O50" s="191">
        <f>P50/15.87/100</f>
        <v>1.7868481411468181E-2</v>
      </c>
      <c r="P50" s="192" cm="1">
        <f t="array" ref="P50">_xll.BDP($A50&amp;" Index","VOLATILITY_30D")</f>
        <v>28.357279999999999</v>
      </c>
      <c r="Q50" s="192" cm="1">
        <f t="array" aca="1" ref="Q50" ca="1">(_xll.BDP(($B50&amp; " Equity"),"CORR_COEF", "BETA_OVERRIDE_REL_INDEX",($C50&amp; " Equity"),"BETA_OVERRIDE_END_DT",$Q$5,"BETA_OVERRIDE_START_DT",$Q$4))*100</f>
        <v>71.905887427641929</v>
      </c>
      <c r="R50" s="188"/>
      <c r="S50" s="188" cm="1">
        <f t="array" ref="S50">_xll.BDP($A50&amp;" Index","CHG_PCT_2D")/100</f>
        <v>3.313431E-2</v>
      </c>
      <c r="T50" s="188" cm="1">
        <f t="array" ref="T50">_xll.BDP($A50&amp;" Index","CHG_PCT_5D")/100</f>
        <v>5.7124069999999999E-2</v>
      </c>
      <c r="U50" s="188" cm="1">
        <f t="array" ref="U50">K50/_xll.BDP($A50&amp;" Index","HIGH_52WEEK")-1</f>
        <v>1.4253143109964617E-2</v>
      </c>
      <c r="V50" s="188" cm="1">
        <f t="array" ref="V50">K50/_xll.BDP($A50&amp;" Index","LOW_52WEEK")-1</f>
        <v>0.75592552225823439</v>
      </c>
      <c r="W50" s="188"/>
      <c r="X50" s="192" cm="1">
        <f t="array" ref="X50">_xll.BDP($A50&amp;" Index","RSI_14D")</f>
        <v>76.683279999999996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1.2263346946401568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388.35</v>
      </c>
      <c r="H51" s="188" cm="1">
        <f t="array" ref="H51">G51/_xll.BDP(B51&amp;" Equity", "PREV_CLOSE_VAL")-1</f>
        <v>-8.1219829898090401E-3</v>
      </c>
      <c r="I51" s="187" cm="1">
        <f t="array" ref="I51">_xll.BDP(C51&amp;" Equity","LAST PRICE")</f>
        <v>619.54999999999995</v>
      </c>
      <c r="J51" s="188" cm="1">
        <f t="array" ref="J51">I51/_xll.BDP(C51&amp;" Equity", "PREV_CLOSE_VAL")-1</f>
        <v>-1.0682805314256583E-2</v>
      </c>
      <c r="K51" s="189">
        <f>G51/I51</f>
        <v>0.6268259220401905</v>
      </c>
      <c r="L51" s="188" cm="1">
        <f t="array" ref="L51">K51/(_xll.BDP(B51&amp;" Equity", "PREV_CLOSE_VAL")/_xll.BDP(C51&amp;" Equity", "PREV_CLOSE_VAL"))-1</f>
        <v>2.58847449352273E-3</v>
      </c>
      <c r="M51" s="188"/>
      <c r="N51" s="190">
        <f>ABS(L51/O51)</f>
        <v>0.21620357592321826</v>
      </c>
      <c r="O51" s="191">
        <f>P51/15.87/100</f>
        <v>1.1972394454946441E-2</v>
      </c>
      <c r="P51" s="192" cm="1">
        <f t="array" ref="P51">_xll.BDP($A51&amp;" Index","VOLATILITY_30D")</f>
        <v>19.00019</v>
      </c>
      <c r="Q51" s="192" cm="1">
        <f t="array" aca="1" ref="Q51" ca="1">(_xll.BDP(($B51&amp; " Equity"),"CORR_COEF", "BETA_OVERRIDE_REL_INDEX",($C51&amp; " Equity"),"BETA_OVERRIDE_END_DT",$Q$5,"BETA_OVERRIDE_START_DT",$Q$4))*100</f>
        <v>89.635132575852467</v>
      </c>
      <c r="R51" s="188"/>
      <c r="S51" s="188" cm="1">
        <f t="array" ref="S51">_xll.BDP($A51&amp;" Index","CHG_PCT_2D")/100</f>
        <v>2.6917930000000001E-3</v>
      </c>
      <c r="T51" s="188" cm="1">
        <f t="array" ref="T51">_xll.BDP($A51&amp;" Index","CHG_PCT_5D")/100</f>
        <v>1.2269859999999999E-2</v>
      </c>
      <c r="U51" s="188" cm="1">
        <f t="array" ref="U51">K51/_xll.BDP($A51&amp;" Index","HIGH_52WEEK")-1</f>
        <v>2.5846068364077102E-3</v>
      </c>
      <c r="V51" s="188" cm="1">
        <f t="array" ref="V51">K51/_xll.BDP($A51&amp;" Index","LOW_52WEEK")-1</f>
        <v>0.46536824864454496</v>
      </c>
      <c r="W51" s="188"/>
      <c r="X51" s="192" cm="1">
        <f t="array" ref="X51">_xll.BDP($A51&amp;" Index","RSI_14D")</f>
        <v>71.394329999999997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1.2263346946401568</v>
      </c>
      <c r="AI51" s="196" cm="1">
        <f t="array" ref="AI51">(_xll.BDP(C51&amp;" Equity","SHORT_INT")/_xll.BDP(C51&amp;" Equity","VOLUME_AVG_90D"))</f>
        <v>0.78084690567455362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85.12</v>
      </c>
      <c r="H52" s="188" cm="1">
        <f t="array" ref="H52">G52/_xll.BDP(B52&amp;" Equity", "PREV_CLOSE_VAL")-1</f>
        <v>-6.3039925286013654E-3</v>
      </c>
      <c r="I52" s="187" cm="1">
        <f t="array" ref="I52">_xll.BDP(C52&amp;" Equity","LAST PRICE")</f>
        <v>198.68</v>
      </c>
      <c r="J52" s="188" cm="1">
        <f t="array" ref="J52">I52/_xll.BDP(C52&amp;" Equity", "PREV_CLOSE_VAL")-1</f>
        <v>4.550510668419383E-3</v>
      </c>
      <c r="K52" s="189">
        <f>G52/I52</f>
        <v>0.4284276223072277</v>
      </c>
      <c r="L52" s="188" cm="1">
        <f t="array" ref="L52">K52/(_xll.BDP(B52&amp;" Equity", "PREV_CLOSE_VAL")/_xll.BDP(C52&amp;" Equity", "PREV_CLOSE_VAL"))-1</f>
        <v>-1.0805333412053475E-2</v>
      </c>
      <c r="M52" s="188"/>
      <c r="N52" s="190">
        <f>ABS(L52/O52)</f>
        <v>1.452643484851315</v>
      </c>
      <c r="O52" s="191">
        <f>P52/15.87/100</f>
        <v>7.4383931947069951E-3</v>
      </c>
      <c r="P52" s="192" cm="1">
        <f t="array" ref="P52">_xll.BDP($A52&amp;" Index","VOLATILITY_30D")</f>
        <v>11.804729999999999</v>
      </c>
      <c r="Q52" s="192" cm="1">
        <f t="array" aca="1" ref="Q52" ca="1">(_xll.BDP(($B52&amp; " Equity"),"CORR_COEF", "BETA_OVERRIDE_REL_INDEX",($C52&amp; " Equity"),"BETA_OVERRIDE_END_DT",$Q$5,"BETA_OVERRIDE_START_DT",$Q$4))*100</f>
        <v>75.829323628324758</v>
      </c>
      <c r="R52" s="188"/>
      <c r="S52" s="188" cm="1">
        <f t="array" ref="S52">_xll.BDP($A52&amp;" Index","CHG_PCT_2D")/100</f>
        <v>-2.1353629999999998E-2</v>
      </c>
      <c r="T52" s="188" cm="1">
        <f t="array" ref="T52">_xll.BDP($A52&amp;" Index","CHG_PCT_5D")/100</f>
        <v>-4.1229579999999995E-2</v>
      </c>
      <c r="U52" s="188" cm="1">
        <f t="array" ref="U52">K52/_xll.BDP($A52&amp;" Index","HIGH_52WEEK")-1</f>
        <v>-5.0723162485093343E-2</v>
      </c>
      <c r="V52" s="188" cm="1">
        <f t="array" ref="V52">K52/_xll.BDP($A52&amp;" Index","LOW_52WEEK")-1</f>
        <v>0.25871146783567212</v>
      </c>
      <c r="W52" s="188"/>
      <c r="X52" s="192" cm="1">
        <f t="array" ref="X52">_xll.BDP($A52&amp;" Index","RSI_14D")</f>
        <v>43.067590000000003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1.6916339096275919</v>
      </c>
      <c r="AI52" s="196" cm="1">
        <f t="array" ref="AI52">(_xll.BDP(C52&amp;" Equity","SHORT_INT")/_xll.BDP(C52&amp;" Equity","VOLUME_AVG_90D"))</f>
        <v>3.1118767396296247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85.12</v>
      </c>
      <c r="H53" s="188" cm="1">
        <f t="array" ref="H53">G53/_xll.BDP(B53&amp;" Equity", "PREV_CLOSE_VAL")-1</f>
        <v>-6.3039925286013654E-3</v>
      </c>
      <c r="I53" s="187" cm="1">
        <f t="array" ref="I53">_xll.BDP(C53&amp;" Equity","LAST PRICE")</f>
        <v>690.36</v>
      </c>
      <c r="J53" s="188" cm="1">
        <f t="array" ref="J53">I53/_xll.BDP(C53&amp;" Equity", "PREV_CLOSE_VAL")-1</f>
        <v>-4.9151736166164195E-3</v>
      </c>
      <c r="K53" s="189">
        <f>G53/I53</f>
        <v>0.12329798945477723</v>
      </c>
      <c r="L53" s="188" cm="1">
        <f t="array" ref="L53">K53/(_xll.BDP(B53&amp;" Equity", "PREV_CLOSE_VAL")/_xll.BDP(C53&amp;" Equity", "PREV_CLOSE_VAL"))-1</f>
        <v>-1.3956789161709837E-3</v>
      </c>
      <c r="M53" s="188"/>
      <c r="N53" s="190">
        <f>ABS(L53/O53)</f>
        <v>0.15143932218806797</v>
      </c>
      <c r="O53" s="191">
        <f>P53/15.87/100</f>
        <v>9.2160932577189675E-3</v>
      </c>
      <c r="P53" s="192" cm="1">
        <f t="array" ref="P53">_xll.BDP($A53&amp;" Index","VOLATILITY_30D")</f>
        <v>14.62594</v>
      </c>
      <c r="Q53" s="192" cm="1">
        <f t="array" aca="1" ref="Q53" ca="1">(_xll.BDP(($B53&amp; " Equity"),"CORR_COEF", "BETA_OVERRIDE_REL_INDEX",($C53&amp; " Equity"),"BETA_OVERRIDE_END_DT",$Q$5,"BETA_OVERRIDE_START_DT",$Q$4))*100</f>
        <v>63.918820345298798</v>
      </c>
      <c r="R53" s="188"/>
      <c r="S53" s="188" cm="1">
        <f t="array" ref="S53">_xll.BDP($A53&amp;" Index","CHG_PCT_2D")/100</f>
        <v>-9.7971140000000009E-3</v>
      </c>
      <c r="T53" s="188" cm="1">
        <f t="array" ref="T53">_xll.BDP($A53&amp;" Index","CHG_PCT_5D")/100</f>
        <v>-2.2923829999999999E-2</v>
      </c>
      <c r="U53" s="188" cm="1">
        <f t="array" ref="U53">K53/_xll.BDP($A53&amp;" Index","HIGH_52WEEK")-1</f>
        <v>-3.7561552925007957E-2</v>
      </c>
      <c r="V53" s="188" cm="1">
        <f t="array" ref="V53">K53/_xll.BDP($A53&amp;" Index","LOW_52WEEK")-1</f>
        <v>0.18192091118459763</v>
      </c>
      <c r="W53" s="188"/>
      <c r="X53" s="192" cm="1">
        <f t="array" ref="X53">_xll.BDP($A53&amp;" Index","RSI_14D")</f>
        <v>48.893859999999997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1.6916339096275919</v>
      </c>
      <c r="AI53" s="196" cm="1">
        <f t="array" ref="AI53">(_xll.BDP(C53&amp;" Equity","SHORT_INT")/_xll.BDP(C53&amp;" Equity","VOLUME_AVG_90D"))</f>
        <v>1.2811570083701678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85.12</v>
      </c>
      <c r="H54" s="188" cm="1">
        <f t="array" ref="H54">G54/_xll.BDP(B54&amp;" Equity", "PREV_CLOSE_VAL")-1</f>
        <v>-6.3039925286013654E-3</v>
      </c>
      <c r="I54" s="187" cm="1">
        <f t="array" ref="I54">_xll.BDP(C54&amp;" Equity","LAST PRICE")</f>
        <v>66.98</v>
      </c>
      <c r="J54" s="188" cm="1">
        <f t="array" ref="J54">I54/_xll.BDP(C54&amp;" Equity", "PREV_CLOSE_VAL")-1</f>
        <v>1.1171497584541168E-2</v>
      </c>
      <c r="K54" s="189">
        <f>G54/I54</f>
        <v>1.2708271125709167</v>
      </c>
      <c r="L54" s="188" cm="1">
        <f t="array" ref="L54">K54/(_xll.BDP(B54&amp;" Equity", "PREV_CLOSE_VAL")/_xll.BDP(C54&amp;" Equity", "PREV_CLOSE_VAL"))-1</f>
        <v>-1.7282419604278343E-2</v>
      </c>
      <c r="M54" s="188"/>
      <c r="N54" s="190">
        <f>ABS(L54/O54)</f>
        <v>2.4305778871921011</v>
      </c>
      <c r="O54" s="191">
        <f>P54/15.87/100</f>
        <v>7.1104158790170147E-3</v>
      </c>
      <c r="P54" s="192" cm="1">
        <f t="array" ref="P54">_xll.BDP($A54&amp;" Index","VOLATILITY_30D")</f>
        <v>11.284230000000001</v>
      </c>
      <c r="Q54" s="192" cm="1">
        <f t="array" aca="1" ref="Q54" ca="1">(_xll.BDP(($B54&amp; " Equity"),"CORR_COEF", "BETA_OVERRIDE_REL_INDEX",($C54&amp; " Equity"),"BETA_OVERRIDE_END_DT",$Q$5,"BETA_OVERRIDE_START_DT",$Q$4))*100</f>
        <v>83.39246118960159</v>
      </c>
      <c r="R54" s="188"/>
      <c r="S54" s="188" cm="1">
        <f t="array" ref="S54">_xll.BDP($A54&amp;" Index","CHG_PCT_2D")/100</f>
        <v>-2.4882080000000001E-2</v>
      </c>
      <c r="T54" s="188" cm="1">
        <f t="array" ref="T54">_xll.BDP($A54&amp;" Index","CHG_PCT_5D")/100</f>
        <v>-2.9004039999999998E-2</v>
      </c>
      <c r="U54" s="188" cm="1">
        <f t="array" ref="U54">K54/_xll.BDP($A54&amp;" Index","HIGH_52WEEK")-1</f>
        <v>-3.7150066998835718E-2</v>
      </c>
      <c r="V54" s="188" cm="1">
        <f t="array" ref="V54">K54/_xll.BDP($A54&amp;" Index","LOW_52WEEK")-1</f>
        <v>0.17011528959543742</v>
      </c>
      <c r="W54" s="188"/>
      <c r="X54" s="192" cm="1">
        <f t="array" ref="X54">_xll.BDP($A54&amp;" Index","RSI_14D")</f>
        <v>53.119860000000003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1.6916339096275919</v>
      </c>
      <c r="AI54" s="196" cm="1">
        <f t="array" ref="AI54">(_xll.BDP(C54&amp;" Equity","SHORT_INT")/_xll.BDP(C54&amp;" Equity","VOLUME_AVG_90D"))</f>
        <v>3.1163811703761342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40 Z3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0.28276333403567594</v>
      </c>
      <c r="G5" s="153" cm="1">
        <f t="array" ref="G5">_xll.BDP($C5&amp;" Equity","volatility_30d")/100</f>
        <v>0.33977674886067855</v>
      </c>
      <c r="J5" t="s">
        <v>1740</v>
      </c>
      <c r="K5" s="276">
        <v>70</v>
      </c>
      <c r="L5" cm="1">
        <f t="array" ref="L5">_xll.BDP(J5&amp;" Equity","LAST PRICE")</f>
        <v>119.67</v>
      </c>
      <c r="M5" s="279">
        <f>L5/K5-1</f>
        <v>0.70957142857142852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0.28276333403567594</v>
      </c>
      <c r="G6" s="153" cm="1">
        <f t="array" ref="G6">_xll.BDP($C6&amp;" Equity","volatility_30d")/100</f>
        <v>0.33977674886067855</v>
      </c>
      <c r="J6" t="s">
        <v>1740</v>
      </c>
      <c r="K6" s="276">
        <v>70</v>
      </c>
      <c r="L6" cm="1">
        <f t="array" ref="L6">_xll.BDP(J6&amp;" Equity","LAST PRICE")</f>
        <v>119.67</v>
      </c>
      <c r="M6" s="279">
        <f>L6/K6-1</f>
        <v>0.70957142857142852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0.16732111625571119</v>
      </c>
      <c r="G7" s="153" cm="1">
        <f t="array" ref="G7">_xll.BDP($C7&amp;" Equity","volatility_30d")/100</f>
        <v>0.19925261202249461</v>
      </c>
      <c r="J7" t="s">
        <v>1743</v>
      </c>
      <c r="K7" s="276">
        <v>28.5</v>
      </c>
      <c r="L7" cm="1">
        <f t="array" ref="L7">_xll.BDP(J7&amp;" Equity","LAST PRICE")</f>
        <v>20.79</v>
      </c>
      <c r="M7" s="279">
        <f t="shared" ref="M7:M13" si="6">L7/K7-1</f>
        <v>-0.27052631578947373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0.3389075726630002</v>
      </c>
      <c r="G8" s="153" cm="1">
        <f t="array" ref="G8">_xll.BDP($C8&amp;" Equity","volatility_30d")/100</f>
        <v>0.39417023667515205</v>
      </c>
      <c r="J8" t="s">
        <v>400</v>
      </c>
      <c r="K8" s="276">
        <v>318.75</v>
      </c>
      <c r="L8" cm="1">
        <f t="array" ref="L8">_xll.BDP(J8&amp;" Equity","LAST PRICE")</f>
        <v>288.54000000000002</v>
      </c>
      <c r="M8" s="279">
        <f t="shared" si="6"/>
        <v>-9.477647058823524E-2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0.2800365810547546</v>
      </c>
      <c r="G9" s="153" cm="1">
        <f t="array" ref="G9">_xll.BDP($C9&amp;" Equity","volatility_30d")/100</f>
        <v>0.21868054432235001</v>
      </c>
      <c r="J9" t="s">
        <v>134</v>
      </c>
      <c r="K9" s="276">
        <v>265.95999999999998</v>
      </c>
      <c r="L9" cm="1">
        <f t="array" ref="L9">_xll.BDP(J9&amp;" Equity","LAST PRICE")</f>
        <v>239.57</v>
      </c>
      <c r="M9" s="279">
        <f t="shared" si="6"/>
        <v>-9.9225447435704606E-2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0.3408677</v>
      </c>
      <c r="G10" s="153" cm="1">
        <f t="array" ref="G10">_xll.BDP($C10&amp;" Equity","volatility_30d")/100</f>
        <v>0.25334450000000003</v>
      </c>
      <c r="J10" t="s">
        <v>1753</v>
      </c>
      <c r="K10" s="276">
        <v>251.52</v>
      </c>
      <c r="L10" cm="1">
        <f t="array" ref="L10">_xll.BDP(J10&amp;" Equity","LAST PRICE")</f>
        <v>193.99</v>
      </c>
      <c r="M10" s="279">
        <f t="shared" si="6"/>
        <v>-0.22872932569974558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0.18189639650921033</v>
      </c>
      <c r="G11" s="153" cm="1">
        <f t="array" ref="G11">_xll.BDP($C11&amp;" Equity","volatility_30d")/100</f>
        <v>0.15020234772605642</v>
      </c>
      <c r="J11" t="s">
        <v>353</v>
      </c>
      <c r="K11" s="276">
        <v>117.4</v>
      </c>
      <c r="L11" cm="1">
        <f t="array" ref="L11">_xll.BDP(J11&amp;" Equity","LAST PRICE")</f>
        <v>252.38</v>
      </c>
      <c r="M11" s="279">
        <f t="shared" si="6"/>
        <v>1.1497444633730831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0.34716680108652631</v>
      </c>
      <c r="G12" s="153" cm="1">
        <f t="array" ref="G12">_xll.BDP($C12&amp;" Equity","volatility_30d")/100</f>
        <v>0.26013204288251257</v>
      </c>
      <c r="J12" t="s">
        <v>1742</v>
      </c>
      <c r="K12" s="276">
        <v>5420</v>
      </c>
      <c r="L12" cm="1">
        <f t="array" ref="L12">_xll.BDP(J12&amp;" Index","LAST PRICE")</f>
        <v>5858</v>
      </c>
      <c r="M12" s="279">
        <f t="shared" si="6"/>
        <v>8.0811808118081085E-2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0.40574040070614009</v>
      </c>
      <c r="G13" s="153" cm="1">
        <f t="array" ref="G13">_xll.BDP($C13&amp;" Equity","volatility_30d")/100</f>
        <v>0.30448511738738643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0.19419483528045284</v>
      </c>
      <c r="G14" s="153" cm="1">
        <f t="array" ref="G14">_xll.BDP($C14&amp;" Equity","volatility_30d")/100</f>
        <v>0.139754693950503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0.22528886301815576</v>
      </c>
      <c r="G15" s="153" cm="1">
        <f t="array" ref="G15">_xll.BDP($C15&amp;" Equity","volatility_30d")/100</f>
        <v>0.17546482888689663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0.20354707857228585</v>
      </c>
      <c r="G16" s="153" cm="1">
        <f t="array" ref="G16">_xll.BDP($C16&amp;" Equity","volatility_30d")/100</f>
        <v>0.17525827612591949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0.33493051075395619</v>
      </c>
      <c r="G17" s="153" cm="1">
        <f t="array" ref="G17">_xll.BDP($C17&amp;" Equity","volatility_30d")/100</f>
        <v>0.31332464675767624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0.30442120172719095</v>
      </c>
      <c r="G18" s="153" cm="1">
        <f t="array" ref="G18">_xll.BDP($C18&amp;" Equity","volatility_30d")/100</f>
        <v>0.2878169777688438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0.16873661645573712</v>
      </c>
      <c r="G19" s="153" cm="1">
        <f t="array" ref="G19">_xll.BDP($C19&amp;" Equity","volatility_30d")/100</f>
        <v>0.12741900740450082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0.1764760104827556</v>
      </c>
      <c r="G20" s="153" cm="1">
        <f t="array" ref="G20">_xll.BDP($C20&amp;" Equity","volatility_30d")/100</f>
        <v>0.14771847198097676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0.11181961621943629</v>
      </c>
      <c r="G21" s="153" cm="1">
        <f t="array" ref="G21">_xll.BDP($C21&amp;" Equity","volatility_30d")/100</f>
        <v>9.8642161874459261E-2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7.8544035187305641E-2</v>
      </c>
      <c r="G22" s="153" cm="1">
        <f t="array" ref="G22">_xll.BDP($C22&amp;" Equity","volatility_30d")/100</f>
        <v>8.3748311601887379E-2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0.12485661568453192</v>
      </c>
      <c r="G23" s="153" cm="1">
        <f t="array" ref="G23">_xll.BDP($C23&amp;" Equity","volatility_30d")/100</f>
        <v>0.12940075995540265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9.816118964441585E-2</v>
      </c>
      <c r="G24" s="153" cm="1">
        <f t="array" ref="G24">_xll.BDP($C24&amp;" Equity","volatility_30d")/100</f>
        <v>0.14490571692442134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0.13429172315189017</v>
      </c>
      <c r="G25" s="153" cm="1">
        <f t="array" ref="G25">_xll.BDP($C25&amp;" Equity","volatility_30d")/100</f>
        <v>0.22340585807449284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1.2106566429138184</v>
      </c>
      <c r="F26" s="153" cm="1">
        <f t="array" ref="F26">_xll.BDP($C26&amp;" Equity","volatility_10d")/100</f>
        <v>0.21601885699189416</v>
      </c>
      <c r="G26" s="153" cm="1">
        <f t="array" ref="G26">_xll.BDP($C26&amp;" Equity","volatility_30d")/100</f>
        <v>0.2236174222414454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1.0588473081588745</v>
      </c>
      <c r="F27" s="153" cm="1">
        <f t="array" ref="F27">_xll.BDP($C27&amp;" Equity","volatility_10d")/100</f>
        <v>0.12096111863171422</v>
      </c>
      <c r="G27" s="153" cm="1">
        <f t="array" ref="G27">_xll.BDP($C27&amp;" Equity","volatility_30d")/100</f>
        <v>0.10626757292708756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1.1976710557937622</v>
      </c>
      <c r="F28" s="153" cm="1">
        <f t="array" ref="F28">_xll.BDP($C28&amp;" Equity","volatility_10d")/100</f>
        <v>0.42111851348091262</v>
      </c>
      <c r="G28" s="153" cm="1">
        <f t="array" ref="G28">_xll.BDP($C28&amp;" Equity","volatility_30d")/100</f>
        <v>0.37040495121256911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0.83883368968963623</v>
      </c>
      <c r="F29" s="153" cm="1">
        <f t="array" ref="F29">_xll.BDP($C29&amp;" Equity","volatility_10d")/100</f>
        <v>0.21535486590220893</v>
      </c>
      <c r="G29" s="153" cm="1">
        <f t="array" ref="G29">_xll.BDP($C29&amp;" Equity","volatility_30d")/100</f>
        <v>0.19016717580031897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1.0190953016281128</v>
      </c>
      <c r="F30" s="153" cm="1">
        <f t="array" ref="F30">_xll.BDP($C30&amp;" Equity","volatility_10d")/100</f>
        <v>0.22122795488048078</v>
      </c>
      <c r="G30" s="153" cm="1">
        <f t="array" ref="G30">_xll.BDP($C30&amp;" Equity","volatility_30d")/100</f>
        <v>0.19460020239021344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1.2074404954910278</v>
      </c>
      <c r="F31" s="153" cm="1">
        <f t="array" ref="F31">_xll.BDP($C31&amp;" Equity","volatility_10d")/100</f>
        <v>0.47477299056395628</v>
      </c>
      <c r="G31" s="153" cm="1">
        <f t="array" ref="G31">_xll.BDP($C31&amp;" Equity","volatility_30d")/100</f>
        <v>0.29279771091891493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0.84289455413818359</v>
      </c>
      <c r="F32" s="153" cm="1">
        <f t="array" ref="F32">_xll.BDP($C32&amp;" Equity","volatility_10d")/100</f>
        <v>0.27285218951901496</v>
      </c>
      <c r="G32" s="153" cm="1">
        <f t="array" ref="G32">_xll.BDP($C32&amp;" Equity","volatility_30d")/100</f>
        <v>0.23356691130722054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0.82557642459869385</v>
      </c>
      <c r="F33" s="153" cm="1">
        <f t="array" ref="F33">_xll.BDP($C33&amp;" Equity","volatility_10d")/100</f>
        <v>0.30630967965698147</v>
      </c>
      <c r="G33" s="153" cm="1">
        <f t="array" ref="G33">_xll.BDP($C33&amp;" Equity","volatility_30d")/100</f>
        <v>0.26600107292841108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0.62967199087142944</v>
      </c>
      <c r="F34" s="153" cm="1">
        <f t="array" ref="F34">_xll.BDP($C34&amp;" Equity","volatility_10d")/100</f>
        <v>9.1673707449039826E-2</v>
      </c>
      <c r="G34" s="153" cm="1">
        <f t="array" ref="G34">_xll.BDP($C34&amp;" Equity","volatility_30d")/100</f>
        <v>0.12933736159744796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1.4787372350692749</v>
      </c>
      <c r="F35" s="153" cm="1">
        <f t="array" ref="F35">_xll.BDP($C35&amp;" Equity","volatility_10d")/100</f>
        <v>0.37308458496793262</v>
      </c>
      <c r="G35" s="153" cm="1">
        <f t="array" ref="G35">_xll.BDP($C35&amp;" Equity","volatility_30d")/100</f>
        <v>0.32206846890942681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1.8595256805419922</v>
      </c>
      <c r="F36" s="153" cm="1">
        <f t="array" ref="F36">_xll.BDP($C36&amp;" Equity","volatility_10d")/100</f>
        <v>0.19512987603887802</v>
      </c>
      <c r="G36" s="153" cm="1">
        <f t="array" ref="G36">_xll.BDP($C36&amp;" Equity","volatility_30d")/100</f>
        <v>0.27872807607717004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1.6657282114028931</v>
      </c>
      <c r="F37" s="153" cm="1">
        <f t="array" ref="F37">_xll.BDP($C37&amp;" Equity","volatility_10d")/100</f>
        <v>1.0895468522718252</v>
      </c>
      <c r="G37" s="153" cm="1">
        <f t="array" ref="G37">_xll.BDP($C37&amp;" Equity","volatility_30d")/100</f>
        <v>0.73235794343257088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1.1735769510269165</v>
      </c>
      <c r="F38" s="153" cm="1">
        <f t="array" ref="F38">_xll.BDP($C38&amp;" Equity","volatility_10d")/100</f>
        <v>0.41801332490619858</v>
      </c>
      <c r="G38" s="153" cm="1">
        <f t="array" ref="G38">_xll.BDP($C38&amp;" Equity","volatility_30d")/100</f>
        <v>0.28557980041153902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1.0718096494674683</v>
      </c>
      <c r="F39" s="153" cm="1">
        <f t="array" ref="F39">_xll.BDP($C39&amp;" Equity","volatility_10d")/100</f>
        <v>0.24048992822159715</v>
      </c>
      <c r="G39" s="153" cm="1">
        <f t="array" ref="G39">_xll.BDP($C39&amp;" Equity","volatility_30d")/100</f>
        <v>0.21802096716961528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0.61121416091918945</v>
      </c>
      <c r="F40" s="153" cm="1">
        <f t="array" ref="F40">_xll.BDP($C40&amp;" Equity","volatility_10d")/100</f>
        <v>0.40138468808835381</v>
      </c>
      <c r="G40" s="153" cm="1">
        <f t="array" ref="G40">_xll.BDP($C40&amp;" Equity","volatility_30d")/100</f>
        <v>0.3276644194558036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0.54424041509628296</v>
      </c>
      <c r="F41" s="153" cm="1">
        <f t="array" ref="F41">_xll.BDP($C41&amp;" Equity","volatility_10d")/100</f>
        <v>0.31559222852188112</v>
      </c>
      <c r="G41" s="153" cm="1">
        <f t="array" ref="G41">_xll.BDP($C41&amp;" Equity","volatility_30d")/100</f>
        <v>0.21773605432688659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0.55633991956710815</v>
      </c>
      <c r="F42" s="153" cm="1">
        <f t="array" ref="F42">_xll.BDP($C42&amp;" Equity","volatility_10d")/100</f>
        <v>0.31958463210667454</v>
      </c>
      <c r="G42" s="153" cm="1">
        <f t="array" ref="G42">_xll.BDP($C42&amp;" Equity","volatility_30d")/100</f>
        <v>0.23586779777239703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0.75196337699890137</v>
      </c>
      <c r="F43" s="153" cm="1">
        <f t="array" ref="F43">_xll.BDP($C43&amp;" Equity","volatility_10d")/100</f>
        <v>0.26282306431724667</v>
      </c>
      <c r="G43" s="153" cm="1">
        <f t="array" ref="G43">_xll.BDP($C43&amp;" Equity","volatility_30d")/100</f>
        <v>0.24086101771213703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0.67631405591964722</v>
      </c>
      <c r="F44" s="153" cm="1">
        <f t="array" ref="F44">_xll.BDP($C44&amp;" Equity","volatility_10d")/100</f>
        <v>0.6731240527869421</v>
      </c>
      <c r="G44" s="153" cm="1">
        <f t="array" ref="G44">_xll.BDP($C44&amp;" Equity","volatility_30d")/100</f>
        <v>0.63082422815512551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0.57317048311233521</v>
      </c>
      <c r="F45" s="153" cm="1">
        <f t="array" ref="F45">_xll.BDP($C45&amp;" Equity","volatility_10d")/100</f>
        <v>0.73693462966359613</v>
      </c>
      <c r="G45" s="153" cm="1">
        <f t="array" ref="G45">_xll.BDP($C45&amp;" Equity","volatility_30d")/100</f>
        <v>0.54692838878790273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>R47-P47</f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>R48-P48</f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2" priority="6" operator="lessThan">
      <formula>0</formula>
    </cfRule>
  </conditionalFormatting>
  <conditionalFormatting sqref="L23:O59">
    <cfRule type="cellIs" dxfId="1661" priority="5" operator="lessThan">
      <formula>0</formula>
    </cfRule>
  </conditionalFormatting>
  <conditionalFormatting sqref="R23:R59">
    <cfRule type="cellIs" dxfId="1660" priority="4" operator="lessThan">
      <formula>0</formula>
    </cfRule>
  </conditionalFormatting>
  <conditionalFormatting sqref="Q45:Q48">
    <cfRule type="cellIs" dxfId="1659" priority="3" operator="lessThan">
      <formula>0</formula>
    </cfRule>
  </conditionalFormatting>
  <conditionalFormatting sqref="Q42:Q43">
    <cfRule type="cellIs" dxfId="1658" priority="2" operator="lessThan">
      <formula>0</formula>
    </cfRule>
  </conditionalFormatting>
  <conditionalFormatting sqref="Q39">
    <cfRule type="cellIs" dxfId="1657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1990</v>
      </c>
      <c r="K3" s="6" t="s">
        <v>1991</v>
      </c>
      <c r="M3" s="6" t="s">
        <v>1992</v>
      </c>
    </row>
    <row r="4" spans="4:15">
      <c r="D4" s="6" t="s">
        <v>1979</v>
      </c>
      <c r="E4" s="391" t="s">
        <v>1980</v>
      </c>
      <c r="F4" s="6" t="s">
        <v>1984</v>
      </c>
      <c r="G4" s="6" t="s">
        <v>1985</v>
      </c>
      <c r="H4" s="6"/>
      <c r="I4" s="6" t="s">
        <v>1972</v>
      </c>
      <c r="J4" s="6" t="s">
        <v>1981</v>
      </c>
      <c r="K4" s="6" t="s">
        <v>1985</v>
      </c>
      <c r="L4" s="6"/>
      <c r="M4" s="6" t="s">
        <v>1982</v>
      </c>
    </row>
    <row r="5" spans="4:15">
      <c r="D5" t="s">
        <v>1978</v>
      </c>
      <c r="E5" s="80">
        <v>45960</v>
      </c>
      <c r="F5" s="267">
        <v>140</v>
      </c>
      <c r="G5" s="267" t="s">
        <v>1989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1988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1983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1986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1987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1973</v>
      </c>
      <c r="E6" s="389" t="s">
        <v>1975</v>
      </c>
      <c r="F6" s="57" t="s">
        <v>1974</v>
      </c>
      <c r="G6" s="389" t="s">
        <v>1975</v>
      </c>
      <c r="H6" s="389" t="s">
        <v>1976</v>
      </c>
      <c r="J6" s="57"/>
      <c r="K6" s="57"/>
      <c r="L6" s="57" t="s">
        <v>1973</v>
      </c>
      <c r="M6" s="389" t="s">
        <v>1975</v>
      </c>
      <c r="N6" s="57" t="s">
        <v>1974</v>
      </c>
      <c r="O6" s="389" t="s">
        <v>1975</v>
      </c>
      <c r="P6" s="57" t="s">
        <v>1977</v>
      </c>
      <c r="Q6" s="389" t="s">
        <v>1975</v>
      </c>
      <c r="R6" s="389" t="s">
        <v>1976</v>
      </c>
      <c r="T6" s="57"/>
      <c r="U6" s="57"/>
      <c r="V6" s="57" t="s">
        <v>1973</v>
      </c>
      <c r="W6" s="389" t="s">
        <v>1975</v>
      </c>
      <c r="X6" s="57" t="s">
        <v>1974</v>
      </c>
      <c r="Y6" s="389" t="s">
        <v>1975</v>
      </c>
      <c r="Z6" s="57" t="s">
        <v>1977</v>
      </c>
      <c r="AA6" s="389" t="s">
        <v>1975</v>
      </c>
      <c r="AB6" s="389" t="s">
        <v>1976</v>
      </c>
    </row>
    <row r="7" spans="2:28">
      <c r="B7" t="s">
        <v>1971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1971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1971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1968</v>
      </c>
      <c r="C8" s="387">
        <v>45748</v>
      </c>
      <c r="D8">
        <v>67</v>
      </c>
      <c r="E8" s="388">
        <f>D8/15.9</f>
        <v>4.2138364779874209</v>
      </c>
      <c r="F8">
        <v>47</v>
      </c>
      <c r="G8" s="388">
        <f>F8/15.9</f>
        <v>2.9559748427672954</v>
      </c>
      <c r="H8" s="390">
        <v>4.2300000000000004</v>
      </c>
      <c r="J8" t="s">
        <v>1968</v>
      </c>
      <c r="K8" s="387">
        <v>45748</v>
      </c>
      <c r="L8">
        <v>41.2</v>
      </c>
      <c r="M8" s="388">
        <f>L8/15.9</f>
        <v>2.5911949685534594</v>
      </c>
      <c r="N8">
        <v>32</v>
      </c>
      <c r="O8" s="388">
        <f t="shared" ref="O8:Q10" si="0">N8/15.9</f>
        <v>2.0125786163522013</v>
      </c>
      <c r="P8">
        <v>32</v>
      </c>
      <c r="Q8" s="388">
        <f t="shared" si="0"/>
        <v>2.0125786163522013</v>
      </c>
      <c r="R8" s="390">
        <v>7.6</v>
      </c>
      <c r="T8" t="s">
        <v>1968</v>
      </c>
      <c r="U8" s="387">
        <v>45748</v>
      </c>
      <c r="V8">
        <v>41.2</v>
      </c>
      <c r="W8" s="388">
        <f>V8/15.9</f>
        <v>2.5911949685534594</v>
      </c>
      <c r="X8">
        <v>32</v>
      </c>
      <c r="Y8" s="388">
        <f>X8/15.9</f>
        <v>2.0125786163522013</v>
      </c>
      <c r="Z8">
        <v>32</v>
      </c>
      <c r="AA8" s="388">
        <f>Z8/15.9</f>
        <v>2.0125786163522013</v>
      </c>
      <c r="AB8" s="390">
        <v>7.6</v>
      </c>
    </row>
    <row r="9" spans="2:28">
      <c r="B9" t="s">
        <v>1969</v>
      </c>
      <c r="C9" s="387">
        <v>45839</v>
      </c>
      <c r="D9">
        <v>21</v>
      </c>
      <c r="E9" s="388">
        <f>D9/15.9</f>
        <v>1.320754716981132</v>
      </c>
      <c r="F9">
        <v>36</v>
      </c>
      <c r="G9" s="388">
        <f>F9/15.9</f>
        <v>2.2641509433962264</v>
      </c>
      <c r="H9" s="390">
        <v>11.25</v>
      </c>
      <c r="J9" t="s">
        <v>1969</v>
      </c>
      <c r="K9" s="387">
        <v>45839</v>
      </c>
      <c r="L9">
        <v>11.5</v>
      </c>
      <c r="M9" s="388">
        <f>L9/15.9</f>
        <v>0.72327044025157228</v>
      </c>
      <c r="N9">
        <v>23</v>
      </c>
      <c r="O9" s="388">
        <f t="shared" si="0"/>
        <v>1.4465408805031446</v>
      </c>
      <c r="P9">
        <v>23</v>
      </c>
      <c r="Q9" s="388">
        <f t="shared" si="0"/>
        <v>1.4465408805031446</v>
      </c>
      <c r="R9" s="390">
        <v>3.95</v>
      </c>
      <c r="T9" t="s">
        <v>1969</v>
      </c>
      <c r="U9" s="387">
        <v>45839</v>
      </c>
      <c r="V9">
        <v>11.5</v>
      </c>
      <c r="W9" s="388">
        <f>V9/15.9</f>
        <v>0.72327044025157228</v>
      </c>
      <c r="X9">
        <v>23</v>
      </c>
      <c r="Y9" s="388">
        <f>X9/15.9</f>
        <v>1.4465408805031446</v>
      </c>
      <c r="Z9">
        <v>23</v>
      </c>
      <c r="AA9" s="388">
        <f>Z9/15.9</f>
        <v>1.4465408805031446</v>
      </c>
      <c r="AB9" s="390">
        <v>3.95</v>
      </c>
    </row>
    <row r="10" spans="2:28">
      <c r="B10" t="s">
        <v>1970</v>
      </c>
      <c r="C10" s="387">
        <v>45931</v>
      </c>
      <c r="D10">
        <v>23</v>
      </c>
      <c r="E10" s="388">
        <f>D10/15.9</f>
        <v>1.4465408805031446</v>
      </c>
      <c r="F10">
        <v>41</v>
      </c>
      <c r="G10" s="388">
        <f>F10/15.9</f>
        <v>2.5786163522012577</v>
      </c>
      <c r="H10" s="390">
        <v>-11.33</v>
      </c>
      <c r="J10" t="s">
        <v>1970</v>
      </c>
      <c r="K10" s="387">
        <v>45931</v>
      </c>
      <c r="L10">
        <v>15.1</v>
      </c>
      <c r="M10" s="388">
        <f>L10/15.9</f>
        <v>0.94968553459119498</v>
      </c>
      <c r="N10">
        <v>30</v>
      </c>
      <c r="O10" s="388">
        <f t="shared" si="0"/>
        <v>1.8867924528301887</v>
      </c>
      <c r="P10">
        <v>30</v>
      </c>
      <c r="Q10" s="388">
        <f t="shared" si="0"/>
        <v>1.8867924528301887</v>
      </c>
      <c r="R10" s="390">
        <v>-2.9</v>
      </c>
      <c r="T10" t="s">
        <v>1970</v>
      </c>
      <c r="U10" s="387">
        <v>45931</v>
      </c>
      <c r="V10">
        <v>15.1</v>
      </c>
      <c r="W10" s="388">
        <f>V10/15.9</f>
        <v>0.94968553459119498</v>
      </c>
      <c r="X10">
        <v>30</v>
      </c>
      <c r="Y10" s="388">
        <f>X10/15.9</f>
        <v>1.8867924528301887</v>
      </c>
      <c r="Z10">
        <v>30</v>
      </c>
      <c r="AA10" s="388">
        <f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5" zoomScaleNormal="85" zoomScaleSheetLayoutView="85" workbookViewId="0">
      <selection activeCell="I37" sqref="I37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-3.0468278882471984</v>
      </c>
      <c r="F4" s="284">
        <f>'Master P&amp;L'!U5</f>
        <v>1.9338299411787465E-2</v>
      </c>
    </row>
    <row r="5" spans="1:28">
      <c r="A5" s="297" t="s">
        <v>65</v>
      </c>
      <c r="C5" s="298">
        <f>'Master P&amp;L'!V6</f>
        <v>0.15212307228439653</v>
      </c>
      <c r="F5" s="284">
        <f>'Master P&amp;L'!U6</f>
        <v>-2.0622515244614597E-3</v>
      </c>
    </row>
    <row r="6" spans="1:28" s="304" customFormat="1">
      <c r="A6" s="299" t="s">
        <v>66</v>
      </c>
      <c r="B6" s="300"/>
      <c r="C6" s="301">
        <f>'Master P&amp;L'!V7</f>
        <v>-2.8947048159628017</v>
      </c>
      <c r="D6" s="302"/>
      <c r="E6" s="302"/>
      <c r="F6" s="302">
        <f>'Master P&amp;L'!U7</f>
        <v>1.7276047887326007E-2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2.1400550936248923E-2</v>
      </c>
    </row>
    <row r="8" spans="1:28">
      <c r="A8" s="306" t="s">
        <v>68</v>
      </c>
      <c r="B8" s="307"/>
      <c r="C8" s="308">
        <f>'Master P&amp;L'!V7*'Master P&amp;L'!AD5/10000</f>
        <v>-610177.14392065175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-3290563.3017352908</v>
      </c>
      <c r="D9" s="312"/>
      <c r="E9" s="312"/>
      <c r="F9" s="312"/>
      <c r="G9" s="313"/>
      <c r="H9" s="312"/>
    </row>
    <row r="10" spans="1:28">
      <c r="A10" s="439" t="s">
        <v>2178</v>
      </c>
      <c r="B10" s="443">
        <f>Options!AI1</f>
        <v>-1.3551715638251858</v>
      </c>
      <c r="H10" s="286"/>
    </row>
    <row r="11" spans="1:28">
      <c r="A11" s="314">
        <f ca="1">TODAY()</f>
        <v>46036</v>
      </c>
      <c r="H11" s="286"/>
      <c r="L11" s="284"/>
    </row>
    <row r="12" spans="1:28" s="366" customFormat="1" ht="47.25">
      <c r="A12" s="536" t="s">
        <v>72</v>
      </c>
      <c r="B12" s="529" t="s">
        <v>73</v>
      </c>
      <c r="C12" s="535" t="s">
        <v>74</v>
      </c>
      <c r="D12" s="535" t="s">
        <v>75</v>
      </c>
      <c r="E12" s="535" t="s">
        <v>76</v>
      </c>
      <c r="F12" s="535" t="s">
        <v>77</v>
      </c>
      <c r="G12" s="365"/>
      <c r="I12" s="367"/>
      <c r="L12" s="315"/>
      <c r="AA12" s="368"/>
      <c r="AB12" s="368"/>
    </row>
    <row r="13" spans="1:28">
      <c r="A13" s="530" t="s">
        <v>1916</v>
      </c>
      <c r="B13" s="531">
        <v>6.5627931410499052E-3</v>
      </c>
      <c r="C13" s="534">
        <v>-2.8875425889537953E-3</v>
      </c>
      <c r="D13" s="532">
        <v>4.8882385383619607E-4</v>
      </c>
      <c r="E13" s="532">
        <v>6.5774809500567986E-4</v>
      </c>
      <c r="F13" s="532">
        <v>1.146571948841876E-3</v>
      </c>
      <c r="G13" s="316"/>
      <c r="H13" s="286"/>
      <c r="L13" s="316"/>
    </row>
    <row r="14" spans="1:28">
      <c r="A14" s="533" t="s">
        <v>38</v>
      </c>
      <c r="B14" s="531">
        <v>-5.316007088009389E-3</v>
      </c>
      <c r="C14" s="534">
        <v>-6.4086787621217181E-2</v>
      </c>
      <c r="D14" s="532">
        <v>0</v>
      </c>
      <c r="E14" s="532">
        <v>6.5774809500567986E-4</v>
      </c>
      <c r="F14" s="532">
        <v>6.5774809500567986E-4</v>
      </c>
      <c r="G14" s="316"/>
      <c r="H14" s="286"/>
      <c r="I14" s="285"/>
      <c r="L14" s="316"/>
    </row>
    <row r="15" spans="1:28">
      <c r="A15" s="533" t="s">
        <v>2215</v>
      </c>
      <c r="B15" s="531">
        <v>7.7000334784065316E-3</v>
      </c>
      <c r="C15" s="534">
        <v>1.7902180212127552E-2</v>
      </c>
      <c r="D15" s="532">
        <v>2.3428505408045071E-4</v>
      </c>
      <c r="E15" s="532">
        <v>0</v>
      </c>
      <c r="F15" s="532">
        <v>2.3428505408045071E-4</v>
      </c>
      <c r="G15" s="316"/>
      <c r="H15" s="286"/>
      <c r="I15" s="285"/>
      <c r="L15" s="316"/>
    </row>
    <row r="16" spans="1:28">
      <c r="A16" s="533" t="s">
        <v>461</v>
      </c>
      <c r="B16" s="531">
        <v>1.7304353032752573E-2</v>
      </c>
      <c r="C16" s="534">
        <v>4.329706482013583E-2</v>
      </c>
      <c r="D16" s="532">
        <v>2.5453879975574536E-4</v>
      </c>
      <c r="E16" s="532">
        <v>0</v>
      </c>
      <c r="F16" s="532">
        <v>2.5453879975574536E-4</v>
      </c>
      <c r="G16" s="316"/>
      <c r="H16" s="286"/>
      <c r="I16" s="285"/>
      <c r="L16" s="316"/>
    </row>
    <row r="17" spans="1:12">
      <c r="A17" s="530" t="s">
        <v>78</v>
      </c>
      <c r="B17" s="531">
        <v>1.5598581618013012E-3</v>
      </c>
      <c r="C17" s="534">
        <v>0.10444601610196882</v>
      </c>
      <c r="D17" s="532">
        <v>-1.5641178980331956E-3</v>
      </c>
      <c r="E17" s="532">
        <v>0</v>
      </c>
      <c r="F17" s="532">
        <v>-1.5641178980331956E-3</v>
      </c>
      <c r="G17" s="316"/>
      <c r="H17" s="286"/>
      <c r="I17" s="285"/>
      <c r="L17" s="316"/>
    </row>
    <row r="18" spans="1:12">
      <c r="A18" s="533" t="s">
        <v>3</v>
      </c>
      <c r="B18" s="531">
        <v>4.550510668419383E-3</v>
      </c>
      <c r="C18" s="534">
        <v>-4.989459367928533E-2</v>
      </c>
      <c r="D18" s="532">
        <v>-1.1014508746889275E-3</v>
      </c>
      <c r="E18" s="532">
        <v>0</v>
      </c>
      <c r="F18" s="532">
        <v>-1.1014508746889275E-3</v>
      </c>
      <c r="G18" s="316"/>
      <c r="H18" s="286"/>
      <c r="I18" s="285"/>
      <c r="L18" s="316"/>
    </row>
    <row r="19" spans="1:12">
      <c r="A19" s="533" t="s">
        <v>143</v>
      </c>
      <c r="B19" s="531">
        <v>6.4531908492260204E-5</v>
      </c>
      <c r="C19" s="534">
        <v>0.15434060978125416</v>
      </c>
      <c r="D19" s="532">
        <v>-4.6266702334426808E-4</v>
      </c>
      <c r="E19" s="532">
        <v>0</v>
      </c>
      <c r="F19" s="532">
        <v>-4.6266702334426808E-4</v>
      </c>
      <c r="G19" s="316"/>
      <c r="H19" s="286"/>
      <c r="I19" s="285"/>
      <c r="L19" s="316"/>
    </row>
    <row r="20" spans="1:12">
      <c r="A20" s="530" t="s">
        <v>2199</v>
      </c>
      <c r="B20" s="531">
        <v>6.3429199659787994E-3</v>
      </c>
      <c r="C20" s="534">
        <v>5.3747343326324602E-2</v>
      </c>
      <c r="D20" s="532">
        <v>1.1993052517113396E-3</v>
      </c>
      <c r="E20" s="532">
        <v>0</v>
      </c>
      <c r="F20" s="532">
        <v>1.1993052517113396E-3</v>
      </c>
      <c r="G20" s="316"/>
      <c r="H20" s="286"/>
      <c r="L20" s="316"/>
    </row>
    <row r="21" spans="1:12">
      <c r="A21" s="533" t="s">
        <v>2200</v>
      </c>
      <c r="B21" s="531">
        <v>6.3429199659787994E-3</v>
      </c>
      <c r="C21" s="534">
        <v>5.3747343326324602E-2</v>
      </c>
      <c r="D21" s="532">
        <v>1.1993052517113396E-3</v>
      </c>
      <c r="E21" s="532">
        <v>0</v>
      </c>
      <c r="F21" s="532">
        <v>1.1993052517113396E-3</v>
      </c>
      <c r="G21" s="316"/>
      <c r="H21" s="286"/>
      <c r="I21" s="285"/>
      <c r="L21" s="316"/>
    </row>
    <row r="22" spans="1:12">
      <c r="A22" s="530" t="s">
        <v>1883</v>
      </c>
      <c r="B22" s="531">
        <v>-1.0093701364061909E-2</v>
      </c>
      <c r="C22" s="534">
        <v>-1.1005457645842143</v>
      </c>
      <c r="D22" s="532">
        <v>2.9145853186807948E-3</v>
      </c>
      <c r="E22" s="532">
        <v>2.0063010518548653E-3</v>
      </c>
      <c r="F22" s="532">
        <v>4.9208863705356605E-3</v>
      </c>
      <c r="G22" s="316"/>
      <c r="H22" s="286"/>
      <c r="I22" s="285"/>
      <c r="L22" s="316"/>
    </row>
    <row r="23" spans="1:12">
      <c r="A23" s="533" t="s">
        <v>94</v>
      </c>
      <c r="B23" s="531">
        <v>-1.4369517248802643E-2</v>
      </c>
      <c r="C23" s="534">
        <v>-0.27107905713880465</v>
      </c>
      <c r="D23" s="532">
        <v>1.8593789709513253E-3</v>
      </c>
      <c r="E23" s="532">
        <v>0</v>
      </c>
      <c r="F23" s="532">
        <v>1.8593789709513253E-3</v>
      </c>
      <c r="G23" s="316"/>
      <c r="H23" s="286"/>
      <c r="I23" s="285"/>
      <c r="L23" s="316"/>
    </row>
    <row r="24" spans="1:12">
      <c r="A24" s="533" t="s">
        <v>96</v>
      </c>
      <c r="B24" s="531">
        <v>-1.2152175560627698E-3</v>
      </c>
      <c r="C24" s="534">
        <v>-0.46200619717020602</v>
      </c>
      <c r="D24" s="532">
        <v>0</v>
      </c>
      <c r="E24" s="532">
        <v>2.1634780263936676E-3</v>
      </c>
      <c r="F24" s="532">
        <v>2.1634780263936676E-3</v>
      </c>
      <c r="G24" s="316"/>
      <c r="H24" s="291"/>
      <c r="I24" s="285"/>
      <c r="L24" s="316"/>
    </row>
    <row r="25" spans="1:12">
      <c r="A25" s="533" t="s">
        <v>137</v>
      </c>
      <c r="B25" s="531">
        <v>-1.9841469318468918E-2</v>
      </c>
      <c r="C25" s="534">
        <v>-0.38120924275571744</v>
      </c>
      <c r="D25" s="532">
        <v>1.0552063477294693E-3</v>
      </c>
      <c r="E25" s="532">
        <v>1.4731897658696989E-4</v>
      </c>
      <c r="F25" s="532">
        <v>1.202525324316439E-3</v>
      </c>
      <c r="G25" s="316"/>
      <c r="H25" s="291"/>
      <c r="I25" s="285"/>
      <c r="L25" s="316"/>
    </row>
    <row r="26" spans="1:12">
      <c r="A26" s="533" t="s">
        <v>138</v>
      </c>
      <c r="B26" s="531">
        <v>-2.2155328115593065E-2</v>
      </c>
      <c r="C26" s="534">
        <v>3.4815338700656534E-2</v>
      </c>
      <c r="D26" s="532">
        <v>0</v>
      </c>
      <c r="E26" s="532">
        <v>-1.0819893136708179E-4</v>
      </c>
      <c r="F26" s="532">
        <v>-1.0819893136708179E-4</v>
      </c>
      <c r="G26" s="316"/>
      <c r="H26" s="286"/>
      <c r="I26" s="285"/>
      <c r="L26" s="316"/>
    </row>
    <row r="27" spans="1:12">
      <c r="A27" s="533" t="s">
        <v>2381</v>
      </c>
      <c r="B27" s="531">
        <v>-9.7746580509725511E-3</v>
      </c>
      <c r="C27" s="534">
        <v>-2.1066606220142583E-2</v>
      </c>
      <c r="D27" s="532">
        <v>0</v>
      </c>
      <c r="E27" s="532">
        <v>-1.962970197586903E-4</v>
      </c>
      <c r="F27" s="532">
        <v>-1.962970197586903E-4</v>
      </c>
      <c r="G27" s="316"/>
      <c r="H27" s="291"/>
      <c r="I27" s="285"/>
      <c r="L27" s="316"/>
    </row>
    <row r="28" spans="1:12">
      <c r="A28" s="530" t="s">
        <v>2197</v>
      </c>
      <c r="B28" s="531">
        <v>7.7340388559198336E-3</v>
      </c>
      <c r="C28" s="534">
        <v>0.40082395861228809</v>
      </c>
      <c r="D28" s="532">
        <v>2.4983467682506656E-3</v>
      </c>
      <c r="E28" s="532">
        <v>0</v>
      </c>
      <c r="F28" s="532">
        <v>2.4983467682506656E-3</v>
      </c>
      <c r="G28" s="316"/>
      <c r="H28" s="286"/>
      <c r="I28" s="285"/>
      <c r="L28" s="316"/>
    </row>
    <row r="29" spans="1:12">
      <c r="A29" s="533" t="s">
        <v>1754</v>
      </c>
      <c r="B29" s="531">
        <v>1.9527617630648919E-2</v>
      </c>
      <c r="C29" s="534">
        <v>0.41445775816259312</v>
      </c>
      <c r="D29" s="532">
        <v>2.1638642192831825E-3</v>
      </c>
      <c r="E29" s="532">
        <v>0</v>
      </c>
      <c r="F29" s="532">
        <v>2.1638642192831825E-3</v>
      </c>
      <c r="G29" s="316"/>
      <c r="H29" s="286"/>
      <c r="I29" s="285"/>
      <c r="L29" s="316"/>
    </row>
    <row r="30" spans="1:12">
      <c r="A30" s="533" t="s">
        <v>1761</v>
      </c>
      <c r="B30" s="531">
        <v>-4.0595399188092518E-3</v>
      </c>
      <c r="C30" s="534">
        <v>-1.3633799550305022E-2</v>
      </c>
      <c r="D30" s="532">
        <v>3.3448254896748322E-4</v>
      </c>
      <c r="E30" s="532">
        <v>0</v>
      </c>
      <c r="F30" s="532">
        <v>3.3448254896748322E-4</v>
      </c>
      <c r="G30" s="316"/>
      <c r="H30" s="286"/>
      <c r="I30" s="285"/>
      <c r="L30" s="316"/>
    </row>
    <row r="31" spans="1:12">
      <c r="A31" s="530" t="s">
        <v>2102</v>
      </c>
      <c r="B31" s="531">
        <v>-4.6055817863947635E-2</v>
      </c>
      <c r="C31" s="534">
        <v>-0.80044410889554007</v>
      </c>
      <c r="D31" s="532">
        <v>5.4891291089603257E-4</v>
      </c>
      <c r="E31" s="532">
        <v>4.6305453584385514E-4</v>
      </c>
      <c r="F31" s="532">
        <v>1.0119674467398878E-3</v>
      </c>
      <c r="G31" s="316"/>
      <c r="H31" s="286"/>
      <c r="I31" s="285"/>
      <c r="L31" s="316"/>
    </row>
    <row r="32" spans="1:12">
      <c r="A32" s="533" t="s">
        <v>2101</v>
      </c>
      <c r="B32" s="531">
        <v>-5.3507238872961937E-2</v>
      </c>
      <c r="C32" s="534">
        <v>-0.71852649973164107</v>
      </c>
      <c r="D32" s="532">
        <v>2.9415191388310215E-4</v>
      </c>
      <c r="E32" s="532">
        <v>4.6305453584385514E-4</v>
      </c>
      <c r="F32" s="532">
        <v>7.5720644972695735E-4</v>
      </c>
      <c r="G32" s="316"/>
      <c r="H32" s="286"/>
      <c r="L32" s="316"/>
    </row>
    <row r="33" spans="1:28">
      <c r="A33" s="533" t="s">
        <v>2216</v>
      </c>
      <c r="B33" s="531">
        <v>-3.1152975845919029E-2</v>
      </c>
      <c r="C33" s="534">
        <v>-8.1917609163899036E-2</v>
      </c>
      <c r="D33" s="532">
        <v>2.5476099701293047E-4</v>
      </c>
      <c r="E33" s="532">
        <v>0</v>
      </c>
      <c r="F33" s="532">
        <v>2.5476099701293047E-4</v>
      </c>
      <c r="G33" s="316"/>
      <c r="H33" s="286"/>
      <c r="I33" s="285"/>
      <c r="L33" s="316"/>
    </row>
    <row r="34" spans="1:28">
      <c r="A34" s="530" t="s">
        <v>2190</v>
      </c>
      <c r="B34" s="531">
        <v>3.3432835820895512E-2</v>
      </c>
      <c r="C34" s="534">
        <v>5.4640123922559111E-2</v>
      </c>
      <c r="D34" s="532">
        <v>1.6889652591062506E-4</v>
      </c>
      <c r="E34" s="532">
        <v>0</v>
      </c>
      <c r="F34" s="532">
        <v>1.6889652591062506E-4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33" t="s">
        <v>2189</v>
      </c>
      <c r="B35" s="531">
        <v>3.3432835820895512E-2</v>
      </c>
      <c r="C35" s="534">
        <v>5.4640123922559111E-2</v>
      </c>
      <c r="D35" s="532">
        <v>1.6889652591062506E-4</v>
      </c>
      <c r="E35" s="532">
        <v>0</v>
      </c>
      <c r="F35" s="532">
        <v>1.6889652591062506E-4</v>
      </c>
      <c r="G35" s="316"/>
      <c r="H35" s="286"/>
      <c r="I35" s="285"/>
      <c r="L35" s="316"/>
    </row>
    <row r="36" spans="1:28">
      <c r="A36" s="530" t="s">
        <v>2355</v>
      </c>
      <c r="B36" s="531">
        <v>3.6461130043958789E-3</v>
      </c>
      <c r="C36" s="534">
        <v>3.7068356797464182E-2</v>
      </c>
      <c r="D36" s="532">
        <v>1.0202521911815093E-3</v>
      </c>
      <c r="E36" s="532">
        <v>0</v>
      </c>
      <c r="F36" s="532">
        <v>1.0202521911815093E-3</v>
      </c>
      <c r="G36" s="316"/>
      <c r="H36" s="286"/>
      <c r="I36" s="285"/>
      <c r="L36" s="316"/>
    </row>
    <row r="37" spans="1:28">
      <c r="A37" s="533" t="s">
        <v>86</v>
      </c>
      <c r="B37" s="531">
        <v>3.3578597772436769E-3</v>
      </c>
      <c r="C37" s="534">
        <v>1.7043993200844144E-2</v>
      </c>
      <c r="D37" s="532">
        <v>5.0928941869319048E-4</v>
      </c>
      <c r="E37" s="532">
        <v>0</v>
      </c>
      <c r="F37" s="532">
        <v>5.0928941869319048E-4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33" t="s">
        <v>87</v>
      </c>
      <c r="B38" s="531">
        <v>3.934366231548081E-3</v>
      </c>
      <c r="C38" s="534">
        <v>2.0024363596620038E-2</v>
      </c>
      <c r="D38" s="532">
        <v>5.1096277248831887E-4</v>
      </c>
      <c r="E38" s="532">
        <v>0</v>
      </c>
      <c r="F38" s="532">
        <v>5.1096277248831887E-4</v>
      </c>
      <c r="G38" s="316"/>
      <c r="H38" s="286"/>
      <c r="I38" s="285"/>
      <c r="L38" s="316"/>
      <c r="AA38" s="319"/>
      <c r="AB38" s="319"/>
    </row>
    <row r="39" spans="1:28">
      <c r="A39" s="530" t="s">
        <v>2382</v>
      </c>
      <c r="B39" s="531">
        <v>-1.8538034633794376E-2</v>
      </c>
      <c r="C39" s="534">
        <v>-1.6297708010233962</v>
      </c>
      <c r="D39" s="532">
        <v>5.3633694485259887E-3</v>
      </c>
      <c r="E39" s="532">
        <v>1.5122332472160696E-3</v>
      </c>
      <c r="F39" s="532">
        <v>6.8756026957420583E-3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33" t="s">
        <v>81</v>
      </c>
      <c r="B40" s="531">
        <v>-2.4576526327465209E-2</v>
      </c>
      <c r="C40" s="534">
        <v>-0.55700106846056918</v>
      </c>
      <c r="D40" s="532">
        <v>1.6380860787783612E-3</v>
      </c>
      <c r="E40" s="532">
        <v>5.4794928840673864E-4</v>
      </c>
      <c r="F40" s="532">
        <v>2.1860353671850998E-3</v>
      </c>
      <c r="G40" s="286"/>
      <c r="H40" s="286"/>
      <c r="L40" s="316"/>
    </row>
    <row r="41" spans="1:28">
      <c r="A41" s="533" t="s">
        <v>90</v>
      </c>
      <c r="B41" s="531">
        <v>-2.365988909426997E-2</v>
      </c>
      <c r="C41" s="534">
        <v>-0.67642592944331092</v>
      </c>
      <c r="D41" s="532">
        <v>1.7343956570894127E-3</v>
      </c>
      <c r="E41" s="532">
        <v>1.1578778988943631E-3</v>
      </c>
      <c r="F41" s="532">
        <v>2.8922735559837758E-3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33" t="s">
        <v>399</v>
      </c>
      <c r="B42" s="531">
        <v>-2.4278647980214285E-2</v>
      </c>
      <c r="C42" s="534">
        <v>-0.42932479480277236</v>
      </c>
      <c r="D42" s="532">
        <v>1.7253900199960014E-3</v>
      </c>
      <c r="E42" s="532">
        <v>0</v>
      </c>
      <c r="F42" s="532">
        <v>1.7253900199960014E-3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33" t="s">
        <v>2103</v>
      </c>
      <c r="B43" s="531">
        <v>-1.981842338352513E-2</v>
      </c>
      <c r="C43" s="534">
        <v>3.392832370191376E-2</v>
      </c>
      <c r="D43" s="532">
        <v>0</v>
      </c>
      <c r="E43" s="532">
        <v>-1.9359394008503219E-4</v>
      </c>
      <c r="F43" s="532">
        <v>-1.9359394008503219E-4</v>
      </c>
      <c r="G43" s="286"/>
      <c r="H43" s="286"/>
      <c r="I43" s="285"/>
      <c r="L43" s="316"/>
    </row>
    <row r="44" spans="1:28">
      <c r="A44" s="533" t="s">
        <v>2224</v>
      </c>
      <c r="B44" s="531">
        <v>-3.5668638349728443E-4</v>
      </c>
      <c r="C44" s="534">
        <v>-9.4733201865739415E-4</v>
      </c>
      <c r="D44" s="532">
        <v>2.6549769266221346E-4</v>
      </c>
      <c r="E44" s="532">
        <v>0</v>
      </c>
      <c r="F44" s="532">
        <v>2.6549769266221346E-4</v>
      </c>
      <c r="G44" s="286"/>
      <c r="H44" s="286"/>
      <c r="I44" s="285"/>
      <c r="L44" s="316"/>
      <c r="S44" s="317"/>
      <c r="T44" s="317"/>
      <c r="U44" s="317"/>
    </row>
    <row r="45" spans="1:28">
      <c r="A45" s="530" t="s">
        <v>97</v>
      </c>
      <c r="B45" s="531">
        <v>-7.6151335218444605E-3</v>
      </c>
      <c r="C45" s="534">
        <v>-2.8829224183314994</v>
      </c>
      <c r="D45" s="532">
        <v>1.2638374370959956E-2</v>
      </c>
      <c r="E45" s="532">
        <v>4.6393369299204705E-3</v>
      </c>
      <c r="F45" s="532">
        <v>1.7277711300880422E-2</v>
      </c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6" priority="9984" operator="lessThan">
      <formula>0</formula>
    </cfRule>
  </conditionalFormatting>
  <conditionalFormatting sqref="H86:H1048576 F1:H9 F12:G12 G10:G11">
    <cfRule type="cellIs" dxfId="1655" priority="9981" operator="lessThan">
      <formula>0</formula>
    </cfRule>
    <cfRule type="cellIs" dxfId="1654" priority="9982" operator="lessThan">
      <formula>0</formula>
    </cfRule>
  </conditionalFormatting>
  <conditionalFormatting sqref="F136:G1048576 G86:G135">
    <cfRule type="cellIs" dxfId="1653" priority="5617" operator="lessThan">
      <formula>0</formula>
    </cfRule>
  </conditionalFormatting>
  <conditionalFormatting sqref="F136:G1048576 G86:G135">
    <cfRule type="cellIs" dxfId="1652" priority="5616" operator="lessThan">
      <formula>0</formula>
    </cfRule>
  </conditionalFormatting>
  <conditionalFormatting sqref="F136:G1048576 G86:G135">
    <cfRule type="cellIs" dxfId="1651" priority="5614" operator="lessThan">
      <formula>0</formula>
    </cfRule>
    <cfRule type="cellIs" dxfId="1650" priority="5615" operator="lessThan">
      <formula>0</formula>
    </cfRule>
  </conditionalFormatting>
  <conditionalFormatting sqref="F136:G1048576 G86:G135">
    <cfRule type="cellIs" dxfId="1649" priority="5613" operator="lessThan">
      <formula>0</formula>
    </cfRule>
  </conditionalFormatting>
  <conditionalFormatting sqref="F136:G1048576 G86:G135">
    <cfRule type="cellIs" dxfId="1648" priority="5612" operator="lessThan">
      <formula>0</formula>
    </cfRule>
  </conditionalFormatting>
  <conditionalFormatting sqref="F136:G1048576 G86:G135">
    <cfRule type="cellIs" dxfId="1647" priority="5611" operator="lessThan">
      <formula>0</formula>
    </cfRule>
  </conditionalFormatting>
  <conditionalFormatting sqref="F136:G1048576 G86:G135">
    <cfRule type="cellIs" dxfId="1646" priority="5610" operator="lessThan">
      <formula>0</formula>
    </cfRule>
  </conditionalFormatting>
  <conditionalFormatting sqref="F136:G1048576 G86:G135">
    <cfRule type="cellIs" dxfId="1645" priority="5609" operator="lessThan">
      <formula>0</formula>
    </cfRule>
  </conditionalFormatting>
  <conditionalFormatting sqref="F136:G1048576 G86:G135">
    <cfRule type="cellIs" dxfId="1644" priority="5608" operator="lessThan">
      <formula>0</formula>
    </cfRule>
  </conditionalFormatting>
  <conditionalFormatting sqref="F136:G1048576 G86:G135">
    <cfRule type="cellIs" dxfId="1643" priority="5607" operator="lessThan">
      <formula>0</formula>
    </cfRule>
  </conditionalFormatting>
  <conditionalFormatting sqref="F136:G1048576 G86:G135">
    <cfRule type="cellIs" dxfId="1642" priority="5606" operator="lessThan">
      <formula>0</formula>
    </cfRule>
  </conditionalFormatting>
  <conditionalFormatting sqref="F136:G1048576 G86:G135">
    <cfRule type="cellIs" dxfId="1641" priority="5605" operator="lessThan">
      <formula>0</formula>
    </cfRule>
  </conditionalFormatting>
  <conditionalFormatting sqref="F136:G1048576 G86:G135">
    <cfRule type="cellIs" dxfId="1640" priority="5604" operator="lessThan">
      <formula>0</formula>
    </cfRule>
  </conditionalFormatting>
  <conditionalFormatting sqref="F136:G1048576 G86:G135">
    <cfRule type="cellIs" dxfId="1639" priority="5603" operator="lessThan">
      <formula>0</formula>
    </cfRule>
  </conditionalFormatting>
  <conditionalFormatting sqref="F136:G1048576 G86:G135">
    <cfRule type="cellIs" dxfId="1638" priority="5602" operator="lessThan">
      <formula>0</formula>
    </cfRule>
  </conditionalFormatting>
  <conditionalFormatting sqref="F136:G1048576 G86:G135">
    <cfRule type="cellIs" dxfId="1637" priority="5601" operator="lessThan">
      <formula>0</formula>
    </cfRule>
  </conditionalFormatting>
  <conditionalFormatting sqref="F136:G1048576 G86:G135">
    <cfRule type="cellIs" dxfId="1636" priority="5600" operator="lessThan">
      <formula>0</formula>
    </cfRule>
  </conditionalFormatting>
  <conditionalFormatting sqref="F136:G1048576 G86:G135">
    <cfRule type="cellIs" dxfId="1635" priority="5599" operator="lessThan">
      <formula>0</formula>
    </cfRule>
  </conditionalFormatting>
  <conditionalFormatting sqref="F136:G1048576 G86:G135">
    <cfRule type="cellIs" dxfId="1634" priority="5598" operator="lessThan">
      <formula>0</formula>
    </cfRule>
  </conditionalFormatting>
  <conditionalFormatting sqref="F136:G1048576 G86:G135">
    <cfRule type="cellIs" dxfId="1633" priority="5597" operator="lessThan">
      <formula>0</formula>
    </cfRule>
  </conditionalFormatting>
  <conditionalFormatting sqref="F136:G1048576 G86:G135">
    <cfRule type="cellIs" dxfId="1632" priority="5596" operator="lessThan">
      <formula>0</formula>
    </cfRule>
  </conditionalFormatting>
  <conditionalFormatting sqref="F136:G1048576 G86:G135">
    <cfRule type="cellIs" dxfId="1631" priority="5595" operator="lessThan">
      <formula>0</formula>
    </cfRule>
  </conditionalFormatting>
  <conditionalFormatting sqref="F136:G1048576 G86:G135">
    <cfRule type="cellIs" dxfId="1630" priority="5594" operator="lessThan">
      <formula>0</formula>
    </cfRule>
  </conditionalFormatting>
  <conditionalFormatting sqref="F136:G1048576 G86:G135">
    <cfRule type="cellIs" dxfId="1629" priority="5593" operator="lessThan">
      <formula>0</formula>
    </cfRule>
  </conditionalFormatting>
  <conditionalFormatting sqref="F136:G1048576 G86:G135">
    <cfRule type="cellIs" dxfId="1628" priority="5592" operator="lessThan">
      <formula>0</formula>
    </cfRule>
  </conditionalFormatting>
  <conditionalFormatting sqref="F136:G1048576 G86:G135">
    <cfRule type="cellIs" dxfId="1627" priority="5591" operator="lessThan">
      <formula>0</formula>
    </cfRule>
  </conditionalFormatting>
  <conditionalFormatting sqref="F136:G1048576 G86:G135">
    <cfRule type="cellIs" dxfId="1626" priority="5590" operator="lessThan">
      <formula>0</formula>
    </cfRule>
  </conditionalFormatting>
  <conditionalFormatting sqref="F136:G1048576 G86:G135">
    <cfRule type="cellIs" dxfId="1625" priority="5589" operator="lessThan">
      <formula>0</formula>
    </cfRule>
  </conditionalFormatting>
  <conditionalFormatting sqref="F136:G1048576 G86:G135">
    <cfRule type="cellIs" dxfId="1624" priority="5588" operator="lessThan">
      <formula>0</formula>
    </cfRule>
  </conditionalFormatting>
  <conditionalFormatting sqref="F136:G1048576 G86:G135">
    <cfRule type="cellIs" dxfId="1623" priority="5587" operator="lessThan">
      <formula>0</formula>
    </cfRule>
  </conditionalFormatting>
  <conditionalFormatting sqref="F136:G1048576 G86:G135">
    <cfRule type="cellIs" dxfId="1622" priority="5586" operator="lessThan">
      <formula>0</formula>
    </cfRule>
  </conditionalFormatting>
  <conditionalFormatting sqref="F136:G1048576 G86:G135">
    <cfRule type="cellIs" dxfId="1621" priority="5585" operator="lessThan">
      <formula>0</formula>
    </cfRule>
  </conditionalFormatting>
  <conditionalFormatting sqref="F136:G1048576 G86:G135">
    <cfRule type="cellIs" dxfId="1620" priority="5584" operator="lessThan">
      <formula>0</formula>
    </cfRule>
  </conditionalFormatting>
  <conditionalFormatting sqref="F136:G1048576 G86:G135">
    <cfRule type="cellIs" dxfId="1619" priority="5583" operator="lessThan">
      <formula>0</formula>
    </cfRule>
  </conditionalFormatting>
  <conditionalFormatting sqref="F136:G1048576 G86:G135">
    <cfRule type="cellIs" dxfId="1618" priority="5582" operator="lessThan">
      <formula>0</formula>
    </cfRule>
  </conditionalFormatting>
  <conditionalFormatting sqref="F136:G1048576 G86:G135">
    <cfRule type="cellIs" dxfId="1617" priority="5581" operator="lessThan">
      <formula>0</formula>
    </cfRule>
  </conditionalFormatting>
  <conditionalFormatting sqref="F136:G1048576 G86:G135">
    <cfRule type="cellIs" dxfId="1616" priority="5580" operator="lessThan">
      <formula>0</formula>
    </cfRule>
  </conditionalFormatting>
  <conditionalFormatting sqref="F136:G1048576 G86:G135">
    <cfRule type="cellIs" dxfId="1615" priority="5579" operator="lessThan">
      <formula>0</formula>
    </cfRule>
  </conditionalFormatting>
  <conditionalFormatting sqref="F136:G1048576 G86:G135">
    <cfRule type="cellIs" dxfId="1614" priority="5578" operator="lessThan">
      <formula>0</formula>
    </cfRule>
  </conditionalFormatting>
  <conditionalFormatting sqref="F136:G1048576 G86:G135">
    <cfRule type="cellIs" dxfId="1613" priority="5577" operator="lessThan">
      <formula>0</formula>
    </cfRule>
  </conditionalFormatting>
  <conditionalFormatting sqref="F136:G1048576 G86:G135">
    <cfRule type="cellIs" dxfId="1612" priority="5576" operator="lessThan">
      <formula>0</formula>
    </cfRule>
  </conditionalFormatting>
  <conditionalFormatting sqref="F136:G1048576 G86:G135">
    <cfRule type="cellIs" dxfId="1611" priority="5575" operator="lessThan">
      <formula>0</formula>
    </cfRule>
  </conditionalFormatting>
  <conditionalFormatting sqref="F136:G1048576 G86:G135">
    <cfRule type="cellIs" dxfId="1610" priority="5574" operator="lessThan">
      <formula>0</formula>
    </cfRule>
  </conditionalFormatting>
  <conditionalFormatting sqref="F136:G1048576 G86:G135">
    <cfRule type="cellIs" dxfId="1609" priority="5573" operator="lessThan">
      <formula>0</formula>
    </cfRule>
  </conditionalFormatting>
  <conditionalFormatting sqref="F136:G1048576 G86:G135">
    <cfRule type="cellIs" dxfId="1608" priority="5572" operator="lessThan">
      <formula>0</formula>
    </cfRule>
  </conditionalFormatting>
  <conditionalFormatting sqref="F136:G1048576 G86:G135">
    <cfRule type="cellIs" dxfId="1607" priority="5571" operator="lessThan">
      <formula>0</formula>
    </cfRule>
  </conditionalFormatting>
  <conditionalFormatting sqref="F136:G1048576 G86:G135">
    <cfRule type="cellIs" dxfId="1606" priority="5570" operator="lessThan">
      <formula>0</formula>
    </cfRule>
  </conditionalFormatting>
  <conditionalFormatting sqref="F136:G1048576 G86:G135">
    <cfRule type="cellIs" dxfId="1605" priority="5569" operator="lessThan">
      <formula>0</formula>
    </cfRule>
  </conditionalFormatting>
  <conditionalFormatting sqref="F136:G1048576 G86:G135">
    <cfRule type="cellIs" dxfId="1604" priority="5568" operator="lessThan">
      <formula>0</formula>
    </cfRule>
  </conditionalFormatting>
  <conditionalFormatting sqref="F136:G1048576 G86:G135">
    <cfRule type="cellIs" dxfId="1603" priority="5567" operator="lessThan">
      <formula>0</formula>
    </cfRule>
  </conditionalFormatting>
  <conditionalFormatting sqref="F136:G1048576 G86:G135">
    <cfRule type="cellIs" dxfId="1602" priority="5566" operator="lessThan">
      <formula>0</formula>
    </cfRule>
  </conditionalFormatting>
  <conditionalFormatting sqref="F136:G1048576 G86:G135">
    <cfRule type="cellIs" dxfId="1601" priority="5565" operator="lessThan">
      <formula>0</formula>
    </cfRule>
  </conditionalFormatting>
  <conditionalFormatting sqref="F136:G1048576 G86:G135">
    <cfRule type="cellIs" dxfId="1600" priority="5564" operator="lessThan">
      <formula>0</formula>
    </cfRule>
  </conditionalFormatting>
  <conditionalFormatting sqref="F136:G1048576 G86:G135">
    <cfRule type="cellIs" dxfId="1599" priority="5563" operator="lessThan">
      <formula>0</formula>
    </cfRule>
  </conditionalFormatting>
  <conditionalFormatting sqref="F136:G1048576 G86:G135">
    <cfRule type="cellIs" dxfId="1598" priority="5562" operator="lessThan">
      <formula>0</formula>
    </cfRule>
  </conditionalFormatting>
  <conditionalFormatting sqref="F136:G1048576 G86:G135">
    <cfRule type="cellIs" dxfId="1597" priority="5561" operator="lessThan">
      <formula>0</formula>
    </cfRule>
  </conditionalFormatting>
  <conditionalFormatting sqref="F136:G1048576 G86:G135">
    <cfRule type="cellIs" dxfId="1596" priority="5560" operator="lessThan">
      <formula>0</formula>
    </cfRule>
  </conditionalFormatting>
  <conditionalFormatting sqref="F136:G1048576 G86:G135">
    <cfRule type="cellIs" dxfId="1595" priority="5559" operator="lessThan">
      <formula>0</formula>
    </cfRule>
  </conditionalFormatting>
  <conditionalFormatting sqref="F136:G1048576 G86:G135">
    <cfRule type="cellIs" dxfId="1594" priority="5558" operator="lessThan">
      <formula>0</formula>
    </cfRule>
  </conditionalFormatting>
  <conditionalFormatting sqref="F136:G1048576 G86:G135">
    <cfRule type="cellIs" dxfId="1593" priority="5557" operator="lessThan">
      <formula>0</formula>
    </cfRule>
  </conditionalFormatting>
  <conditionalFormatting sqref="F136:G1048576 G86:G135">
    <cfRule type="cellIs" dxfId="1592" priority="5556" operator="lessThan">
      <formula>0</formula>
    </cfRule>
  </conditionalFormatting>
  <conditionalFormatting sqref="F136:G1048576 G86:G135">
    <cfRule type="cellIs" dxfId="1591" priority="5555" operator="lessThan">
      <formula>0</formula>
    </cfRule>
  </conditionalFormatting>
  <conditionalFormatting sqref="F136:G1048576 G86:G135">
    <cfRule type="cellIs" dxfId="1590" priority="5554" operator="lessThan">
      <formula>0</formula>
    </cfRule>
  </conditionalFormatting>
  <conditionalFormatting sqref="F136:G1048576 G86:G135">
    <cfRule type="cellIs" dxfId="1589" priority="5553" operator="lessThan">
      <formula>0</formula>
    </cfRule>
  </conditionalFormatting>
  <conditionalFormatting sqref="F136:G1048576 G86:G135">
    <cfRule type="cellIs" dxfId="1588" priority="5552" operator="lessThan">
      <formula>0</formula>
    </cfRule>
  </conditionalFormatting>
  <conditionalFormatting sqref="F136:G1048576 G86:G135">
    <cfRule type="cellIs" dxfId="1587" priority="5551" operator="lessThan">
      <formula>0</formula>
    </cfRule>
  </conditionalFormatting>
  <conditionalFormatting sqref="F136:G1048576 G86:G135">
    <cfRule type="cellIs" dxfId="1586" priority="5550" operator="lessThan">
      <formula>0</formula>
    </cfRule>
  </conditionalFormatting>
  <conditionalFormatting sqref="F136:G1048576 G86:G135">
    <cfRule type="cellIs" dxfId="1585" priority="5549" operator="lessThan">
      <formula>0</formula>
    </cfRule>
  </conditionalFormatting>
  <conditionalFormatting sqref="F136:G1048576 G86:G135">
    <cfRule type="cellIs" dxfId="1584" priority="5548" operator="lessThan">
      <formula>0</formula>
    </cfRule>
  </conditionalFormatting>
  <conditionalFormatting sqref="F136:G1048576 G86:G135">
    <cfRule type="cellIs" dxfId="1583" priority="5547" operator="lessThan">
      <formula>0</formula>
    </cfRule>
  </conditionalFormatting>
  <conditionalFormatting sqref="F136:G1048576 G86:G135">
    <cfRule type="cellIs" dxfId="1582" priority="5546" operator="lessThan">
      <formula>0</formula>
    </cfRule>
  </conditionalFormatting>
  <conditionalFormatting sqref="F136:G1048576 G86:G135">
    <cfRule type="cellIs" dxfId="1581" priority="5545" operator="lessThan">
      <formula>0</formula>
    </cfRule>
  </conditionalFormatting>
  <conditionalFormatting sqref="F136:G1048576 G86:G135">
    <cfRule type="cellIs" dxfId="1580" priority="5544" operator="lessThan">
      <formula>0</formula>
    </cfRule>
  </conditionalFormatting>
  <conditionalFormatting sqref="F136:G1048576 G86:G135">
    <cfRule type="cellIs" dxfId="1579" priority="5543" operator="lessThan">
      <formula>0</formula>
    </cfRule>
  </conditionalFormatting>
  <conditionalFormatting sqref="F136:G1048576 G86:G135">
    <cfRule type="cellIs" dxfId="1578" priority="5542" operator="lessThan">
      <formula>0</formula>
    </cfRule>
  </conditionalFormatting>
  <conditionalFormatting sqref="F136:G1048576 G86:G135">
    <cfRule type="cellIs" dxfId="1577" priority="5541" operator="lessThan">
      <formula>0</formula>
    </cfRule>
  </conditionalFormatting>
  <conditionalFormatting sqref="F136:G1048576 G86:G135">
    <cfRule type="cellIs" dxfId="1576" priority="5540" operator="lessThan">
      <formula>0</formula>
    </cfRule>
  </conditionalFormatting>
  <conditionalFormatting sqref="F136:G1048576 G86:G135">
    <cfRule type="cellIs" dxfId="1575" priority="5539" operator="lessThan">
      <formula>0</formula>
    </cfRule>
  </conditionalFormatting>
  <conditionalFormatting sqref="F136:G1048576 G86:G135">
    <cfRule type="cellIs" dxfId="1574" priority="5538" operator="lessThan">
      <formula>0</formula>
    </cfRule>
  </conditionalFormatting>
  <conditionalFormatting sqref="F136:G1048576 G86:G135">
    <cfRule type="cellIs" dxfId="1573" priority="5537" operator="lessThan">
      <formula>0</formula>
    </cfRule>
  </conditionalFormatting>
  <conditionalFormatting sqref="F136:G1048576 G86:G135">
    <cfRule type="cellIs" dxfId="1572" priority="5536" operator="lessThan">
      <formula>0</formula>
    </cfRule>
  </conditionalFormatting>
  <conditionalFormatting sqref="F136:G1048576 G86:G135">
    <cfRule type="cellIs" dxfId="1571" priority="5535" operator="lessThan">
      <formula>0</formula>
    </cfRule>
  </conditionalFormatting>
  <conditionalFormatting sqref="F136:G1048576 G86:G135">
    <cfRule type="cellIs" dxfId="1570" priority="5534" operator="lessThan">
      <formula>0</formula>
    </cfRule>
  </conditionalFormatting>
  <conditionalFormatting sqref="F136:G1048576 G86:G135">
    <cfRule type="cellIs" dxfId="1569" priority="5533" operator="lessThan">
      <formula>0</formula>
    </cfRule>
  </conditionalFormatting>
  <conditionalFormatting sqref="F136:G1048576 G86:G135">
    <cfRule type="cellIs" dxfId="1568" priority="5532" operator="lessThan">
      <formula>0</formula>
    </cfRule>
  </conditionalFormatting>
  <conditionalFormatting sqref="F136:G1048576 G86:G135">
    <cfRule type="cellIs" dxfId="1567" priority="5531" operator="lessThan">
      <formula>0</formula>
    </cfRule>
  </conditionalFormatting>
  <conditionalFormatting sqref="F136:G1048576 G86:G135">
    <cfRule type="cellIs" dxfId="1566" priority="5530" operator="lessThan">
      <formula>0</formula>
    </cfRule>
  </conditionalFormatting>
  <conditionalFormatting sqref="F136:G1048576 G86:G135">
    <cfRule type="cellIs" dxfId="1565" priority="5529" operator="lessThan">
      <formula>0</formula>
    </cfRule>
  </conditionalFormatting>
  <conditionalFormatting sqref="F136:G1048576 G86:G135">
    <cfRule type="cellIs" dxfId="1564" priority="5528" operator="lessThan">
      <formula>0</formula>
    </cfRule>
  </conditionalFormatting>
  <conditionalFormatting sqref="F136:G1048576 G86:G135">
    <cfRule type="cellIs" dxfId="1563" priority="5527" operator="lessThan">
      <formula>0</formula>
    </cfRule>
  </conditionalFormatting>
  <conditionalFormatting sqref="F136:G1048576 G86:G135">
    <cfRule type="cellIs" dxfId="1562" priority="5526" operator="lessThan">
      <formula>0</formula>
    </cfRule>
  </conditionalFormatting>
  <conditionalFormatting sqref="F136:G1048576 G86:G135">
    <cfRule type="cellIs" dxfId="1561" priority="5525" operator="lessThan">
      <formula>0</formula>
    </cfRule>
  </conditionalFormatting>
  <conditionalFormatting sqref="F136:G1048576 G86:G135">
    <cfRule type="cellIs" dxfId="1560" priority="5524" operator="lessThan">
      <formula>0</formula>
    </cfRule>
  </conditionalFormatting>
  <conditionalFormatting sqref="F136:G1048576 G86:G135">
    <cfRule type="cellIs" dxfId="1559" priority="5523" operator="lessThan">
      <formula>0</formula>
    </cfRule>
  </conditionalFormatting>
  <conditionalFormatting sqref="F136:G1048576 G86:G135">
    <cfRule type="cellIs" dxfId="1558" priority="5522" operator="lessThan">
      <formula>0</formula>
    </cfRule>
  </conditionalFormatting>
  <conditionalFormatting sqref="F136:G1048576 G86:G135">
    <cfRule type="cellIs" dxfId="1557" priority="5521" operator="lessThan">
      <formula>0</formula>
    </cfRule>
  </conditionalFormatting>
  <conditionalFormatting sqref="F136:G1048576 G86:G135">
    <cfRule type="cellIs" dxfId="1556" priority="5520" operator="lessThan">
      <formula>0</formula>
    </cfRule>
  </conditionalFormatting>
  <conditionalFormatting sqref="F136:G1048576 G86:G135">
    <cfRule type="cellIs" dxfId="1555" priority="5519" operator="lessThan">
      <formula>0</formula>
    </cfRule>
  </conditionalFormatting>
  <conditionalFormatting sqref="F136:G1048576 G86:G135">
    <cfRule type="cellIs" dxfId="1554" priority="5518" operator="lessThan">
      <formula>0</formula>
    </cfRule>
  </conditionalFormatting>
  <conditionalFormatting sqref="F136:G1048576 G86:G135">
    <cfRule type="cellIs" dxfId="1553" priority="5517" operator="lessThan">
      <formula>0</formula>
    </cfRule>
  </conditionalFormatting>
  <conditionalFormatting sqref="F136:G1048576 G86:G135">
    <cfRule type="cellIs" dxfId="1552" priority="5516" operator="lessThan">
      <formula>0</formula>
    </cfRule>
  </conditionalFormatting>
  <conditionalFormatting sqref="F136:G1048576 G86:G135">
    <cfRule type="cellIs" dxfId="1551" priority="5515" operator="lessThan">
      <formula>0</formula>
    </cfRule>
  </conditionalFormatting>
  <conditionalFormatting sqref="F136:G1048576 G86:G135">
    <cfRule type="cellIs" dxfId="1550" priority="5514" operator="lessThan">
      <formula>0</formula>
    </cfRule>
  </conditionalFormatting>
  <conditionalFormatting sqref="F136:G1048576 G86:G135">
    <cfRule type="cellIs" dxfId="1549" priority="5513" operator="lessThan">
      <formula>0</formula>
    </cfRule>
  </conditionalFormatting>
  <conditionalFormatting sqref="F136:G1048576 G86:G135">
    <cfRule type="cellIs" dxfId="1548" priority="5512" operator="lessThan">
      <formula>0</formula>
    </cfRule>
  </conditionalFormatting>
  <conditionalFormatting sqref="F136:G1048576 G86:G135">
    <cfRule type="cellIs" dxfId="1547" priority="5511" operator="lessThan">
      <formula>0</formula>
    </cfRule>
  </conditionalFormatting>
  <conditionalFormatting sqref="F136:G1048576 G86:G135">
    <cfRule type="cellIs" dxfId="1546" priority="5510" operator="lessThan">
      <formula>0</formula>
    </cfRule>
  </conditionalFormatting>
  <conditionalFormatting sqref="F136:G1048576 G86:G135">
    <cfRule type="cellIs" dxfId="1545" priority="5509" operator="lessThan">
      <formula>0</formula>
    </cfRule>
  </conditionalFormatting>
  <conditionalFormatting sqref="F136:G1048576 G86:G135">
    <cfRule type="cellIs" dxfId="1544" priority="5508" operator="lessThan">
      <formula>0</formula>
    </cfRule>
  </conditionalFormatting>
  <conditionalFormatting sqref="F136:G1048576 G86:G135">
    <cfRule type="cellIs" dxfId="1543" priority="5507" operator="lessThan">
      <formula>0</formula>
    </cfRule>
  </conditionalFormatting>
  <conditionalFormatting sqref="F136:G1048576 G86:G135">
    <cfRule type="cellIs" dxfId="1542" priority="5506" operator="lessThan">
      <formula>0</formula>
    </cfRule>
  </conditionalFormatting>
  <conditionalFormatting sqref="F136:G1048576 G86:G135">
    <cfRule type="cellIs" dxfId="1541" priority="5505" operator="lessThan">
      <formula>0</formula>
    </cfRule>
  </conditionalFormatting>
  <conditionalFormatting sqref="F136:G1048576 G86:G135">
    <cfRule type="cellIs" dxfId="1540" priority="5504" operator="lessThan">
      <formula>0</formula>
    </cfRule>
  </conditionalFormatting>
  <conditionalFormatting sqref="F136:G1048576 G86:G135">
    <cfRule type="cellIs" dxfId="1539" priority="5503" operator="lessThan">
      <formula>0</formula>
    </cfRule>
  </conditionalFormatting>
  <conditionalFormatting sqref="F136:G1048576 G86:G135">
    <cfRule type="cellIs" dxfId="1538" priority="5502" operator="lessThan">
      <formula>0</formula>
    </cfRule>
  </conditionalFormatting>
  <conditionalFormatting sqref="F136:G1048576 G86:G135">
    <cfRule type="cellIs" dxfId="1537" priority="5501" operator="lessThan">
      <formula>0</formula>
    </cfRule>
  </conditionalFormatting>
  <conditionalFormatting sqref="F136:G1048576 G86:G135">
    <cfRule type="cellIs" dxfId="1536" priority="5500" operator="lessThan">
      <formula>0</formula>
    </cfRule>
  </conditionalFormatting>
  <conditionalFormatting sqref="F136:G1048576 G86:G135">
    <cfRule type="cellIs" dxfId="1535" priority="5499" operator="lessThan">
      <formula>0</formula>
    </cfRule>
  </conditionalFormatting>
  <conditionalFormatting sqref="F136:G1048576 G86:G135">
    <cfRule type="cellIs" dxfId="1534" priority="5498" operator="lessThan">
      <formula>0</formula>
    </cfRule>
  </conditionalFormatting>
  <conditionalFormatting sqref="F136:G1048576 G86:G135">
    <cfRule type="cellIs" dxfId="1533" priority="5497" operator="lessThan">
      <formula>0</formula>
    </cfRule>
  </conditionalFormatting>
  <conditionalFormatting sqref="F136:G1048576 G86:G135">
    <cfRule type="cellIs" dxfId="1532" priority="5496" operator="lessThan">
      <formula>0</formula>
    </cfRule>
  </conditionalFormatting>
  <conditionalFormatting sqref="F136:G1048576 G86:G135">
    <cfRule type="cellIs" dxfId="1531" priority="5495" operator="lessThan">
      <formula>0</formula>
    </cfRule>
  </conditionalFormatting>
  <conditionalFormatting sqref="F136:G1048576 G86:G135">
    <cfRule type="cellIs" dxfId="1530" priority="5494" operator="lessThan">
      <formula>0</formula>
    </cfRule>
  </conditionalFormatting>
  <conditionalFormatting sqref="F136:G1048576 G86:G135">
    <cfRule type="cellIs" dxfId="1529" priority="5493" operator="lessThan">
      <formula>0</formula>
    </cfRule>
  </conditionalFormatting>
  <conditionalFormatting sqref="F136:G1048576 G86:G135">
    <cfRule type="cellIs" dxfId="1528" priority="5492" operator="lessThan">
      <formula>0</formula>
    </cfRule>
  </conditionalFormatting>
  <conditionalFormatting sqref="F136:G1048576 G86:G135">
    <cfRule type="cellIs" dxfId="1527" priority="5491" operator="lessThan">
      <formula>0</formula>
    </cfRule>
  </conditionalFormatting>
  <conditionalFormatting sqref="F136:G1048576 G86:G135">
    <cfRule type="cellIs" dxfId="1526" priority="5490" operator="lessThan">
      <formula>0</formula>
    </cfRule>
  </conditionalFormatting>
  <conditionalFormatting sqref="F136:G1048576 G86:G135">
    <cfRule type="cellIs" dxfId="1525" priority="5489" operator="lessThan">
      <formula>0</formula>
    </cfRule>
  </conditionalFormatting>
  <conditionalFormatting sqref="F136:G1048576 G86:G135">
    <cfRule type="cellIs" dxfId="1524" priority="5488" operator="lessThan">
      <formula>0</formula>
    </cfRule>
  </conditionalFormatting>
  <conditionalFormatting sqref="F136:G1048576 G86:G135">
    <cfRule type="cellIs" dxfId="1523" priority="5487" operator="lessThan">
      <formula>0</formula>
    </cfRule>
  </conditionalFormatting>
  <conditionalFormatting sqref="F136:G1048576 G86:G135">
    <cfRule type="cellIs" dxfId="1522" priority="5486" operator="lessThan">
      <formula>0</formula>
    </cfRule>
  </conditionalFormatting>
  <conditionalFormatting sqref="F136:G1048576 G86:G135">
    <cfRule type="cellIs" dxfId="1521" priority="5485" operator="lessThan">
      <formula>0</formula>
    </cfRule>
  </conditionalFormatting>
  <conditionalFormatting sqref="F136:G1048576 G86:G135">
    <cfRule type="cellIs" dxfId="1520" priority="5484" operator="lessThan">
      <formula>0</formula>
    </cfRule>
  </conditionalFormatting>
  <conditionalFormatting sqref="F136:G1048576 G86:G135">
    <cfRule type="cellIs" dxfId="1519" priority="5483" operator="lessThan">
      <formula>0</formula>
    </cfRule>
  </conditionalFormatting>
  <conditionalFormatting sqref="F136:G1048576 G86:G135">
    <cfRule type="cellIs" dxfId="1518" priority="5482" operator="lessThan">
      <formula>0</formula>
    </cfRule>
  </conditionalFormatting>
  <conditionalFormatting sqref="F136:G1048576 G86:G135">
    <cfRule type="cellIs" dxfId="1517" priority="5481" operator="lessThan">
      <formula>0</formula>
    </cfRule>
  </conditionalFormatting>
  <conditionalFormatting sqref="F136:G1048576 G86:G135">
    <cfRule type="cellIs" dxfId="1516" priority="5480" operator="lessThan">
      <formula>0</formula>
    </cfRule>
  </conditionalFormatting>
  <conditionalFormatting sqref="F136:G1048576 G86:G135">
    <cfRule type="cellIs" dxfId="1515" priority="5479" operator="lessThan">
      <formula>0</formula>
    </cfRule>
  </conditionalFormatting>
  <conditionalFormatting sqref="F136:G1048576 G86:G135">
    <cfRule type="cellIs" dxfId="1514" priority="5478" operator="lessThan">
      <formula>0</formula>
    </cfRule>
  </conditionalFormatting>
  <conditionalFormatting sqref="F136:G1048576 G86:G135">
    <cfRule type="cellIs" dxfId="1513" priority="5477" operator="lessThan">
      <formula>0</formula>
    </cfRule>
  </conditionalFormatting>
  <conditionalFormatting sqref="F136:G1048576 G86:G135">
    <cfRule type="cellIs" dxfId="1512" priority="5476" operator="lessThan">
      <formula>0</formula>
    </cfRule>
  </conditionalFormatting>
  <conditionalFormatting sqref="F136:G1048576 G86:G135">
    <cfRule type="cellIs" dxfId="1511" priority="5475" operator="lessThan">
      <formula>0</formula>
    </cfRule>
  </conditionalFormatting>
  <conditionalFormatting sqref="F136:G1048576 G86:G135">
    <cfRule type="cellIs" dxfId="1510" priority="5474" operator="lessThan">
      <formula>0</formula>
    </cfRule>
  </conditionalFormatting>
  <conditionalFormatting sqref="F136:G1048576 G86:G135">
    <cfRule type="cellIs" dxfId="1509" priority="5473" operator="lessThan">
      <formula>0</formula>
    </cfRule>
  </conditionalFormatting>
  <conditionalFormatting sqref="F136:G1048576 G86:G135">
    <cfRule type="cellIs" dxfId="1508" priority="5472" operator="lessThan">
      <formula>0</formula>
    </cfRule>
  </conditionalFormatting>
  <conditionalFormatting sqref="F136:G1048576 G86:G135">
    <cfRule type="cellIs" dxfId="1507" priority="5471" operator="lessThan">
      <formula>0</formula>
    </cfRule>
  </conditionalFormatting>
  <conditionalFormatting sqref="F136:G1048576 G86:G135">
    <cfRule type="cellIs" dxfId="1506" priority="5470" operator="lessThan">
      <formula>0</formula>
    </cfRule>
  </conditionalFormatting>
  <conditionalFormatting sqref="F136:G1048576 G86:G135">
    <cfRule type="cellIs" dxfId="1505" priority="5469" operator="lessThan">
      <formula>0</formula>
    </cfRule>
  </conditionalFormatting>
  <conditionalFormatting sqref="F136:G1048576 G86:G135">
    <cfRule type="cellIs" dxfId="1504" priority="5468" operator="lessThan">
      <formula>0</formula>
    </cfRule>
  </conditionalFormatting>
  <conditionalFormatting sqref="F136:G1048576 G86:G135">
    <cfRule type="cellIs" dxfId="1503" priority="5467" operator="lessThan">
      <formula>0</formula>
    </cfRule>
  </conditionalFormatting>
  <conditionalFormatting sqref="F136:G1048576 G86:G135">
    <cfRule type="cellIs" dxfId="1502" priority="5466" operator="lessThan">
      <formula>0</formula>
    </cfRule>
  </conditionalFormatting>
  <conditionalFormatting sqref="F136:G1048576 G86:G135">
    <cfRule type="cellIs" dxfId="1501" priority="5465" operator="lessThan">
      <formula>0</formula>
    </cfRule>
  </conditionalFormatting>
  <conditionalFormatting sqref="F136:G1048576 G86:G135">
    <cfRule type="cellIs" dxfId="1500" priority="5464" operator="lessThan">
      <formula>0</formula>
    </cfRule>
  </conditionalFormatting>
  <conditionalFormatting sqref="F136:G1048576 G86:G135">
    <cfRule type="cellIs" dxfId="1499" priority="5463" operator="lessThan">
      <formula>0</formula>
    </cfRule>
  </conditionalFormatting>
  <conditionalFormatting sqref="F136:G1048576 G86:G135">
    <cfRule type="cellIs" dxfId="1498" priority="5462" operator="lessThan">
      <formula>0</formula>
    </cfRule>
  </conditionalFormatting>
  <conditionalFormatting sqref="F136:G1048576 G86:G135">
    <cfRule type="cellIs" dxfId="1497" priority="5461" operator="lessThan">
      <formula>0</formula>
    </cfRule>
  </conditionalFormatting>
  <conditionalFormatting sqref="F136:G1048576 G86:G135">
    <cfRule type="cellIs" dxfId="1496" priority="5460" operator="lessThan">
      <formula>0</formula>
    </cfRule>
  </conditionalFormatting>
  <conditionalFormatting sqref="F136:G1048576 G86:G135">
    <cfRule type="cellIs" dxfId="1495" priority="5459" operator="lessThan">
      <formula>0</formula>
    </cfRule>
  </conditionalFormatting>
  <conditionalFormatting sqref="F136:G1048576 G86:G135">
    <cfRule type="cellIs" dxfId="1494" priority="5458" operator="lessThan">
      <formula>0</formula>
    </cfRule>
  </conditionalFormatting>
  <conditionalFormatting sqref="F136:G1048576 G86:G135">
    <cfRule type="cellIs" dxfId="1493" priority="5457" operator="lessThan">
      <formula>0</formula>
    </cfRule>
  </conditionalFormatting>
  <conditionalFormatting sqref="F136:G1048576 G86:G135">
    <cfRule type="cellIs" dxfId="1492" priority="5456" operator="lessThan">
      <formula>0</formula>
    </cfRule>
  </conditionalFormatting>
  <conditionalFormatting sqref="F136:G1048576 G86:G135">
    <cfRule type="cellIs" dxfId="1491" priority="5455" operator="lessThan">
      <formula>0</formula>
    </cfRule>
  </conditionalFormatting>
  <conditionalFormatting sqref="F136:G1048576 G86:G135">
    <cfRule type="cellIs" dxfId="1490" priority="5454" operator="lessThan">
      <formula>0</formula>
    </cfRule>
  </conditionalFormatting>
  <conditionalFormatting sqref="F136:G1048576 G86:G135">
    <cfRule type="cellIs" dxfId="1489" priority="5453" operator="lessThan">
      <formula>0</formula>
    </cfRule>
  </conditionalFormatting>
  <conditionalFormatting sqref="F136:G1048576 G86:G135">
    <cfRule type="cellIs" dxfId="1488" priority="5452" operator="lessThan">
      <formula>0</formula>
    </cfRule>
  </conditionalFormatting>
  <conditionalFormatting sqref="F136:G1048576 G86:G135">
    <cfRule type="cellIs" dxfId="1487" priority="5451" operator="lessThan">
      <formula>0</formula>
    </cfRule>
  </conditionalFormatting>
  <conditionalFormatting sqref="F136:G1048576 G86:G135">
    <cfRule type="cellIs" dxfId="1486" priority="5450" operator="lessThan">
      <formula>0</formula>
    </cfRule>
  </conditionalFormatting>
  <conditionalFormatting sqref="F136:G1048576 G86:G135">
    <cfRule type="cellIs" dxfId="1485" priority="5449" operator="lessThan">
      <formula>0</formula>
    </cfRule>
  </conditionalFormatting>
  <conditionalFormatting sqref="F136:G1048576 G86:G135">
    <cfRule type="cellIs" dxfId="1484" priority="5448" operator="lessThan">
      <formula>0</formula>
    </cfRule>
  </conditionalFormatting>
  <conditionalFormatting sqref="F136:G1048576 G86:G135">
    <cfRule type="cellIs" dxfId="1483" priority="5447" operator="lessThan">
      <formula>0</formula>
    </cfRule>
  </conditionalFormatting>
  <conditionalFormatting sqref="F136:G1048576 G86:G135">
    <cfRule type="cellIs" dxfId="1482" priority="5446" operator="lessThan">
      <formula>0</formula>
    </cfRule>
  </conditionalFormatting>
  <conditionalFormatting sqref="F136:G1048576 G86:G135">
    <cfRule type="cellIs" dxfId="1481" priority="5445" operator="lessThan">
      <formula>0</formula>
    </cfRule>
  </conditionalFormatting>
  <conditionalFormatting sqref="F136:G1048576 G86:G135">
    <cfRule type="cellIs" dxfId="1480" priority="5444" operator="lessThan">
      <formula>0</formula>
    </cfRule>
  </conditionalFormatting>
  <conditionalFormatting sqref="F136:G1048576 G86:G135">
    <cfRule type="cellIs" dxfId="1479" priority="5443" operator="lessThan">
      <formula>0</formula>
    </cfRule>
  </conditionalFormatting>
  <conditionalFormatting sqref="F136:G1048576 G86:G135">
    <cfRule type="cellIs" dxfId="1478" priority="5442" operator="lessThan">
      <formula>0</formula>
    </cfRule>
  </conditionalFormatting>
  <conditionalFormatting sqref="F136:G1048576 G86:G135">
    <cfRule type="cellIs" dxfId="1477" priority="5441" operator="lessThan">
      <formula>0</formula>
    </cfRule>
  </conditionalFormatting>
  <conditionalFormatting sqref="F136:G1048576 G86:G135">
    <cfRule type="cellIs" dxfId="1476" priority="5440" operator="lessThan">
      <formula>0</formula>
    </cfRule>
  </conditionalFormatting>
  <conditionalFormatting sqref="F136:G1048576 G86:G135">
    <cfRule type="cellIs" dxfId="1475" priority="5439" operator="lessThan">
      <formula>0</formula>
    </cfRule>
  </conditionalFormatting>
  <conditionalFormatting sqref="F136:G1048576 G86:G135">
    <cfRule type="cellIs" dxfId="1474" priority="5438" operator="lessThan">
      <formula>0</formula>
    </cfRule>
  </conditionalFormatting>
  <conditionalFormatting sqref="F136:G1048576 G86:G135">
    <cfRule type="cellIs" dxfId="1473" priority="5437" operator="lessThan">
      <formula>0</formula>
    </cfRule>
  </conditionalFormatting>
  <conditionalFormatting sqref="F136:G1048576 G86:G135">
    <cfRule type="cellIs" dxfId="1472" priority="5436" operator="lessThan">
      <formula>0</formula>
    </cfRule>
  </conditionalFormatting>
  <conditionalFormatting sqref="F136:G1048576 G86:G135">
    <cfRule type="cellIs" dxfId="1471" priority="5435" operator="lessThan">
      <formula>0</formula>
    </cfRule>
  </conditionalFormatting>
  <conditionalFormatting sqref="F136:G1048576 G86:G135">
    <cfRule type="cellIs" dxfId="1470" priority="5434" operator="lessThan">
      <formula>0</formula>
    </cfRule>
  </conditionalFormatting>
  <conditionalFormatting sqref="F136:G1048576 G86:G135">
    <cfRule type="cellIs" dxfId="1469" priority="5433" operator="lessThan">
      <formula>0</formula>
    </cfRule>
  </conditionalFormatting>
  <conditionalFormatting sqref="F136:G1048576 G86:G135">
    <cfRule type="cellIs" dxfId="1468" priority="5432" operator="lessThan">
      <formula>0</formula>
    </cfRule>
  </conditionalFormatting>
  <conditionalFormatting sqref="F136:G1048576 G86:G135">
    <cfRule type="cellIs" dxfId="1467" priority="5431" operator="lessThan">
      <formula>0</formula>
    </cfRule>
  </conditionalFormatting>
  <conditionalFormatting sqref="F136:G1048576 G86:G135">
    <cfRule type="cellIs" dxfId="1466" priority="5430" operator="lessThan">
      <formula>0</formula>
    </cfRule>
  </conditionalFormatting>
  <conditionalFormatting sqref="F136:G1048576 G86:G135">
    <cfRule type="cellIs" dxfId="1465" priority="5429" operator="lessThan">
      <formula>0</formula>
    </cfRule>
  </conditionalFormatting>
  <conditionalFormatting sqref="F136:G1048576 G86:G135">
    <cfRule type="cellIs" dxfId="1464" priority="5428" operator="lessThan">
      <formula>0</formula>
    </cfRule>
  </conditionalFormatting>
  <conditionalFormatting sqref="F136:G1048576 G86:G135">
    <cfRule type="cellIs" dxfId="1463" priority="5427" operator="lessThan">
      <formula>0</formula>
    </cfRule>
  </conditionalFormatting>
  <conditionalFormatting sqref="F136:G1048576 G86:G135">
    <cfRule type="cellIs" dxfId="1462" priority="5426" operator="lessThan">
      <formula>0</formula>
    </cfRule>
  </conditionalFormatting>
  <conditionalFormatting sqref="F136:G1048576 G86:G135">
    <cfRule type="cellIs" dxfId="1461" priority="5425" operator="lessThan">
      <formula>0</formula>
    </cfRule>
  </conditionalFormatting>
  <conditionalFormatting sqref="F136:G1048576 G86:G135">
    <cfRule type="cellIs" dxfId="1460" priority="5424" operator="lessThan">
      <formula>0</formula>
    </cfRule>
  </conditionalFormatting>
  <conditionalFormatting sqref="F136:G1048576 G86:G135">
    <cfRule type="cellIs" dxfId="1459" priority="5423" operator="lessThan">
      <formula>0</formula>
    </cfRule>
  </conditionalFormatting>
  <conditionalFormatting sqref="F136:G1048576 G86:G135">
    <cfRule type="cellIs" dxfId="1458" priority="5422" operator="lessThan">
      <formula>0</formula>
    </cfRule>
  </conditionalFormatting>
  <conditionalFormatting sqref="F136:G1048576 G86:G135">
    <cfRule type="cellIs" dxfId="1457" priority="5421" operator="lessThan">
      <formula>0</formula>
    </cfRule>
  </conditionalFormatting>
  <conditionalFormatting sqref="F136:G1048576 G86:G135">
    <cfRule type="cellIs" dxfId="1456" priority="5420" operator="lessThan">
      <formula>0</formula>
    </cfRule>
  </conditionalFormatting>
  <conditionalFormatting sqref="F136:G1048576 G86:G135">
    <cfRule type="cellIs" dxfId="1455" priority="5419" operator="lessThan">
      <formula>0</formula>
    </cfRule>
  </conditionalFormatting>
  <conditionalFormatting sqref="F136:G1048576 G86:G135">
    <cfRule type="cellIs" dxfId="1454" priority="5418" operator="lessThan">
      <formula>0</formula>
    </cfRule>
  </conditionalFormatting>
  <conditionalFormatting sqref="F136:G1048576 G86:G135">
    <cfRule type="cellIs" dxfId="1453" priority="5417" operator="lessThan">
      <formula>0</formula>
    </cfRule>
  </conditionalFormatting>
  <conditionalFormatting sqref="F136:G1048576 G86:G135">
    <cfRule type="cellIs" dxfId="1452" priority="5416" operator="lessThan">
      <formula>0</formula>
    </cfRule>
  </conditionalFormatting>
  <conditionalFormatting sqref="F136:G1048576 G86:G135">
    <cfRule type="cellIs" dxfId="1451" priority="5415" operator="lessThan">
      <formula>0</formula>
    </cfRule>
  </conditionalFormatting>
  <conditionalFormatting sqref="F136:G1048576 G86:G135">
    <cfRule type="cellIs" dxfId="1450" priority="5414" operator="lessThan">
      <formula>0</formula>
    </cfRule>
  </conditionalFormatting>
  <conditionalFormatting sqref="F136:G1048576 G86:G135">
    <cfRule type="cellIs" dxfId="1449" priority="5413" operator="lessThan">
      <formula>0</formula>
    </cfRule>
  </conditionalFormatting>
  <conditionalFormatting sqref="F136:G1048576 G86:G135">
    <cfRule type="cellIs" dxfId="1448" priority="5412" operator="lessThan">
      <formula>0</formula>
    </cfRule>
  </conditionalFormatting>
  <conditionalFormatting sqref="F136:G1048576 G86:G135">
    <cfRule type="cellIs" dxfId="1447" priority="5411" operator="lessThan">
      <formula>0</formula>
    </cfRule>
  </conditionalFormatting>
  <conditionalFormatting sqref="F136:G1048576 G86:G135">
    <cfRule type="cellIs" dxfId="1446" priority="5410" operator="lessThan">
      <formula>0</formula>
    </cfRule>
  </conditionalFormatting>
  <conditionalFormatting sqref="F136:G1048576 G86:G135">
    <cfRule type="cellIs" dxfId="1445" priority="5409" operator="lessThan">
      <formula>0</formula>
    </cfRule>
  </conditionalFormatting>
  <conditionalFormatting sqref="F136:G1048576 G86:G135">
    <cfRule type="cellIs" dxfId="1444" priority="5408" operator="lessThan">
      <formula>0</formula>
    </cfRule>
  </conditionalFormatting>
  <conditionalFormatting sqref="F136:G1048576 G86:G135">
    <cfRule type="cellIs" dxfId="1443" priority="5407" operator="lessThan">
      <formula>0</formula>
    </cfRule>
  </conditionalFormatting>
  <conditionalFormatting sqref="F136:G1048576 G86:G135">
    <cfRule type="cellIs" dxfId="1442" priority="5406" operator="lessThan">
      <formula>0</formula>
    </cfRule>
  </conditionalFormatting>
  <conditionalFormatting sqref="F136:G1048576 G86:G135">
    <cfRule type="cellIs" dxfId="1441" priority="5405" operator="lessThan">
      <formula>0</formula>
    </cfRule>
  </conditionalFormatting>
  <conditionalFormatting sqref="F136:G1048576 G86:G135">
    <cfRule type="cellIs" dxfId="1440" priority="5404" operator="lessThan">
      <formula>0</formula>
    </cfRule>
  </conditionalFormatting>
  <conditionalFormatting sqref="F136:G1048576 G86:G135">
    <cfRule type="cellIs" dxfId="1439" priority="5403" operator="lessThan">
      <formula>0</formula>
    </cfRule>
  </conditionalFormatting>
  <conditionalFormatting sqref="F136:G1048576 G86:G135">
    <cfRule type="cellIs" dxfId="1438" priority="5402" operator="lessThan">
      <formula>0</formula>
    </cfRule>
  </conditionalFormatting>
  <conditionalFormatting sqref="F136:G1048576 G86:G135">
    <cfRule type="cellIs" dxfId="1437" priority="5401" operator="lessThan">
      <formula>0</formula>
    </cfRule>
  </conditionalFormatting>
  <conditionalFormatting sqref="F136:G1048576 G86:G135">
    <cfRule type="cellIs" dxfId="1436" priority="5400" operator="lessThan">
      <formula>0</formula>
    </cfRule>
  </conditionalFormatting>
  <conditionalFormatting sqref="F136:G1048576 G86:G135">
    <cfRule type="cellIs" dxfId="1435" priority="5399" operator="lessThan">
      <formula>0</formula>
    </cfRule>
  </conditionalFormatting>
  <conditionalFormatting sqref="F136:G1048576 G86:G135">
    <cfRule type="cellIs" dxfId="1434" priority="5398" operator="lessThan">
      <formula>0</formula>
    </cfRule>
  </conditionalFormatting>
  <conditionalFormatting sqref="F136:G1048576 G86:G135">
    <cfRule type="cellIs" dxfId="1433" priority="5397" operator="lessThan">
      <formula>0</formula>
    </cfRule>
  </conditionalFormatting>
  <conditionalFormatting sqref="F136:G1048576 G86:G135">
    <cfRule type="cellIs" dxfId="1432" priority="5396" operator="lessThan">
      <formula>0</formula>
    </cfRule>
  </conditionalFormatting>
  <conditionalFormatting sqref="F136:G1048576 G86:G135">
    <cfRule type="cellIs" dxfId="1431" priority="5395" operator="lessThan">
      <formula>0</formula>
    </cfRule>
  </conditionalFormatting>
  <conditionalFormatting sqref="F136:G1048576 G86:G135">
    <cfRule type="cellIs" dxfId="1430" priority="5394" operator="lessThan">
      <formula>0</formula>
    </cfRule>
  </conditionalFormatting>
  <conditionalFormatting sqref="F136:G1048576 G86:G135">
    <cfRule type="cellIs" dxfId="1429" priority="5393" operator="lessThan">
      <formula>0</formula>
    </cfRule>
  </conditionalFormatting>
  <conditionalFormatting sqref="F136:G1048576 G86:G135">
    <cfRule type="cellIs" dxfId="1428" priority="5392" operator="lessThan">
      <formula>0</formula>
    </cfRule>
  </conditionalFormatting>
  <conditionalFormatting sqref="F136:G1048576 G86:G135">
    <cfRule type="cellIs" dxfId="1427" priority="5391" operator="lessThan">
      <formula>0</formula>
    </cfRule>
  </conditionalFormatting>
  <conditionalFormatting sqref="F136:G1048576 G86:G135">
    <cfRule type="cellIs" dxfId="1426" priority="5390" operator="lessThan">
      <formula>0</formula>
    </cfRule>
  </conditionalFormatting>
  <conditionalFormatting sqref="F136:G1048576 G86:G135">
    <cfRule type="cellIs" dxfId="1425" priority="5389" operator="lessThan">
      <formula>0</formula>
    </cfRule>
  </conditionalFormatting>
  <conditionalFormatting sqref="F136:G1048576 G86:G135">
    <cfRule type="cellIs" dxfId="1424" priority="5388" operator="lessThan">
      <formula>0</formula>
    </cfRule>
  </conditionalFormatting>
  <conditionalFormatting sqref="F136:G1048576 G86:G135">
    <cfRule type="cellIs" dxfId="1423" priority="5387" operator="lessThan">
      <formula>0</formula>
    </cfRule>
  </conditionalFormatting>
  <conditionalFormatting sqref="F136:G1048576 G86:G135">
    <cfRule type="cellIs" dxfId="1422" priority="5386" operator="lessThan">
      <formula>0</formula>
    </cfRule>
  </conditionalFormatting>
  <conditionalFormatting sqref="F136:G1048576 G86:G135">
    <cfRule type="cellIs" dxfId="1421" priority="5385" operator="lessThan">
      <formula>0</formula>
    </cfRule>
  </conditionalFormatting>
  <conditionalFormatting sqref="F136:G1048576 G86:G135">
    <cfRule type="cellIs" dxfId="1420" priority="5384" operator="lessThan">
      <formula>0</formula>
    </cfRule>
  </conditionalFormatting>
  <conditionalFormatting sqref="F136:G1048576 G86:G135">
    <cfRule type="cellIs" dxfId="1419" priority="5383" operator="lessThan">
      <formula>0</formula>
    </cfRule>
  </conditionalFormatting>
  <conditionalFormatting sqref="F136:G1048576 G86:G135">
    <cfRule type="cellIs" dxfId="1418" priority="5382" operator="lessThan">
      <formula>0</formula>
    </cfRule>
  </conditionalFormatting>
  <conditionalFormatting sqref="F136:G1048576 G86:G135">
    <cfRule type="cellIs" dxfId="1417" priority="5381" operator="lessThan">
      <formula>0</formula>
    </cfRule>
  </conditionalFormatting>
  <conditionalFormatting sqref="F136:G1048576 G86:G135">
    <cfRule type="cellIs" dxfId="1416" priority="5380" operator="lessThan">
      <formula>0</formula>
    </cfRule>
  </conditionalFormatting>
  <conditionalFormatting sqref="F136:G1048576 G86:G135">
    <cfRule type="cellIs" dxfId="1415" priority="5379" operator="lessThan">
      <formula>0</formula>
    </cfRule>
  </conditionalFormatting>
  <conditionalFormatting sqref="F136:G1048576 G86:G135">
    <cfRule type="cellIs" dxfId="1414" priority="5378" operator="lessThan">
      <formula>0</formula>
    </cfRule>
  </conditionalFormatting>
  <conditionalFormatting sqref="F136:G1048576 G86:G135">
    <cfRule type="cellIs" dxfId="1413" priority="5377" operator="lessThan">
      <formula>0</formula>
    </cfRule>
  </conditionalFormatting>
  <conditionalFormatting sqref="F136:G1048576 G86:G135">
    <cfRule type="cellIs" dxfId="1412" priority="5376" operator="lessThan">
      <formula>0</formula>
    </cfRule>
  </conditionalFormatting>
  <conditionalFormatting sqref="F136:G1048576 G86:G135">
    <cfRule type="cellIs" dxfId="1411" priority="5375" operator="lessThan">
      <formula>0</formula>
    </cfRule>
  </conditionalFormatting>
  <conditionalFormatting sqref="F136:G1048576 G86:G135">
    <cfRule type="cellIs" dxfId="1410" priority="5374" operator="lessThan">
      <formula>0</formula>
    </cfRule>
  </conditionalFormatting>
  <conditionalFormatting sqref="F136:G1048576 G86:G135">
    <cfRule type="cellIs" dxfId="1409" priority="5373" operator="lessThan">
      <formula>0</formula>
    </cfRule>
  </conditionalFormatting>
  <conditionalFormatting sqref="F136:G1048576 G86:G135">
    <cfRule type="cellIs" dxfId="1408" priority="5372" operator="lessThan">
      <formula>0</formula>
    </cfRule>
  </conditionalFormatting>
  <conditionalFormatting sqref="F136:G1048576 G86:G135">
    <cfRule type="cellIs" dxfId="1407" priority="5371" operator="lessThan">
      <formula>0</formula>
    </cfRule>
  </conditionalFormatting>
  <conditionalFormatting sqref="F136:G1048576 G86:G135">
    <cfRule type="cellIs" dxfId="1406" priority="5370" operator="lessThan">
      <formula>0</formula>
    </cfRule>
  </conditionalFormatting>
  <conditionalFormatting sqref="F136:G1048576 G86:G135">
    <cfRule type="cellIs" dxfId="1405" priority="5369" operator="lessThan">
      <formula>0</formula>
    </cfRule>
  </conditionalFormatting>
  <conditionalFormatting sqref="F136:G1048576 G86:G135">
    <cfRule type="cellIs" dxfId="1404" priority="5368" operator="lessThan">
      <formula>0</formula>
    </cfRule>
  </conditionalFormatting>
  <conditionalFormatting sqref="F136:G1048576 G86:G135">
    <cfRule type="cellIs" dxfId="1403" priority="5367" operator="lessThan">
      <formula>0</formula>
    </cfRule>
  </conditionalFormatting>
  <conditionalFormatting sqref="F136:G1048576 G86:G135">
    <cfRule type="cellIs" dxfId="1402" priority="5366" operator="lessThan">
      <formula>0</formula>
    </cfRule>
  </conditionalFormatting>
  <conditionalFormatting sqref="F136:G1048576 G86:G135">
    <cfRule type="cellIs" dxfId="1401" priority="5365" operator="lessThan">
      <formula>0</formula>
    </cfRule>
  </conditionalFormatting>
  <conditionalFormatting sqref="F136:G1048576 G86:G135">
    <cfRule type="cellIs" dxfId="1400" priority="5364" operator="lessThan">
      <formula>0</formula>
    </cfRule>
  </conditionalFormatting>
  <conditionalFormatting sqref="F136:G1048576 G86:G135">
    <cfRule type="cellIs" dxfId="1399" priority="5363" operator="lessThan">
      <formula>0</formula>
    </cfRule>
  </conditionalFormatting>
  <conditionalFormatting sqref="F136:G1048576 G86:G135">
    <cfRule type="cellIs" dxfId="1398" priority="5362" operator="lessThan">
      <formula>0</formula>
    </cfRule>
  </conditionalFormatting>
  <conditionalFormatting sqref="F136:G1048576 G61:G135">
    <cfRule type="cellIs" dxfId="1397" priority="5361" operator="lessThan">
      <formula>0</formula>
    </cfRule>
  </conditionalFormatting>
  <conditionalFormatting sqref="F136:G1048576 G61:G135">
    <cfRule type="cellIs" dxfId="1396" priority="5360" operator="lessThan">
      <formula>0</formula>
    </cfRule>
  </conditionalFormatting>
  <conditionalFormatting sqref="F136:G1048576 G61:G135">
    <cfRule type="cellIs" dxfId="1395" priority="5359" operator="lessThan">
      <formula>0</formula>
    </cfRule>
  </conditionalFormatting>
  <conditionalFormatting sqref="F136:G1048576 G61:G135">
    <cfRule type="cellIs" dxfId="1394" priority="5358" operator="lessThan">
      <formula>0</formula>
    </cfRule>
  </conditionalFormatting>
  <conditionalFormatting sqref="F136:G1048576 G61:G135">
    <cfRule type="cellIs" dxfId="1393" priority="5357" operator="lessThan">
      <formula>0</formula>
    </cfRule>
  </conditionalFormatting>
  <conditionalFormatting sqref="F136:G1048576 G61:G135">
    <cfRule type="cellIs" dxfId="1392" priority="5356" operator="lessThan">
      <formula>0</formula>
    </cfRule>
  </conditionalFormatting>
  <conditionalFormatting sqref="F136:G1048576 G61:G135">
    <cfRule type="cellIs" dxfId="1391" priority="5355" operator="lessThan">
      <formula>0</formula>
    </cfRule>
  </conditionalFormatting>
  <conditionalFormatting sqref="F136:G1048576 G61:G135">
    <cfRule type="cellIs" dxfId="1390" priority="5354" operator="lessThan">
      <formula>0</formula>
    </cfRule>
  </conditionalFormatting>
  <conditionalFormatting sqref="F136:G1048576 G61:G135">
    <cfRule type="cellIs" dxfId="1389" priority="5353" operator="lessThan">
      <formula>0</formula>
    </cfRule>
  </conditionalFormatting>
  <conditionalFormatting sqref="F136:G1048576 G61:G135">
    <cfRule type="cellIs" dxfId="1388" priority="5352" operator="lessThan">
      <formula>0</formula>
    </cfRule>
  </conditionalFormatting>
  <conditionalFormatting sqref="F136:G1048576 G61:G135">
    <cfRule type="cellIs" dxfId="1387" priority="5351" operator="lessThan">
      <formula>0</formula>
    </cfRule>
  </conditionalFormatting>
  <conditionalFormatting sqref="F136:G1048576 G61:G135">
    <cfRule type="cellIs" dxfId="1386" priority="5350" operator="lessThan">
      <formula>0</formula>
    </cfRule>
  </conditionalFormatting>
  <conditionalFormatting sqref="F136:G1048576 G61:G135">
    <cfRule type="cellIs" dxfId="1385" priority="5349" operator="lessThan">
      <formula>0</formula>
    </cfRule>
  </conditionalFormatting>
  <conditionalFormatting sqref="F136:G1048576 G61:G135">
    <cfRule type="cellIs" dxfId="1384" priority="5348" operator="lessThan">
      <formula>0</formula>
    </cfRule>
  </conditionalFormatting>
  <conditionalFormatting sqref="F136:G1048576 G61:G135">
    <cfRule type="cellIs" dxfId="1383" priority="5347" operator="lessThan">
      <formula>0</formula>
    </cfRule>
  </conditionalFormatting>
  <conditionalFormatting sqref="F136:G1048576 G61:G135">
    <cfRule type="cellIs" dxfId="1382" priority="5346" operator="lessThan">
      <formula>0</formula>
    </cfRule>
  </conditionalFormatting>
  <conditionalFormatting sqref="F136:G1048576 G61:G135">
    <cfRule type="cellIs" dxfId="1381" priority="5345" operator="lessThan">
      <formula>0</formula>
    </cfRule>
  </conditionalFormatting>
  <conditionalFormatting sqref="F136:G1048576 G61:G135">
    <cfRule type="cellIs" dxfId="1380" priority="5344" operator="lessThan">
      <formula>0</formula>
    </cfRule>
  </conditionalFormatting>
  <conditionalFormatting sqref="F136:G1048576 G61:G135">
    <cfRule type="cellIs" dxfId="1379" priority="5343" operator="lessThan">
      <formula>0</formula>
    </cfRule>
  </conditionalFormatting>
  <conditionalFormatting sqref="F136:G1048576 G61:G135">
    <cfRule type="cellIs" dxfId="1378" priority="5342" operator="lessThan">
      <formula>0</formula>
    </cfRule>
  </conditionalFormatting>
  <conditionalFormatting sqref="F136:G1048576 G61:G135">
    <cfRule type="cellIs" dxfId="1377" priority="5341" operator="lessThan">
      <formula>0</formula>
    </cfRule>
  </conditionalFormatting>
  <conditionalFormatting sqref="F136:G1048576 G61:G135">
    <cfRule type="cellIs" dxfId="1376" priority="5340" operator="lessThan">
      <formula>0</formula>
    </cfRule>
  </conditionalFormatting>
  <conditionalFormatting sqref="F136:G1048576 G61:G135">
    <cfRule type="cellIs" dxfId="1375" priority="5339" operator="lessThan">
      <formula>0</formula>
    </cfRule>
  </conditionalFormatting>
  <conditionalFormatting sqref="F136:G1048576 G61:G135">
    <cfRule type="cellIs" dxfId="1374" priority="5338" operator="lessThan">
      <formula>0</formula>
    </cfRule>
  </conditionalFormatting>
  <conditionalFormatting sqref="F136:G1048576 G61:G135">
    <cfRule type="cellIs" dxfId="1373" priority="5337" operator="lessThan">
      <formula>0</formula>
    </cfRule>
  </conditionalFormatting>
  <conditionalFormatting sqref="F136:G1048576 G61:G135">
    <cfRule type="cellIs" dxfId="1372" priority="5336" operator="lessThan">
      <formula>0</formula>
    </cfRule>
  </conditionalFormatting>
  <conditionalFormatting sqref="F136:G1048576 G61:G135">
    <cfRule type="cellIs" dxfId="1371" priority="5335" operator="lessThan">
      <formula>0</formula>
    </cfRule>
  </conditionalFormatting>
  <conditionalFormatting sqref="F136:G1048576 G61:G135">
    <cfRule type="cellIs" dxfId="1370" priority="5334" operator="lessThan">
      <formula>0</formula>
    </cfRule>
  </conditionalFormatting>
  <conditionalFormatting sqref="F136:G1048576 G61:G135">
    <cfRule type="cellIs" dxfId="1369" priority="5333" operator="lessThan">
      <formula>0</formula>
    </cfRule>
  </conditionalFormatting>
  <conditionalFormatting sqref="F136:G1048576 G61:G135">
    <cfRule type="cellIs" dxfId="1368" priority="5332" operator="lessThan">
      <formula>0</formula>
    </cfRule>
  </conditionalFormatting>
  <conditionalFormatting sqref="F136:G1048576 G61:G135">
    <cfRule type="cellIs" dxfId="1367" priority="5331" operator="lessThan">
      <formula>0</formula>
    </cfRule>
  </conditionalFormatting>
  <conditionalFormatting sqref="F136:G1048576 G61:G135">
    <cfRule type="cellIs" dxfId="1366" priority="5330" operator="lessThan">
      <formula>0</formula>
    </cfRule>
  </conditionalFormatting>
  <conditionalFormatting sqref="F136:G1048576 G61:G135">
    <cfRule type="cellIs" dxfId="1365" priority="5329" operator="lessThan">
      <formula>0</formula>
    </cfRule>
  </conditionalFormatting>
  <conditionalFormatting sqref="F136:G1048576 G61:G135">
    <cfRule type="cellIs" dxfId="1364" priority="5328" operator="lessThan">
      <formula>0</formula>
    </cfRule>
  </conditionalFormatting>
  <conditionalFormatting sqref="F136:G1048576 G61:G135">
    <cfRule type="cellIs" dxfId="1363" priority="5327" operator="lessThan">
      <formula>0</formula>
    </cfRule>
  </conditionalFormatting>
  <conditionalFormatting sqref="F136:G1048576 G61:G135">
    <cfRule type="cellIs" dxfId="1362" priority="5326" operator="lessThan">
      <formula>0</formula>
    </cfRule>
  </conditionalFormatting>
  <conditionalFormatting sqref="F136:G1048576 G61:G135">
    <cfRule type="cellIs" dxfId="1361" priority="5325" operator="lessThan">
      <formula>0</formula>
    </cfRule>
  </conditionalFormatting>
  <conditionalFormatting sqref="F136:G1048576 G61:G135">
    <cfRule type="cellIs" dxfId="1360" priority="5324" operator="lessThan">
      <formula>0</formula>
    </cfRule>
  </conditionalFormatting>
  <conditionalFormatting sqref="F136:G1048576 G61:G135">
    <cfRule type="cellIs" dxfId="1359" priority="5323" operator="lessThan">
      <formula>0</formula>
    </cfRule>
  </conditionalFormatting>
  <conditionalFormatting sqref="F136:G1048576 G61:G135">
    <cfRule type="cellIs" dxfId="1358" priority="5322" operator="lessThan">
      <formula>0</formula>
    </cfRule>
  </conditionalFormatting>
  <conditionalFormatting sqref="F136:G1048576 G61:G135">
    <cfRule type="cellIs" dxfId="1357" priority="5321" operator="lessThan">
      <formula>0</formula>
    </cfRule>
  </conditionalFormatting>
  <conditionalFormatting sqref="F136:G1048576 G61:G135">
    <cfRule type="cellIs" dxfId="1356" priority="5320" operator="lessThan">
      <formula>0</formula>
    </cfRule>
  </conditionalFormatting>
  <conditionalFormatting sqref="F136:G1048576 G61:G135">
    <cfRule type="cellIs" dxfId="1355" priority="5319" operator="lessThan">
      <formula>0</formula>
    </cfRule>
  </conditionalFormatting>
  <conditionalFormatting sqref="F136:G1048576 G61:G135">
    <cfRule type="cellIs" dxfId="1354" priority="5318" operator="lessThan">
      <formula>0</formula>
    </cfRule>
  </conditionalFormatting>
  <conditionalFormatting sqref="F136:G1048576 G61:G135">
    <cfRule type="cellIs" dxfId="1353" priority="5317" operator="lessThan">
      <formula>0</formula>
    </cfRule>
  </conditionalFormatting>
  <conditionalFormatting sqref="F136:G1048576 G61:G135">
    <cfRule type="cellIs" dxfId="1352" priority="5316" operator="lessThan">
      <formula>0</formula>
    </cfRule>
  </conditionalFormatting>
  <conditionalFormatting sqref="F136:G1048576 G61:G135">
    <cfRule type="cellIs" dxfId="1351" priority="5315" operator="lessThan">
      <formula>0</formula>
    </cfRule>
  </conditionalFormatting>
  <conditionalFormatting sqref="F136:G1048576 G61:G135">
    <cfRule type="cellIs" dxfId="1350" priority="5314" operator="lessThan">
      <formula>0</formula>
    </cfRule>
  </conditionalFormatting>
  <conditionalFormatting sqref="F136:G1048576 G61:G135">
    <cfRule type="cellIs" dxfId="1349" priority="5313" operator="lessThan">
      <formula>0</formula>
    </cfRule>
  </conditionalFormatting>
  <conditionalFormatting sqref="F136:G1048576 G61:G135">
    <cfRule type="cellIs" dxfId="1348" priority="5312" operator="lessThan">
      <formula>0</formula>
    </cfRule>
  </conditionalFormatting>
  <conditionalFormatting sqref="F136:G1048576 G61:G135">
    <cfRule type="cellIs" dxfId="1347" priority="5311" operator="lessThan">
      <formula>0</formula>
    </cfRule>
  </conditionalFormatting>
  <conditionalFormatting sqref="F136:G1048576 G61:G135">
    <cfRule type="cellIs" dxfId="1346" priority="5310" operator="lessThan">
      <formula>0</formula>
    </cfRule>
  </conditionalFormatting>
  <conditionalFormatting sqref="F136:G1048576 G61:G135">
    <cfRule type="cellIs" dxfId="1345" priority="5309" operator="lessThan">
      <formula>0</formula>
    </cfRule>
  </conditionalFormatting>
  <conditionalFormatting sqref="F136:G1048576 G61:G135">
    <cfRule type="cellIs" dxfId="1344" priority="5308" operator="lessThan">
      <formula>0</formula>
    </cfRule>
  </conditionalFormatting>
  <conditionalFormatting sqref="F136:G1048576 G61:G135">
    <cfRule type="cellIs" dxfId="1343" priority="5307" operator="lessThan">
      <formula>0</formula>
    </cfRule>
  </conditionalFormatting>
  <conditionalFormatting sqref="F136:G1048576 G61:G135">
    <cfRule type="cellIs" dxfId="1342" priority="5306" operator="lessThan">
      <formula>0</formula>
    </cfRule>
  </conditionalFormatting>
  <conditionalFormatting sqref="F136:G1048576 G61:G135">
    <cfRule type="cellIs" dxfId="1341" priority="5305" operator="lessThan">
      <formula>0</formula>
    </cfRule>
  </conditionalFormatting>
  <conditionalFormatting sqref="F136:G1048576 G61:G135">
    <cfRule type="cellIs" dxfId="1340" priority="5304" operator="lessThan">
      <formula>0</formula>
    </cfRule>
  </conditionalFormatting>
  <conditionalFormatting sqref="F136:G1048576 G61:G135">
    <cfRule type="cellIs" dxfId="1339" priority="5303" operator="lessThan">
      <formula>0</formula>
    </cfRule>
  </conditionalFormatting>
  <conditionalFormatting sqref="F136:G1048576 G61:G135">
    <cfRule type="cellIs" dxfId="1338" priority="5302" operator="lessThan">
      <formula>0</formula>
    </cfRule>
  </conditionalFormatting>
  <conditionalFormatting sqref="F136:G1048576 G61:G135">
    <cfRule type="cellIs" dxfId="1337" priority="5301" operator="lessThan">
      <formula>0</formula>
    </cfRule>
  </conditionalFormatting>
  <conditionalFormatting sqref="F136:G1048576 G61:G135">
    <cfRule type="cellIs" dxfId="1336" priority="5300" operator="lessThan">
      <formula>0</formula>
    </cfRule>
  </conditionalFormatting>
  <conditionalFormatting sqref="F136:G1048576 G61:G135">
    <cfRule type="cellIs" dxfId="1335" priority="5299" operator="lessThan">
      <formula>0</formula>
    </cfRule>
  </conditionalFormatting>
  <conditionalFormatting sqref="F136:G1048576 G61:G135">
    <cfRule type="cellIs" dxfId="1334" priority="5298" operator="lessThan">
      <formula>0</formula>
    </cfRule>
  </conditionalFormatting>
  <conditionalFormatting sqref="F136:G1048576 G61:G135">
    <cfRule type="cellIs" dxfId="1333" priority="5297" operator="lessThan">
      <formula>0</formula>
    </cfRule>
  </conditionalFormatting>
  <conditionalFormatting sqref="F136:G1048576 G61:G135">
    <cfRule type="cellIs" dxfId="1332" priority="5296" operator="lessThan">
      <formula>0</formula>
    </cfRule>
  </conditionalFormatting>
  <conditionalFormatting sqref="F136:G1048576 G61:G135">
    <cfRule type="cellIs" dxfId="1331" priority="5295" operator="lessThan">
      <formula>0</formula>
    </cfRule>
  </conditionalFormatting>
  <conditionalFormatting sqref="F136:G1048576 G61:G135">
    <cfRule type="cellIs" dxfId="1330" priority="5294" operator="lessThan">
      <formula>0</formula>
    </cfRule>
  </conditionalFormatting>
  <conditionalFormatting sqref="F136:G1048576 G61:G135">
    <cfRule type="cellIs" dxfId="1329" priority="5293" operator="lessThan">
      <formula>0</formula>
    </cfRule>
  </conditionalFormatting>
  <conditionalFormatting sqref="F136:G1048576 G61:G135">
    <cfRule type="cellIs" dxfId="1328" priority="5292" operator="lessThan">
      <formula>0</formula>
    </cfRule>
  </conditionalFormatting>
  <conditionalFormatting sqref="F136:G1048576 G61:G135">
    <cfRule type="cellIs" dxfId="1327" priority="5291" operator="lessThan">
      <formula>0</formula>
    </cfRule>
  </conditionalFormatting>
  <conditionalFormatting sqref="F136:G1048576 G61:G135">
    <cfRule type="cellIs" dxfId="1326" priority="5290" operator="lessThan">
      <formula>0</formula>
    </cfRule>
  </conditionalFormatting>
  <conditionalFormatting sqref="F136:G1048576 G61:G135">
    <cfRule type="cellIs" dxfId="1325" priority="5289" operator="lessThan">
      <formula>0</formula>
    </cfRule>
  </conditionalFormatting>
  <conditionalFormatting sqref="F136:G1048576 G61:G135">
    <cfRule type="cellIs" dxfId="1324" priority="5288" operator="lessThan">
      <formula>0</formula>
    </cfRule>
  </conditionalFormatting>
  <conditionalFormatting sqref="F136:G1048576 G61:G135">
    <cfRule type="cellIs" dxfId="1323" priority="5287" operator="lessThan">
      <formula>0</formula>
    </cfRule>
  </conditionalFormatting>
  <conditionalFormatting sqref="F136:G1048576 G61:G135">
    <cfRule type="cellIs" dxfId="1322" priority="5286" operator="lessThan">
      <formula>0</formula>
    </cfRule>
  </conditionalFormatting>
  <conditionalFormatting sqref="F136:G1048576 G61:G135">
    <cfRule type="cellIs" dxfId="1321" priority="5285" operator="lessThan">
      <formula>0</formula>
    </cfRule>
  </conditionalFormatting>
  <conditionalFormatting sqref="F136:G1048576 G61:G135">
    <cfRule type="cellIs" dxfId="1320" priority="5284" operator="lessThan">
      <formula>0</formula>
    </cfRule>
  </conditionalFormatting>
  <conditionalFormatting sqref="F136:G1048576 G61:G135">
    <cfRule type="cellIs" dxfId="1319" priority="5283" operator="lessThan">
      <formula>0</formula>
    </cfRule>
  </conditionalFormatting>
  <conditionalFormatting sqref="F136:G1048576 G61:G135">
    <cfRule type="cellIs" dxfId="1318" priority="5282" operator="lessThan">
      <formula>0</formula>
    </cfRule>
  </conditionalFormatting>
  <conditionalFormatting sqref="F136:G1048576 G61:G135">
    <cfRule type="cellIs" dxfId="1317" priority="5281" operator="lessThan">
      <formula>0</formula>
    </cfRule>
  </conditionalFormatting>
  <conditionalFormatting sqref="F136:G1048576 G61:G135">
    <cfRule type="cellIs" dxfId="1316" priority="5280" operator="lessThan">
      <formula>0</formula>
    </cfRule>
  </conditionalFormatting>
  <conditionalFormatting sqref="F136:G1048576 G61:G135">
    <cfRule type="cellIs" dxfId="1315" priority="5279" operator="lessThan">
      <formula>0</formula>
    </cfRule>
  </conditionalFormatting>
  <conditionalFormatting sqref="F136:G1048576 G61:G135">
    <cfRule type="cellIs" dxfId="1314" priority="5278" operator="lessThan">
      <formula>0</formula>
    </cfRule>
  </conditionalFormatting>
  <conditionalFormatting sqref="F136:G1048576 G61:G135">
    <cfRule type="cellIs" dxfId="1313" priority="5277" operator="lessThan">
      <formula>0</formula>
    </cfRule>
  </conditionalFormatting>
  <conditionalFormatting sqref="F136:G1048576 G61:G135">
    <cfRule type="cellIs" dxfId="1312" priority="5276" operator="lessThan">
      <formula>0</formula>
    </cfRule>
  </conditionalFormatting>
  <conditionalFormatting sqref="F136:G1048576 G61:G135">
    <cfRule type="cellIs" dxfId="1311" priority="5275" operator="lessThan">
      <formula>0</formula>
    </cfRule>
  </conditionalFormatting>
  <conditionalFormatting sqref="F136:G1048576 G61:G135">
    <cfRule type="cellIs" dxfId="1310" priority="5274" operator="lessThan">
      <formula>0</formula>
    </cfRule>
  </conditionalFormatting>
  <conditionalFormatting sqref="F136:G1048576 G61:G135">
    <cfRule type="cellIs" dxfId="1309" priority="5273" operator="lessThan">
      <formula>0</formula>
    </cfRule>
  </conditionalFormatting>
  <conditionalFormatting sqref="F136:G1048576 G61:G135">
    <cfRule type="cellIs" dxfId="1308" priority="5272" operator="lessThan">
      <formula>0</formula>
    </cfRule>
  </conditionalFormatting>
  <conditionalFormatting sqref="F136:G1048576 G61:G135">
    <cfRule type="cellIs" dxfId="1307" priority="5271" operator="lessThan">
      <formula>0</formula>
    </cfRule>
  </conditionalFormatting>
  <conditionalFormatting sqref="F136:G1048576 G61:G135">
    <cfRule type="cellIs" dxfId="1306" priority="5270" operator="lessThan">
      <formula>0</formula>
    </cfRule>
  </conditionalFormatting>
  <conditionalFormatting sqref="F136:G1048576 G61:G135">
    <cfRule type="cellIs" dxfId="1305" priority="5269" operator="lessThan">
      <formula>0</formula>
    </cfRule>
  </conditionalFormatting>
  <conditionalFormatting sqref="F136:G1048576 G61:G135">
    <cfRule type="cellIs" dxfId="1304" priority="5268" operator="lessThan">
      <formula>0</formula>
    </cfRule>
  </conditionalFormatting>
  <conditionalFormatting sqref="F136:G1048576 G61:G135">
    <cfRule type="cellIs" dxfId="1303" priority="5267" operator="lessThan">
      <formula>0</formula>
    </cfRule>
  </conditionalFormatting>
  <conditionalFormatting sqref="F136:G1048576 G61:G135">
    <cfRule type="cellIs" dxfId="1302" priority="5266" operator="lessThan">
      <formula>0</formula>
    </cfRule>
  </conditionalFormatting>
  <conditionalFormatting sqref="F136:G1048576 G61:G135">
    <cfRule type="cellIs" dxfId="1301" priority="5265" operator="lessThan">
      <formula>0</formula>
    </cfRule>
  </conditionalFormatting>
  <conditionalFormatting sqref="F136:G1048576 G61:G135">
    <cfRule type="cellIs" dxfId="1300" priority="5264" operator="lessThan">
      <formula>0</formula>
    </cfRule>
  </conditionalFormatting>
  <conditionalFormatting sqref="F136:G1048576 G61:G135">
    <cfRule type="cellIs" dxfId="1299" priority="5263" operator="lessThan">
      <formula>0</formula>
    </cfRule>
  </conditionalFormatting>
  <conditionalFormatting sqref="F136:G1048576 G61:G135">
    <cfRule type="cellIs" dxfId="1298" priority="5262" operator="lessThan">
      <formula>0</formula>
    </cfRule>
  </conditionalFormatting>
  <conditionalFormatting sqref="F136:G1048576 G61:G135">
    <cfRule type="cellIs" dxfId="1297" priority="5261" operator="lessThan">
      <formula>0</formula>
    </cfRule>
  </conditionalFormatting>
  <conditionalFormatting sqref="F136:G1048576 G61:G135">
    <cfRule type="cellIs" dxfId="1296" priority="5260" operator="lessThan">
      <formula>0</formula>
    </cfRule>
  </conditionalFormatting>
  <conditionalFormatting sqref="F136:G1048576 G61:G135">
    <cfRule type="cellIs" dxfId="1295" priority="5259" operator="lessThan">
      <formula>0</formula>
    </cfRule>
  </conditionalFormatting>
  <conditionalFormatting sqref="F136:G1048576 G61:G135">
    <cfRule type="cellIs" dxfId="1294" priority="5258" operator="lessThan">
      <formula>0</formula>
    </cfRule>
  </conditionalFormatting>
  <conditionalFormatting sqref="F136:G1048576 G61:G135">
    <cfRule type="cellIs" dxfId="1293" priority="5257" operator="lessThan">
      <formula>0</formula>
    </cfRule>
  </conditionalFormatting>
  <conditionalFormatting sqref="F136:G1048576 G61:G135">
    <cfRule type="cellIs" dxfId="1292" priority="5256" operator="lessThan">
      <formula>0</formula>
    </cfRule>
  </conditionalFormatting>
  <conditionalFormatting sqref="F136:G1048576 G61:G135">
    <cfRule type="cellIs" dxfId="1291" priority="5255" operator="lessThan">
      <formula>0</formula>
    </cfRule>
  </conditionalFormatting>
  <conditionalFormatting sqref="F136:G1048576 G61:G135">
    <cfRule type="cellIs" dxfId="1290" priority="5254" operator="lessThan">
      <formula>0</formula>
    </cfRule>
  </conditionalFormatting>
  <conditionalFormatting sqref="F136:G1048576 G61:G135">
    <cfRule type="cellIs" dxfId="1289" priority="5253" operator="lessThan">
      <formula>0</formula>
    </cfRule>
  </conditionalFormatting>
  <conditionalFormatting sqref="F136:G1048576 G61:G135">
    <cfRule type="cellIs" dxfId="1288" priority="5252" operator="lessThan">
      <formula>0</formula>
    </cfRule>
  </conditionalFormatting>
  <conditionalFormatting sqref="F136:G1048576 G61:G135">
    <cfRule type="cellIs" dxfId="1287" priority="5251" operator="lessThan">
      <formula>0</formula>
    </cfRule>
  </conditionalFormatting>
  <conditionalFormatting sqref="F136:G1048576 G61:G135">
    <cfRule type="cellIs" dxfId="1286" priority="5250" operator="lessThan">
      <formula>0</formula>
    </cfRule>
  </conditionalFormatting>
  <conditionalFormatting sqref="F136:G1048576 G61:G135">
    <cfRule type="cellIs" dxfId="1285" priority="5249" operator="lessThan">
      <formula>0</formula>
    </cfRule>
  </conditionalFormatting>
  <conditionalFormatting sqref="F136:G1048576 G61:G135">
    <cfRule type="cellIs" dxfId="1284" priority="5248" operator="lessThan">
      <formula>0</formula>
    </cfRule>
  </conditionalFormatting>
  <conditionalFormatting sqref="F136:G1048576 G61:G135">
    <cfRule type="cellIs" dxfId="1283" priority="5247" operator="lessThan">
      <formula>0</formula>
    </cfRule>
  </conditionalFormatting>
  <conditionalFormatting sqref="F136:G1048576 G61:G135">
    <cfRule type="cellIs" dxfId="1282" priority="5246" operator="lessThan">
      <formula>0</formula>
    </cfRule>
  </conditionalFormatting>
  <conditionalFormatting sqref="F136:G1048576 G61:G135">
    <cfRule type="cellIs" dxfId="1281" priority="5245" operator="lessThan">
      <formula>0</formula>
    </cfRule>
  </conditionalFormatting>
  <conditionalFormatting sqref="F136:G1048576 G61:G135">
    <cfRule type="cellIs" dxfId="1280" priority="5244" operator="lessThan">
      <formula>0</formula>
    </cfRule>
  </conditionalFormatting>
  <conditionalFormatting sqref="F136:G1048576 G61:G135">
    <cfRule type="cellIs" dxfId="1279" priority="5243" operator="lessThan">
      <formula>0</formula>
    </cfRule>
  </conditionalFormatting>
  <conditionalFormatting sqref="F136:G1048576 G61:G135">
    <cfRule type="cellIs" dxfId="1278" priority="5242" operator="lessThan">
      <formula>0</formula>
    </cfRule>
  </conditionalFormatting>
  <conditionalFormatting sqref="F136:G1048576 G61:G135">
    <cfRule type="cellIs" dxfId="1277" priority="5241" operator="lessThan">
      <formula>0</formula>
    </cfRule>
  </conditionalFormatting>
  <conditionalFormatting sqref="F136:G1048576 G61:G135">
    <cfRule type="cellIs" dxfId="1276" priority="5240" operator="lessThan">
      <formula>0</formula>
    </cfRule>
  </conditionalFormatting>
  <conditionalFormatting sqref="F136:G1048576 G61:G135">
    <cfRule type="cellIs" dxfId="1275" priority="5239" operator="lessThan">
      <formula>0</formula>
    </cfRule>
  </conditionalFormatting>
  <conditionalFormatting sqref="F136:G1048576 G61:G135">
    <cfRule type="cellIs" dxfId="1274" priority="5238" operator="lessThan">
      <formula>0</formula>
    </cfRule>
  </conditionalFormatting>
  <conditionalFormatting sqref="F136:G1048576 G61:G135">
    <cfRule type="cellIs" dxfId="1273" priority="5237" operator="lessThan">
      <formula>0</formula>
    </cfRule>
  </conditionalFormatting>
  <conditionalFormatting sqref="F136:G1048576 G61:G135">
    <cfRule type="cellIs" dxfId="1272" priority="5236" operator="lessThan">
      <formula>0</formula>
    </cfRule>
  </conditionalFormatting>
  <conditionalFormatting sqref="F136:G1048576 G61:G135">
    <cfRule type="cellIs" dxfId="1271" priority="5235" operator="lessThan">
      <formula>0</formula>
    </cfRule>
  </conditionalFormatting>
  <conditionalFormatting sqref="F136:G1048576 G61:G135">
    <cfRule type="cellIs" dxfId="1270" priority="5234" operator="lessThan">
      <formula>0</formula>
    </cfRule>
  </conditionalFormatting>
  <conditionalFormatting sqref="F136:G1048576 G61:G135">
    <cfRule type="cellIs" dxfId="1269" priority="5233" operator="lessThan">
      <formula>0</formula>
    </cfRule>
  </conditionalFormatting>
  <conditionalFormatting sqref="F136:G1048576 G61:G135">
    <cfRule type="cellIs" dxfId="1268" priority="5232" operator="lessThan">
      <formula>0</formula>
    </cfRule>
  </conditionalFormatting>
  <conditionalFormatting sqref="F136:G1048576 G61:G135">
    <cfRule type="cellIs" dxfId="1267" priority="5231" operator="lessThan">
      <formula>0</formula>
    </cfRule>
  </conditionalFormatting>
  <conditionalFormatting sqref="F136:G1048576 G61:G135">
    <cfRule type="cellIs" dxfId="1266" priority="5230" operator="lessThan">
      <formula>0</formula>
    </cfRule>
  </conditionalFormatting>
  <conditionalFormatting sqref="F136:G1048576 G61:G135">
    <cfRule type="cellIs" dxfId="1265" priority="5229" operator="lessThan">
      <formula>0</formula>
    </cfRule>
  </conditionalFormatting>
  <conditionalFormatting sqref="F136:G1048576 G61:G135">
    <cfRule type="cellIs" dxfId="1264" priority="5228" operator="lessThan">
      <formula>0</formula>
    </cfRule>
  </conditionalFormatting>
  <conditionalFormatting sqref="F136:G1048576 G61:G135">
    <cfRule type="cellIs" dxfId="1263" priority="5227" operator="lessThan">
      <formula>0</formula>
    </cfRule>
  </conditionalFormatting>
  <conditionalFormatting sqref="F136:G1048576 G61:G135">
    <cfRule type="cellIs" dxfId="1262" priority="5226" operator="lessThan">
      <formula>0</formula>
    </cfRule>
  </conditionalFormatting>
  <conditionalFormatting sqref="F136:G1048576 G61:G135">
    <cfRule type="cellIs" dxfId="1261" priority="5225" operator="lessThan">
      <formula>0</formula>
    </cfRule>
  </conditionalFormatting>
  <conditionalFormatting sqref="F136:G1048576 G61:G135">
    <cfRule type="cellIs" dxfId="1260" priority="5224" operator="lessThan">
      <formula>0</formula>
    </cfRule>
  </conditionalFormatting>
  <conditionalFormatting sqref="F136:G1048576 G61:G135">
    <cfRule type="cellIs" dxfId="1259" priority="5223" operator="lessThan">
      <formula>0</formula>
    </cfRule>
  </conditionalFormatting>
  <conditionalFormatting sqref="F136:G1048576 G61:G135">
    <cfRule type="cellIs" dxfId="1258" priority="5222" operator="lessThan">
      <formula>0</formula>
    </cfRule>
  </conditionalFormatting>
  <conditionalFormatting sqref="F136:G1048576 G61:G135">
    <cfRule type="cellIs" dxfId="1257" priority="5221" operator="lessThan">
      <formula>0</formula>
    </cfRule>
  </conditionalFormatting>
  <conditionalFormatting sqref="F136:G1048576 G61:G135">
    <cfRule type="cellIs" dxfId="1256" priority="5220" operator="lessThan">
      <formula>0</formula>
    </cfRule>
  </conditionalFormatting>
  <conditionalFormatting sqref="F136:G1048576 G61:G135">
    <cfRule type="cellIs" dxfId="1255" priority="5219" operator="lessThan">
      <formula>0</formula>
    </cfRule>
  </conditionalFormatting>
  <conditionalFormatting sqref="F136:G1048576 G61:G135">
    <cfRule type="cellIs" dxfId="1254" priority="5218" operator="lessThan">
      <formula>0</formula>
    </cfRule>
  </conditionalFormatting>
  <conditionalFormatting sqref="F136:G1048576 G61:G135">
    <cfRule type="cellIs" dxfId="1253" priority="5217" operator="lessThan">
      <formula>0</formula>
    </cfRule>
  </conditionalFormatting>
  <conditionalFormatting sqref="F136:G1048576 G61:G135">
    <cfRule type="cellIs" dxfId="1252" priority="5216" operator="lessThan">
      <formula>0</formula>
    </cfRule>
  </conditionalFormatting>
  <conditionalFormatting sqref="F136:G1048576 G61:G135">
    <cfRule type="cellIs" dxfId="1251" priority="5215" operator="lessThan">
      <formula>0</formula>
    </cfRule>
  </conditionalFormatting>
  <conditionalFormatting sqref="F136:G1048576 G61:G135">
    <cfRule type="cellIs" dxfId="1250" priority="5214" operator="lessThan">
      <formula>0</formula>
    </cfRule>
  </conditionalFormatting>
  <conditionalFormatting sqref="F136:G1048576 G61:G135">
    <cfRule type="cellIs" dxfId="1249" priority="5213" operator="lessThan">
      <formula>0</formula>
    </cfRule>
  </conditionalFormatting>
  <conditionalFormatting sqref="F136:G1048576 G61:G135">
    <cfRule type="cellIs" dxfId="1248" priority="5212" operator="lessThan">
      <formula>0</formula>
    </cfRule>
  </conditionalFormatting>
  <conditionalFormatting sqref="F136:G1048576 G61:G135">
    <cfRule type="cellIs" dxfId="1247" priority="5211" operator="lessThan">
      <formula>0</formula>
    </cfRule>
  </conditionalFormatting>
  <conditionalFormatting sqref="F136:G1048576 G61:G135">
    <cfRule type="cellIs" dxfId="1246" priority="5210" operator="lessThan">
      <formula>0</formula>
    </cfRule>
  </conditionalFormatting>
  <conditionalFormatting sqref="F136:G1048576 G61:G135">
    <cfRule type="cellIs" dxfId="1245" priority="5209" operator="lessThan">
      <formula>0</formula>
    </cfRule>
  </conditionalFormatting>
  <conditionalFormatting sqref="F136:G1048576 G61:G135">
    <cfRule type="cellIs" dxfId="1244" priority="5208" operator="lessThan">
      <formula>0</formula>
    </cfRule>
  </conditionalFormatting>
  <conditionalFormatting sqref="F136:G1048576 G61:G135">
    <cfRule type="cellIs" dxfId="1243" priority="5207" operator="lessThan">
      <formula>0</formula>
    </cfRule>
  </conditionalFormatting>
  <conditionalFormatting sqref="F136:G1048576 G61:G135">
    <cfRule type="cellIs" dxfId="1242" priority="5206" operator="lessThan">
      <formula>0</formula>
    </cfRule>
  </conditionalFormatting>
  <conditionalFormatting sqref="F136:G1048576 G61:G135">
    <cfRule type="cellIs" dxfId="1241" priority="5205" operator="lessThan">
      <formula>0</formula>
    </cfRule>
  </conditionalFormatting>
  <conditionalFormatting sqref="F136:G1048576 G61:G135">
    <cfRule type="cellIs" dxfId="1240" priority="5204" operator="lessThan">
      <formula>0</formula>
    </cfRule>
  </conditionalFormatting>
  <conditionalFormatting sqref="F136:G1048576 G61:G135">
    <cfRule type="cellIs" dxfId="1239" priority="5203" operator="lessThan">
      <formula>0</formula>
    </cfRule>
  </conditionalFormatting>
  <conditionalFormatting sqref="F136:G1048576 G61:G135">
    <cfRule type="cellIs" dxfId="1238" priority="5202" operator="lessThan">
      <formula>0</formula>
    </cfRule>
  </conditionalFormatting>
  <conditionalFormatting sqref="F136:G1048576 G61:G135">
    <cfRule type="cellIs" dxfId="1237" priority="5201" operator="lessThan">
      <formula>0</formula>
    </cfRule>
  </conditionalFormatting>
  <conditionalFormatting sqref="G42">
    <cfRule type="cellIs" dxfId="1236" priority="4498" operator="lessThan">
      <formula>0</formula>
    </cfRule>
  </conditionalFormatting>
  <conditionalFormatting sqref="G42">
    <cfRule type="cellIs" dxfId="1235" priority="4497" operator="lessThan">
      <formula>0</formula>
    </cfRule>
  </conditionalFormatting>
  <conditionalFormatting sqref="G42">
    <cfRule type="cellIs" dxfId="1234" priority="4496" operator="lessThan">
      <formula>0</formula>
    </cfRule>
  </conditionalFormatting>
  <conditionalFormatting sqref="G42">
    <cfRule type="cellIs" dxfId="1233" priority="4495" operator="lessThan">
      <formula>0</formula>
    </cfRule>
  </conditionalFormatting>
  <conditionalFormatting sqref="G42">
    <cfRule type="cellIs" dxfId="1232" priority="4494" operator="lessThan">
      <formula>0</formula>
    </cfRule>
  </conditionalFormatting>
  <conditionalFormatting sqref="G42">
    <cfRule type="cellIs" dxfId="1231" priority="4493" operator="lessThan">
      <formula>0</formula>
    </cfRule>
  </conditionalFormatting>
  <conditionalFormatting sqref="G42">
    <cfRule type="cellIs" dxfId="1230" priority="4492" operator="lessThan">
      <formula>0</formula>
    </cfRule>
  </conditionalFormatting>
  <conditionalFormatting sqref="G42">
    <cfRule type="cellIs" dxfId="1229" priority="4491" operator="lessThan">
      <formula>0</formula>
    </cfRule>
  </conditionalFormatting>
  <conditionalFormatting sqref="G42">
    <cfRule type="cellIs" dxfId="1228" priority="4490" operator="lessThan">
      <formula>0</formula>
    </cfRule>
  </conditionalFormatting>
  <conditionalFormatting sqref="G42">
    <cfRule type="cellIs" dxfId="1227" priority="4489" operator="lessThan">
      <formula>0</formula>
    </cfRule>
  </conditionalFormatting>
  <conditionalFormatting sqref="G42">
    <cfRule type="cellIs" dxfId="1226" priority="4488" operator="lessThan">
      <formula>0</formula>
    </cfRule>
  </conditionalFormatting>
  <conditionalFormatting sqref="G42">
    <cfRule type="cellIs" dxfId="1225" priority="4487" operator="lessThan">
      <formula>0</formula>
    </cfRule>
  </conditionalFormatting>
  <conditionalFormatting sqref="G42">
    <cfRule type="cellIs" dxfId="1224" priority="4486" operator="lessThan">
      <formula>0</formula>
    </cfRule>
  </conditionalFormatting>
  <conditionalFormatting sqref="G42">
    <cfRule type="cellIs" dxfId="1223" priority="4485" operator="lessThan">
      <formula>0</formula>
    </cfRule>
  </conditionalFormatting>
  <conditionalFormatting sqref="G42">
    <cfRule type="cellIs" dxfId="1222" priority="4484" operator="lessThan">
      <formula>0</formula>
    </cfRule>
  </conditionalFormatting>
  <conditionalFormatting sqref="G42">
    <cfRule type="cellIs" dxfId="1221" priority="4483" operator="lessThan">
      <formula>0</formula>
    </cfRule>
  </conditionalFormatting>
  <conditionalFormatting sqref="G42">
    <cfRule type="cellIs" dxfId="1220" priority="4482" operator="lessThan">
      <formula>0</formula>
    </cfRule>
  </conditionalFormatting>
  <conditionalFormatting sqref="G42">
    <cfRule type="cellIs" dxfId="1219" priority="4481" operator="lessThan">
      <formula>0</formula>
    </cfRule>
  </conditionalFormatting>
  <conditionalFormatting sqref="G42">
    <cfRule type="cellIs" dxfId="1218" priority="4480" operator="lessThan">
      <formula>0</formula>
    </cfRule>
  </conditionalFormatting>
  <conditionalFormatting pivot="1" sqref="F13:F45">
    <cfRule type="cellIs" dxfId="1217" priority="3425" operator="lessThan">
      <formula>0</formula>
    </cfRule>
  </conditionalFormatting>
  <conditionalFormatting sqref="H86:H1048576">
    <cfRule type="cellIs" dxfId="1216" priority="3221" operator="lessThan">
      <formula>0</formula>
    </cfRule>
  </conditionalFormatting>
  <conditionalFormatting sqref="H86:H1048576">
    <cfRule type="cellIs" dxfId="1215" priority="3220" operator="lessThan">
      <formula>0</formula>
    </cfRule>
  </conditionalFormatting>
  <conditionalFormatting sqref="H86:H1048576">
    <cfRule type="cellIs" dxfId="1214" priority="3219" operator="lessThan">
      <formula>0</formula>
    </cfRule>
  </conditionalFormatting>
  <conditionalFormatting sqref="H86:H1048576">
    <cfRule type="cellIs" dxfId="1213" priority="3218" operator="lessThan">
      <formula>0</formula>
    </cfRule>
  </conditionalFormatting>
  <conditionalFormatting sqref="H86:H1048576">
    <cfRule type="cellIs" dxfId="1212" priority="3217" operator="lessThan">
      <formula>0</formula>
    </cfRule>
  </conditionalFormatting>
  <conditionalFormatting sqref="H86:H1048576">
    <cfRule type="cellIs" dxfId="1211" priority="3216" operator="lessThan">
      <formula>0</formula>
    </cfRule>
  </conditionalFormatting>
  <conditionalFormatting sqref="H86:H1048576">
    <cfRule type="cellIs" dxfId="1210" priority="3215" operator="lessThan">
      <formula>0</formula>
    </cfRule>
  </conditionalFormatting>
  <conditionalFormatting sqref="H86:H1048576">
    <cfRule type="cellIs" dxfId="1209" priority="3214" operator="lessThan">
      <formula>0</formula>
    </cfRule>
  </conditionalFormatting>
  <conditionalFormatting sqref="H86:H1048576">
    <cfRule type="cellIs" dxfId="1208" priority="3213" operator="lessThan">
      <formula>0</formula>
    </cfRule>
  </conditionalFormatting>
  <conditionalFormatting sqref="H86:H1048576">
    <cfRule type="cellIs" dxfId="1207" priority="3212" operator="lessThan">
      <formula>0</formula>
    </cfRule>
  </conditionalFormatting>
  <conditionalFormatting sqref="H86:H1048576">
    <cfRule type="cellIs" dxfId="1206" priority="3211" operator="lessThan">
      <formula>0</formula>
    </cfRule>
  </conditionalFormatting>
  <conditionalFormatting sqref="H86:H1048576">
    <cfRule type="cellIs" dxfId="1205" priority="3210" operator="lessThan">
      <formula>0</formula>
    </cfRule>
  </conditionalFormatting>
  <conditionalFormatting sqref="H86:H1048576">
    <cfRule type="cellIs" dxfId="1204" priority="3209" operator="lessThan">
      <formula>0</formula>
    </cfRule>
  </conditionalFormatting>
  <conditionalFormatting sqref="H86:H1048576">
    <cfRule type="cellIs" dxfId="1203" priority="3208" operator="lessThan">
      <formula>0</formula>
    </cfRule>
  </conditionalFormatting>
  <conditionalFormatting sqref="H86:H1048576">
    <cfRule type="cellIs" dxfId="1202" priority="3207" operator="lessThan">
      <formula>0</formula>
    </cfRule>
  </conditionalFormatting>
  <conditionalFormatting sqref="H86:H1048576">
    <cfRule type="cellIs" dxfId="1201" priority="3206" operator="lessThan">
      <formula>0</formula>
    </cfRule>
  </conditionalFormatting>
  <conditionalFormatting sqref="H86:H1048576">
    <cfRule type="cellIs" dxfId="1200" priority="3205" operator="lessThan">
      <formula>0</formula>
    </cfRule>
  </conditionalFormatting>
  <conditionalFormatting sqref="H86:H1048576">
    <cfRule type="cellIs" dxfId="1199" priority="3204" operator="lessThan">
      <formula>0</formula>
    </cfRule>
  </conditionalFormatting>
  <conditionalFormatting sqref="H86:H1048576">
    <cfRule type="cellIs" dxfId="1198" priority="3203" operator="lessThan">
      <formula>0</formula>
    </cfRule>
  </conditionalFormatting>
  <conditionalFormatting sqref="H86:H1048576">
    <cfRule type="cellIs" dxfId="1197" priority="3202" operator="lessThan">
      <formula>0</formula>
    </cfRule>
  </conditionalFormatting>
  <conditionalFormatting sqref="H86:H1048576">
    <cfRule type="cellIs" dxfId="1196" priority="3201" operator="lessThan">
      <formula>0</formula>
    </cfRule>
  </conditionalFormatting>
  <conditionalFormatting sqref="H86:H1048576">
    <cfRule type="cellIs" dxfId="1195" priority="3200" operator="lessThan">
      <formula>0</formula>
    </cfRule>
  </conditionalFormatting>
  <conditionalFormatting sqref="H86:H1048576">
    <cfRule type="cellIs" dxfId="1194" priority="3199" operator="lessThan">
      <formula>0</formula>
    </cfRule>
  </conditionalFormatting>
  <conditionalFormatting sqref="H86:H1048576">
    <cfRule type="cellIs" dxfId="1193" priority="3198" operator="lessThan">
      <formula>0</formula>
    </cfRule>
  </conditionalFormatting>
  <conditionalFormatting sqref="H86:H1048576">
    <cfRule type="cellIs" dxfId="1192" priority="3197" operator="lessThan">
      <formula>0</formula>
    </cfRule>
  </conditionalFormatting>
  <conditionalFormatting sqref="H86:H1048576">
    <cfRule type="cellIs" dxfId="1191" priority="3196" operator="lessThan">
      <formula>0</formula>
    </cfRule>
  </conditionalFormatting>
  <conditionalFormatting sqref="H86:H1048576">
    <cfRule type="cellIs" dxfId="1190" priority="3195" operator="lessThan">
      <formula>0</formula>
    </cfRule>
  </conditionalFormatting>
  <conditionalFormatting sqref="H86:H1048576">
    <cfRule type="cellIs" dxfId="1189" priority="3194" operator="lessThan">
      <formula>0</formula>
    </cfRule>
  </conditionalFormatting>
  <conditionalFormatting sqref="H86:H1048576">
    <cfRule type="cellIs" dxfId="1188" priority="3193" operator="lessThan">
      <formula>0</formula>
    </cfRule>
  </conditionalFormatting>
  <conditionalFormatting sqref="H86:H1048576">
    <cfRule type="cellIs" dxfId="1187" priority="3192" operator="lessThan">
      <formula>0</formula>
    </cfRule>
  </conditionalFormatting>
  <conditionalFormatting sqref="H86:H1048576">
    <cfRule type="cellIs" dxfId="1186" priority="3191" operator="lessThan">
      <formula>0</formula>
    </cfRule>
  </conditionalFormatting>
  <conditionalFormatting sqref="H86:H1048576">
    <cfRule type="cellIs" dxfId="1185" priority="3190" operator="lessThan">
      <formula>0</formula>
    </cfRule>
  </conditionalFormatting>
  <conditionalFormatting sqref="H86:H1048576">
    <cfRule type="cellIs" dxfId="1184" priority="3189" operator="lessThan">
      <formula>0</formula>
    </cfRule>
  </conditionalFormatting>
  <conditionalFormatting sqref="H86:H1048576">
    <cfRule type="cellIs" dxfId="1183" priority="3188" operator="lessThan">
      <formula>0</formula>
    </cfRule>
  </conditionalFormatting>
  <conditionalFormatting sqref="H86:H1048576">
    <cfRule type="cellIs" dxfId="1182" priority="3187" operator="lessThan">
      <formula>0</formula>
    </cfRule>
  </conditionalFormatting>
  <conditionalFormatting sqref="H86:H1048576">
    <cfRule type="cellIs" dxfId="1181" priority="3186" operator="lessThan">
      <formula>0</formula>
    </cfRule>
  </conditionalFormatting>
  <conditionalFormatting sqref="H86:H1048576">
    <cfRule type="cellIs" dxfId="1180" priority="3185" operator="lessThan">
      <formula>0</formula>
    </cfRule>
  </conditionalFormatting>
  <conditionalFormatting sqref="H86:H1048576">
    <cfRule type="cellIs" dxfId="1179" priority="3184" operator="lessThan">
      <formula>0</formula>
    </cfRule>
  </conditionalFormatting>
  <conditionalFormatting sqref="H86:H1048576">
    <cfRule type="cellIs" dxfId="1178" priority="3183" operator="lessThan">
      <formula>0</formula>
    </cfRule>
  </conditionalFormatting>
  <conditionalFormatting sqref="H86:H1048576">
    <cfRule type="cellIs" dxfId="1177" priority="3182" operator="lessThan">
      <formula>0</formula>
    </cfRule>
  </conditionalFormatting>
  <conditionalFormatting sqref="H86:H1048576">
    <cfRule type="cellIs" dxfId="1176" priority="3181" operator="lessThan">
      <formula>0</formula>
    </cfRule>
  </conditionalFormatting>
  <conditionalFormatting sqref="H86:H1048576">
    <cfRule type="cellIs" dxfId="1175" priority="3180" operator="lessThan">
      <formula>0</formula>
    </cfRule>
  </conditionalFormatting>
  <conditionalFormatting sqref="H86:H1048576">
    <cfRule type="cellIs" dxfId="1174" priority="3179" operator="lessThan">
      <formula>0</formula>
    </cfRule>
  </conditionalFormatting>
  <conditionalFormatting sqref="H86:H1048576">
    <cfRule type="cellIs" dxfId="1173" priority="3178" operator="lessThan">
      <formula>0</formula>
    </cfRule>
  </conditionalFormatting>
  <conditionalFormatting sqref="H86:H1048576">
    <cfRule type="cellIs" dxfId="1172" priority="3177" operator="lessThan">
      <formula>0</formula>
    </cfRule>
  </conditionalFormatting>
  <conditionalFormatting sqref="H86:H1048576">
    <cfRule type="cellIs" dxfId="1171" priority="3176" operator="lessThan">
      <formula>0</formula>
    </cfRule>
  </conditionalFormatting>
  <conditionalFormatting sqref="H86:H1048576">
    <cfRule type="cellIs" dxfId="1170" priority="3175" operator="lessThan">
      <formula>0</formula>
    </cfRule>
  </conditionalFormatting>
  <conditionalFormatting sqref="H86:H1048576">
    <cfRule type="cellIs" dxfId="1169" priority="3174" operator="lessThan">
      <formula>0</formula>
    </cfRule>
  </conditionalFormatting>
  <conditionalFormatting sqref="H86:H1048576">
    <cfRule type="cellIs" dxfId="1168" priority="3173" operator="lessThan">
      <formula>0</formula>
    </cfRule>
  </conditionalFormatting>
  <conditionalFormatting sqref="H86:H1048576">
    <cfRule type="cellIs" dxfId="1167" priority="3172" operator="lessThan">
      <formula>0</formula>
    </cfRule>
  </conditionalFormatting>
  <conditionalFormatting sqref="H86:H1048576">
    <cfRule type="cellIs" dxfId="1166" priority="3171" operator="lessThan">
      <formula>0</formula>
    </cfRule>
  </conditionalFormatting>
  <conditionalFormatting sqref="H86:H1048576">
    <cfRule type="cellIs" dxfId="1165" priority="3170" operator="lessThan">
      <formula>0</formula>
    </cfRule>
  </conditionalFormatting>
  <conditionalFormatting sqref="H86:H1048576">
    <cfRule type="cellIs" dxfId="1164" priority="3169" operator="lessThan">
      <formula>0</formula>
    </cfRule>
  </conditionalFormatting>
  <conditionalFormatting sqref="H86:H1048576">
    <cfRule type="cellIs" dxfId="1163" priority="3168" operator="lessThan">
      <formula>0</formula>
    </cfRule>
  </conditionalFormatting>
  <conditionalFormatting sqref="H86:H1048576">
    <cfRule type="cellIs" dxfId="1162" priority="3167" operator="lessThan">
      <formula>0</formula>
    </cfRule>
  </conditionalFormatting>
  <conditionalFormatting sqref="H86:H1048576">
    <cfRule type="cellIs" dxfId="1161" priority="3166" operator="lessThan">
      <formula>0</formula>
    </cfRule>
  </conditionalFormatting>
  <conditionalFormatting sqref="H86:H1048576">
    <cfRule type="cellIs" dxfId="1160" priority="3165" operator="lessThan">
      <formula>0</formula>
    </cfRule>
  </conditionalFormatting>
  <conditionalFormatting sqref="H86:H1048576">
    <cfRule type="cellIs" dxfId="1159" priority="3164" operator="lessThan">
      <formula>0</formula>
    </cfRule>
  </conditionalFormatting>
  <conditionalFormatting sqref="H86:H1048576">
    <cfRule type="cellIs" dxfId="1158" priority="3163" operator="lessThan">
      <formula>0</formula>
    </cfRule>
  </conditionalFormatting>
  <conditionalFormatting sqref="H86:H1048576">
    <cfRule type="cellIs" dxfId="1157" priority="3162" operator="lessThan">
      <formula>0</formula>
    </cfRule>
  </conditionalFormatting>
  <conditionalFormatting sqref="H86:H1048576">
    <cfRule type="cellIs" dxfId="1156" priority="3161" operator="lessThan">
      <formula>0</formula>
    </cfRule>
  </conditionalFormatting>
  <conditionalFormatting sqref="H86:H1048576">
    <cfRule type="cellIs" dxfId="1155" priority="3160" operator="lessThan">
      <formula>0</formula>
    </cfRule>
  </conditionalFormatting>
  <conditionalFormatting sqref="H86:H1048576">
    <cfRule type="cellIs" dxfId="1154" priority="3159" operator="lessThan">
      <formula>0</formula>
    </cfRule>
  </conditionalFormatting>
  <conditionalFormatting sqref="H86:H1048576">
    <cfRule type="cellIs" dxfId="1153" priority="3158" operator="lessThan">
      <formula>0</formula>
    </cfRule>
  </conditionalFormatting>
  <conditionalFormatting sqref="H86:H1048576">
    <cfRule type="cellIs" dxfId="1152" priority="3157" operator="lessThan">
      <formula>0</formula>
    </cfRule>
  </conditionalFormatting>
  <conditionalFormatting sqref="H86:H1048576">
    <cfRule type="cellIs" dxfId="1151" priority="3156" operator="lessThan">
      <formula>0</formula>
    </cfRule>
  </conditionalFormatting>
  <conditionalFormatting sqref="H86:H1048576">
    <cfRule type="cellIs" dxfId="1150" priority="3155" operator="lessThan">
      <formula>0</formula>
    </cfRule>
  </conditionalFormatting>
  <conditionalFormatting sqref="H86:H1048576">
    <cfRule type="cellIs" dxfId="1149" priority="3154" operator="lessThan">
      <formula>0</formula>
    </cfRule>
  </conditionalFormatting>
  <conditionalFormatting sqref="H86:H1048576">
    <cfRule type="cellIs" dxfId="1148" priority="3153" operator="lessThan">
      <formula>0</formula>
    </cfRule>
  </conditionalFormatting>
  <conditionalFormatting sqref="H86:H1048576">
    <cfRule type="cellIs" dxfId="1147" priority="3152" operator="lessThan">
      <formula>0</formula>
    </cfRule>
  </conditionalFormatting>
  <conditionalFormatting sqref="H86:H1048576">
    <cfRule type="cellIs" dxfId="1146" priority="3151" operator="lessThan">
      <formula>0</formula>
    </cfRule>
  </conditionalFormatting>
  <conditionalFormatting sqref="H86:H1048576">
    <cfRule type="cellIs" dxfId="1145" priority="3150" operator="lessThan">
      <formula>0</formula>
    </cfRule>
  </conditionalFormatting>
  <conditionalFormatting sqref="H86:H1048576">
    <cfRule type="cellIs" dxfId="1144" priority="3149" operator="lessThan">
      <formula>0</formula>
    </cfRule>
  </conditionalFormatting>
  <conditionalFormatting sqref="H86:H1048576">
    <cfRule type="cellIs" dxfId="1143" priority="3148" operator="lessThan">
      <formula>0</formula>
    </cfRule>
  </conditionalFormatting>
  <conditionalFormatting sqref="H86:H1048576">
    <cfRule type="cellIs" dxfId="1142" priority="3147" operator="lessThan">
      <formula>0</formula>
    </cfRule>
  </conditionalFormatting>
  <conditionalFormatting sqref="H86:H1048576">
    <cfRule type="cellIs" dxfId="1141" priority="3146" operator="lessThan">
      <formula>0</formula>
    </cfRule>
  </conditionalFormatting>
  <conditionalFormatting sqref="H86:H1048576">
    <cfRule type="cellIs" dxfId="1140" priority="3145" operator="lessThan">
      <formula>0</formula>
    </cfRule>
  </conditionalFormatting>
  <conditionalFormatting sqref="H86:H1048576">
    <cfRule type="cellIs" dxfId="1139" priority="3144" operator="lessThan">
      <formula>0</formula>
    </cfRule>
  </conditionalFormatting>
  <conditionalFormatting sqref="H86:H1048576">
    <cfRule type="cellIs" dxfId="1138" priority="3143" operator="lessThan">
      <formula>0</formula>
    </cfRule>
  </conditionalFormatting>
  <conditionalFormatting sqref="H86:H1048576">
    <cfRule type="cellIs" dxfId="1137" priority="3142" operator="lessThan">
      <formula>0</formula>
    </cfRule>
  </conditionalFormatting>
  <conditionalFormatting sqref="H86:H1048576">
    <cfRule type="cellIs" dxfId="1136" priority="3141" operator="lessThan">
      <formula>0</formula>
    </cfRule>
  </conditionalFormatting>
  <conditionalFormatting sqref="H86:H1048576">
    <cfRule type="cellIs" dxfId="1135" priority="3140" operator="lessThan">
      <formula>0</formula>
    </cfRule>
  </conditionalFormatting>
  <conditionalFormatting sqref="H86:H1048576">
    <cfRule type="cellIs" dxfId="1134" priority="3139" operator="lessThan">
      <formula>0</formula>
    </cfRule>
  </conditionalFormatting>
  <conditionalFormatting sqref="H86:H1048576">
    <cfRule type="cellIs" dxfId="1133" priority="3138" operator="lessThan">
      <formula>0</formula>
    </cfRule>
  </conditionalFormatting>
  <conditionalFormatting sqref="H86:H1048576">
    <cfRule type="cellIs" dxfId="1132" priority="3137" operator="lessThan">
      <formula>0</formula>
    </cfRule>
  </conditionalFormatting>
  <conditionalFormatting sqref="H86:H1048576">
    <cfRule type="cellIs" dxfId="1131" priority="3136" operator="lessThan">
      <formula>0</formula>
    </cfRule>
  </conditionalFormatting>
  <conditionalFormatting sqref="H86:H1048576">
    <cfRule type="cellIs" dxfId="1130" priority="3135" operator="lessThan">
      <formula>0</formula>
    </cfRule>
  </conditionalFormatting>
  <conditionalFormatting sqref="H86:H1048576">
    <cfRule type="cellIs" dxfId="1129" priority="3134" operator="lessThan">
      <formula>0</formula>
    </cfRule>
  </conditionalFormatting>
  <conditionalFormatting sqref="H86:H1048576">
    <cfRule type="cellIs" dxfId="1128" priority="3133" operator="lessThan">
      <formula>0</formula>
    </cfRule>
  </conditionalFormatting>
  <conditionalFormatting sqref="H86:H1048576">
    <cfRule type="cellIs" dxfId="1127" priority="3132" operator="lessThan">
      <formula>0</formula>
    </cfRule>
  </conditionalFormatting>
  <conditionalFormatting sqref="H86:H1048576">
    <cfRule type="cellIs" dxfId="1126" priority="3131" operator="lessThan">
      <formula>0</formula>
    </cfRule>
  </conditionalFormatting>
  <conditionalFormatting sqref="H86:H1048576">
    <cfRule type="cellIs" dxfId="1125" priority="3130" operator="lessThan">
      <formula>0</formula>
    </cfRule>
  </conditionalFormatting>
  <conditionalFormatting sqref="H86:H1048576">
    <cfRule type="cellIs" dxfId="1124" priority="3129" operator="lessThan">
      <formula>0</formula>
    </cfRule>
  </conditionalFormatting>
  <conditionalFormatting sqref="H86:H1048576">
    <cfRule type="cellIs" dxfId="1123" priority="3128" operator="lessThan">
      <formula>0</formula>
    </cfRule>
  </conditionalFormatting>
  <conditionalFormatting sqref="H86:H1048576">
    <cfRule type="cellIs" dxfId="1122" priority="3127" operator="lessThan">
      <formula>0</formula>
    </cfRule>
  </conditionalFormatting>
  <conditionalFormatting sqref="H86:H1048576">
    <cfRule type="cellIs" dxfId="1121" priority="3126" operator="lessThan">
      <formula>0</formula>
    </cfRule>
  </conditionalFormatting>
  <conditionalFormatting sqref="H86:H1048576">
    <cfRule type="cellIs" dxfId="1120" priority="3125" operator="lessThan">
      <formula>0</formula>
    </cfRule>
  </conditionalFormatting>
  <conditionalFormatting sqref="H86:H1048576">
    <cfRule type="cellIs" dxfId="1119" priority="3124" operator="lessThan">
      <formula>0</formula>
    </cfRule>
  </conditionalFormatting>
  <conditionalFormatting sqref="H86:H1048576">
    <cfRule type="cellIs" dxfId="1118" priority="3123" operator="lessThan">
      <formula>0</formula>
    </cfRule>
  </conditionalFormatting>
  <conditionalFormatting sqref="H86:H1048576">
    <cfRule type="cellIs" dxfId="1117" priority="3122" operator="lessThan">
      <formula>0</formula>
    </cfRule>
  </conditionalFormatting>
  <conditionalFormatting sqref="H86:H1048576">
    <cfRule type="cellIs" dxfId="1116" priority="3121" operator="lessThan">
      <formula>0</formula>
    </cfRule>
  </conditionalFormatting>
  <conditionalFormatting sqref="H86:H1048576">
    <cfRule type="cellIs" dxfId="1115" priority="3120" operator="lessThan">
      <formula>0</formula>
    </cfRule>
  </conditionalFormatting>
  <conditionalFormatting sqref="H86:H1048576">
    <cfRule type="cellIs" dxfId="1114" priority="3119" operator="lessThan">
      <formula>0</formula>
    </cfRule>
  </conditionalFormatting>
  <conditionalFormatting sqref="H86:H1048576">
    <cfRule type="cellIs" dxfId="1113" priority="3118" operator="lessThan">
      <formula>0</formula>
    </cfRule>
  </conditionalFormatting>
  <conditionalFormatting sqref="H86:H1048576">
    <cfRule type="cellIs" dxfId="1112" priority="3117" operator="lessThan">
      <formula>0</formula>
    </cfRule>
  </conditionalFormatting>
  <conditionalFormatting sqref="H86:H1048576">
    <cfRule type="cellIs" dxfId="1111" priority="3116" operator="lessThan">
      <formula>0</formula>
    </cfRule>
  </conditionalFormatting>
  <conditionalFormatting sqref="H86:H1048576">
    <cfRule type="cellIs" dxfId="1110" priority="3115" operator="lessThan">
      <formula>0</formula>
    </cfRule>
  </conditionalFormatting>
  <conditionalFormatting sqref="H86:H1048576">
    <cfRule type="cellIs" dxfId="1109" priority="3114" operator="lessThan">
      <formula>0</formula>
    </cfRule>
  </conditionalFormatting>
  <conditionalFormatting sqref="H86:H1048576">
    <cfRule type="cellIs" dxfId="1108" priority="3113" operator="lessThan">
      <formula>0</formula>
    </cfRule>
  </conditionalFormatting>
  <conditionalFormatting sqref="H86:H1048576">
    <cfRule type="cellIs" dxfId="1107" priority="3112" operator="lessThan">
      <formula>0</formula>
    </cfRule>
  </conditionalFormatting>
  <conditionalFormatting sqref="H86:H1048576">
    <cfRule type="cellIs" dxfId="1106" priority="3111" operator="lessThan">
      <formula>0</formula>
    </cfRule>
  </conditionalFormatting>
  <conditionalFormatting sqref="H86:H1048576">
    <cfRule type="cellIs" dxfId="1105" priority="3110" operator="lessThan">
      <formula>0</formula>
    </cfRule>
  </conditionalFormatting>
  <conditionalFormatting sqref="H86:H1048576">
    <cfRule type="cellIs" dxfId="1104" priority="3109" operator="lessThan">
      <formula>0</formula>
    </cfRule>
  </conditionalFormatting>
  <conditionalFormatting sqref="H86:H1048576">
    <cfRule type="cellIs" dxfId="1103" priority="3108" operator="lessThan">
      <formula>0</formula>
    </cfRule>
  </conditionalFormatting>
  <conditionalFormatting sqref="H86:H1048576">
    <cfRule type="cellIs" dxfId="1102" priority="3107" operator="lessThan">
      <formula>0</formula>
    </cfRule>
  </conditionalFormatting>
  <conditionalFormatting sqref="H86:H1048576">
    <cfRule type="cellIs" dxfId="1101" priority="3106" operator="lessThan">
      <formula>0</formula>
    </cfRule>
  </conditionalFormatting>
  <conditionalFormatting sqref="H86:H1048576">
    <cfRule type="cellIs" dxfId="1100" priority="3105" operator="lessThan">
      <formula>0</formula>
    </cfRule>
  </conditionalFormatting>
  <conditionalFormatting sqref="H86:H1048576">
    <cfRule type="cellIs" dxfId="1099" priority="3104" operator="lessThan">
      <formula>0</formula>
    </cfRule>
  </conditionalFormatting>
  <conditionalFormatting sqref="H86:H1048576">
    <cfRule type="cellIs" dxfId="1098" priority="3103" operator="lessThan">
      <formula>0</formula>
    </cfRule>
  </conditionalFormatting>
  <conditionalFormatting sqref="H86:H1048576">
    <cfRule type="cellIs" dxfId="1097" priority="3102" operator="lessThan">
      <formula>0</formula>
    </cfRule>
  </conditionalFormatting>
  <conditionalFormatting sqref="H86:H1048576">
    <cfRule type="cellIs" dxfId="1096" priority="3101" operator="lessThan">
      <formula>0</formula>
    </cfRule>
  </conditionalFormatting>
  <conditionalFormatting sqref="H86:H1048576">
    <cfRule type="cellIs" dxfId="1095" priority="3100" operator="lessThan">
      <formula>0</formula>
    </cfRule>
  </conditionalFormatting>
  <conditionalFormatting sqref="H86:H1048576">
    <cfRule type="cellIs" dxfId="1094" priority="3099" operator="lessThan">
      <formula>0</formula>
    </cfRule>
  </conditionalFormatting>
  <conditionalFormatting sqref="H86:H1048576">
    <cfRule type="cellIs" dxfId="1093" priority="3098" operator="lessThan">
      <formula>0</formula>
    </cfRule>
  </conditionalFormatting>
  <conditionalFormatting sqref="H86:H1048576">
    <cfRule type="cellIs" dxfId="1092" priority="3097" operator="lessThan">
      <formula>0</formula>
    </cfRule>
  </conditionalFormatting>
  <conditionalFormatting sqref="H86:H1048576">
    <cfRule type="cellIs" dxfId="1091" priority="3096" operator="lessThan">
      <formula>0</formula>
    </cfRule>
  </conditionalFormatting>
  <conditionalFormatting sqref="H86:H1048576">
    <cfRule type="cellIs" dxfId="1090" priority="3095" operator="lessThan">
      <formula>0</formula>
    </cfRule>
  </conditionalFormatting>
  <conditionalFormatting sqref="H86:H1048576">
    <cfRule type="cellIs" dxfId="1089" priority="3094" operator="lessThan">
      <formula>0</formula>
    </cfRule>
  </conditionalFormatting>
  <conditionalFormatting sqref="H86:H1048576">
    <cfRule type="cellIs" dxfId="1088" priority="3093" operator="lessThan">
      <formula>0</formula>
    </cfRule>
  </conditionalFormatting>
  <conditionalFormatting sqref="H86:H1048576">
    <cfRule type="cellIs" dxfId="1087" priority="3092" operator="lessThan">
      <formula>0</formula>
    </cfRule>
  </conditionalFormatting>
  <conditionalFormatting sqref="H86:H1048576">
    <cfRule type="cellIs" dxfId="1086" priority="3091" operator="lessThan">
      <formula>0</formula>
    </cfRule>
  </conditionalFormatting>
  <conditionalFormatting sqref="H86:H1048576">
    <cfRule type="cellIs" dxfId="1085" priority="3090" operator="lessThan">
      <formula>0</formula>
    </cfRule>
  </conditionalFormatting>
  <conditionalFormatting sqref="H86:H1048576">
    <cfRule type="cellIs" dxfId="1084" priority="3089" operator="lessThan">
      <formula>0</formula>
    </cfRule>
  </conditionalFormatting>
  <conditionalFormatting sqref="H86:H1048576">
    <cfRule type="cellIs" dxfId="1083" priority="3088" operator="lessThan">
      <formula>0</formula>
    </cfRule>
  </conditionalFormatting>
  <conditionalFormatting sqref="H86:H1048576">
    <cfRule type="cellIs" dxfId="1082" priority="3087" operator="lessThan">
      <formula>0</formula>
    </cfRule>
  </conditionalFormatting>
  <conditionalFormatting sqref="H86:H1048576">
    <cfRule type="cellIs" dxfId="1081" priority="3086" operator="lessThan">
      <formula>0</formula>
    </cfRule>
  </conditionalFormatting>
  <conditionalFormatting sqref="H86:H1048576">
    <cfRule type="cellIs" dxfId="1080" priority="3085" operator="lessThan">
      <formula>0</formula>
    </cfRule>
  </conditionalFormatting>
  <conditionalFormatting sqref="H86:H1048576">
    <cfRule type="cellIs" dxfId="1079" priority="3084" operator="lessThan">
      <formula>0</formula>
    </cfRule>
  </conditionalFormatting>
  <conditionalFormatting sqref="H86:H1048576">
    <cfRule type="cellIs" dxfId="1078" priority="3083" operator="lessThan">
      <formula>0</formula>
    </cfRule>
  </conditionalFormatting>
  <conditionalFormatting sqref="H86:H1048576">
    <cfRule type="cellIs" dxfId="1077" priority="3082" operator="lessThan">
      <formula>0</formula>
    </cfRule>
  </conditionalFormatting>
  <conditionalFormatting sqref="H86:H1048576">
    <cfRule type="cellIs" dxfId="1076" priority="3081" operator="lessThan">
      <formula>0</formula>
    </cfRule>
  </conditionalFormatting>
  <conditionalFormatting sqref="H86:H1048576">
    <cfRule type="cellIs" dxfId="1075" priority="3080" operator="lessThan">
      <formula>0</formula>
    </cfRule>
  </conditionalFormatting>
  <conditionalFormatting sqref="H86:H1048576">
    <cfRule type="cellIs" dxfId="1074" priority="3079" operator="lessThan">
      <formula>0</formula>
    </cfRule>
  </conditionalFormatting>
  <conditionalFormatting sqref="H86:H1048576">
    <cfRule type="cellIs" dxfId="1073" priority="3078" operator="lessThan">
      <formula>0</formula>
    </cfRule>
  </conditionalFormatting>
  <conditionalFormatting sqref="H86:H1048576">
    <cfRule type="cellIs" dxfId="1072" priority="3077" operator="lessThan">
      <formula>0</formula>
    </cfRule>
  </conditionalFormatting>
  <conditionalFormatting sqref="H86:H1048576">
    <cfRule type="cellIs" dxfId="1071" priority="3076" operator="lessThan">
      <formula>0</formula>
    </cfRule>
  </conditionalFormatting>
  <conditionalFormatting sqref="H86:H1048576">
    <cfRule type="cellIs" dxfId="1070" priority="3075" operator="lessThan">
      <formula>0</formula>
    </cfRule>
  </conditionalFormatting>
  <conditionalFormatting sqref="H86:H1048576">
    <cfRule type="cellIs" dxfId="1069" priority="3074" operator="lessThan">
      <formula>0</formula>
    </cfRule>
  </conditionalFormatting>
  <conditionalFormatting sqref="H86:H1048576">
    <cfRule type="cellIs" dxfId="1068" priority="3073" operator="lessThan">
      <formula>0</formula>
    </cfRule>
  </conditionalFormatting>
  <conditionalFormatting sqref="H86:H1048576">
    <cfRule type="cellIs" dxfId="1067" priority="3072" operator="lessThan">
      <formula>0</formula>
    </cfRule>
  </conditionalFormatting>
  <conditionalFormatting sqref="H86:H1048576">
    <cfRule type="cellIs" dxfId="1066" priority="3071" operator="lessThan">
      <formula>0</formula>
    </cfRule>
  </conditionalFormatting>
  <conditionalFormatting sqref="H86:H1048576">
    <cfRule type="cellIs" dxfId="1065" priority="3070" operator="lessThan">
      <formula>0</formula>
    </cfRule>
  </conditionalFormatting>
  <conditionalFormatting sqref="H86:H1048576">
    <cfRule type="cellIs" dxfId="1064" priority="3069" operator="lessThan">
      <formula>0</formula>
    </cfRule>
  </conditionalFormatting>
  <conditionalFormatting sqref="H86:H1048576">
    <cfRule type="cellIs" dxfId="1063" priority="3068" operator="lessThan">
      <formula>0</formula>
    </cfRule>
  </conditionalFormatting>
  <conditionalFormatting sqref="H86:H1048576">
    <cfRule type="cellIs" dxfId="1062" priority="3067" operator="lessThan">
      <formula>0</formula>
    </cfRule>
  </conditionalFormatting>
  <conditionalFormatting sqref="H86:H1048576">
    <cfRule type="cellIs" dxfId="1061" priority="3066" operator="lessThan">
      <formula>0</formula>
    </cfRule>
  </conditionalFormatting>
  <conditionalFormatting sqref="H86:H1048576">
    <cfRule type="cellIs" dxfId="1060" priority="3065" operator="lessThan">
      <formula>0</formula>
    </cfRule>
  </conditionalFormatting>
  <conditionalFormatting sqref="H86:H1048576">
    <cfRule type="cellIs" dxfId="1059" priority="3064" operator="lessThan">
      <formula>0</formula>
    </cfRule>
  </conditionalFormatting>
  <conditionalFormatting sqref="H86:H1048576">
    <cfRule type="cellIs" dxfId="1058" priority="3063" operator="lessThan">
      <formula>0</formula>
    </cfRule>
  </conditionalFormatting>
  <conditionalFormatting sqref="H86:H1048576">
    <cfRule type="cellIs" dxfId="1057" priority="3062" operator="lessThan">
      <formula>0</formula>
    </cfRule>
  </conditionalFormatting>
  <conditionalFormatting sqref="H86:H1048576">
    <cfRule type="cellIs" dxfId="1056" priority="3061" operator="lessThan">
      <formula>0</formula>
    </cfRule>
  </conditionalFormatting>
  <conditionalFormatting sqref="H86:H1048576">
    <cfRule type="cellIs" dxfId="1055" priority="3060" operator="lessThan">
      <formula>0</formula>
    </cfRule>
  </conditionalFormatting>
  <conditionalFormatting sqref="H86:H1048576">
    <cfRule type="cellIs" dxfId="1054" priority="3059" operator="lessThan">
      <formula>0</formula>
    </cfRule>
  </conditionalFormatting>
  <conditionalFormatting sqref="H86:H1048576">
    <cfRule type="cellIs" dxfId="1053" priority="3058" operator="lessThan">
      <formula>0</formula>
    </cfRule>
  </conditionalFormatting>
  <conditionalFormatting sqref="H86:H1048576">
    <cfRule type="cellIs" dxfId="1052" priority="3057" operator="lessThan">
      <formula>0</formula>
    </cfRule>
  </conditionalFormatting>
  <conditionalFormatting sqref="H86:H1048576">
    <cfRule type="cellIs" dxfId="1051" priority="3056" operator="lessThan">
      <formula>0</formula>
    </cfRule>
  </conditionalFormatting>
  <conditionalFormatting sqref="H86:H1048576">
    <cfRule type="cellIs" dxfId="1050" priority="3055" operator="lessThan">
      <formula>0</formula>
    </cfRule>
  </conditionalFormatting>
  <conditionalFormatting sqref="H86:H1048576">
    <cfRule type="cellIs" dxfId="1049" priority="3054" operator="lessThan">
      <formula>0</formula>
    </cfRule>
  </conditionalFormatting>
  <conditionalFormatting sqref="H86:H1048576">
    <cfRule type="cellIs" dxfId="1048" priority="3053" operator="lessThan">
      <formula>0</formula>
    </cfRule>
  </conditionalFormatting>
  <conditionalFormatting sqref="H86:H1048576">
    <cfRule type="cellIs" dxfId="1047" priority="3052" operator="lessThan">
      <formula>0</formula>
    </cfRule>
  </conditionalFormatting>
  <conditionalFormatting sqref="H86:H1048576">
    <cfRule type="cellIs" dxfId="1046" priority="3051" operator="lessThan">
      <formula>0</formula>
    </cfRule>
  </conditionalFormatting>
  <conditionalFormatting sqref="H86:H1048576">
    <cfRule type="cellIs" dxfId="1045" priority="3050" operator="lessThan">
      <formula>0</formula>
    </cfRule>
  </conditionalFormatting>
  <conditionalFormatting sqref="H86:H1048576">
    <cfRule type="cellIs" dxfId="1044" priority="3049" operator="lessThan">
      <formula>0</formula>
    </cfRule>
  </conditionalFormatting>
  <conditionalFormatting sqref="H86:H1048576">
    <cfRule type="cellIs" dxfId="1043" priority="3048" operator="lessThan">
      <formula>0</formula>
    </cfRule>
  </conditionalFormatting>
  <conditionalFormatting sqref="H86:H1048576">
    <cfRule type="cellIs" dxfId="1042" priority="3047" operator="lessThan">
      <formula>0</formula>
    </cfRule>
  </conditionalFormatting>
  <conditionalFormatting sqref="H86:H1048576">
    <cfRule type="cellIs" dxfId="1041" priority="3046" operator="lessThan">
      <formula>0</formula>
    </cfRule>
  </conditionalFormatting>
  <conditionalFormatting sqref="H86:H1048576">
    <cfRule type="cellIs" dxfId="1040" priority="3045" operator="lessThan">
      <formula>0</formula>
    </cfRule>
  </conditionalFormatting>
  <conditionalFormatting sqref="H86:H1048576">
    <cfRule type="cellIs" dxfId="1039" priority="3044" operator="lessThan">
      <formula>0</formula>
    </cfRule>
  </conditionalFormatting>
  <conditionalFormatting sqref="H86:H1048576">
    <cfRule type="cellIs" dxfId="1038" priority="3043" operator="lessThan">
      <formula>0</formula>
    </cfRule>
  </conditionalFormatting>
  <conditionalFormatting sqref="H86:H1048576">
    <cfRule type="cellIs" dxfId="1037" priority="3042" operator="lessThan">
      <formula>0</formula>
    </cfRule>
  </conditionalFormatting>
  <conditionalFormatting sqref="H86:H1048576">
    <cfRule type="cellIs" dxfId="1036" priority="3041" operator="lessThan">
      <formula>0</formula>
    </cfRule>
  </conditionalFormatting>
  <conditionalFormatting sqref="H86:H1048576">
    <cfRule type="cellIs" dxfId="1035" priority="3040" operator="lessThan">
      <formula>0</formula>
    </cfRule>
  </conditionalFormatting>
  <conditionalFormatting sqref="H86:H1048576">
    <cfRule type="cellIs" dxfId="1034" priority="3039" operator="lessThan">
      <formula>0</formula>
    </cfRule>
  </conditionalFormatting>
  <conditionalFormatting sqref="H86:H1048576">
    <cfRule type="cellIs" dxfId="1033" priority="3038" operator="lessThan">
      <formula>0</formula>
    </cfRule>
  </conditionalFormatting>
  <conditionalFormatting sqref="H86:H1048576">
    <cfRule type="cellIs" dxfId="1032" priority="3037" operator="lessThan">
      <formula>0</formula>
    </cfRule>
  </conditionalFormatting>
  <conditionalFormatting sqref="H86:H1048576">
    <cfRule type="cellIs" dxfId="1031" priority="3036" operator="lessThan">
      <formula>0</formula>
    </cfRule>
  </conditionalFormatting>
  <conditionalFormatting sqref="H86:H1048576">
    <cfRule type="cellIs" dxfId="1030" priority="3035" operator="lessThan">
      <formula>0</formula>
    </cfRule>
  </conditionalFormatting>
  <conditionalFormatting sqref="H86:H1048576">
    <cfRule type="cellIs" dxfId="1029" priority="3034" operator="lessThan">
      <formula>0</formula>
    </cfRule>
  </conditionalFormatting>
  <conditionalFormatting sqref="H86:H1048576">
    <cfRule type="cellIs" dxfId="1028" priority="3033" operator="lessThan">
      <formula>0</formula>
    </cfRule>
  </conditionalFormatting>
  <conditionalFormatting sqref="H86:H1048576">
    <cfRule type="cellIs" dxfId="1027" priority="3032" operator="lessThan">
      <formula>0</formula>
    </cfRule>
  </conditionalFormatting>
  <conditionalFormatting sqref="H86:H1048576">
    <cfRule type="cellIs" dxfId="1026" priority="3031" operator="lessThan">
      <formula>0</formula>
    </cfRule>
  </conditionalFormatting>
  <conditionalFormatting sqref="H86:H1048576">
    <cfRule type="cellIs" dxfId="1025" priority="3030" operator="lessThan">
      <formula>0</formula>
    </cfRule>
  </conditionalFormatting>
  <conditionalFormatting sqref="H86:H1048576">
    <cfRule type="cellIs" dxfId="1024" priority="3029" operator="lessThan">
      <formula>0</formula>
    </cfRule>
  </conditionalFormatting>
  <conditionalFormatting sqref="H86:H1048576">
    <cfRule type="cellIs" dxfId="1023" priority="3028" operator="lessThan">
      <formula>0</formula>
    </cfRule>
  </conditionalFormatting>
  <conditionalFormatting sqref="H86:H1048576">
    <cfRule type="cellIs" dxfId="1022" priority="3027" operator="lessThan">
      <formula>0</formula>
    </cfRule>
  </conditionalFormatting>
  <conditionalFormatting sqref="H86:H1048576">
    <cfRule type="cellIs" dxfId="1021" priority="3026" operator="lessThan">
      <formula>0</formula>
    </cfRule>
  </conditionalFormatting>
  <conditionalFormatting sqref="H86:H1048576">
    <cfRule type="cellIs" dxfId="1020" priority="3025" operator="lessThan">
      <formula>0</formula>
    </cfRule>
  </conditionalFormatting>
  <conditionalFormatting sqref="H86:H1048576">
    <cfRule type="cellIs" dxfId="1019" priority="3024" operator="lessThan">
      <formula>0</formula>
    </cfRule>
  </conditionalFormatting>
  <conditionalFormatting sqref="H86:H1048576">
    <cfRule type="cellIs" dxfId="1018" priority="3023" operator="lessThan">
      <formula>0</formula>
    </cfRule>
  </conditionalFormatting>
  <conditionalFormatting sqref="H86:H1048576">
    <cfRule type="cellIs" dxfId="1017" priority="3022" operator="lessThan">
      <formula>0</formula>
    </cfRule>
  </conditionalFormatting>
  <conditionalFormatting sqref="H86:H1048576">
    <cfRule type="cellIs" dxfId="1016" priority="3021" operator="lessThan">
      <formula>0</formula>
    </cfRule>
  </conditionalFormatting>
  <conditionalFormatting sqref="H86:H1048576">
    <cfRule type="cellIs" dxfId="1015" priority="3020" operator="lessThan">
      <formula>0</formula>
    </cfRule>
  </conditionalFormatting>
  <conditionalFormatting sqref="H86:H1048576">
    <cfRule type="cellIs" dxfId="1014" priority="3019" operator="lessThan">
      <formula>0</formula>
    </cfRule>
  </conditionalFormatting>
  <conditionalFormatting sqref="H86:H1048576">
    <cfRule type="cellIs" dxfId="1013" priority="3018" operator="lessThan">
      <formula>0</formula>
    </cfRule>
  </conditionalFormatting>
  <conditionalFormatting sqref="H86:H1048576">
    <cfRule type="cellIs" dxfId="1012" priority="3017" operator="lessThan">
      <formula>0</formula>
    </cfRule>
  </conditionalFormatting>
  <conditionalFormatting sqref="H86:H1048576">
    <cfRule type="cellIs" dxfId="1011" priority="3016" operator="lessThan">
      <formula>0</formula>
    </cfRule>
  </conditionalFormatting>
  <conditionalFormatting sqref="H86:H1048576">
    <cfRule type="cellIs" dxfId="1010" priority="3015" operator="lessThan">
      <formula>0</formula>
    </cfRule>
  </conditionalFormatting>
  <conditionalFormatting sqref="H86:H1048576">
    <cfRule type="cellIs" dxfId="1009" priority="3014" operator="lessThan">
      <formula>0</formula>
    </cfRule>
  </conditionalFormatting>
  <conditionalFormatting sqref="H86:H1048576">
    <cfRule type="cellIs" dxfId="1008" priority="3013" operator="lessThan">
      <formula>0</formula>
    </cfRule>
  </conditionalFormatting>
  <conditionalFormatting sqref="H86:H1048576">
    <cfRule type="cellIs" dxfId="1007" priority="3012" operator="lessThan">
      <formula>0</formula>
    </cfRule>
  </conditionalFormatting>
  <conditionalFormatting sqref="H86:H1048576">
    <cfRule type="cellIs" dxfId="1006" priority="3011" operator="lessThan">
      <formula>0</formula>
    </cfRule>
  </conditionalFormatting>
  <conditionalFormatting sqref="H86:H1048576">
    <cfRule type="cellIs" dxfId="1005" priority="3010" operator="lessThan">
      <formula>0</formula>
    </cfRule>
  </conditionalFormatting>
  <conditionalFormatting sqref="H86:H1048576">
    <cfRule type="cellIs" dxfId="1004" priority="3009" operator="lessThan">
      <formula>0</formula>
    </cfRule>
  </conditionalFormatting>
  <conditionalFormatting sqref="H86:H1048576">
    <cfRule type="cellIs" dxfId="1003" priority="3008" operator="lessThan">
      <formula>0</formula>
    </cfRule>
  </conditionalFormatting>
  <conditionalFormatting sqref="H86:H1048576">
    <cfRule type="cellIs" dxfId="1002" priority="3007" operator="lessThan">
      <formula>0</formula>
    </cfRule>
  </conditionalFormatting>
  <conditionalFormatting sqref="H86:H1048576">
    <cfRule type="cellIs" dxfId="1001" priority="3006" operator="lessThan">
      <formula>0</formula>
    </cfRule>
  </conditionalFormatting>
  <conditionalFormatting sqref="H86:H1048576">
    <cfRule type="cellIs" dxfId="1000" priority="3005" operator="lessThan">
      <formula>0</formula>
    </cfRule>
  </conditionalFormatting>
  <conditionalFormatting sqref="H86:H1048576">
    <cfRule type="cellIs" dxfId="999" priority="3004" operator="lessThan">
      <formula>0</formula>
    </cfRule>
  </conditionalFormatting>
  <conditionalFormatting sqref="H86:H1048576">
    <cfRule type="cellIs" dxfId="998" priority="3003" operator="lessThan">
      <formula>0</formula>
    </cfRule>
  </conditionalFormatting>
  <conditionalFormatting sqref="H86:H1048576">
    <cfRule type="cellIs" dxfId="997" priority="3002" operator="lessThan">
      <formula>0</formula>
    </cfRule>
  </conditionalFormatting>
  <conditionalFormatting sqref="H86:H1048576">
    <cfRule type="cellIs" dxfId="996" priority="3001" operator="lessThan">
      <formula>0</formula>
    </cfRule>
  </conditionalFormatting>
  <conditionalFormatting sqref="H86:H1048576">
    <cfRule type="cellIs" dxfId="995" priority="3000" operator="lessThan">
      <formula>0</formula>
    </cfRule>
  </conditionalFormatting>
  <conditionalFormatting sqref="H86:H1048576">
    <cfRule type="cellIs" dxfId="994" priority="2999" operator="lessThan">
      <formula>0</formula>
    </cfRule>
  </conditionalFormatting>
  <conditionalFormatting sqref="H86:H1048576">
    <cfRule type="cellIs" dxfId="993" priority="2998" operator="lessThan">
      <formula>0</formula>
    </cfRule>
  </conditionalFormatting>
  <conditionalFormatting sqref="H86:H1048576">
    <cfRule type="cellIs" dxfId="992" priority="2997" operator="lessThan">
      <formula>0</formula>
    </cfRule>
  </conditionalFormatting>
  <conditionalFormatting sqref="H86:H1048576">
    <cfRule type="cellIs" dxfId="991" priority="2996" operator="lessThan">
      <formula>0</formula>
    </cfRule>
  </conditionalFormatting>
  <conditionalFormatting sqref="H86:H1048576">
    <cfRule type="cellIs" dxfId="990" priority="2995" operator="lessThan">
      <formula>0</formula>
    </cfRule>
  </conditionalFormatting>
  <conditionalFormatting sqref="H86:H1048576">
    <cfRule type="cellIs" dxfId="989" priority="2994" operator="lessThan">
      <formula>0</formula>
    </cfRule>
  </conditionalFormatting>
  <conditionalFormatting sqref="H86:H1048576">
    <cfRule type="cellIs" dxfId="988" priority="2993" operator="lessThan">
      <formula>0</formula>
    </cfRule>
  </conditionalFormatting>
  <conditionalFormatting sqref="H86:H1048576">
    <cfRule type="cellIs" dxfId="987" priority="2992" operator="lessThan">
      <formula>0</formula>
    </cfRule>
  </conditionalFormatting>
  <conditionalFormatting sqref="H86:H1048576">
    <cfRule type="cellIs" dxfId="986" priority="2991" operator="lessThan">
      <formula>0</formula>
    </cfRule>
  </conditionalFormatting>
  <conditionalFormatting sqref="H86:H1048576">
    <cfRule type="cellIs" dxfId="985" priority="2990" operator="lessThan">
      <formula>0</formula>
    </cfRule>
  </conditionalFormatting>
  <conditionalFormatting sqref="H86:H1048576">
    <cfRule type="cellIs" dxfId="984" priority="2989" operator="lessThan">
      <formula>0</formula>
    </cfRule>
  </conditionalFormatting>
  <conditionalFormatting sqref="H86:H1048576">
    <cfRule type="cellIs" dxfId="983" priority="2988" operator="lessThan">
      <formula>0</formula>
    </cfRule>
  </conditionalFormatting>
  <conditionalFormatting sqref="H86:H1048576">
    <cfRule type="cellIs" dxfId="982" priority="2987" operator="lessThan">
      <formula>0</formula>
    </cfRule>
  </conditionalFormatting>
  <conditionalFormatting sqref="H86:H1048576">
    <cfRule type="cellIs" dxfId="981" priority="2986" operator="lessThan">
      <formula>0</formula>
    </cfRule>
  </conditionalFormatting>
  <conditionalFormatting sqref="H86:H1048576">
    <cfRule type="cellIs" dxfId="980" priority="2985" operator="lessThan">
      <formula>0</formula>
    </cfRule>
  </conditionalFormatting>
  <conditionalFormatting sqref="H86:H1048576">
    <cfRule type="cellIs" dxfId="979" priority="2984" operator="lessThan">
      <formula>0</formula>
    </cfRule>
  </conditionalFormatting>
  <conditionalFormatting sqref="H86:H1048576">
    <cfRule type="cellIs" dxfId="978" priority="2983" operator="lessThan">
      <formula>0</formula>
    </cfRule>
  </conditionalFormatting>
  <conditionalFormatting sqref="H86:H1048576">
    <cfRule type="cellIs" dxfId="977" priority="2982" operator="lessThan">
      <formula>0</formula>
    </cfRule>
  </conditionalFormatting>
  <conditionalFormatting sqref="H86:H1048576">
    <cfRule type="cellIs" dxfId="976" priority="2981" operator="lessThan">
      <formula>0</formula>
    </cfRule>
  </conditionalFormatting>
  <conditionalFormatting sqref="H86:H1048576">
    <cfRule type="cellIs" dxfId="975" priority="2980" operator="lessThan">
      <formula>0</formula>
    </cfRule>
  </conditionalFormatting>
  <conditionalFormatting sqref="H86:H1048576">
    <cfRule type="cellIs" dxfId="974" priority="2979" operator="lessThan">
      <formula>0</formula>
    </cfRule>
  </conditionalFormatting>
  <conditionalFormatting sqref="H86:H1048576">
    <cfRule type="cellIs" dxfId="973" priority="2978" operator="lessThan">
      <formula>0</formula>
    </cfRule>
  </conditionalFormatting>
  <conditionalFormatting sqref="H86:H1048576">
    <cfRule type="cellIs" dxfId="972" priority="2977" operator="lessThan">
      <formula>0</formula>
    </cfRule>
  </conditionalFormatting>
  <conditionalFormatting sqref="H86:H1048576">
    <cfRule type="cellIs" dxfId="971" priority="2976" operator="lessThan">
      <formula>0</formula>
    </cfRule>
  </conditionalFormatting>
  <conditionalFormatting sqref="H86:H1048576">
    <cfRule type="cellIs" dxfId="970" priority="2975" operator="lessThan">
      <formula>0</formula>
    </cfRule>
  </conditionalFormatting>
  <conditionalFormatting sqref="H86:H1048576">
    <cfRule type="cellIs" dxfId="969" priority="2974" operator="lessThan">
      <formula>0</formula>
    </cfRule>
  </conditionalFormatting>
  <conditionalFormatting sqref="H86:H1048576">
    <cfRule type="cellIs" dxfId="968" priority="2973" operator="lessThan">
      <formula>0</formula>
    </cfRule>
  </conditionalFormatting>
  <conditionalFormatting sqref="H86:H1048576">
    <cfRule type="cellIs" dxfId="967" priority="2972" operator="lessThan">
      <formula>0</formula>
    </cfRule>
  </conditionalFormatting>
  <conditionalFormatting sqref="H86:H1048576">
    <cfRule type="cellIs" dxfId="966" priority="2971" operator="lessThan">
      <formula>0</formula>
    </cfRule>
  </conditionalFormatting>
  <conditionalFormatting sqref="H86:H1048576">
    <cfRule type="cellIs" dxfId="965" priority="2970" operator="lessThan">
      <formula>0</formula>
    </cfRule>
  </conditionalFormatting>
  <conditionalFormatting sqref="H86:H1048576">
    <cfRule type="cellIs" dxfId="964" priority="2969" operator="lessThan">
      <formula>0</formula>
    </cfRule>
  </conditionalFormatting>
  <conditionalFormatting sqref="H10:H1048576">
    <cfRule type="cellIs" dxfId="963" priority="2968" operator="lessThan">
      <formula>0</formula>
    </cfRule>
  </conditionalFormatting>
  <conditionalFormatting sqref="H10:H1048576">
    <cfRule type="cellIs" dxfId="962" priority="2967" operator="lessThan">
      <formula>0</formula>
    </cfRule>
  </conditionalFormatting>
  <conditionalFormatting sqref="H10:H1048576">
    <cfRule type="cellIs" dxfId="961" priority="2966" operator="lessThan">
      <formula>0</formula>
    </cfRule>
  </conditionalFormatting>
  <conditionalFormatting sqref="H10:H1048576">
    <cfRule type="cellIs" dxfId="960" priority="2965" operator="lessThan">
      <formula>0</formula>
    </cfRule>
  </conditionalFormatting>
  <conditionalFormatting sqref="H10:H1048576">
    <cfRule type="cellIs" dxfId="959" priority="2964" operator="lessThan">
      <formula>0</formula>
    </cfRule>
  </conditionalFormatting>
  <conditionalFormatting sqref="H10:H1048576">
    <cfRule type="cellIs" dxfId="958" priority="2963" operator="lessThan">
      <formula>0</formula>
    </cfRule>
  </conditionalFormatting>
  <conditionalFormatting sqref="H10:H1048576">
    <cfRule type="cellIs" dxfId="957" priority="2962" operator="lessThan">
      <formula>0</formula>
    </cfRule>
  </conditionalFormatting>
  <conditionalFormatting sqref="H10:H1048576">
    <cfRule type="cellIs" dxfId="956" priority="2961" operator="lessThan">
      <formula>0</formula>
    </cfRule>
  </conditionalFormatting>
  <conditionalFormatting sqref="H10:H1048576">
    <cfRule type="cellIs" dxfId="955" priority="2960" operator="lessThan">
      <formula>0</formula>
    </cfRule>
  </conditionalFormatting>
  <conditionalFormatting sqref="H10:H1048576">
    <cfRule type="cellIs" dxfId="954" priority="2959" operator="lessThan">
      <formula>0</formula>
    </cfRule>
  </conditionalFormatting>
  <conditionalFormatting sqref="H10:H1048576">
    <cfRule type="cellIs" dxfId="953" priority="2958" operator="lessThan">
      <formula>0</formula>
    </cfRule>
  </conditionalFormatting>
  <conditionalFormatting sqref="H10:H1048576">
    <cfRule type="cellIs" dxfId="952" priority="2957" operator="lessThan">
      <formula>0</formula>
    </cfRule>
  </conditionalFormatting>
  <conditionalFormatting sqref="H10:H1048576">
    <cfRule type="cellIs" dxfId="951" priority="2956" operator="lessThan">
      <formula>0</formula>
    </cfRule>
  </conditionalFormatting>
  <conditionalFormatting sqref="H10:H1048576">
    <cfRule type="cellIs" dxfId="950" priority="2955" operator="lessThan">
      <formula>0</formula>
    </cfRule>
  </conditionalFormatting>
  <conditionalFormatting sqref="H10:H1048576">
    <cfRule type="cellIs" dxfId="949" priority="2954" operator="lessThan">
      <formula>0</formula>
    </cfRule>
  </conditionalFormatting>
  <conditionalFormatting sqref="H10:H1048576">
    <cfRule type="cellIs" dxfId="948" priority="2953" operator="lessThan">
      <formula>0</formula>
    </cfRule>
  </conditionalFormatting>
  <conditionalFormatting sqref="H10:H1048576">
    <cfRule type="cellIs" dxfId="947" priority="2952" operator="lessThan">
      <formula>0</formula>
    </cfRule>
  </conditionalFormatting>
  <conditionalFormatting sqref="H10:H1048576">
    <cfRule type="cellIs" dxfId="946" priority="2951" operator="lessThan">
      <formula>0</formula>
    </cfRule>
  </conditionalFormatting>
  <conditionalFormatting sqref="H10:H1048576">
    <cfRule type="cellIs" dxfId="945" priority="2950" operator="lessThan">
      <formula>0</formula>
    </cfRule>
  </conditionalFormatting>
  <conditionalFormatting sqref="H10:H1048576">
    <cfRule type="cellIs" dxfId="944" priority="2949" operator="lessThan">
      <formula>0</formula>
    </cfRule>
  </conditionalFormatting>
  <conditionalFormatting sqref="H10:H1048576">
    <cfRule type="cellIs" dxfId="943" priority="2948" operator="lessThan">
      <formula>0</formula>
    </cfRule>
  </conditionalFormatting>
  <conditionalFormatting sqref="H10:H1048576">
    <cfRule type="cellIs" dxfId="942" priority="2947" operator="lessThan">
      <formula>0</formula>
    </cfRule>
  </conditionalFormatting>
  <conditionalFormatting sqref="H10:H1048576">
    <cfRule type="cellIs" dxfId="941" priority="2946" operator="lessThan">
      <formula>0</formula>
    </cfRule>
  </conditionalFormatting>
  <conditionalFormatting sqref="H10:H1048576">
    <cfRule type="cellIs" dxfId="940" priority="2945" operator="lessThan">
      <formula>0</formula>
    </cfRule>
  </conditionalFormatting>
  <conditionalFormatting sqref="H10:H1048576">
    <cfRule type="cellIs" dxfId="939" priority="2944" operator="lessThan">
      <formula>0</formula>
    </cfRule>
  </conditionalFormatting>
  <conditionalFormatting sqref="H10:H1048576">
    <cfRule type="cellIs" dxfId="938" priority="2943" operator="lessThan">
      <formula>0</formula>
    </cfRule>
  </conditionalFormatting>
  <conditionalFormatting sqref="H10:H1048576">
    <cfRule type="cellIs" dxfId="937" priority="2942" operator="lessThan">
      <formula>0</formula>
    </cfRule>
  </conditionalFormatting>
  <conditionalFormatting sqref="H10:H1048576">
    <cfRule type="cellIs" dxfId="936" priority="2941" operator="lessThan">
      <formula>0</formula>
    </cfRule>
  </conditionalFormatting>
  <conditionalFormatting sqref="H10:H1048576">
    <cfRule type="cellIs" dxfId="935" priority="2940" operator="lessThan">
      <formula>0</formula>
    </cfRule>
  </conditionalFormatting>
  <conditionalFormatting sqref="H10:H1048576">
    <cfRule type="cellIs" dxfId="934" priority="2939" operator="lessThan">
      <formula>0</formula>
    </cfRule>
  </conditionalFormatting>
  <conditionalFormatting sqref="H10:H1048576">
    <cfRule type="cellIs" dxfId="933" priority="2938" operator="lessThan">
      <formula>0</formula>
    </cfRule>
  </conditionalFormatting>
  <conditionalFormatting sqref="H10:H1048576">
    <cfRule type="cellIs" dxfId="932" priority="2937" operator="lessThan">
      <formula>0</formula>
    </cfRule>
  </conditionalFormatting>
  <conditionalFormatting sqref="H10:H1048576">
    <cfRule type="cellIs" dxfId="931" priority="2936" operator="lessThan">
      <formula>0</formula>
    </cfRule>
  </conditionalFormatting>
  <conditionalFormatting sqref="H10:H1048576">
    <cfRule type="cellIs" dxfId="930" priority="2935" operator="lessThan">
      <formula>0</formula>
    </cfRule>
  </conditionalFormatting>
  <conditionalFormatting sqref="H10:H1048576">
    <cfRule type="cellIs" dxfId="929" priority="2934" operator="lessThan">
      <formula>0</formula>
    </cfRule>
  </conditionalFormatting>
  <conditionalFormatting sqref="H10:H1048576">
    <cfRule type="cellIs" dxfId="928" priority="2933" operator="lessThan">
      <formula>0</formula>
    </cfRule>
  </conditionalFormatting>
  <conditionalFormatting sqref="H10:H1048576">
    <cfRule type="cellIs" dxfId="927" priority="2932" operator="lessThan">
      <formula>0</formula>
    </cfRule>
  </conditionalFormatting>
  <conditionalFormatting sqref="H10:H1048576">
    <cfRule type="cellIs" dxfId="926" priority="2931" operator="lessThan">
      <formula>0</formula>
    </cfRule>
  </conditionalFormatting>
  <conditionalFormatting sqref="H10:H1048576">
    <cfRule type="cellIs" dxfId="925" priority="2930" operator="lessThan">
      <formula>0</formula>
    </cfRule>
  </conditionalFormatting>
  <conditionalFormatting sqref="H10:H1048576">
    <cfRule type="cellIs" dxfId="924" priority="2929" operator="lessThan">
      <formula>0</formula>
    </cfRule>
  </conditionalFormatting>
  <conditionalFormatting sqref="H10:H1048576">
    <cfRule type="cellIs" dxfId="923" priority="2928" operator="lessThan">
      <formula>0</formula>
    </cfRule>
  </conditionalFormatting>
  <conditionalFormatting sqref="H10:H1048576">
    <cfRule type="cellIs" dxfId="922" priority="2927" operator="lessThan">
      <formula>0</formula>
    </cfRule>
  </conditionalFormatting>
  <conditionalFormatting sqref="H10:H1048576">
    <cfRule type="cellIs" dxfId="921" priority="2926" operator="lessThan">
      <formula>0</formula>
    </cfRule>
  </conditionalFormatting>
  <conditionalFormatting sqref="H10:H1048576">
    <cfRule type="cellIs" dxfId="920" priority="2925" operator="lessThan">
      <formula>0</formula>
    </cfRule>
  </conditionalFormatting>
  <conditionalFormatting sqref="H10:H1048576">
    <cfRule type="cellIs" dxfId="919" priority="2924" operator="lessThan">
      <formula>0</formula>
    </cfRule>
  </conditionalFormatting>
  <conditionalFormatting sqref="H10:H1048576">
    <cfRule type="cellIs" dxfId="918" priority="2923" operator="lessThan">
      <formula>0</formula>
    </cfRule>
  </conditionalFormatting>
  <conditionalFormatting sqref="H10:H1048576">
    <cfRule type="cellIs" dxfId="917" priority="2922" operator="lessThan">
      <formula>0</formula>
    </cfRule>
  </conditionalFormatting>
  <conditionalFormatting sqref="H10:H1048576">
    <cfRule type="cellIs" dxfId="916" priority="2921" operator="lessThan">
      <formula>0</formula>
    </cfRule>
  </conditionalFormatting>
  <conditionalFormatting sqref="H10:H1048576">
    <cfRule type="cellIs" dxfId="915" priority="2920" operator="lessThan">
      <formula>0</formula>
    </cfRule>
  </conditionalFormatting>
  <conditionalFormatting sqref="H10:H1048576">
    <cfRule type="cellIs" dxfId="914" priority="2919" operator="lessThan">
      <formula>0</formula>
    </cfRule>
  </conditionalFormatting>
  <conditionalFormatting sqref="H10:H1048576">
    <cfRule type="cellIs" dxfId="913" priority="2918" operator="lessThan">
      <formula>0</formula>
    </cfRule>
  </conditionalFormatting>
  <conditionalFormatting sqref="H10:H1048576">
    <cfRule type="cellIs" dxfId="912" priority="2917" operator="lessThan">
      <formula>0</formula>
    </cfRule>
  </conditionalFormatting>
  <conditionalFormatting sqref="H10:H1048576">
    <cfRule type="cellIs" dxfId="911" priority="2916" operator="lessThan">
      <formula>0</formula>
    </cfRule>
  </conditionalFormatting>
  <conditionalFormatting sqref="H10:H1048576">
    <cfRule type="cellIs" dxfId="910" priority="2915" operator="lessThan">
      <formula>0</formula>
    </cfRule>
  </conditionalFormatting>
  <conditionalFormatting sqref="H10:H1048576">
    <cfRule type="cellIs" dxfId="909" priority="2914" operator="lessThan">
      <formula>0</formula>
    </cfRule>
  </conditionalFormatting>
  <conditionalFormatting sqref="H10:H1048576">
    <cfRule type="cellIs" dxfId="908" priority="2913" operator="lessThan">
      <formula>0</formula>
    </cfRule>
  </conditionalFormatting>
  <conditionalFormatting sqref="H10:H1048576">
    <cfRule type="cellIs" dxfId="907" priority="2912" operator="lessThan">
      <formula>0</formula>
    </cfRule>
  </conditionalFormatting>
  <conditionalFormatting sqref="H10:H1048576">
    <cfRule type="cellIs" dxfId="906" priority="2911" operator="lessThan">
      <formula>0</formula>
    </cfRule>
  </conditionalFormatting>
  <conditionalFormatting sqref="H10:H1048576">
    <cfRule type="cellIs" dxfId="905" priority="2910" operator="lessThan">
      <formula>0</formula>
    </cfRule>
  </conditionalFormatting>
  <conditionalFormatting sqref="H10:H1048576">
    <cfRule type="cellIs" dxfId="904" priority="2909" operator="lessThan">
      <formula>0</formula>
    </cfRule>
  </conditionalFormatting>
  <conditionalFormatting sqref="H10:H1048576">
    <cfRule type="cellIs" dxfId="903" priority="2908" operator="lessThan">
      <formula>0</formula>
    </cfRule>
  </conditionalFormatting>
  <conditionalFormatting sqref="H10:H1048576">
    <cfRule type="cellIs" dxfId="902" priority="2907" operator="lessThan">
      <formula>0</formula>
    </cfRule>
  </conditionalFormatting>
  <conditionalFormatting sqref="H10:H1048576">
    <cfRule type="cellIs" dxfId="901" priority="2906" operator="lessThan">
      <formula>0</formula>
    </cfRule>
  </conditionalFormatting>
  <conditionalFormatting sqref="H10:H1048576">
    <cfRule type="cellIs" dxfId="900" priority="2905" operator="lessThan">
      <formula>0</formula>
    </cfRule>
  </conditionalFormatting>
  <conditionalFormatting sqref="H10:H1048576">
    <cfRule type="cellIs" dxfId="899" priority="2904" operator="lessThan">
      <formula>0</formula>
    </cfRule>
  </conditionalFormatting>
  <conditionalFormatting sqref="H10:H1048576">
    <cfRule type="cellIs" dxfId="898" priority="2903" operator="lessThan">
      <formula>0</formula>
    </cfRule>
  </conditionalFormatting>
  <conditionalFormatting sqref="H10:H1048576">
    <cfRule type="cellIs" dxfId="897" priority="2902" operator="lessThan">
      <formula>0</formula>
    </cfRule>
  </conditionalFormatting>
  <conditionalFormatting sqref="H10:H1048576">
    <cfRule type="cellIs" dxfId="896" priority="2901" operator="lessThan">
      <formula>0</formula>
    </cfRule>
  </conditionalFormatting>
  <conditionalFormatting sqref="H10:H1048576">
    <cfRule type="cellIs" dxfId="895" priority="2900" operator="lessThan">
      <formula>0</formula>
    </cfRule>
  </conditionalFormatting>
  <conditionalFormatting sqref="H10:H1048576">
    <cfRule type="cellIs" dxfId="894" priority="2899" operator="lessThan">
      <formula>0</formula>
    </cfRule>
  </conditionalFormatting>
  <conditionalFormatting sqref="H10:H1048576">
    <cfRule type="cellIs" dxfId="893" priority="2898" operator="lessThan">
      <formula>0</formula>
    </cfRule>
  </conditionalFormatting>
  <conditionalFormatting sqref="H10:H1048576">
    <cfRule type="cellIs" dxfId="892" priority="2897" operator="lessThan">
      <formula>0</formula>
    </cfRule>
  </conditionalFormatting>
  <conditionalFormatting sqref="H10:H1048576">
    <cfRule type="cellIs" dxfId="891" priority="2896" operator="lessThan">
      <formula>0</formula>
    </cfRule>
  </conditionalFormatting>
  <conditionalFormatting sqref="H10:H1048576">
    <cfRule type="cellIs" dxfId="890" priority="2895" operator="lessThan">
      <formula>0</formula>
    </cfRule>
  </conditionalFormatting>
  <conditionalFormatting sqref="H10:H1048576">
    <cfRule type="cellIs" dxfId="889" priority="2894" operator="lessThan">
      <formula>0</formula>
    </cfRule>
  </conditionalFormatting>
  <conditionalFormatting sqref="H10:H1048576">
    <cfRule type="cellIs" dxfId="888" priority="2893" operator="lessThan">
      <formula>0</formula>
    </cfRule>
  </conditionalFormatting>
  <conditionalFormatting sqref="H10:H1048576">
    <cfRule type="cellIs" dxfId="887" priority="2892" operator="lessThan">
      <formula>0</formula>
    </cfRule>
  </conditionalFormatting>
  <conditionalFormatting sqref="H10:H1048576">
    <cfRule type="cellIs" dxfId="886" priority="2891" operator="lessThan">
      <formula>0</formula>
    </cfRule>
  </conditionalFormatting>
  <conditionalFormatting sqref="H10:H1048576">
    <cfRule type="cellIs" dxfId="885" priority="2890" operator="lessThan">
      <formula>0</formula>
    </cfRule>
  </conditionalFormatting>
  <conditionalFormatting sqref="H10:H1048576">
    <cfRule type="cellIs" dxfId="884" priority="2889" operator="lessThan">
      <formula>0</formula>
    </cfRule>
  </conditionalFormatting>
  <conditionalFormatting sqref="H10:H1048576">
    <cfRule type="cellIs" dxfId="883" priority="2888" operator="lessThan">
      <formula>0</formula>
    </cfRule>
  </conditionalFormatting>
  <conditionalFormatting sqref="H10:H1048576">
    <cfRule type="cellIs" dxfId="882" priority="2887" operator="lessThan">
      <formula>0</formula>
    </cfRule>
  </conditionalFormatting>
  <conditionalFormatting sqref="H10:H1048576">
    <cfRule type="cellIs" dxfId="881" priority="2886" operator="lessThan">
      <formula>0</formula>
    </cfRule>
  </conditionalFormatting>
  <conditionalFormatting sqref="H10:H1048576">
    <cfRule type="cellIs" dxfId="880" priority="2885" operator="lessThan">
      <formula>0</formula>
    </cfRule>
  </conditionalFormatting>
  <conditionalFormatting sqref="H10:H1048576">
    <cfRule type="cellIs" dxfId="879" priority="2884" operator="lessThan">
      <formula>0</formula>
    </cfRule>
  </conditionalFormatting>
  <conditionalFormatting sqref="H10:H1048576">
    <cfRule type="cellIs" dxfId="878" priority="2883" operator="lessThan">
      <formula>0</formula>
    </cfRule>
  </conditionalFormatting>
  <conditionalFormatting sqref="H10:H1048576">
    <cfRule type="cellIs" dxfId="877" priority="2882" operator="lessThan">
      <formula>0</formula>
    </cfRule>
  </conditionalFormatting>
  <conditionalFormatting sqref="H10:H1048576">
    <cfRule type="cellIs" dxfId="876" priority="2881" operator="lessThan">
      <formula>0</formula>
    </cfRule>
  </conditionalFormatting>
  <conditionalFormatting sqref="H10:H1048576">
    <cfRule type="cellIs" dxfId="875" priority="2880" operator="lessThan">
      <formula>0</formula>
    </cfRule>
  </conditionalFormatting>
  <conditionalFormatting sqref="H10:H1048576">
    <cfRule type="cellIs" dxfId="874" priority="2879" operator="lessThan">
      <formula>0</formula>
    </cfRule>
  </conditionalFormatting>
  <conditionalFormatting sqref="H10:H1048576">
    <cfRule type="cellIs" dxfId="873" priority="2878" operator="lessThan">
      <formula>0</formula>
    </cfRule>
  </conditionalFormatting>
  <conditionalFormatting sqref="H10:H1048576">
    <cfRule type="cellIs" dxfId="872" priority="2877" operator="lessThan">
      <formula>0</formula>
    </cfRule>
  </conditionalFormatting>
  <conditionalFormatting sqref="H10:H1048576">
    <cfRule type="cellIs" dxfId="871" priority="2876" operator="lessThan">
      <formula>0</formula>
    </cfRule>
  </conditionalFormatting>
  <conditionalFormatting sqref="H10:H1048576">
    <cfRule type="cellIs" dxfId="870" priority="2875" operator="lessThan">
      <formula>0</formula>
    </cfRule>
  </conditionalFormatting>
  <conditionalFormatting sqref="H10:H1048576">
    <cfRule type="cellIs" dxfId="869" priority="2874" operator="lessThan">
      <formula>0</formula>
    </cfRule>
  </conditionalFormatting>
  <conditionalFormatting sqref="H10:H1048576">
    <cfRule type="cellIs" dxfId="868" priority="2873" operator="lessThan">
      <formula>0</formula>
    </cfRule>
  </conditionalFormatting>
  <conditionalFormatting sqref="H10:H1048576">
    <cfRule type="cellIs" dxfId="867" priority="2872" operator="lessThan">
      <formula>0</formula>
    </cfRule>
  </conditionalFormatting>
  <conditionalFormatting sqref="H10:H1048576">
    <cfRule type="cellIs" dxfId="866" priority="2871" operator="lessThan">
      <formula>0</formula>
    </cfRule>
  </conditionalFormatting>
  <conditionalFormatting sqref="H10:H1048576">
    <cfRule type="cellIs" dxfId="865" priority="2870" operator="lessThan">
      <formula>0</formula>
    </cfRule>
  </conditionalFormatting>
  <conditionalFormatting sqref="H10:H1048576">
    <cfRule type="cellIs" dxfId="864" priority="2869" operator="lessThan">
      <formula>0</formula>
    </cfRule>
  </conditionalFormatting>
  <conditionalFormatting sqref="H10:H1048576">
    <cfRule type="cellIs" dxfId="863" priority="2868" operator="lessThan">
      <formula>0</formula>
    </cfRule>
  </conditionalFormatting>
  <conditionalFormatting sqref="H10:H1048576">
    <cfRule type="cellIs" dxfId="862" priority="2867" operator="lessThan">
      <formula>0</formula>
    </cfRule>
  </conditionalFormatting>
  <conditionalFormatting sqref="H10:H1048576">
    <cfRule type="cellIs" dxfId="861" priority="2866" operator="lessThan">
      <formula>0</formula>
    </cfRule>
  </conditionalFormatting>
  <conditionalFormatting sqref="H10:H1048576">
    <cfRule type="cellIs" dxfId="860" priority="2865" operator="lessThan">
      <formula>0</formula>
    </cfRule>
  </conditionalFormatting>
  <conditionalFormatting sqref="H10:H1048576">
    <cfRule type="cellIs" dxfId="859" priority="2864" operator="lessThan">
      <formula>0</formula>
    </cfRule>
  </conditionalFormatting>
  <conditionalFormatting sqref="H10:H1048576">
    <cfRule type="cellIs" dxfId="858" priority="2863" operator="lessThan">
      <formula>0</formula>
    </cfRule>
  </conditionalFormatting>
  <conditionalFormatting sqref="H10:H1048576">
    <cfRule type="cellIs" dxfId="857" priority="2862" operator="lessThan">
      <formula>0</formula>
    </cfRule>
  </conditionalFormatting>
  <conditionalFormatting sqref="H10:H1048576">
    <cfRule type="cellIs" dxfId="856" priority="2861" operator="lessThan">
      <formula>0</formula>
    </cfRule>
  </conditionalFormatting>
  <conditionalFormatting sqref="H10:H1048576">
    <cfRule type="cellIs" dxfId="855" priority="2860" operator="lessThan">
      <formula>0</formula>
    </cfRule>
  </conditionalFormatting>
  <conditionalFormatting sqref="H10:H1048576">
    <cfRule type="cellIs" dxfId="854" priority="2859" operator="lessThan">
      <formula>0</formula>
    </cfRule>
  </conditionalFormatting>
  <conditionalFormatting sqref="H10:H1048576">
    <cfRule type="cellIs" dxfId="853" priority="2858" operator="lessThan">
      <formula>0</formula>
    </cfRule>
  </conditionalFormatting>
  <conditionalFormatting sqref="H10:H1048576">
    <cfRule type="cellIs" dxfId="852" priority="2857" operator="lessThan">
      <formula>0</formula>
    </cfRule>
  </conditionalFormatting>
  <conditionalFormatting sqref="H10:H1048576">
    <cfRule type="cellIs" dxfId="851" priority="2856" operator="lessThan">
      <formula>0</formula>
    </cfRule>
  </conditionalFormatting>
  <conditionalFormatting sqref="H10:H1048576">
    <cfRule type="cellIs" dxfId="850" priority="2855" operator="lessThan">
      <formula>0</formula>
    </cfRule>
  </conditionalFormatting>
  <conditionalFormatting sqref="H10:H1048576">
    <cfRule type="cellIs" dxfId="849" priority="2854" operator="lessThan">
      <formula>0</formula>
    </cfRule>
  </conditionalFormatting>
  <conditionalFormatting sqref="H10:H1048576">
    <cfRule type="cellIs" dxfId="848" priority="2853" operator="lessThan">
      <formula>0</formula>
    </cfRule>
  </conditionalFormatting>
  <conditionalFormatting sqref="H10:H1048576">
    <cfRule type="cellIs" dxfId="847" priority="2852" operator="lessThan">
      <formula>0</formula>
    </cfRule>
  </conditionalFormatting>
  <conditionalFormatting sqref="H10:H1048576">
    <cfRule type="cellIs" dxfId="846" priority="2851" operator="lessThan">
      <formula>0</formula>
    </cfRule>
  </conditionalFormatting>
  <conditionalFormatting sqref="H10:H1048576">
    <cfRule type="cellIs" dxfId="845" priority="2850" operator="lessThan">
      <formula>0</formula>
    </cfRule>
  </conditionalFormatting>
  <conditionalFormatting sqref="H10:H1048576">
    <cfRule type="cellIs" dxfId="844" priority="2849" operator="lessThan">
      <formula>0</formula>
    </cfRule>
  </conditionalFormatting>
  <conditionalFormatting sqref="H10:H1048576">
    <cfRule type="cellIs" dxfId="843" priority="2848" operator="lessThan">
      <formula>0</formula>
    </cfRule>
  </conditionalFormatting>
  <conditionalFormatting sqref="H10:H1048576">
    <cfRule type="cellIs" dxfId="842" priority="2847" operator="lessThan">
      <formula>0</formula>
    </cfRule>
  </conditionalFormatting>
  <conditionalFormatting sqref="H10:H1048576">
    <cfRule type="cellIs" dxfId="841" priority="2846" operator="lessThan">
      <formula>0</formula>
    </cfRule>
  </conditionalFormatting>
  <conditionalFormatting sqref="H10:H1048576">
    <cfRule type="cellIs" dxfId="840" priority="2845" operator="lessThan">
      <formula>0</formula>
    </cfRule>
  </conditionalFormatting>
  <conditionalFormatting sqref="H10:H1048576">
    <cfRule type="cellIs" dxfId="839" priority="2844" operator="lessThan">
      <formula>0</formula>
    </cfRule>
  </conditionalFormatting>
  <conditionalFormatting sqref="H10:H1048576">
    <cfRule type="cellIs" dxfId="838" priority="2843" operator="lessThan">
      <formula>0</formula>
    </cfRule>
  </conditionalFormatting>
  <conditionalFormatting sqref="H10:H1048576">
    <cfRule type="cellIs" dxfId="837" priority="2842" operator="lessThan">
      <formula>0</formula>
    </cfRule>
  </conditionalFormatting>
  <conditionalFormatting sqref="H10:H1048576">
    <cfRule type="cellIs" dxfId="836" priority="2841" operator="lessThan">
      <formula>0</formula>
    </cfRule>
  </conditionalFormatting>
  <conditionalFormatting sqref="H10:H1048576">
    <cfRule type="cellIs" dxfId="835" priority="2840" operator="lessThan">
      <formula>0</formula>
    </cfRule>
  </conditionalFormatting>
  <conditionalFormatting sqref="H10:H1048576">
    <cfRule type="cellIs" dxfId="834" priority="2839" operator="lessThan">
      <formula>0</formula>
    </cfRule>
  </conditionalFormatting>
  <conditionalFormatting sqref="H10:H1048576">
    <cfRule type="cellIs" dxfId="833" priority="2838" operator="lessThan">
      <formula>0</formula>
    </cfRule>
  </conditionalFormatting>
  <conditionalFormatting sqref="H10:H1048576">
    <cfRule type="cellIs" dxfId="832" priority="2837" operator="lessThan">
      <formula>0</formula>
    </cfRule>
  </conditionalFormatting>
  <conditionalFormatting sqref="H10:H1048576">
    <cfRule type="cellIs" dxfId="831" priority="2836" operator="lessThan">
      <formula>0</formula>
    </cfRule>
  </conditionalFormatting>
  <conditionalFormatting sqref="H10:H1048576">
    <cfRule type="cellIs" dxfId="830" priority="2835" operator="lessThan">
      <formula>0</formula>
    </cfRule>
  </conditionalFormatting>
  <conditionalFormatting sqref="H10:H1048576">
    <cfRule type="cellIs" dxfId="829" priority="2834" operator="lessThan">
      <formula>0</formula>
    </cfRule>
  </conditionalFormatting>
  <conditionalFormatting sqref="H10:H1048576">
    <cfRule type="cellIs" dxfId="828" priority="2833" operator="lessThan">
      <formula>0</formula>
    </cfRule>
  </conditionalFormatting>
  <conditionalFormatting sqref="H10:H1048576">
    <cfRule type="cellIs" dxfId="827" priority="2832" operator="lessThan">
      <formula>0</formula>
    </cfRule>
  </conditionalFormatting>
  <conditionalFormatting sqref="H10:H1048576">
    <cfRule type="cellIs" dxfId="826" priority="2831" operator="lessThan">
      <formula>0</formula>
    </cfRule>
  </conditionalFormatting>
  <conditionalFormatting sqref="H10:H1048576">
    <cfRule type="cellIs" dxfId="825" priority="2830" operator="lessThan">
      <formula>0</formula>
    </cfRule>
  </conditionalFormatting>
  <conditionalFormatting sqref="H10:H1048576">
    <cfRule type="cellIs" dxfId="824" priority="2829" operator="lessThan">
      <formula>0</formula>
    </cfRule>
  </conditionalFormatting>
  <conditionalFormatting sqref="H10:H1048576">
    <cfRule type="cellIs" dxfId="823" priority="2828" operator="lessThan">
      <formula>0</formula>
    </cfRule>
  </conditionalFormatting>
  <conditionalFormatting sqref="H10:H1048576">
    <cfRule type="cellIs" dxfId="822" priority="2827" operator="lessThan">
      <formula>0</formula>
    </cfRule>
  </conditionalFormatting>
  <conditionalFormatting sqref="H10:H1048576">
    <cfRule type="cellIs" dxfId="821" priority="2826" operator="lessThan">
      <formula>0</formula>
    </cfRule>
  </conditionalFormatting>
  <conditionalFormatting sqref="H10:H1048576">
    <cfRule type="cellIs" dxfId="820" priority="2825" operator="lessThan">
      <formula>0</formula>
    </cfRule>
  </conditionalFormatting>
  <conditionalFormatting sqref="H10:H1048576">
    <cfRule type="cellIs" dxfId="819" priority="2824" operator="lessThan">
      <formula>0</formula>
    </cfRule>
  </conditionalFormatting>
  <conditionalFormatting sqref="H10:H1048576">
    <cfRule type="cellIs" dxfId="818" priority="2823" operator="lessThan">
      <formula>0</formula>
    </cfRule>
  </conditionalFormatting>
  <conditionalFormatting sqref="H10:H1048576">
    <cfRule type="cellIs" dxfId="817" priority="2822" operator="lessThan">
      <formula>0</formula>
    </cfRule>
  </conditionalFormatting>
  <conditionalFormatting sqref="H10:H1048576">
    <cfRule type="cellIs" dxfId="816" priority="2821" operator="lessThan">
      <formula>0</formula>
    </cfRule>
  </conditionalFormatting>
  <conditionalFormatting sqref="H10:H1048576">
    <cfRule type="cellIs" dxfId="815" priority="2820" operator="lessThan">
      <formula>0</formula>
    </cfRule>
  </conditionalFormatting>
  <conditionalFormatting sqref="H10:H1048576">
    <cfRule type="cellIs" dxfId="814" priority="2819" operator="lessThan">
      <formula>0</formula>
    </cfRule>
  </conditionalFormatting>
  <conditionalFormatting sqref="H10:H1048576">
    <cfRule type="cellIs" dxfId="813" priority="2818" operator="lessThan">
      <formula>0</formula>
    </cfRule>
  </conditionalFormatting>
  <conditionalFormatting sqref="H10:H1048576">
    <cfRule type="cellIs" dxfId="812" priority="2817" operator="lessThan">
      <formula>0</formula>
    </cfRule>
  </conditionalFormatting>
  <conditionalFormatting sqref="H10:H1048576">
    <cfRule type="cellIs" dxfId="811" priority="2816" operator="lessThan">
      <formula>0</formula>
    </cfRule>
  </conditionalFormatting>
  <conditionalFormatting sqref="H10:H1048576">
    <cfRule type="cellIs" dxfId="810" priority="2815" operator="lessThan">
      <formula>0</formula>
    </cfRule>
  </conditionalFormatting>
  <conditionalFormatting sqref="H10:H1048576">
    <cfRule type="cellIs" dxfId="809" priority="2814" operator="lessThan">
      <formula>0</formula>
    </cfRule>
  </conditionalFormatting>
  <conditionalFormatting sqref="H10:H1048576">
    <cfRule type="cellIs" dxfId="808" priority="2813" operator="lessThan">
      <formula>0</formula>
    </cfRule>
  </conditionalFormatting>
  <conditionalFormatting sqref="H10:H1048576">
    <cfRule type="cellIs" dxfId="807" priority="2812" operator="lessThan">
      <formula>0</formula>
    </cfRule>
  </conditionalFormatting>
  <conditionalFormatting sqref="H10:H1048576">
    <cfRule type="cellIs" dxfId="806" priority="2811" operator="lessThan">
      <formula>0</formula>
    </cfRule>
  </conditionalFormatting>
  <conditionalFormatting sqref="H10:H1048576">
    <cfRule type="cellIs" dxfId="805" priority="2810" operator="lessThan">
      <formula>0</formula>
    </cfRule>
  </conditionalFormatting>
  <conditionalFormatting sqref="H10:H1048576">
    <cfRule type="cellIs" dxfId="804" priority="2809" operator="lessThan">
      <formula>0</formula>
    </cfRule>
  </conditionalFormatting>
  <conditionalFormatting sqref="H10:H1048576">
    <cfRule type="cellIs" dxfId="803" priority="2808" operator="lessThan">
      <formula>0</formula>
    </cfRule>
  </conditionalFormatting>
  <conditionalFormatting sqref="H10:H1048576">
    <cfRule type="cellIs" dxfId="802" priority="2807" operator="lessThan">
      <formula>0</formula>
    </cfRule>
  </conditionalFormatting>
  <conditionalFormatting sqref="H10:H1048576">
    <cfRule type="cellIs" dxfId="801" priority="2806" operator="lessThan">
      <formula>0</formula>
    </cfRule>
  </conditionalFormatting>
  <conditionalFormatting sqref="H10:H1048576">
    <cfRule type="cellIs" dxfId="800" priority="2805" operator="lessThan">
      <formula>0</formula>
    </cfRule>
  </conditionalFormatting>
  <conditionalFormatting sqref="H10:H1048576">
    <cfRule type="cellIs" dxfId="799" priority="2804" operator="lessThan">
      <formula>0</formula>
    </cfRule>
  </conditionalFormatting>
  <conditionalFormatting sqref="H10:H1048576">
    <cfRule type="cellIs" dxfId="798" priority="2803" operator="lessThan">
      <formula>0</formula>
    </cfRule>
  </conditionalFormatting>
  <conditionalFormatting sqref="H10:H1048576">
    <cfRule type="cellIs" dxfId="797" priority="2802" operator="lessThan">
      <formula>0</formula>
    </cfRule>
  </conditionalFormatting>
  <conditionalFormatting sqref="H10:H1048576">
    <cfRule type="cellIs" dxfId="796" priority="2801" operator="lessThan">
      <formula>0</formula>
    </cfRule>
  </conditionalFormatting>
  <conditionalFormatting sqref="H10:H1048576">
    <cfRule type="cellIs" dxfId="795" priority="2800" operator="lessThan">
      <formula>0</formula>
    </cfRule>
  </conditionalFormatting>
  <conditionalFormatting sqref="H10:H1048576">
    <cfRule type="cellIs" dxfId="794" priority="2799" operator="lessThan">
      <formula>0</formula>
    </cfRule>
  </conditionalFormatting>
  <conditionalFormatting sqref="H10:H1048576">
    <cfRule type="cellIs" dxfId="793" priority="2798" operator="lessThan">
      <formula>0</formula>
    </cfRule>
  </conditionalFormatting>
  <conditionalFormatting sqref="H10:H1048576">
    <cfRule type="cellIs" dxfId="792" priority="2797" operator="lessThan">
      <formula>0</formula>
    </cfRule>
  </conditionalFormatting>
  <conditionalFormatting sqref="H10:H1048576">
    <cfRule type="cellIs" dxfId="791" priority="2796" operator="lessThan">
      <formula>0</formula>
    </cfRule>
  </conditionalFormatting>
  <conditionalFormatting sqref="H10:H1048576">
    <cfRule type="cellIs" dxfId="790" priority="2795" operator="lessThan">
      <formula>0</formula>
    </cfRule>
  </conditionalFormatting>
  <conditionalFormatting sqref="H10:H1048576">
    <cfRule type="cellIs" dxfId="789" priority="2794" operator="lessThan">
      <formula>0</formula>
    </cfRule>
  </conditionalFormatting>
  <conditionalFormatting sqref="H10:H1048576">
    <cfRule type="cellIs" dxfId="788" priority="2793" operator="lessThan">
      <formula>0</formula>
    </cfRule>
  </conditionalFormatting>
  <conditionalFormatting sqref="H10:H1048576">
    <cfRule type="cellIs" dxfId="787" priority="2792" operator="lessThan">
      <formula>0</formula>
    </cfRule>
  </conditionalFormatting>
  <conditionalFormatting sqref="H10:H1048576">
    <cfRule type="cellIs" dxfId="786" priority="2791" operator="lessThan">
      <formula>0</formula>
    </cfRule>
  </conditionalFormatting>
  <conditionalFormatting sqref="H10:H1048576">
    <cfRule type="cellIs" dxfId="785" priority="2790" operator="lessThan">
      <formula>0</formula>
    </cfRule>
  </conditionalFormatting>
  <conditionalFormatting sqref="H10:H1048576">
    <cfRule type="cellIs" dxfId="784" priority="2789" operator="lessThan">
      <formula>0</formula>
    </cfRule>
  </conditionalFormatting>
  <conditionalFormatting sqref="H10:H1048576">
    <cfRule type="cellIs" dxfId="783" priority="2788" operator="lessThan">
      <formula>0</formula>
    </cfRule>
  </conditionalFormatting>
  <conditionalFormatting sqref="H10:H1048576">
    <cfRule type="cellIs" dxfId="782" priority="2787" operator="lessThan">
      <formula>0</formula>
    </cfRule>
  </conditionalFormatting>
  <conditionalFormatting sqref="H10:H1048576">
    <cfRule type="cellIs" dxfId="781" priority="2786" operator="lessThan">
      <formula>0</formula>
    </cfRule>
  </conditionalFormatting>
  <conditionalFormatting sqref="H10:H1048576">
    <cfRule type="cellIs" dxfId="780" priority="2785" operator="lessThan">
      <formula>0</formula>
    </cfRule>
  </conditionalFormatting>
  <conditionalFormatting sqref="H10:H1048576">
    <cfRule type="cellIs" dxfId="779" priority="2784" operator="lessThan">
      <formula>0</formula>
    </cfRule>
  </conditionalFormatting>
  <conditionalFormatting sqref="H10:H1048576">
    <cfRule type="cellIs" dxfId="778" priority="2783" operator="lessThan">
      <formula>0</formula>
    </cfRule>
  </conditionalFormatting>
  <conditionalFormatting sqref="H10:H1048576">
    <cfRule type="cellIs" dxfId="777" priority="2782" operator="lessThan">
      <formula>0</formula>
    </cfRule>
  </conditionalFormatting>
  <conditionalFormatting sqref="H10:H1048576">
    <cfRule type="cellIs" dxfId="776" priority="2781" operator="lessThan">
      <formula>0</formula>
    </cfRule>
  </conditionalFormatting>
  <conditionalFormatting sqref="H10:H1048576">
    <cfRule type="cellIs" dxfId="775" priority="2780" operator="lessThan">
      <formula>0</formula>
    </cfRule>
  </conditionalFormatting>
  <conditionalFormatting sqref="H10:H1048576">
    <cfRule type="cellIs" dxfId="774" priority="2779" operator="lessThan">
      <formula>0</formula>
    </cfRule>
  </conditionalFormatting>
  <conditionalFormatting sqref="H10:H1048576">
    <cfRule type="cellIs" dxfId="773" priority="2778" operator="lessThan">
      <formula>0</formula>
    </cfRule>
  </conditionalFormatting>
  <conditionalFormatting sqref="H10:H1048576">
    <cfRule type="cellIs" dxfId="772" priority="2777" operator="lessThan">
      <formula>0</formula>
    </cfRule>
  </conditionalFormatting>
  <conditionalFormatting sqref="H10:H1048576">
    <cfRule type="cellIs" dxfId="771" priority="2776" operator="lessThan">
      <formula>0</formula>
    </cfRule>
  </conditionalFormatting>
  <conditionalFormatting sqref="H10:H1048576">
    <cfRule type="cellIs" dxfId="770" priority="2775" operator="lessThan">
      <formula>0</formula>
    </cfRule>
  </conditionalFormatting>
  <conditionalFormatting sqref="H10:H1048576">
    <cfRule type="cellIs" dxfId="769" priority="2774" operator="lessThan">
      <formula>0</formula>
    </cfRule>
  </conditionalFormatting>
  <conditionalFormatting sqref="H10:H1048576">
    <cfRule type="cellIs" dxfId="768" priority="2773" operator="lessThan">
      <formula>0</formula>
    </cfRule>
  </conditionalFormatting>
  <conditionalFormatting sqref="H10:H1048576">
    <cfRule type="cellIs" dxfId="767" priority="2772" operator="lessThan">
      <formula>0</formula>
    </cfRule>
  </conditionalFormatting>
  <conditionalFormatting sqref="H10:H1048576">
    <cfRule type="cellIs" dxfId="766" priority="2771" operator="lessThan">
      <formula>0</formula>
    </cfRule>
  </conditionalFormatting>
  <conditionalFormatting sqref="H10:H1048576">
    <cfRule type="cellIs" dxfId="765" priority="2770" operator="lessThan">
      <formula>0</formula>
    </cfRule>
  </conditionalFormatting>
  <conditionalFormatting sqref="H10:H1048576">
    <cfRule type="cellIs" dxfId="764" priority="2769" operator="lessThan">
      <formula>0</formula>
    </cfRule>
  </conditionalFormatting>
  <conditionalFormatting sqref="H10:H1048576">
    <cfRule type="cellIs" dxfId="763" priority="2768" operator="lessThan">
      <formula>0</formula>
    </cfRule>
  </conditionalFormatting>
  <conditionalFormatting sqref="H10:H1048576">
    <cfRule type="cellIs" dxfId="762" priority="2767" operator="lessThan">
      <formula>0</formula>
    </cfRule>
  </conditionalFormatting>
  <conditionalFormatting sqref="H10:H1048576">
    <cfRule type="cellIs" dxfId="761" priority="2766" operator="lessThan">
      <formula>0</formula>
    </cfRule>
  </conditionalFormatting>
  <conditionalFormatting sqref="H10:H1048576">
    <cfRule type="cellIs" dxfId="760" priority="2765" operator="lessThan">
      <formula>0</formula>
    </cfRule>
  </conditionalFormatting>
  <conditionalFormatting sqref="H10:H1048576">
    <cfRule type="cellIs" dxfId="759" priority="2764" operator="lessThan">
      <formula>0</formula>
    </cfRule>
  </conditionalFormatting>
  <conditionalFormatting sqref="H10:H1048576">
    <cfRule type="cellIs" dxfId="758" priority="2763" operator="lessThan">
      <formula>0</formula>
    </cfRule>
  </conditionalFormatting>
  <conditionalFormatting sqref="H10:H1048576">
    <cfRule type="cellIs" dxfId="757" priority="2762" operator="lessThan">
      <formula>0</formula>
    </cfRule>
  </conditionalFormatting>
  <conditionalFormatting sqref="H10:H1048576">
    <cfRule type="cellIs" dxfId="756" priority="2761" operator="lessThan">
      <formula>0</formula>
    </cfRule>
  </conditionalFormatting>
  <conditionalFormatting sqref="H10:H1048576">
    <cfRule type="cellIs" dxfId="755" priority="2760" operator="lessThan">
      <formula>0</formula>
    </cfRule>
  </conditionalFormatting>
  <conditionalFormatting sqref="H10:H1048576">
    <cfRule type="cellIs" dxfId="754" priority="2759" operator="lessThan">
      <formula>0</formula>
    </cfRule>
  </conditionalFormatting>
  <conditionalFormatting sqref="H10:H1048576">
    <cfRule type="cellIs" dxfId="753" priority="2758" operator="lessThan">
      <formula>0</formula>
    </cfRule>
  </conditionalFormatting>
  <conditionalFormatting sqref="H10:H1048576">
    <cfRule type="cellIs" dxfId="752" priority="2757" operator="lessThan">
      <formula>0</formula>
    </cfRule>
  </conditionalFormatting>
  <conditionalFormatting sqref="H10:H1048576">
    <cfRule type="cellIs" dxfId="751" priority="2756" operator="lessThan">
      <formula>0</formula>
    </cfRule>
  </conditionalFormatting>
  <conditionalFormatting sqref="H10:H1048576">
    <cfRule type="cellIs" dxfId="750" priority="2755" operator="lessThan">
      <formula>0</formula>
    </cfRule>
  </conditionalFormatting>
  <conditionalFormatting sqref="H10:H1048576">
    <cfRule type="cellIs" dxfId="749" priority="2754" operator="lessThan">
      <formula>0</formula>
    </cfRule>
  </conditionalFormatting>
  <conditionalFormatting sqref="H10:H1048576">
    <cfRule type="cellIs" dxfId="748" priority="2753" operator="lessThan">
      <formula>0</formula>
    </cfRule>
  </conditionalFormatting>
  <conditionalFormatting sqref="H10:H1048576">
    <cfRule type="cellIs" dxfId="747" priority="2752" operator="lessThan">
      <formula>0</formula>
    </cfRule>
  </conditionalFormatting>
  <conditionalFormatting sqref="H10:H1048576">
    <cfRule type="cellIs" dxfId="746" priority="2751" operator="lessThan">
      <formula>0</formula>
    </cfRule>
  </conditionalFormatting>
  <conditionalFormatting sqref="H10:H1048576">
    <cfRule type="cellIs" dxfId="745" priority="2750" operator="lessThan">
      <formula>0</formula>
    </cfRule>
  </conditionalFormatting>
  <conditionalFormatting sqref="H10:H1048576">
    <cfRule type="cellIs" dxfId="744" priority="2749" operator="lessThan">
      <formula>0</formula>
    </cfRule>
  </conditionalFormatting>
  <conditionalFormatting sqref="H10:H1048576">
    <cfRule type="cellIs" dxfId="743" priority="2748" operator="lessThan">
      <formula>0</formula>
    </cfRule>
  </conditionalFormatting>
  <conditionalFormatting sqref="H10:H1048576">
    <cfRule type="cellIs" dxfId="742" priority="2747" operator="lessThan">
      <formula>0</formula>
    </cfRule>
  </conditionalFormatting>
  <conditionalFormatting sqref="H10:H1048576">
    <cfRule type="cellIs" dxfId="741" priority="2746" operator="lessThan">
      <formula>0</formula>
    </cfRule>
  </conditionalFormatting>
  <conditionalFormatting sqref="H10:H1048576">
    <cfRule type="cellIs" dxfId="740" priority="2745" operator="lessThan">
      <formula>0</formula>
    </cfRule>
  </conditionalFormatting>
  <conditionalFormatting sqref="H10:H1048576">
    <cfRule type="cellIs" dxfId="739" priority="2744" operator="lessThan">
      <formula>0</formula>
    </cfRule>
  </conditionalFormatting>
  <conditionalFormatting sqref="H10:H1048576">
    <cfRule type="cellIs" dxfId="738" priority="2743" operator="lessThan">
      <formula>0</formula>
    </cfRule>
  </conditionalFormatting>
  <conditionalFormatting sqref="H10:H1048576">
    <cfRule type="cellIs" dxfId="737" priority="2742" operator="lessThan">
      <formula>0</formula>
    </cfRule>
  </conditionalFormatting>
  <conditionalFormatting sqref="H10:H1048576">
    <cfRule type="cellIs" dxfId="736" priority="2741" operator="lessThan">
      <formula>0</formula>
    </cfRule>
  </conditionalFormatting>
  <conditionalFormatting sqref="H10:H1048576">
    <cfRule type="cellIs" dxfId="735" priority="2740" operator="lessThan">
      <formula>0</formula>
    </cfRule>
  </conditionalFormatting>
  <conditionalFormatting sqref="H10:H1048576">
    <cfRule type="cellIs" dxfId="734" priority="2739" operator="lessThan">
      <formula>0</formula>
    </cfRule>
  </conditionalFormatting>
  <conditionalFormatting sqref="H10:H1048576">
    <cfRule type="cellIs" dxfId="733" priority="2738" operator="lessThan">
      <formula>0</formula>
    </cfRule>
  </conditionalFormatting>
  <conditionalFormatting sqref="H10:H1048576">
    <cfRule type="cellIs" dxfId="732" priority="2737" operator="lessThan">
      <formula>0</formula>
    </cfRule>
  </conditionalFormatting>
  <conditionalFormatting sqref="H10:H1048576">
    <cfRule type="cellIs" dxfId="731" priority="2736" operator="lessThan">
      <formula>0</formula>
    </cfRule>
  </conditionalFormatting>
  <conditionalFormatting sqref="H10:H1048576">
    <cfRule type="cellIs" dxfId="730" priority="2735" operator="lessThan">
      <formula>0</formula>
    </cfRule>
  </conditionalFormatting>
  <conditionalFormatting sqref="H10:H1048576">
    <cfRule type="cellIs" dxfId="729" priority="2734" operator="lessThan">
      <formula>0</formula>
    </cfRule>
  </conditionalFormatting>
  <conditionalFormatting sqref="H10:H1048576">
    <cfRule type="cellIs" dxfId="728" priority="2733" operator="lessThan">
      <formula>0</formula>
    </cfRule>
  </conditionalFormatting>
  <conditionalFormatting sqref="H10:H1048576">
    <cfRule type="cellIs" dxfId="727" priority="2732" operator="lessThan">
      <formula>0</formula>
    </cfRule>
  </conditionalFormatting>
  <conditionalFormatting sqref="H10:H1048576">
    <cfRule type="cellIs" dxfId="726" priority="2731" operator="lessThan">
      <formula>0</formula>
    </cfRule>
  </conditionalFormatting>
  <conditionalFormatting sqref="H10:H1048576">
    <cfRule type="cellIs" dxfId="725" priority="2730" operator="lessThan">
      <formula>0</formula>
    </cfRule>
  </conditionalFormatting>
  <conditionalFormatting sqref="H10:H1048576">
    <cfRule type="cellIs" dxfId="724" priority="2729" operator="lessThan">
      <formula>0</formula>
    </cfRule>
  </conditionalFormatting>
  <conditionalFormatting sqref="H10:H1048576">
    <cfRule type="cellIs" dxfId="723" priority="2728" operator="lessThan">
      <formula>0</formula>
    </cfRule>
  </conditionalFormatting>
  <conditionalFormatting sqref="H10:H1048576">
    <cfRule type="cellIs" dxfId="722" priority="2727" operator="lessThan">
      <formula>0</formula>
    </cfRule>
  </conditionalFormatting>
  <conditionalFormatting sqref="H10:H1048576">
    <cfRule type="cellIs" dxfId="721" priority="2726" operator="lessThan">
      <formula>0</formula>
    </cfRule>
  </conditionalFormatting>
  <conditionalFormatting sqref="H10:H1048576">
    <cfRule type="cellIs" dxfId="720" priority="2725" operator="lessThan">
      <formula>0</formula>
    </cfRule>
  </conditionalFormatting>
  <conditionalFormatting sqref="H10:H1048576">
    <cfRule type="cellIs" dxfId="719" priority="2724" operator="lessThan">
      <formula>0</formula>
    </cfRule>
  </conditionalFormatting>
  <conditionalFormatting sqref="H10:H1048576">
    <cfRule type="cellIs" dxfId="718" priority="2723" operator="lessThan">
      <formula>0</formula>
    </cfRule>
  </conditionalFormatting>
  <conditionalFormatting sqref="H10:H1048576">
    <cfRule type="cellIs" dxfId="717" priority="2722" operator="lessThan">
      <formula>0</formula>
    </cfRule>
  </conditionalFormatting>
  <conditionalFormatting sqref="H10:H1048576">
    <cfRule type="cellIs" dxfId="716" priority="2721" operator="lessThan">
      <formula>0</formula>
    </cfRule>
  </conditionalFormatting>
  <conditionalFormatting sqref="H10:H1048576">
    <cfRule type="cellIs" dxfId="715" priority="2720" operator="lessThan">
      <formula>0</formula>
    </cfRule>
  </conditionalFormatting>
  <conditionalFormatting sqref="H10:H1048576">
    <cfRule type="cellIs" dxfId="714" priority="2719" operator="lessThan">
      <formula>0</formula>
    </cfRule>
  </conditionalFormatting>
  <conditionalFormatting sqref="H10:H1048576">
    <cfRule type="cellIs" dxfId="713" priority="2718" operator="lessThan">
      <formula>0</formula>
    </cfRule>
  </conditionalFormatting>
  <conditionalFormatting sqref="H10:H1048576">
    <cfRule type="cellIs" dxfId="712" priority="2717" operator="lessThan">
      <formula>0</formula>
    </cfRule>
  </conditionalFormatting>
  <conditionalFormatting sqref="H10:H1048576">
    <cfRule type="cellIs" dxfId="711" priority="2716" operator="lessThan">
      <formula>0</formula>
    </cfRule>
  </conditionalFormatting>
  <conditionalFormatting sqref="H10:H1048576">
    <cfRule type="cellIs" dxfId="710" priority="2715" operator="lessThan">
      <formula>0</formula>
    </cfRule>
  </conditionalFormatting>
  <conditionalFormatting sqref="H10:H1048576">
    <cfRule type="cellIs" dxfId="709" priority="2714" operator="lessThan">
      <formula>0</formula>
    </cfRule>
  </conditionalFormatting>
  <conditionalFormatting sqref="H10:H1048576">
    <cfRule type="cellIs" dxfId="708" priority="2713" operator="lessThan">
      <formula>0</formula>
    </cfRule>
  </conditionalFormatting>
  <conditionalFormatting sqref="H10:H1048576">
    <cfRule type="cellIs" dxfId="707" priority="2712" operator="lessThan">
      <formula>0</formula>
    </cfRule>
  </conditionalFormatting>
  <conditionalFormatting sqref="H10:H1048576">
    <cfRule type="cellIs" dxfId="706" priority="2711" operator="lessThan">
      <formula>0</formula>
    </cfRule>
  </conditionalFormatting>
  <conditionalFormatting sqref="H10:H1048576">
    <cfRule type="cellIs" dxfId="705" priority="2710" operator="lessThan">
      <formula>0</formula>
    </cfRule>
  </conditionalFormatting>
  <conditionalFormatting sqref="H10:H1048576">
    <cfRule type="cellIs" dxfId="704" priority="2709" operator="lessThan">
      <formula>0</formula>
    </cfRule>
  </conditionalFormatting>
  <conditionalFormatting sqref="H10:H1048576">
    <cfRule type="cellIs" dxfId="703" priority="2708" operator="lessThan">
      <formula>0</formula>
    </cfRule>
  </conditionalFormatting>
  <conditionalFormatting sqref="H10:H1048576">
    <cfRule type="cellIs" dxfId="702" priority="2707" operator="lessThan">
      <formula>0</formula>
    </cfRule>
  </conditionalFormatting>
  <conditionalFormatting sqref="H10:H1048576">
    <cfRule type="cellIs" dxfId="701" priority="2706" operator="lessThan">
      <formula>0</formula>
    </cfRule>
  </conditionalFormatting>
  <conditionalFormatting sqref="H10:H1048576">
    <cfRule type="cellIs" dxfId="700" priority="2705" operator="lessThan">
      <formula>0</formula>
    </cfRule>
  </conditionalFormatting>
  <conditionalFormatting sqref="H10:H1048576">
    <cfRule type="cellIs" dxfId="699" priority="2704" operator="lessThan">
      <formula>0</formula>
    </cfRule>
  </conditionalFormatting>
  <conditionalFormatting sqref="H10:H1048576">
    <cfRule type="cellIs" dxfId="698" priority="2703" operator="lessThan">
      <formula>0</formula>
    </cfRule>
  </conditionalFormatting>
  <conditionalFormatting sqref="H10:H1048576">
    <cfRule type="cellIs" dxfId="697" priority="2702" operator="lessThan">
      <formula>0</formula>
    </cfRule>
  </conditionalFormatting>
  <conditionalFormatting sqref="H10:H1048576">
    <cfRule type="cellIs" dxfId="696" priority="2701" operator="lessThan">
      <formula>0</formula>
    </cfRule>
  </conditionalFormatting>
  <conditionalFormatting sqref="H10:H1048576">
    <cfRule type="cellIs" dxfId="695" priority="2700" operator="lessThan">
      <formula>0</formula>
    </cfRule>
  </conditionalFormatting>
  <conditionalFormatting sqref="H10:H1048576">
    <cfRule type="cellIs" dxfId="694" priority="2699" operator="lessThan">
      <formula>0</formula>
    </cfRule>
  </conditionalFormatting>
  <conditionalFormatting sqref="H10:H1048576">
    <cfRule type="cellIs" dxfId="693" priority="2698" operator="lessThan">
      <formula>0</formula>
    </cfRule>
  </conditionalFormatting>
  <conditionalFormatting sqref="H10:H1048576">
    <cfRule type="cellIs" dxfId="692" priority="2697" operator="lessThan">
      <formula>0</formula>
    </cfRule>
  </conditionalFormatting>
  <conditionalFormatting sqref="H10:H1048576">
    <cfRule type="cellIs" dxfId="691" priority="2696" operator="lessThan">
      <formula>0</formula>
    </cfRule>
  </conditionalFormatting>
  <conditionalFormatting sqref="H10:H1048576">
    <cfRule type="cellIs" dxfId="690" priority="2695" operator="lessThan">
      <formula>0</formula>
    </cfRule>
  </conditionalFormatting>
  <conditionalFormatting sqref="H10:H1048576">
    <cfRule type="cellIs" dxfId="689" priority="2694" operator="lessThan">
      <formula>0</formula>
    </cfRule>
  </conditionalFormatting>
  <conditionalFormatting sqref="H10:H1048576">
    <cfRule type="cellIs" dxfId="688" priority="2693" operator="lessThan">
      <formula>0</formula>
    </cfRule>
  </conditionalFormatting>
  <conditionalFormatting sqref="H10:H1048576">
    <cfRule type="cellIs" dxfId="687" priority="2692" operator="lessThan">
      <formula>0</formula>
    </cfRule>
  </conditionalFormatting>
  <conditionalFormatting sqref="H10:H1048576">
    <cfRule type="cellIs" dxfId="686" priority="2691" operator="lessThan">
      <formula>0</formula>
    </cfRule>
  </conditionalFormatting>
  <conditionalFormatting sqref="H10:H1048576">
    <cfRule type="cellIs" dxfId="685" priority="2690" operator="lessThan">
      <formula>0</formula>
    </cfRule>
  </conditionalFormatting>
  <conditionalFormatting sqref="H10:H1048576">
    <cfRule type="cellIs" dxfId="684" priority="2689" operator="lessThan">
      <formula>0</formula>
    </cfRule>
  </conditionalFormatting>
  <conditionalFormatting sqref="H10:H1048576">
    <cfRule type="cellIs" dxfId="683" priority="2688" operator="lessThan">
      <formula>0</formula>
    </cfRule>
  </conditionalFormatting>
  <conditionalFormatting sqref="H10:H1048576">
    <cfRule type="cellIs" dxfId="682" priority="2687" operator="lessThan">
      <formula>0</formula>
    </cfRule>
  </conditionalFormatting>
  <conditionalFormatting sqref="H10:H1048576">
    <cfRule type="cellIs" dxfId="681" priority="2686" operator="lessThan">
      <formula>0</formula>
    </cfRule>
  </conditionalFormatting>
  <conditionalFormatting sqref="H10:H1048576">
    <cfRule type="cellIs" dxfId="680" priority="2685" operator="lessThan">
      <formula>0</formula>
    </cfRule>
  </conditionalFormatting>
  <conditionalFormatting sqref="H10:H1048576">
    <cfRule type="cellIs" dxfId="679" priority="2684" operator="lessThan">
      <formula>0</formula>
    </cfRule>
  </conditionalFormatting>
  <conditionalFormatting sqref="H10:H1048576">
    <cfRule type="cellIs" dxfId="678" priority="2683" operator="lessThan">
      <formula>0</formula>
    </cfRule>
  </conditionalFormatting>
  <conditionalFormatting sqref="H10:H1048576">
    <cfRule type="cellIs" dxfId="677" priority="2682" operator="lessThan">
      <formula>0</formula>
    </cfRule>
  </conditionalFormatting>
  <conditionalFormatting sqref="H10:H1048576">
    <cfRule type="cellIs" dxfId="676" priority="2681" operator="lessThan">
      <formula>0</formula>
    </cfRule>
  </conditionalFormatting>
  <conditionalFormatting sqref="H10:H1048576">
    <cfRule type="cellIs" dxfId="675" priority="2680" operator="lessThan">
      <formula>0</formula>
    </cfRule>
  </conditionalFormatting>
  <conditionalFormatting sqref="H10:H1048576">
    <cfRule type="cellIs" dxfId="674" priority="2679" operator="lessThan">
      <formula>0</formula>
    </cfRule>
  </conditionalFormatting>
  <conditionalFormatting sqref="H10:H1048576">
    <cfRule type="cellIs" dxfId="673" priority="2678" operator="lessThan">
      <formula>0</formula>
    </cfRule>
  </conditionalFormatting>
  <conditionalFormatting sqref="H10:H1048576">
    <cfRule type="cellIs" dxfId="672" priority="2677" operator="lessThan">
      <formula>0</formula>
    </cfRule>
  </conditionalFormatting>
  <conditionalFormatting sqref="H10:H1048576">
    <cfRule type="cellIs" dxfId="671" priority="2676" operator="lessThan">
      <formula>0</formula>
    </cfRule>
  </conditionalFormatting>
  <conditionalFormatting sqref="H10:H1048576">
    <cfRule type="cellIs" dxfId="670" priority="2675" operator="lessThan">
      <formula>0</formula>
    </cfRule>
  </conditionalFormatting>
  <conditionalFormatting sqref="H10:H1048576">
    <cfRule type="cellIs" dxfId="669" priority="2674" operator="lessThan">
      <formula>0</formula>
    </cfRule>
  </conditionalFormatting>
  <conditionalFormatting sqref="H10:H1048576">
    <cfRule type="cellIs" dxfId="668" priority="2673" operator="lessThan">
      <formula>0</formula>
    </cfRule>
  </conditionalFormatting>
  <conditionalFormatting sqref="H10:H1048576">
    <cfRule type="cellIs" dxfId="667" priority="2672" operator="lessThan">
      <formula>0</formula>
    </cfRule>
  </conditionalFormatting>
  <conditionalFormatting sqref="H10:H1048576">
    <cfRule type="cellIs" dxfId="666" priority="2671" operator="lessThan">
      <formula>0</formula>
    </cfRule>
  </conditionalFormatting>
  <conditionalFormatting sqref="H10:H1048576">
    <cfRule type="cellIs" dxfId="665" priority="2670" operator="lessThan">
      <formula>0</formula>
    </cfRule>
  </conditionalFormatting>
  <conditionalFormatting sqref="H10:H1048576">
    <cfRule type="cellIs" dxfId="664" priority="2669" operator="lessThan">
      <formula>0</formula>
    </cfRule>
  </conditionalFormatting>
  <conditionalFormatting sqref="H10:H1048576">
    <cfRule type="cellIs" dxfId="663" priority="2668" operator="lessThan">
      <formula>0</formula>
    </cfRule>
  </conditionalFormatting>
  <conditionalFormatting sqref="H10:H1048576">
    <cfRule type="cellIs" dxfId="662" priority="2667" operator="lessThan">
      <formula>0</formula>
    </cfRule>
  </conditionalFormatting>
  <conditionalFormatting sqref="H10:H1048576">
    <cfRule type="cellIs" dxfId="661" priority="2666" operator="lessThan">
      <formula>0</formula>
    </cfRule>
  </conditionalFormatting>
  <conditionalFormatting sqref="H10:H1048576">
    <cfRule type="cellIs" dxfId="660" priority="2665" operator="lessThan">
      <formula>0</formula>
    </cfRule>
  </conditionalFormatting>
  <conditionalFormatting sqref="H10:H1048576">
    <cfRule type="cellIs" dxfId="659" priority="2664" operator="lessThan">
      <formula>0</formula>
    </cfRule>
  </conditionalFormatting>
  <conditionalFormatting sqref="H10:H1048576">
    <cfRule type="cellIs" dxfId="658" priority="2663" operator="lessThan">
      <formula>0</formula>
    </cfRule>
  </conditionalFormatting>
  <conditionalFormatting sqref="H10:H1048576">
    <cfRule type="cellIs" dxfId="657" priority="2662" operator="lessThan">
      <formula>0</formula>
    </cfRule>
  </conditionalFormatting>
  <conditionalFormatting sqref="H10:H1048576">
    <cfRule type="cellIs" dxfId="656" priority="2661" operator="lessThan">
      <formula>0</formula>
    </cfRule>
  </conditionalFormatting>
  <conditionalFormatting sqref="H10:H1048576">
    <cfRule type="cellIs" dxfId="655" priority="2660" operator="lessThan">
      <formula>0</formula>
    </cfRule>
  </conditionalFormatting>
  <conditionalFormatting sqref="H10:H1048576">
    <cfRule type="cellIs" dxfId="654" priority="2659" operator="lessThan">
      <formula>0</formula>
    </cfRule>
  </conditionalFormatting>
  <conditionalFormatting sqref="H10:H1048576">
    <cfRule type="cellIs" dxfId="653" priority="2658" operator="lessThan">
      <formula>0</formula>
    </cfRule>
  </conditionalFormatting>
  <conditionalFormatting sqref="H10:H1048576">
    <cfRule type="cellIs" dxfId="652" priority="2657" operator="lessThan">
      <formula>0</formula>
    </cfRule>
  </conditionalFormatting>
  <conditionalFormatting sqref="H10:H1048576">
    <cfRule type="cellIs" dxfId="651" priority="2656" operator="lessThan">
      <formula>0</formula>
    </cfRule>
  </conditionalFormatting>
  <conditionalFormatting sqref="H10:H1048576">
    <cfRule type="cellIs" dxfId="650" priority="2655" operator="lessThan">
      <formula>0</formula>
    </cfRule>
  </conditionalFormatting>
  <conditionalFormatting sqref="H10:H1048576">
    <cfRule type="cellIs" dxfId="649" priority="2654" operator="lessThan">
      <formula>0</formula>
    </cfRule>
  </conditionalFormatting>
  <conditionalFormatting sqref="H10:H1048576">
    <cfRule type="cellIs" dxfId="648" priority="2653" operator="lessThan">
      <formula>0</formula>
    </cfRule>
  </conditionalFormatting>
  <conditionalFormatting sqref="H10:H1048576">
    <cfRule type="cellIs" dxfId="647" priority="2652" operator="lessThan">
      <formula>0</formula>
    </cfRule>
  </conditionalFormatting>
  <conditionalFormatting sqref="H10:H1048576">
    <cfRule type="cellIs" dxfId="646" priority="2651" operator="lessThan">
      <formula>0</formula>
    </cfRule>
  </conditionalFormatting>
  <conditionalFormatting sqref="H10:H1048576">
    <cfRule type="cellIs" dxfId="645" priority="2650" operator="lessThan">
      <formula>0</formula>
    </cfRule>
  </conditionalFormatting>
  <conditionalFormatting sqref="H10:H1048576">
    <cfRule type="cellIs" dxfId="644" priority="2649" operator="lessThan">
      <formula>0</formula>
    </cfRule>
  </conditionalFormatting>
  <conditionalFormatting sqref="H10:H1048576">
    <cfRule type="cellIs" dxfId="643" priority="2648" operator="lessThan">
      <formula>0</formula>
    </cfRule>
  </conditionalFormatting>
  <conditionalFormatting sqref="H10:H1048576">
    <cfRule type="cellIs" dxfId="642" priority="2647" operator="lessThan">
      <formula>0</formula>
    </cfRule>
  </conditionalFormatting>
  <conditionalFormatting sqref="H10:H1048576">
    <cfRule type="cellIs" dxfId="641" priority="2646" operator="lessThan">
      <formula>0</formula>
    </cfRule>
  </conditionalFormatting>
  <conditionalFormatting sqref="H10:H1048576">
    <cfRule type="cellIs" dxfId="640" priority="2645" operator="lessThan">
      <formula>0</formula>
    </cfRule>
  </conditionalFormatting>
  <conditionalFormatting sqref="H10:H1048576">
    <cfRule type="cellIs" dxfId="639" priority="2644" operator="lessThan">
      <formula>0</formula>
    </cfRule>
  </conditionalFormatting>
  <conditionalFormatting sqref="H10:H1048576">
    <cfRule type="cellIs" dxfId="638" priority="2643" operator="lessThan">
      <formula>0</formula>
    </cfRule>
  </conditionalFormatting>
  <conditionalFormatting sqref="H10:H1048576">
    <cfRule type="cellIs" dxfId="637" priority="2642" operator="lessThan">
      <formula>0</formula>
    </cfRule>
  </conditionalFormatting>
  <conditionalFormatting sqref="H10:H1048576">
    <cfRule type="cellIs" dxfId="636" priority="2641" operator="lessThan">
      <formula>0</formula>
    </cfRule>
  </conditionalFormatting>
  <conditionalFormatting sqref="H10:H1048576">
    <cfRule type="cellIs" dxfId="635" priority="2640" operator="lessThan">
      <formula>0</formula>
    </cfRule>
  </conditionalFormatting>
  <conditionalFormatting sqref="H10:H1048576">
    <cfRule type="cellIs" dxfId="634" priority="2639" operator="lessThan">
      <formula>0</formula>
    </cfRule>
  </conditionalFormatting>
  <conditionalFormatting sqref="H10:H1048576">
    <cfRule type="cellIs" dxfId="633" priority="2638" operator="lessThan">
      <formula>0</formula>
    </cfRule>
  </conditionalFormatting>
  <conditionalFormatting sqref="H10:H1048576">
    <cfRule type="cellIs" dxfId="632" priority="2637" operator="lessThan">
      <formula>0</formula>
    </cfRule>
  </conditionalFormatting>
  <conditionalFormatting sqref="H10:H1048576">
    <cfRule type="cellIs" dxfId="631" priority="2636" operator="lessThan">
      <formula>0</formula>
    </cfRule>
  </conditionalFormatting>
  <conditionalFormatting sqref="H10:H1048576">
    <cfRule type="cellIs" dxfId="630" priority="2635" operator="lessThan">
      <formula>0</formula>
    </cfRule>
  </conditionalFormatting>
  <conditionalFormatting sqref="H10:H1048576">
    <cfRule type="cellIs" dxfId="629" priority="2634" operator="lessThan">
      <formula>0</formula>
    </cfRule>
  </conditionalFormatting>
  <conditionalFormatting sqref="H10:H1048576">
    <cfRule type="cellIs" dxfId="628" priority="2633" operator="lessThan">
      <formula>0</formula>
    </cfRule>
  </conditionalFormatting>
  <conditionalFormatting sqref="H10:H1048576">
    <cfRule type="cellIs" dxfId="627" priority="2632" operator="lessThan">
      <formula>0</formula>
    </cfRule>
  </conditionalFormatting>
  <conditionalFormatting sqref="H10:H1048576">
    <cfRule type="cellIs" dxfId="626" priority="2631" operator="lessThan">
      <formula>0</formula>
    </cfRule>
  </conditionalFormatting>
  <conditionalFormatting sqref="H10:H1048576">
    <cfRule type="cellIs" dxfId="625" priority="2630" operator="lessThan">
      <formula>0</formula>
    </cfRule>
  </conditionalFormatting>
  <conditionalFormatting sqref="H10:H1048576">
    <cfRule type="cellIs" dxfId="624" priority="2629" operator="lessThan">
      <formula>0</formula>
    </cfRule>
  </conditionalFormatting>
  <conditionalFormatting sqref="H10:H1048576">
    <cfRule type="cellIs" dxfId="623" priority="2628" operator="lessThan">
      <formula>0</formula>
    </cfRule>
  </conditionalFormatting>
  <conditionalFormatting sqref="H10:H1048576">
    <cfRule type="cellIs" dxfId="622" priority="2627" operator="lessThan">
      <formula>0</formula>
    </cfRule>
  </conditionalFormatting>
  <conditionalFormatting sqref="H10:H1048576">
    <cfRule type="cellIs" dxfId="621" priority="2626" operator="lessThan">
      <formula>0</formula>
    </cfRule>
  </conditionalFormatting>
  <conditionalFormatting sqref="H10:H1048576">
    <cfRule type="cellIs" dxfId="620" priority="2625" operator="lessThan">
      <formula>0</formula>
    </cfRule>
  </conditionalFormatting>
  <conditionalFormatting sqref="H10:H1048576">
    <cfRule type="cellIs" dxfId="619" priority="2624" operator="lessThan">
      <formula>0</formula>
    </cfRule>
  </conditionalFormatting>
  <conditionalFormatting sqref="H10:H1048576">
    <cfRule type="cellIs" dxfId="618" priority="2623" operator="lessThan">
      <formula>0</formula>
    </cfRule>
  </conditionalFormatting>
  <conditionalFormatting sqref="H10:H1048576">
    <cfRule type="cellIs" dxfId="617" priority="2622" operator="lessThan">
      <formula>0</formula>
    </cfRule>
  </conditionalFormatting>
  <conditionalFormatting sqref="H10:H1048576">
    <cfRule type="cellIs" dxfId="616" priority="2621" operator="lessThan">
      <formula>0</formula>
    </cfRule>
  </conditionalFormatting>
  <conditionalFormatting sqref="H10:H1048576">
    <cfRule type="cellIs" dxfId="615" priority="2620" operator="lessThan">
      <formula>0</formula>
    </cfRule>
  </conditionalFormatting>
  <conditionalFormatting sqref="H10:H1048576">
    <cfRule type="cellIs" dxfId="614" priority="2619" operator="lessThan">
      <formula>0</formula>
    </cfRule>
  </conditionalFormatting>
  <conditionalFormatting sqref="H10:H1048576">
    <cfRule type="cellIs" dxfId="613" priority="2618" operator="lessThan">
      <formula>0</formula>
    </cfRule>
  </conditionalFormatting>
  <conditionalFormatting sqref="H10:H1048576">
    <cfRule type="cellIs" dxfId="612" priority="2617" operator="lessThan">
      <formula>0</formula>
    </cfRule>
  </conditionalFormatting>
  <conditionalFormatting sqref="H10:H1048576">
    <cfRule type="cellIs" dxfId="611" priority="2616" operator="lessThan">
      <formula>0</formula>
    </cfRule>
  </conditionalFormatting>
  <conditionalFormatting sqref="H10:H1048576">
    <cfRule type="cellIs" dxfId="610" priority="2615" operator="lessThan">
      <formula>0</formula>
    </cfRule>
  </conditionalFormatting>
  <conditionalFormatting sqref="H10:H1048576">
    <cfRule type="cellIs" dxfId="609" priority="2614" operator="lessThan">
      <formula>0</formula>
    </cfRule>
  </conditionalFormatting>
  <conditionalFormatting sqref="H10:H1048576">
    <cfRule type="cellIs" dxfId="608" priority="2613" operator="lessThan">
      <formula>0</formula>
    </cfRule>
  </conditionalFormatting>
  <conditionalFormatting sqref="H10:H1048576">
    <cfRule type="cellIs" dxfId="607" priority="2612" operator="lessThan">
      <formula>0</formula>
    </cfRule>
  </conditionalFormatting>
  <conditionalFormatting sqref="H10:H1048576">
    <cfRule type="cellIs" dxfId="606" priority="2611" operator="lessThan">
      <formula>0</formula>
    </cfRule>
  </conditionalFormatting>
  <conditionalFormatting sqref="H10:H1048576">
    <cfRule type="cellIs" dxfId="605" priority="2610" operator="lessThan">
      <formula>0</formula>
    </cfRule>
  </conditionalFormatting>
  <conditionalFormatting sqref="H10:H1048576">
    <cfRule type="cellIs" dxfId="604" priority="2609" operator="lessThan">
      <formula>0</formula>
    </cfRule>
  </conditionalFormatting>
  <conditionalFormatting sqref="H10:H1048576">
    <cfRule type="cellIs" dxfId="603" priority="2608" operator="lessThan">
      <formula>0</formula>
    </cfRule>
  </conditionalFormatting>
  <conditionalFormatting sqref="H10:H1048576">
    <cfRule type="cellIs" dxfId="602" priority="2607" operator="lessThan">
      <formula>0</formula>
    </cfRule>
  </conditionalFormatting>
  <conditionalFormatting sqref="H10:H1048576">
    <cfRule type="cellIs" dxfId="601" priority="2606" operator="lessThan">
      <formula>0</formula>
    </cfRule>
  </conditionalFormatting>
  <conditionalFormatting sqref="H10:H1048576">
    <cfRule type="cellIs" dxfId="600" priority="2605" operator="lessThan">
      <formula>0</formula>
    </cfRule>
  </conditionalFormatting>
  <conditionalFormatting sqref="H10:H1048576">
    <cfRule type="cellIs" dxfId="599" priority="2604" operator="lessThan">
      <formula>0</formula>
    </cfRule>
  </conditionalFormatting>
  <conditionalFormatting sqref="H10:H1048576">
    <cfRule type="cellIs" dxfId="598" priority="2603" operator="lessThan">
      <formula>0</formula>
    </cfRule>
  </conditionalFormatting>
  <conditionalFormatting sqref="H10:H1048576">
    <cfRule type="cellIs" dxfId="597" priority="2602" operator="lessThan">
      <formula>0</formula>
    </cfRule>
  </conditionalFormatting>
  <conditionalFormatting sqref="H10:H1048576">
    <cfRule type="cellIs" dxfId="596" priority="2601" operator="lessThan">
      <formula>0</formula>
    </cfRule>
  </conditionalFormatting>
  <conditionalFormatting sqref="H10:H1048576">
    <cfRule type="cellIs" dxfId="595" priority="2600" operator="lessThan">
      <formula>0</formula>
    </cfRule>
  </conditionalFormatting>
  <conditionalFormatting sqref="H10:H1048576">
    <cfRule type="cellIs" dxfId="594" priority="2599" operator="lessThan">
      <formula>0</formula>
    </cfRule>
  </conditionalFormatting>
  <conditionalFormatting sqref="H10:H1048576">
    <cfRule type="cellIs" dxfId="593" priority="2598" operator="lessThan">
      <formula>0</formula>
    </cfRule>
  </conditionalFormatting>
  <conditionalFormatting sqref="H10:H1048576">
    <cfRule type="cellIs" dxfId="592" priority="2597" operator="lessThan">
      <formula>0</formula>
    </cfRule>
  </conditionalFormatting>
  <conditionalFormatting sqref="H10:H1048576">
    <cfRule type="cellIs" dxfId="591" priority="2596" operator="lessThan">
      <formula>0</formula>
    </cfRule>
  </conditionalFormatting>
  <conditionalFormatting sqref="H10:H1048576">
    <cfRule type="cellIs" dxfId="590" priority="2595" operator="lessThan">
      <formula>0</formula>
    </cfRule>
  </conditionalFormatting>
  <conditionalFormatting sqref="H10:H1048576">
    <cfRule type="cellIs" dxfId="589" priority="2594" operator="lessThan">
      <formula>0</formula>
    </cfRule>
  </conditionalFormatting>
  <conditionalFormatting sqref="H10:H1048576">
    <cfRule type="cellIs" dxfId="588" priority="2593" operator="lessThan">
      <formula>0</formula>
    </cfRule>
  </conditionalFormatting>
  <conditionalFormatting sqref="H10:H1048576">
    <cfRule type="cellIs" dxfId="587" priority="2592" operator="lessThan">
      <formula>0</formula>
    </cfRule>
  </conditionalFormatting>
  <conditionalFormatting sqref="H10:H1048576">
    <cfRule type="cellIs" dxfId="586" priority="2591" operator="lessThan">
      <formula>0</formula>
    </cfRule>
  </conditionalFormatting>
  <conditionalFormatting sqref="H10:H1048576">
    <cfRule type="cellIs" dxfId="585" priority="2590" operator="lessThan">
      <formula>0</formula>
    </cfRule>
  </conditionalFormatting>
  <conditionalFormatting sqref="H10:H1048576">
    <cfRule type="cellIs" dxfId="584" priority="2589" operator="lessThan">
      <formula>0</formula>
    </cfRule>
  </conditionalFormatting>
  <conditionalFormatting sqref="H10:H1048576">
    <cfRule type="cellIs" dxfId="583" priority="2588" operator="lessThan">
      <formula>0</formula>
    </cfRule>
  </conditionalFormatting>
  <conditionalFormatting sqref="H10:H1048576">
    <cfRule type="cellIs" dxfId="582" priority="2587" operator="lessThan">
      <formula>0</formula>
    </cfRule>
  </conditionalFormatting>
  <conditionalFormatting sqref="H10:H1048576">
    <cfRule type="cellIs" dxfId="581" priority="2586" operator="lessThan">
      <formula>0</formula>
    </cfRule>
  </conditionalFormatting>
  <conditionalFormatting sqref="H10:H1048576">
    <cfRule type="cellIs" dxfId="580" priority="2585" operator="lessThan">
      <formula>0</formula>
    </cfRule>
  </conditionalFormatting>
  <conditionalFormatting sqref="H10:H1048576">
    <cfRule type="cellIs" dxfId="579" priority="2584" operator="lessThan">
      <formula>0</formula>
    </cfRule>
  </conditionalFormatting>
  <conditionalFormatting sqref="H10:H1048576">
    <cfRule type="cellIs" dxfId="578" priority="2583" operator="lessThan">
      <formula>0</formula>
    </cfRule>
  </conditionalFormatting>
  <conditionalFormatting sqref="H10:H1048576">
    <cfRule type="cellIs" dxfId="577" priority="2582" operator="lessThan">
      <formula>0</formula>
    </cfRule>
  </conditionalFormatting>
  <conditionalFormatting sqref="H10:H1048576">
    <cfRule type="cellIs" dxfId="576" priority="2581" operator="lessThan">
      <formula>0</formula>
    </cfRule>
  </conditionalFormatting>
  <conditionalFormatting sqref="H10:H1048576">
    <cfRule type="cellIs" dxfId="575" priority="2580" operator="lessThan">
      <formula>0</formula>
    </cfRule>
  </conditionalFormatting>
  <conditionalFormatting sqref="H10:H1048576">
    <cfRule type="cellIs" dxfId="574" priority="2579" operator="lessThan">
      <formula>0</formula>
    </cfRule>
  </conditionalFormatting>
  <conditionalFormatting sqref="H10:H1048576">
    <cfRule type="cellIs" dxfId="573" priority="2578" operator="lessThan">
      <formula>0</formula>
    </cfRule>
  </conditionalFormatting>
  <conditionalFormatting sqref="H10:H1048576">
    <cfRule type="cellIs" dxfId="572" priority="2577" operator="lessThan">
      <formula>0</formula>
    </cfRule>
  </conditionalFormatting>
  <conditionalFormatting sqref="H10:H1048576">
    <cfRule type="cellIs" dxfId="571" priority="2576" operator="lessThan">
      <formula>0</formula>
    </cfRule>
  </conditionalFormatting>
  <conditionalFormatting sqref="H10:H1048576">
    <cfRule type="cellIs" dxfId="570" priority="2575" operator="lessThan">
      <formula>0</formula>
    </cfRule>
  </conditionalFormatting>
  <conditionalFormatting sqref="H10:H1048576">
    <cfRule type="cellIs" dxfId="569" priority="2574" operator="lessThan">
      <formula>0</formula>
    </cfRule>
  </conditionalFormatting>
  <conditionalFormatting sqref="H10:H1048576">
    <cfRule type="cellIs" dxfId="568" priority="2573" operator="lessThan">
      <formula>0</formula>
    </cfRule>
  </conditionalFormatting>
  <conditionalFormatting sqref="H10:H1048576">
    <cfRule type="cellIs" dxfId="567" priority="2572" operator="lessThan">
      <formula>0</formula>
    </cfRule>
  </conditionalFormatting>
  <conditionalFormatting sqref="H10:H1048576">
    <cfRule type="cellIs" dxfId="566" priority="2571" operator="lessThan">
      <formula>0</formula>
    </cfRule>
  </conditionalFormatting>
  <conditionalFormatting sqref="H10:H1048576">
    <cfRule type="cellIs" dxfId="565" priority="2570" operator="lessThan">
      <formula>0</formula>
    </cfRule>
  </conditionalFormatting>
  <conditionalFormatting sqref="H10:H1048576">
    <cfRule type="cellIs" dxfId="564" priority="2569" operator="lessThan">
      <formula>0</formula>
    </cfRule>
  </conditionalFormatting>
  <conditionalFormatting sqref="H10:H1048576">
    <cfRule type="cellIs" dxfId="563" priority="2568" operator="lessThan">
      <formula>0</formula>
    </cfRule>
  </conditionalFormatting>
  <conditionalFormatting sqref="H10:H1048576">
    <cfRule type="cellIs" dxfId="562" priority="2567" operator="lessThan">
      <formula>0</formula>
    </cfRule>
  </conditionalFormatting>
  <conditionalFormatting sqref="H10:H1048576">
    <cfRule type="cellIs" dxfId="561" priority="2566" operator="lessThan">
      <formula>0</formula>
    </cfRule>
  </conditionalFormatting>
  <conditionalFormatting sqref="H10:H1048576">
    <cfRule type="cellIs" dxfId="560" priority="2565" operator="lessThan">
      <formula>0</formula>
    </cfRule>
  </conditionalFormatting>
  <conditionalFormatting sqref="H10:H1048576">
    <cfRule type="cellIs" dxfId="559" priority="2564" operator="lessThan">
      <formula>0</formula>
    </cfRule>
  </conditionalFormatting>
  <conditionalFormatting sqref="H10:H1048576">
    <cfRule type="cellIs" dxfId="558" priority="2563" operator="lessThan">
      <formula>0</formula>
    </cfRule>
  </conditionalFormatting>
  <conditionalFormatting sqref="H10:H1048576">
    <cfRule type="cellIs" dxfId="557" priority="2562" operator="lessThan">
      <formula>0</formula>
    </cfRule>
  </conditionalFormatting>
  <conditionalFormatting sqref="H10:H1048576">
    <cfRule type="cellIs" dxfId="556" priority="2561" operator="lessThan">
      <formula>0</formula>
    </cfRule>
  </conditionalFormatting>
  <conditionalFormatting sqref="H10:H1048576">
    <cfRule type="cellIs" dxfId="555" priority="2560" operator="lessThan">
      <formula>0</formula>
    </cfRule>
  </conditionalFormatting>
  <conditionalFormatting sqref="H10:H1048576">
    <cfRule type="cellIs" dxfId="554" priority="2559" operator="lessThan">
      <formula>0</formula>
    </cfRule>
  </conditionalFormatting>
  <conditionalFormatting sqref="H10:H1048576">
    <cfRule type="cellIs" dxfId="553" priority="2558" operator="lessThan">
      <formula>0</formula>
    </cfRule>
  </conditionalFormatting>
  <conditionalFormatting sqref="H10:H1048576">
    <cfRule type="cellIs" dxfId="552" priority="2557" operator="lessThan">
      <formula>0</formula>
    </cfRule>
  </conditionalFormatting>
  <conditionalFormatting sqref="H10:H1048576">
    <cfRule type="cellIs" dxfId="551" priority="2556" operator="lessThan">
      <formula>0</formula>
    </cfRule>
  </conditionalFormatting>
  <conditionalFormatting sqref="H10:H1048576">
    <cfRule type="cellIs" dxfId="550" priority="2555" operator="lessThan">
      <formula>0</formula>
    </cfRule>
  </conditionalFormatting>
  <conditionalFormatting sqref="H10:H1048576">
    <cfRule type="cellIs" dxfId="549" priority="2554" operator="lessThan">
      <formula>0</formula>
    </cfRule>
  </conditionalFormatting>
  <conditionalFormatting sqref="H10:H1048576">
    <cfRule type="cellIs" dxfId="548" priority="2553" operator="lessThan">
      <formula>0</formula>
    </cfRule>
  </conditionalFormatting>
  <conditionalFormatting sqref="H10:H1048576">
    <cfRule type="cellIs" dxfId="547" priority="2552" operator="lessThan">
      <formula>0</formula>
    </cfRule>
  </conditionalFormatting>
  <conditionalFormatting sqref="H10:H1048576">
    <cfRule type="cellIs" dxfId="546" priority="2551" operator="lessThan">
      <formula>0</formula>
    </cfRule>
  </conditionalFormatting>
  <conditionalFormatting sqref="H10:H1048576">
    <cfRule type="cellIs" dxfId="545" priority="2550" operator="lessThan">
      <formula>0</formula>
    </cfRule>
  </conditionalFormatting>
  <conditionalFormatting sqref="H10:H1048576">
    <cfRule type="cellIs" dxfId="544" priority="2549" operator="lessThan">
      <formula>0</formula>
    </cfRule>
  </conditionalFormatting>
  <conditionalFormatting sqref="H10:H1048576">
    <cfRule type="cellIs" dxfId="543" priority="2548" operator="lessThan">
      <formula>0</formula>
    </cfRule>
  </conditionalFormatting>
  <conditionalFormatting sqref="H10:H1048576">
    <cfRule type="cellIs" dxfId="542" priority="2547" operator="lessThan">
      <formula>0</formula>
    </cfRule>
  </conditionalFormatting>
  <conditionalFormatting sqref="H10:H1048576">
    <cfRule type="cellIs" dxfId="541" priority="2546" operator="lessThan">
      <formula>0</formula>
    </cfRule>
  </conditionalFormatting>
  <conditionalFormatting sqref="H10:H1048576">
    <cfRule type="cellIs" dxfId="540" priority="2545" operator="lessThan">
      <formula>0</formula>
    </cfRule>
  </conditionalFormatting>
  <conditionalFormatting sqref="H10:H1048576">
    <cfRule type="cellIs" dxfId="539" priority="2544" operator="lessThan">
      <formula>0</formula>
    </cfRule>
  </conditionalFormatting>
  <conditionalFormatting sqref="H10:H1048576">
    <cfRule type="cellIs" dxfId="538" priority="2543" operator="lessThan">
      <formula>0</formula>
    </cfRule>
  </conditionalFormatting>
  <conditionalFormatting sqref="H10:H1048576">
    <cfRule type="cellIs" dxfId="537" priority="2542" operator="lessThan">
      <formula>0</formula>
    </cfRule>
  </conditionalFormatting>
  <conditionalFormatting sqref="H10:H1048576">
    <cfRule type="cellIs" dxfId="536" priority="2541" operator="lessThan">
      <formula>0</formula>
    </cfRule>
  </conditionalFormatting>
  <conditionalFormatting sqref="H10:H1048576">
    <cfRule type="cellIs" dxfId="535" priority="2540" operator="lessThan">
      <formula>0</formula>
    </cfRule>
  </conditionalFormatting>
  <conditionalFormatting sqref="H10:H1048576">
    <cfRule type="cellIs" dxfId="534" priority="2539" operator="lessThan">
      <formula>0</formula>
    </cfRule>
  </conditionalFormatting>
  <conditionalFormatting sqref="H10:H1048576">
    <cfRule type="cellIs" dxfId="533" priority="2538" operator="lessThan">
      <formula>0</formula>
    </cfRule>
  </conditionalFormatting>
  <conditionalFormatting sqref="H10:H1048576">
    <cfRule type="cellIs" dxfId="532" priority="2537" operator="lessThan">
      <formula>0</formula>
    </cfRule>
  </conditionalFormatting>
  <conditionalFormatting sqref="H10:H1048576">
    <cfRule type="cellIs" dxfId="531" priority="2536" operator="lessThan">
      <formula>0</formula>
    </cfRule>
  </conditionalFormatting>
  <conditionalFormatting sqref="H10:H1048576">
    <cfRule type="cellIs" dxfId="530" priority="2535" operator="lessThan">
      <formula>0</formula>
    </cfRule>
  </conditionalFormatting>
  <conditionalFormatting sqref="H10:H1048576">
    <cfRule type="cellIs" dxfId="529" priority="2534" operator="lessThan">
      <formula>0</formula>
    </cfRule>
  </conditionalFormatting>
  <conditionalFormatting sqref="H10:H1048576">
    <cfRule type="cellIs" dxfId="528" priority="2533" operator="lessThan">
      <formula>0</formula>
    </cfRule>
  </conditionalFormatting>
  <conditionalFormatting sqref="H10:H1048576">
    <cfRule type="cellIs" dxfId="527" priority="2532" operator="lessThan">
      <formula>0</formula>
    </cfRule>
  </conditionalFormatting>
  <conditionalFormatting sqref="H10:H1048576">
    <cfRule type="cellIs" dxfId="526" priority="2531" operator="lessThan">
      <formula>0</formula>
    </cfRule>
  </conditionalFormatting>
  <conditionalFormatting sqref="H10:H1048576">
    <cfRule type="cellIs" dxfId="525" priority="2530" operator="lessThan">
      <formula>0</formula>
    </cfRule>
  </conditionalFormatting>
  <conditionalFormatting sqref="H10:H1048576">
    <cfRule type="cellIs" dxfId="524" priority="2529" operator="lessThan">
      <formula>0</formula>
    </cfRule>
  </conditionalFormatting>
  <conditionalFormatting sqref="H10:H1048576">
    <cfRule type="cellIs" dxfId="523" priority="2528" operator="lessThan">
      <formula>0</formula>
    </cfRule>
  </conditionalFormatting>
  <conditionalFormatting sqref="H10:H1048576">
    <cfRule type="cellIs" dxfId="522" priority="2527" operator="lessThan">
      <formula>0</formula>
    </cfRule>
  </conditionalFormatting>
  <conditionalFormatting sqref="H10:H1048576">
    <cfRule type="cellIs" dxfId="521" priority="2526" operator="lessThan">
      <formula>0</formula>
    </cfRule>
  </conditionalFormatting>
  <conditionalFormatting sqref="H10:H1048576">
    <cfRule type="cellIs" dxfId="520" priority="2525" operator="lessThan">
      <formula>0</formula>
    </cfRule>
  </conditionalFormatting>
  <conditionalFormatting sqref="H10:H1048576">
    <cfRule type="cellIs" dxfId="519" priority="2524" operator="lessThan">
      <formula>0</formula>
    </cfRule>
  </conditionalFormatting>
  <conditionalFormatting sqref="H10:H1048576">
    <cfRule type="cellIs" dxfId="518" priority="2523" operator="lessThan">
      <formula>0</formula>
    </cfRule>
  </conditionalFormatting>
  <conditionalFormatting sqref="H10:H1048576">
    <cfRule type="cellIs" dxfId="517" priority="2522" operator="lessThan">
      <formula>0</formula>
    </cfRule>
  </conditionalFormatting>
  <conditionalFormatting sqref="H10:H1048576">
    <cfRule type="cellIs" dxfId="516" priority="2521" operator="lessThan">
      <formula>0</formula>
    </cfRule>
  </conditionalFormatting>
  <conditionalFormatting sqref="H10:H1048576">
    <cfRule type="cellIs" dxfId="515" priority="2520" operator="lessThan">
      <formula>0</formula>
    </cfRule>
  </conditionalFormatting>
  <conditionalFormatting sqref="H10:H1048576">
    <cfRule type="cellIs" dxfId="514" priority="2519" operator="lessThan">
      <formula>0</formula>
    </cfRule>
  </conditionalFormatting>
  <conditionalFormatting sqref="H10:H1048576">
    <cfRule type="cellIs" dxfId="513" priority="2518" operator="lessThan">
      <formula>0</formula>
    </cfRule>
  </conditionalFormatting>
  <conditionalFormatting sqref="H10:H1048576">
    <cfRule type="cellIs" dxfId="512" priority="2517" operator="lessThan">
      <formula>0</formula>
    </cfRule>
  </conditionalFormatting>
  <conditionalFormatting sqref="H10:H1048576">
    <cfRule type="cellIs" dxfId="511" priority="2516" operator="lessThan">
      <formula>0</formula>
    </cfRule>
  </conditionalFormatting>
  <conditionalFormatting sqref="H10:H1048576">
    <cfRule type="cellIs" dxfId="510" priority="2515" operator="lessThan">
      <formula>0</formula>
    </cfRule>
  </conditionalFormatting>
  <conditionalFormatting sqref="H10:H1048576">
    <cfRule type="cellIs" dxfId="509" priority="2514" operator="lessThan">
      <formula>0</formula>
    </cfRule>
  </conditionalFormatting>
  <conditionalFormatting sqref="H10:H1048576">
    <cfRule type="cellIs" dxfId="508" priority="2513" operator="lessThan">
      <formula>0</formula>
    </cfRule>
  </conditionalFormatting>
  <conditionalFormatting sqref="H10:H1048576">
    <cfRule type="cellIs" dxfId="507" priority="2512" operator="lessThan">
      <formula>0</formula>
    </cfRule>
  </conditionalFormatting>
  <conditionalFormatting sqref="H10:H1048576">
    <cfRule type="cellIs" dxfId="506" priority="2511" operator="lessThan">
      <formula>0</formula>
    </cfRule>
  </conditionalFormatting>
  <conditionalFormatting sqref="H10:H1048576">
    <cfRule type="cellIs" dxfId="505" priority="2510" operator="lessThan">
      <formula>0</formula>
    </cfRule>
  </conditionalFormatting>
  <conditionalFormatting sqref="H10:H1048576">
    <cfRule type="cellIs" dxfId="504" priority="2509" operator="lessThan">
      <formula>0</formula>
    </cfRule>
  </conditionalFormatting>
  <conditionalFormatting sqref="H10:H1048576">
    <cfRule type="cellIs" dxfId="503" priority="2508" operator="lessThan">
      <formula>0</formula>
    </cfRule>
  </conditionalFormatting>
  <conditionalFormatting sqref="H10:H1048576">
    <cfRule type="cellIs" dxfId="502" priority="2507" operator="lessThan">
      <formula>0</formula>
    </cfRule>
  </conditionalFormatting>
  <conditionalFormatting sqref="H10:H1048576">
    <cfRule type="cellIs" dxfId="501" priority="2506" operator="lessThan">
      <formula>0</formula>
    </cfRule>
  </conditionalFormatting>
  <conditionalFormatting sqref="H10:H1048576">
    <cfRule type="cellIs" dxfId="500" priority="2505" operator="lessThan">
      <formula>0</formula>
    </cfRule>
  </conditionalFormatting>
  <conditionalFormatting sqref="H10:H1048576">
    <cfRule type="cellIs" dxfId="499" priority="2504" operator="lessThan">
      <formula>0</formula>
    </cfRule>
  </conditionalFormatting>
  <conditionalFormatting sqref="H10:H1048576">
    <cfRule type="cellIs" dxfId="498" priority="2503" operator="lessThan">
      <formula>0</formula>
    </cfRule>
  </conditionalFormatting>
  <conditionalFormatting sqref="H10:H1048576">
    <cfRule type="cellIs" dxfId="497" priority="2502" operator="lessThan">
      <formula>0</formula>
    </cfRule>
  </conditionalFormatting>
  <conditionalFormatting sqref="H10:H1048576">
    <cfRule type="cellIs" dxfId="496" priority="2501" operator="lessThan">
      <formula>0</formula>
    </cfRule>
  </conditionalFormatting>
  <conditionalFormatting sqref="H10:H1048576">
    <cfRule type="cellIs" dxfId="495" priority="2500" operator="lessThan">
      <formula>0</formula>
    </cfRule>
  </conditionalFormatting>
  <conditionalFormatting sqref="H10:H1048576">
    <cfRule type="cellIs" dxfId="494" priority="2499" operator="lessThan">
      <formula>0</formula>
    </cfRule>
  </conditionalFormatting>
  <conditionalFormatting sqref="H10:H1048576">
    <cfRule type="cellIs" dxfId="493" priority="2498" operator="lessThan">
      <formula>0</formula>
    </cfRule>
  </conditionalFormatting>
  <conditionalFormatting sqref="H10:H1048576">
    <cfRule type="cellIs" dxfId="492" priority="2497" operator="lessThan">
      <formula>0</formula>
    </cfRule>
  </conditionalFormatting>
  <conditionalFormatting sqref="H10:H1048576">
    <cfRule type="cellIs" dxfId="491" priority="2496" operator="lessThan">
      <formula>0</formula>
    </cfRule>
  </conditionalFormatting>
  <conditionalFormatting sqref="H10:H1048576">
    <cfRule type="cellIs" dxfId="490" priority="2495" operator="lessThan">
      <formula>0</formula>
    </cfRule>
  </conditionalFormatting>
  <conditionalFormatting sqref="H10:H1048576">
    <cfRule type="cellIs" dxfId="489" priority="2494" operator="lessThan">
      <formula>0</formula>
    </cfRule>
  </conditionalFormatting>
  <conditionalFormatting sqref="H10:H1048576">
    <cfRule type="cellIs" dxfId="488" priority="2493" operator="lessThan">
      <formula>0</formula>
    </cfRule>
  </conditionalFormatting>
  <conditionalFormatting sqref="H10:H1048576">
    <cfRule type="cellIs" dxfId="487" priority="2492" operator="lessThan">
      <formula>0</formula>
    </cfRule>
  </conditionalFormatting>
  <conditionalFormatting sqref="H10:H1048576">
    <cfRule type="cellIs" dxfId="486" priority="2491" operator="lessThan">
      <formula>0</formula>
    </cfRule>
  </conditionalFormatting>
  <conditionalFormatting sqref="H10:H1048576">
    <cfRule type="cellIs" dxfId="485" priority="2490" operator="lessThan">
      <formula>0</formula>
    </cfRule>
  </conditionalFormatting>
  <conditionalFormatting sqref="H10:H1048576">
    <cfRule type="cellIs" dxfId="484" priority="2489" operator="lessThan">
      <formula>0</formula>
    </cfRule>
  </conditionalFormatting>
  <conditionalFormatting sqref="H10:H1048576">
    <cfRule type="cellIs" dxfId="483" priority="2488" operator="lessThan">
      <formula>0</formula>
    </cfRule>
  </conditionalFormatting>
  <conditionalFormatting sqref="H10:H1048576">
    <cfRule type="cellIs" dxfId="482" priority="2487" operator="lessThan">
      <formula>0</formula>
    </cfRule>
  </conditionalFormatting>
  <conditionalFormatting sqref="H10:H1048576">
    <cfRule type="cellIs" dxfId="481" priority="2486" operator="lessThan">
      <formula>0</formula>
    </cfRule>
  </conditionalFormatting>
  <conditionalFormatting sqref="H10:H1048576">
    <cfRule type="cellIs" dxfId="480" priority="2485" operator="lessThan">
      <formula>0</formula>
    </cfRule>
  </conditionalFormatting>
  <conditionalFormatting sqref="H10:H1048576">
    <cfRule type="cellIs" dxfId="479" priority="2484" operator="lessThan">
      <formula>0</formula>
    </cfRule>
  </conditionalFormatting>
  <conditionalFormatting sqref="H10:H1048576">
    <cfRule type="cellIs" dxfId="478" priority="2483" operator="lessThan">
      <formula>0</formula>
    </cfRule>
  </conditionalFormatting>
  <conditionalFormatting sqref="H10:H1048576">
    <cfRule type="cellIs" dxfId="477" priority="2482" operator="lessThan">
      <formula>0</formula>
    </cfRule>
  </conditionalFormatting>
  <conditionalFormatting sqref="H10:H1048576">
    <cfRule type="cellIs" dxfId="476" priority="2481" operator="lessThan">
      <formula>0</formula>
    </cfRule>
  </conditionalFormatting>
  <conditionalFormatting sqref="H10:H1048576">
    <cfRule type="cellIs" dxfId="475" priority="2480" operator="lessThan">
      <formula>0</formula>
    </cfRule>
  </conditionalFormatting>
  <conditionalFormatting sqref="H10:H1048576">
    <cfRule type="cellIs" dxfId="474" priority="2479" operator="lessThan">
      <formula>0</formula>
    </cfRule>
  </conditionalFormatting>
  <conditionalFormatting sqref="H10:H1048576">
    <cfRule type="cellIs" dxfId="473" priority="2478" operator="lessThan">
      <formula>0</formula>
    </cfRule>
  </conditionalFormatting>
  <conditionalFormatting sqref="H10:H1048576">
    <cfRule type="cellIs" dxfId="472" priority="2477" operator="lessThan">
      <formula>0</formula>
    </cfRule>
  </conditionalFormatting>
  <conditionalFormatting sqref="H10:H1048576">
    <cfRule type="cellIs" dxfId="471" priority="2476" operator="lessThan">
      <formula>0</formula>
    </cfRule>
  </conditionalFormatting>
  <conditionalFormatting sqref="H10:H1048576">
    <cfRule type="cellIs" dxfId="470" priority="2475" operator="lessThan">
      <formula>0</formula>
    </cfRule>
  </conditionalFormatting>
  <conditionalFormatting sqref="H10:H1048576">
    <cfRule type="cellIs" dxfId="469" priority="2474" operator="lessThan">
      <formula>0</formula>
    </cfRule>
  </conditionalFormatting>
  <conditionalFormatting sqref="H10:H1048576">
    <cfRule type="cellIs" dxfId="468" priority="2473" operator="lessThan">
      <formula>0</formula>
    </cfRule>
  </conditionalFormatting>
  <conditionalFormatting sqref="H10:H1048576">
    <cfRule type="cellIs" dxfId="467" priority="2472" operator="lessThan">
      <formula>0</formula>
    </cfRule>
  </conditionalFormatting>
  <conditionalFormatting sqref="H10:H1048576">
    <cfRule type="cellIs" dxfId="466" priority="2471" operator="lessThan">
      <formula>0</formula>
    </cfRule>
  </conditionalFormatting>
  <conditionalFormatting sqref="H10:H1048576">
    <cfRule type="cellIs" dxfId="465" priority="2470" operator="lessThan">
      <formula>0</formula>
    </cfRule>
  </conditionalFormatting>
  <conditionalFormatting sqref="H10:H1048576">
    <cfRule type="cellIs" dxfId="464" priority="2469" operator="lessThan">
      <formula>0</formula>
    </cfRule>
  </conditionalFormatting>
  <conditionalFormatting sqref="H10:H1048576">
    <cfRule type="cellIs" dxfId="463" priority="2468" operator="lessThan">
      <formula>0</formula>
    </cfRule>
  </conditionalFormatting>
  <conditionalFormatting sqref="H10:H1048576">
    <cfRule type="cellIs" dxfId="462" priority="2467" operator="lessThan">
      <formula>0</formula>
    </cfRule>
  </conditionalFormatting>
  <conditionalFormatting sqref="H10:H1048576">
    <cfRule type="cellIs" dxfId="461" priority="2466" operator="lessThan">
      <formula>0</formula>
    </cfRule>
  </conditionalFormatting>
  <conditionalFormatting sqref="H10:H1048576">
    <cfRule type="cellIs" dxfId="460" priority="2465" operator="lessThan">
      <formula>0</formula>
    </cfRule>
  </conditionalFormatting>
  <conditionalFormatting sqref="H10:H1048576">
    <cfRule type="cellIs" dxfId="459" priority="2464" operator="lessThan">
      <formula>0</formula>
    </cfRule>
  </conditionalFormatting>
  <conditionalFormatting sqref="H10:H1048576">
    <cfRule type="cellIs" dxfId="458" priority="2463" operator="lessThan">
      <formula>0</formula>
    </cfRule>
  </conditionalFormatting>
  <conditionalFormatting sqref="H10:H1048576">
    <cfRule type="cellIs" dxfId="457" priority="2462" operator="lessThan">
      <formula>0</formula>
    </cfRule>
  </conditionalFormatting>
  <conditionalFormatting sqref="H10:H1048576">
    <cfRule type="cellIs" dxfId="456" priority="2461" operator="lessThan">
      <formula>0</formula>
    </cfRule>
  </conditionalFormatting>
  <conditionalFormatting sqref="H10:H1048576">
    <cfRule type="cellIs" dxfId="455" priority="2460" operator="lessThan">
      <formula>0</formula>
    </cfRule>
  </conditionalFormatting>
  <conditionalFormatting sqref="H10:H1048576">
    <cfRule type="cellIs" dxfId="454" priority="2459" operator="lessThan">
      <formula>0</formula>
    </cfRule>
  </conditionalFormatting>
  <conditionalFormatting sqref="H10:H1048576">
    <cfRule type="cellIs" dxfId="453" priority="2458" operator="lessThan">
      <formula>0</formula>
    </cfRule>
  </conditionalFormatting>
  <conditionalFormatting sqref="H10:H1048576">
    <cfRule type="cellIs" dxfId="452" priority="2457" operator="lessThan">
      <formula>0</formula>
    </cfRule>
  </conditionalFormatting>
  <conditionalFormatting sqref="H10:H1048576">
    <cfRule type="cellIs" dxfId="451" priority="2456" operator="lessThan">
      <formula>0</formula>
    </cfRule>
  </conditionalFormatting>
  <conditionalFormatting sqref="H10:H1048576">
    <cfRule type="cellIs" dxfId="450" priority="2455" operator="lessThan">
      <formula>0</formula>
    </cfRule>
  </conditionalFormatting>
  <conditionalFormatting sqref="H10:H1048576">
    <cfRule type="cellIs" dxfId="449" priority="2454" operator="lessThan">
      <formula>0</formula>
    </cfRule>
  </conditionalFormatting>
  <conditionalFormatting sqref="H10:H1048576">
    <cfRule type="cellIs" dxfId="448" priority="2453" operator="lessThan">
      <formula>0</formula>
    </cfRule>
  </conditionalFormatting>
  <conditionalFormatting sqref="H10:H1048576">
    <cfRule type="cellIs" dxfId="447" priority="2452" operator="lessThan">
      <formula>0</formula>
    </cfRule>
  </conditionalFormatting>
  <conditionalFormatting sqref="H10:H1048576">
    <cfRule type="cellIs" dxfId="446" priority="2451" operator="lessThan">
      <formula>0</formula>
    </cfRule>
  </conditionalFormatting>
  <conditionalFormatting sqref="H10:H1048576">
    <cfRule type="cellIs" dxfId="445" priority="2450" operator="lessThan">
      <formula>0</formula>
    </cfRule>
  </conditionalFormatting>
  <conditionalFormatting sqref="H10:H1048576">
    <cfRule type="cellIs" dxfId="444" priority="2449" operator="lessThan">
      <formula>0</formula>
    </cfRule>
  </conditionalFormatting>
  <conditionalFormatting sqref="H10:H1048576">
    <cfRule type="cellIs" dxfId="443" priority="2448" operator="lessThan">
      <formula>0</formula>
    </cfRule>
  </conditionalFormatting>
  <conditionalFormatting sqref="H10:H1048576">
    <cfRule type="cellIs" dxfId="442" priority="2447" operator="lessThan">
      <formula>0</formula>
    </cfRule>
  </conditionalFormatting>
  <conditionalFormatting sqref="H10:H1048576">
    <cfRule type="cellIs" dxfId="441" priority="2446" operator="lessThan">
      <formula>0</formula>
    </cfRule>
  </conditionalFormatting>
  <conditionalFormatting sqref="H10:H1048576">
    <cfRule type="cellIs" dxfId="440" priority="2445" operator="lessThan">
      <formula>0</formula>
    </cfRule>
  </conditionalFormatting>
  <conditionalFormatting sqref="H10:H1048576">
    <cfRule type="cellIs" dxfId="439" priority="2444" operator="lessThan">
      <formula>0</formula>
    </cfRule>
  </conditionalFormatting>
  <conditionalFormatting sqref="H10:H1048576">
    <cfRule type="cellIs" dxfId="438" priority="2443" operator="lessThan">
      <formula>0</formula>
    </cfRule>
  </conditionalFormatting>
  <conditionalFormatting sqref="H10:H1048576">
    <cfRule type="cellIs" dxfId="437" priority="2442" operator="lessThan">
      <formula>0</formula>
    </cfRule>
  </conditionalFormatting>
  <conditionalFormatting sqref="H10:H1048576">
    <cfRule type="cellIs" dxfId="436" priority="2441" operator="lessThan">
      <formula>0</formula>
    </cfRule>
  </conditionalFormatting>
  <conditionalFormatting sqref="H10:H1048576">
    <cfRule type="cellIs" dxfId="435" priority="2440" operator="lessThan">
      <formula>0</formula>
    </cfRule>
  </conditionalFormatting>
  <conditionalFormatting sqref="H10:H1048576">
    <cfRule type="cellIs" dxfId="434" priority="2439" operator="lessThan">
      <formula>0</formula>
    </cfRule>
  </conditionalFormatting>
  <conditionalFormatting sqref="H10:H1048576">
    <cfRule type="cellIs" dxfId="433" priority="2438" operator="lessThan">
      <formula>0</formula>
    </cfRule>
  </conditionalFormatting>
  <conditionalFormatting sqref="H10:H1048576">
    <cfRule type="cellIs" dxfId="432" priority="2437" operator="lessThan">
      <formula>0</formula>
    </cfRule>
  </conditionalFormatting>
  <conditionalFormatting sqref="H10:H1048576">
    <cfRule type="cellIs" dxfId="431" priority="2436" operator="lessThan">
      <formula>0</formula>
    </cfRule>
  </conditionalFormatting>
  <conditionalFormatting sqref="H10:H1048576">
    <cfRule type="cellIs" dxfId="430" priority="2435" operator="lessThan">
      <formula>0</formula>
    </cfRule>
  </conditionalFormatting>
  <conditionalFormatting sqref="H10:H1048576">
    <cfRule type="cellIs" dxfId="429" priority="2434" operator="lessThan">
      <formula>0</formula>
    </cfRule>
  </conditionalFormatting>
  <conditionalFormatting sqref="H10:H1048576">
    <cfRule type="cellIs" dxfId="428" priority="2433" operator="lessThan">
      <formula>0</formula>
    </cfRule>
  </conditionalFormatting>
  <conditionalFormatting sqref="H10:H1048576">
    <cfRule type="cellIs" dxfId="427" priority="2432" operator="lessThan">
      <formula>0</formula>
    </cfRule>
  </conditionalFormatting>
  <conditionalFormatting sqref="H10:H1048576">
    <cfRule type="cellIs" dxfId="426" priority="2431" operator="lessThan">
      <formula>0</formula>
    </cfRule>
  </conditionalFormatting>
  <conditionalFormatting sqref="H10:H1048576">
    <cfRule type="cellIs" dxfId="425" priority="2430" operator="lessThan">
      <formula>0</formula>
    </cfRule>
  </conditionalFormatting>
  <conditionalFormatting sqref="H10:H1048576">
    <cfRule type="cellIs" dxfId="424" priority="2429" operator="lessThan">
      <formula>0</formula>
    </cfRule>
  </conditionalFormatting>
  <conditionalFormatting sqref="H10:H1048576">
    <cfRule type="cellIs" dxfId="423" priority="2428" operator="lessThan">
      <formula>0</formula>
    </cfRule>
  </conditionalFormatting>
  <conditionalFormatting sqref="H10:H1048576">
    <cfRule type="cellIs" dxfId="422" priority="2427" operator="lessThan">
      <formula>0</formula>
    </cfRule>
  </conditionalFormatting>
  <conditionalFormatting sqref="H10:H1048576">
    <cfRule type="cellIs" dxfId="421" priority="2426" operator="lessThan">
      <formula>0</formula>
    </cfRule>
  </conditionalFormatting>
  <conditionalFormatting sqref="H10:H1048576">
    <cfRule type="cellIs" dxfId="420" priority="2425" operator="lessThan">
      <formula>0</formula>
    </cfRule>
  </conditionalFormatting>
  <conditionalFormatting sqref="H10:H1048576">
    <cfRule type="cellIs" dxfId="419" priority="2424" operator="lessThan">
      <formula>0</formula>
    </cfRule>
  </conditionalFormatting>
  <conditionalFormatting sqref="H10:H1048576">
    <cfRule type="cellIs" dxfId="418" priority="2423" operator="lessThan">
      <formula>0</formula>
    </cfRule>
  </conditionalFormatting>
  <conditionalFormatting sqref="H10:H1048576">
    <cfRule type="cellIs" dxfId="417" priority="2422" operator="lessThan">
      <formula>0</formula>
    </cfRule>
  </conditionalFormatting>
  <conditionalFormatting sqref="H10:H1048576">
    <cfRule type="cellIs" dxfId="416" priority="2421" operator="lessThan">
      <formula>0</formula>
    </cfRule>
  </conditionalFormatting>
  <conditionalFormatting sqref="H10:H1048576">
    <cfRule type="cellIs" dxfId="415" priority="2420" operator="lessThan">
      <formula>0</formula>
    </cfRule>
  </conditionalFormatting>
  <conditionalFormatting sqref="H10:H1048576">
    <cfRule type="cellIs" dxfId="414" priority="2419" operator="lessThan">
      <formula>0</formula>
    </cfRule>
  </conditionalFormatting>
  <conditionalFormatting sqref="H10:H1048576">
    <cfRule type="cellIs" dxfId="413" priority="2418" operator="lessThan">
      <formula>0</formula>
    </cfRule>
  </conditionalFormatting>
  <conditionalFormatting sqref="H10:H1048576">
    <cfRule type="cellIs" dxfId="412" priority="2417" operator="lessThan">
      <formula>0</formula>
    </cfRule>
  </conditionalFormatting>
  <conditionalFormatting sqref="H10:H1048576">
    <cfRule type="cellIs" dxfId="411" priority="2416" operator="lessThan">
      <formula>0</formula>
    </cfRule>
  </conditionalFormatting>
  <conditionalFormatting sqref="H10:H1048576">
    <cfRule type="cellIs" dxfId="410" priority="2415" operator="lessThan">
      <formula>0</formula>
    </cfRule>
  </conditionalFormatting>
  <conditionalFormatting sqref="H10:H1048576">
    <cfRule type="cellIs" dxfId="409" priority="2414" operator="lessThan">
      <formula>0</formula>
    </cfRule>
  </conditionalFormatting>
  <conditionalFormatting sqref="H10:H1048576">
    <cfRule type="cellIs" dxfId="408" priority="2413" operator="lessThan">
      <formula>0</formula>
    </cfRule>
  </conditionalFormatting>
  <conditionalFormatting sqref="H10:H1048576">
    <cfRule type="cellIs" dxfId="407" priority="2412" operator="lessThan">
      <formula>0</formula>
    </cfRule>
  </conditionalFormatting>
  <conditionalFormatting sqref="H10:H1048576">
    <cfRule type="cellIs" dxfId="406" priority="2411" operator="lessThan">
      <formula>0</formula>
    </cfRule>
  </conditionalFormatting>
  <conditionalFormatting sqref="H10:H1048576">
    <cfRule type="cellIs" dxfId="405" priority="2410" operator="lessThan">
      <formula>0</formula>
    </cfRule>
  </conditionalFormatting>
  <conditionalFormatting sqref="H10:H1048576">
    <cfRule type="cellIs" dxfId="404" priority="2409" operator="lessThan">
      <formula>0</formula>
    </cfRule>
  </conditionalFormatting>
  <conditionalFormatting sqref="H10:H1048576">
    <cfRule type="cellIs" dxfId="403" priority="2408" operator="lessThan">
      <formula>0</formula>
    </cfRule>
  </conditionalFormatting>
  <conditionalFormatting sqref="H10:H1048576">
    <cfRule type="cellIs" dxfId="402" priority="2407" operator="lessThan">
      <formula>0</formula>
    </cfRule>
  </conditionalFormatting>
  <conditionalFormatting sqref="H10:H1048576">
    <cfRule type="cellIs" dxfId="401" priority="2406" operator="lessThan">
      <formula>0</formula>
    </cfRule>
  </conditionalFormatting>
  <conditionalFormatting sqref="H10:H1048576">
    <cfRule type="cellIs" dxfId="400" priority="2405" operator="lessThan">
      <formula>0</formula>
    </cfRule>
  </conditionalFormatting>
  <conditionalFormatting sqref="H10:H1048576">
    <cfRule type="cellIs" dxfId="399" priority="2404" operator="lessThan">
      <formula>0</formula>
    </cfRule>
  </conditionalFormatting>
  <conditionalFormatting sqref="H10:H1048576">
    <cfRule type="cellIs" dxfId="398" priority="2403" operator="lessThan">
      <formula>0</formula>
    </cfRule>
  </conditionalFormatting>
  <conditionalFormatting sqref="H10:H1048576">
    <cfRule type="cellIs" dxfId="397" priority="2402" operator="lessThan">
      <formula>0</formula>
    </cfRule>
  </conditionalFormatting>
  <conditionalFormatting sqref="H10:H1048576">
    <cfRule type="cellIs" dxfId="396" priority="2401" operator="lessThan">
      <formula>0</formula>
    </cfRule>
  </conditionalFormatting>
  <conditionalFormatting sqref="H10:H1048576">
    <cfRule type="cellIs" dxfId="395" priority="2400" operator="lessThan">
      <formula>0</formula>
    </cfRule>
  </conditionalFormatting>
  <conditionalFormatting sqref="H10:H1048576">
    <cfRule type="cellIs" dxfId="394" priority="2399" operator="lessThan">
      <formula>0</formula>
    </cfRule>
  </conditionalFormatting>
  <conditionalFormatting sqref="H10:H1048576">
    <cfRule type="cellIs" dxfId="393" priority="2398" operator="lessThan">
      <formula>0</formula>
    </cfRule>
  </conditionalFormatting>
  <conditionalFormatting sqref="H10:H1048576">
    <cfRule type="cellIs" dxfId="392" priority="2397" operator="lessThan">
      <formula>0</formula>
    </cfRule>
  </conditionalFormatting>
  <conditionalFormatting sqref="H10:H1048576">
    <cfRule type="cellIs" dxfId="391" priority="2396" operator="lessThan">
      <formula>0</formula>
    </cfRule>
  </conditionalFormatting>
  <conditionalFormatting sqref="H10:H1048576">
    <cfRule type="cellIs" dxfId="390" priority="2395" operator="lessThan">
      <formula>0</formula>
    </cfRule>
  </conditionalFormatting>
  <conditionalFormatting sqref="H10:H1048576">
    <cfRule type="cellIs" dxfId="389" priority="2394" operator="lessThan">
      <formula>0</formula>
    </cfRule>
  </conditionalFormatting>
  <conditionalFormatting sqref="H10:H1048576">
    <cfRule type="cellIs" dxfId="388" priority="2393" operator="lessThan">
      <formula>0</formula>
    </cfRule>
  </conditionalFormatting>
  <conditionalFormatting sqref="H10:H1048576">
    <cfRule type="cellIs" dxfId="387" priority="2392" operator="lessThan">
      <formula>0</formula>
    </cfRule>
  </conditionalFormatting>
  <conditionalFormatting sqref="H10:H1048576">
    <cfRule type="cellIs" dxfId="386" priority="2391" operator="lessThan">
      <formula>0</formula>
    </cfRule>
  </conditionalFormatting>
  <conditionalFormatting sqref="H10:H1048576">
    <cfRule type="cellIs" dxfId="385" priority="2390" operator="lessThan">
      <formula>0</formula>
    </cfRule>
  </conditionalFormatting>
  <conditionalFormatting sqref="H10:H1048576">
    <cfRule type="cellIs" dxfId="384" priority="2389" operator="lessThan">
      <formula>0</formula>
    </cfRule>
  </conditionalFormatting>
  <conditionalFormatting sqref="H10:H1048576">
    <cfRule type="cellIs" dxfId="383" priority="2388" operator="lessThan">
      <formula>0</formula>
    </cfRule>
  </conditionalFormatting>
  <conditionalFormatting sqref="H10:H1048576">
    <cfRule type="cellIs" dxfId="382" priority="2387" operator="lessThan">
      <formula>0</formula>
    </cfRule>
  </conditionalFormatting>
  <conditionalFormatting sqref="H10:H1048576">
    <cfRule type="cellIs" dxfId="381" priority="2386" operator="lessThan">
      <formula>0</formula>
    </cfRule>
  </conditionalFormatting>
  <conditionalFormatting sqref="H10:H1048576">
    <cfRule type="cellIs" dxfId="380" priority="2385" operator="lessThan">
      <formula>0</formula>
    </cfRule>
  </conditionalFormatting>
  <conditionalFormatting sqref="H10:H1048576">
    <cfRule type="cellIs" dxfId="379" priority="2384" operator="lessThan">
      <formula>0</formula>
    </cfRule>
  </conditionalFormatting>
  <conditionalFormatting sqref="H10:H1048576">
    <cfRule type="cellIs" dxfId="378" priority="2383" operator="lessThan">
      <formula>0</formula>
    </cfRule>
  </conditionalFormatting>
  <conditionalFormatting sqref="H10:H1048576">
    <cfRule type="cellIs" dxfId="377" priority="2382" operator="lessThan">
      <formula>0</formula>
    </cfRule>
  </conditionalFormatting>
  <conditionalFormatting sqref="H10:H1048576">
    <cfRule type="cellIs" dxfId="376" priority="2381" operator="lessThan">
      <formula>0</formula>
    </cfRule>
  </conditionalFormatting>
  <conditionalFormatting sqref="H10:H1048576">
    <cfRule type="cellIs" dxfId="375" priority="2380" operator="lessThan">
      <formula>0</formula>
    </cfRule>
  </conditionalFormatting>
  <conditionalFormatting sqref="H10:H1048576">
    <cfRule type="cellIs" dxfId="374" priority="2379" operator="lessThan">
      <formula>0</formula>
    </cfRule>
  </conditionalFormatting>
  <conditionalFormatting sqref="H10:H1048576">
    <cfRule type="cellIs" dxfId="373" priority="2378" operator="lessThan">
      <formula>0</formula>
    </cfRule>
  </conditionalFormatting>
  <conditionalFormatting sqref="H10:H1048576">
    <cfRule type="cellIs" dxfId="372" priority="2377" operator="lessThan">
      <formula>0</formula>
    </cfRule>
  </conditionalFormatting>
  <conditionalFormatting sqref="H10:H1048576">
    <cfRule type="cellIs" dxfId="371" priority="2376" operator="lessThan">
      <formula>0</formula>
    </cfRule>
  </conditionalFormatting>
  <conditionalFormatting sqref="H10:H1048576">
    <cfRule type="cellIs" dxfId="370" priority="2375" operator="lessThan">
      <formula>0</formula>
    </cfRule>
  </conditionalFormatting>
  <conditionalFormatting sqref="H10:H1048576">
    <cfRule type="cellIs" dxfId="369" priority="2374" operator="lessThan">
      <formula>0</formula>
    </cfRule>
  </conditionalFormatting>
  <conditionalFormatting sqref="H10:H1048576">
    <cfRule type="cellIs" dxfId="368" priority="2373" operator="lessThan">
      <formula>0</formula>
    </cfRule>
  </conditionalFormatting>
  <conditionalFormatting sqref="H10:H1048576">
    <cfRule type="cellIs" dxfId="367" priority="2372" operator="lessThan">
      <formula>0</formula>
    </cfRule>
  </conditionalFormatting>
  <conditionalFormatting sqref="H10:H1048576">
    <cfRule type="cellIs" dxfId="366" priority="2371" operator="lessThan">
      <formula>0</formula>
    </cfRule>
  </conditionalFormatting>
  <conditionalFormatting sqref="H10:H1048576">
    <cfRule type="cellIs" dxfId="365" priority="2370" operator="lessThan">
      <formula>0</formula>
    </cfRule>
  </conditionalFormatting>
  <conditionalFormatting sqref="H10:H1048576">
    <cfRule type="cellIs" dxfId="364" priority="2369" operator="lessThan">
      <formula>0</formula>
    </cfRule>
  </conditionalFormatting>
  <conditionalFormatting sqref="H10:H1048576">
    <cfRule type="cellIs" dxfId="363" priority="2368" operator="lessThan">
      <formula>0</formula>
    </cfRule>
  </conditionalFormatting>
  <conditionalFormatting sqref="H10:H1048576">
    <cfRule type="cellIs" dxfId="362" priority="2367" operator="lessThan">
      <formula>0</formula>
    </cfRule>
  </conditionalFormatting>
  <conditionalFormatting sqref="H10:H1048576">
    <cfRule type="cellIs" dxfId="361" priority="2366" operator="lessThan">
      <formula>0</formula>
    </cfRule>
  </conditionalFormatting>
  <conditionalFormatting sqref="H10:H1048576">
    <cfRule type="cellIs" dxfId="360" priority="2365" operator="lessThan">
      <formula>0</formula>
    </cfRule>
  </conditionalFormatting>
  <conditionalFormatting sqref="H10:H1048576">
    <cfRule type="cellIs" dxfId="359" priority="2364" operator="lessThan">
      <formula>0</formula>
    </cfRule>
  </conditionalFormatting>
  <conditionalFormatting sqref="H10:H1048576">
    <cfRule type="cellIs" dxfId="358" priority="2363" operator="lessThan">
      <formula>0</formula>
    </cfRule>
  </conditionalFormatting>
  <conditionalFormatting sqref="H10:H1048576">
    <cfRule type="cellIs" dxfId="357" priority="2362" operator="lessThan">
      <formula>0</formula>
    </cfRule>
  </conditionalFormatting>
  <conditionalFormatting sqref="H10:H1048576">
    <cfRule type="cellIs" dxfId="356" priority="2361" operator="lessThan">
      <formula>0</formula>
    </cfRule>
  </conditionalFormatting>
  <conditionalFormatting sqref="H10:H1048576">
    <cfRule type="cellIs" dxfId="355" priority="2360" operator="lessThan">
      <formula>0</formula>
    </cfRule>
  </conditionalFormatting>
  <conditionalFormatting sqref="H10:H1048576">
    <cfRule type="cellIs" dxfId="354" priority="2359" operator="lessThan">
      <formula>0</formula>
    </cfRule>
  </conditionalFormatting>
  <conditionalFormatting sqref="H10:H1048576">
    <cfRule type="cellIs" dxfId="353" priority="2358" operator="lessThan">
      <formula>0</formula>
    </cfRule>
  </conditionalFormatting>
  <conditionalFormatting sqref="H10:H1048576">
    <cfRule type="cellIs" dxfId="352" priority="2357" operator="lessThan">
      <formula>0</formula>
    </cfRule>
  </conditionalFormatting>
  <conditionalFormatting sqref="H10:H1048576">
    <cfRule type="cellIs" dxfId="351" priority="2356" operator="lessThan">
      <formula>0</formula>
    </cfRule>
  </conditionalFormatting>
  <conditionalFormatting sqref="H10:H1048576">
    <cfRule type="cellIs" dxfId="350" priority="2355" operator="lessThan">
      <formula>0</formula>
    </cfRule>
  </conditionalFormatting>
  <conditionalFormatting sqref="H10:H1048576">
    <cfRule type="cellIs" dxfId="349" priority="2354" operator="lessThan">
      <formula>0</formula>
    </cfRule>
  </conditionalFormatting>
  <conditionalFormatting sqref="H10:H1048576">
    <cfRule type="cellIs" dxfId="348" priority="2353" operator="lessThan">
      <formula>0</formula>
    </cfRule>
  </conditionalFormatting>
  <conditionalFormatting sqref="H10:H1048576">
    <cfRule type="cellIs" dxfId="347" priority="2352" operator="lessThan">
      <formula>0</formula>
    </cfRule>
  </conditionalFormatting>
  <conditionalFormatting sqref="H10:H1048576">
    <cfRule type="cellIs" dxfId="346" priority="2351" operator="lessThan">
      <formula>0</formula>
    </cfRule>
  </conditionalFormatting>
  <conditionalFormatting sqref="H10:H1048576">
    <cfRule type="cellIs" dxfId="345" priority="2350" operator="lessThan">
      <formula>0</formula>
    </cfRule>
  </conditionalFormatting>
  <conditionalFormatting sqref="H10:H1048576">
    <cfRule type="cellIs" dxfId="344" priority="2349" operator="lessThan">
      <formula>0</formula>
    </cfRule>
  </conditionalFormatting>
  <conditionalFormatting sqref="H10:H1048576">
    <cfRule type="cellIs" dxfId="343" priority="2348" operator="lessThan">
      <formula>0</formula>
    </cfRule>
  </conditionalFormatting>
  <conditionalFormatting sqref="H10:H1048576">
    <cfRule type="cellIs" dxfId="342" priority="2347" operator="lessThan">
      <formula>0</formula>
    </cfRule>
  </conditionalFormatting>
  <conditionalFormatting sqref="H10:H1048576">
    <cfRule type="cellIs" dxfId="341" priority="2346" operator="lessThan">
      <formula>0</formula>
    </cfRule>
  </conditionalFormatting>
  <conditionalFormatting sqref="H10:H1048576">
    <cfRule type="cellIs" dxfId="340" priority="2345" operator="lessThan">
      <formula>0</formula>
    </cfRule>
  </conditionalFormatting>
  <conditionalFormatting sqref="H10:H1048576">
    <cfRule type="cellIs" dxfId="339" priority="2344" operator="lessThan">
      <formula>0</formula>
    </cfRule>
  </conditionalFormatting>
  <conditionalFormatting sqref="H10:H1048576">
    <cfRule type="cellIs" dxfId="338" priority="2343" operator="lessThan">
      <formula>0</formula>
    </cfRule>
  </conditionalFormatting>
  <conditionalFormatting sqref="H10:H1048576">
    <cfRule type="cellIs" dxfId="337" priority="2342" operator="lessThan">
      <formula>0</formula>
    </cfRule>
  </conditionalFormatting>
  <conditionalFormatting sqref="H10:H1048576">
    <cfRule type="cellIs" dxfId="336" priority="2341" operator="lessThan">
      <formula>0</formula>
    </cfRule>
  </conditionalFormatting>
  <conditionalFormatting sqref="H10:H1048576">
    <cfRule type="cellIs" dxfId="335" priority="2340" operator="lessThan">
      <formula>0</formula>
    </cfRule>
  </conditionalFormatting>
  <conditionalFormatting sqref="H10:H1048576">
    <cfRule type="cellIs" dxfId="334" priority="2339" operator="lessThan">
      <formula>0</formula>
    </cfRule>
  </conditionalFormatting>
  <conditionalFormatting sqref="H10:H1048576">
    <cfRule type="cellIs" dxfId="333" priority="2338" operator="lessThan">
      <formula>0</formula>
    </cfRule>
  </conditionalFormatting>
  <conditionalFormatting sqref="H10:H1048576">
    <cfRule type="cellIs" dxfId="332" priority="2337" operator="lessThan">
      <formula>0</formula>
    </cfRule>
  </conditionalFormatting>
  <conditionalFormatting sqref="H10:H1048576">
    <cfRule type="cellIs" dxfId="331" priority="2336" operator="lessThan">
      <formula>0</formula>
    </cfRule>
  </conditionalFormatting>
  <conditionalFormatting sqref="H10:H1048576">
    <cfRule type="cellIs" dxfId="330" priority="2335" operator="lessThan">
      <formula>0</formula>
    </cfRule>
  </conditionalFormatting>
  <conditionalFormatting sqref="H10:H1048576">
    <cfRule type="cellIs" dxfId="329" priority="2334" operator="lessThan">
      <formula>0</formula>
    </cfRule>
  </conditionalFormatting>
  <conditionalFormatting sqref="H10:H1048576">
    <cfRule type="cellIs" dxfId="328" priority="2333" operator="lessThan">
      <formula>0</formula>
    </cfRule>
  </conditionalFormatting>
  <conditionalFormatting sqref="H10:H1048576">
    <cfRule type="cellIs" dxfId="327" priority="2332" operator="lessThan">
      <formula>0</formula>
    </cfRule>
  </conditionalFormatting>
  <conditionalFormatting sqref="H10:H1048576">
    <cfRule type="cellIs" dxfId="326" priority="2331" operator="lessThan">
      <formula>0</formula>
    </cfRule>
  </conditionalFormatting>
  <conditionalFormatting sqref="H10:H1048576">
    <cfRule type="cellIs" dxfId="325" priority="2330" operator="lessThan">
      <formula>0</formula>
    </cfRule>
  </conditionalFormatting>
  <conditionalFormatting sqref="H10:H1048576">
    <cfRule type="cellIs" dxfId="324" priority="2329" operator="lessThan">
      <formula>0</formula>
    </cfRule>
  </conditionalFormatting>
  <conditionalFormatting sqref="H10:H1048576">
    <cfRule type="cellIs" dxfId="323" priority="2328" operator="lessThan">
      <formula>0</formula>
    </cfRule>
  </conditionalFormatting>
  <conditionalFormatting sqref="H10:H1048576">
    <cfRule type="cellIs" dxfId="322" priority="2327" operator="lessThan">
      <formula>0</formula>
    </cfRule>
  </conditionalFormatting>
  <conditionalFormatting sqref="H10:H1048576">
    <cfRule type="cellIs" dxfId="321" priority="2326" operator="lessThan">
      <formula>0</formula>
    </cfRule>
  </conditionalFormatting>
  <conditionalFormatting sqref="H10:H1048576">
    <cfRule type="cellIs" dxfId="320" priority="2325" operator="lessThan">
      <formula>0</formula>
    </cfRule>
  </conditionalFormatting>
  <conditionalFormatting sqref="H10:H1048576">
    <cfRule type="cellIs" dxfId="319" priority="2324" operator="lessThan">
      <formula>0</formula>
    </cfRule>
  </conditionalFormatting>
  <conditionalFormatting sqref="H10:H1048576">
    <cfRule type="cellIs" dxfId="318" priority="2323" operator="lessThan">
      <formula>0</formula>
    </cfRule>
  </conditionalFormatting>
  <conditionalFormatting sqref="H10:H1048576">
    <cfRule type="cellIs" dxfId="317" priority="2322" operator="lessThan">
      <formula>0</formula>
    </cfRule>
  </conditionalFormatting>
  <conditionalFormatting sqref="H10:H1048576">
    <cfRule type="cellIs" dxfId="316" priority="2321" operator="lessThan">
      <formula>0</formula>
    </cfRule>
  </conditionalFormatting>
  <conditionalFormatting sqref="H10:H1048576">
    <cfRule type="cellIs" dxfId="315" priority="2320" operator="lessThan">
      <formula>0</formula>
    </cfRule>
  </conditionalFormatting>
  <conditionalFormatting sqref="H10:H1048576">
    <cfRule type="cellIs" dxfId="314" priority="2319" operator="lessThan">
      <formula>0</formula>
    </cfRule>
  </conditionalFormatting>
  <conditionalFormatting sqref="H10:H1048576">
    <cfRule type="cellIs" dxfId="313" priority="2318" operator="lessThan">
      <formula>0</formula>
    </cfRule>
  </conditionalFormatting>
  <conditionalFormatting sqref="H10:H1048576">
    <cfRule type="cellIs" dxfId="312" priority="2317" operator="lessThan">
      <formula>0</formula>
    </cfRule>
  </conditionalFormatting>
  <conditionalFormatting sqref="H10:H1048576">
    <cfRule type="cellIs" dxfId="311" priority="2316" operator="lessThan">
      <formula>0</formula>
    </cfRule>
  </conditionalFormatting>
  <conditionalFormatting sqref="H10:H1048576">
    <cfRule type="cellIs" dxfId="310" priority="2315" operator="lessThan">
      <formula>0</formula>
    </cfRule>
  </conditionalFormatting>
  <conditionalFormatting sqref="H10:H1048576">
    <cfRule type="cellIs" dxfId="309" priority="2314" operator="lessThan">
      <formula>0</formula>
    </cfRule>
  </conditionalFormatting>
  <conditionalFormatting sqref="H10:H1048576">
    <cfRule type="cellIs" dxfId="308" priority="2313" operator="lessThan">
      <formula>0</formula>
    </cfRule>
  </conditionalFormatting>
  <conditionalFormatting sqref="H10:H1048576">
    <cfRule type="cellIs" dxfId="307" priority="2312" operator="lessThan">
      <formula>0</formula>
    </cfRule>
  </conditionalFormatting>
  <conditionalFormatting sqref="H10:H1048576">
    <cfRule type="cellIs" dxfId="306" priority="2311" operator="lessThan">
      <formula>0</formula>
    </cfRule>
  </conditionalFormatting>
  <conditionalFormatting sqref="H10:H1048576">
    <cfRule type="cellIs" dxfId="305" priority="2310" operator="lessThan">
      <formula>0</formula>
    </cfRule>
  </conditionalFormatting>
  <conditionalFormatting sqref="H10:H1048576">
    <cfRule type="cellIs" dxfId="304" priority="2309" operator="lessThan">
      <formula>0</formula>
    </cfRule>
  </conditionalFormatting>
  <conditionalFormatting sqref="H10:H1048576">
    <cfRule type="cellIs" dxfId="303" priority="2308" operator="lessThan">
      <formula>0</formula>
    </cfRule>
  </conditionalFormatting>
  <conditionalFormatting sqref="H10:H1048576">
    <cfRule type="cellIs" dxfId="302" priority="2307" operator="lessThan">
      <formula>0</formula>
    </cfRule>
  </conditionalFormatting>
  <conditionalFormatting sqref="H10:H1048576">
    <cfRule type="cellIs" dxfId="301" priority="2306" operator="lessThan">
      <formula>0</formula>
    </cfRule>
  </conditionalFormatting>
  <conditionalFormatting sqref="H10:H1048576">
    <cfRule type="cellIs" dxfId="300" priority="2305" operator="lessThan">
      <formula>0</formula>
    </cfRule>
  </conditionalFormatting>
  <conditionalFormatting sqref="H10:H1048576">
    <cfRule type="cellIs" dxfId="299" priority="2304" operator="lessThan">
      <formula>0</formula>
    </cfRule>
  </conditionalFormatting>
  <conditionalFormatting sqref="H10:H1048576">
    <cfRule type="cellIs" dxfId="298" priority="2303" operator="lessThan">
      <formula>0</formula>
    </cfRule>
  </conditionalFormatting>
  <conditionalFormatting sqref="H10:H1048576">
    <cfRule type="cellIs" dxfId="297" priority="2302" operator="lessThan">
      <formula>0</formula>
    </cfRule>
  </conditionalFormatting>
  <conditionalFormatting sqref="H10:H1048576">
    <cfRule type="cellIs" dxfId="296" priority="2301" operator="lessThan">
      <formula>0</formula>
    </cfRule>
  </conditionalFormatting>
  <conditionalFormatting sqref="H10:H1048576">
    <cfRule type="cellIs" dxfId="295" priority="2300" operator="lessThan">
      <formula>0</formula>
    </cfRule>
  </conditionalFormatting>
  <conditionalFormatting sqref="H10:H1048576">
    <cfRule type="cellIs" dxfId="294" priority="2299" operator="lessThan">
      <formula>0</formula>
    </cfRule>
  </conditionalFormatting>
  <conditionalFormatting sqref="H10:H1048576">
    <cfRule type="cellIs" dxfId="293" priority="2298" operator="lessThan">
      <formula>0</formula>
    </cfRule>
  </conditionalFormatting>
  <conditionalFormatting sqref="H10:H1048576">
    <cfRule type="cellIs" dxfId="292" priority="2297" operator="lessThan">
      <formula>0</formula>
    </cfRule>
  </conditionalFormatting>
  <conditionalFormatting sqref="H10:H1048576">
    <cfRule type="cellIs" dxfId="291" priority="2296" operator="lessThan">
      <formula>0</formula>
    </cfRule>
  </conditionalFormatting>
  <conditionalFormatting sqref="H10:H1048576">
    <cfRule type="cellIs" dxfId="290" priority="2295" operator="lessThan">
      <formula>0</formula>
    </cfRule>
  </conditionalFormatting>
  <conditionalFormatting sqref="H10:H1048576">
    <cfRule type="cellIs" dxfId="289" priority="2294" operator="lessThan">
      <formula>0</formula>
    </cfRule>
  </conditionalFormatting>
  <conditionalFormatting sqref="H10:H1048576">
    <cfRule type="cellIs" dxfId="288" priority="2293" operator="lessThan">
      <formula>0</formula>
    </cfRule>
  </conditionalFormatting>
  <conditionalFormatting sqref="H10:H1048576">
    <cfRule type="cellIs" dxfId="287" priority="2292" operator="lessThan">
      <formula>0</formula>
    </cfRule>
  </conditionalFormatting>
  <conditionalFormatting sqref="H10:H1048576">
    <cfRule type="cellIs" dxfId="286" priority="2291" operator="lessThan">
      <formula>0</formula>
    </cfRule>
  </conditionalFormatting>
  <conditionalFormatting sqref="H10:H1048576">
    <cfRule type="cellIs" dxfId="285" priority="2290" operator="lessThan">
      <formula>0</formula>
    </cfRule>
  </conditionalFormatting>
  <conditionalFormatting sqref="H10:H1048576">
    <cfRule type="cellIs" dxfId="284" priority="2289" operator="lessThan">
      <formula>0</formula>
    </cfRule>
  </conditionalFormatting>
  <conditionalFormatting sqref="H10:H1048576">
    <cfRule type="cellIs" dxfId="283" priority="2288" operator="lessThan">
      <formula>0</formula>
    </cfRule>
  </conditionalFormatting>
  <conditionalFormatting sqref="H10:H1048576">
    <cfRule type="cellIs" dxfId="282" priority="2287" operator="lessThan">
      <formula>0</formula>
    </cfRule>
  </conditionalFormatting>
  <conditionalFormatting sqref="H10:H1048576">
    <cfRule type="cellIs" dxfId="281" priority="2286" operator="lessThan">
      <formula>0</formula>
    </cfRule>
  </conditionalFormatting>
  <conditionalFormatting sqref="H10:H1048576">
    <cfRule type="cellIs" dxfId="280" priority="2285" operator="lessThan">
      <formula>0</formula>
    </cfRule>
  </conditionalFormatting>
  <conditionalFormatting sqref="H10:H1048576">
    <cfRule type="cellIs" dxfId="279" priority="2284" operator="lessThan">
      <formula>0</formula>
    </cfRule>
  </conditionalFormatting>
  <conditionalFormatting sqref="H10:H1048576">
    <cfRule type="cellIs" dxfId="278" priority="2283" operator="lessThan">
      <formula>0</formula>
    </cfRule>
  </conditionalFormatting>
  <conditionalFormatting sqref="H10:H1048576">
    <cfRule type="cellIs" dxfId="277" priority="2282" operator="lessThan">
      <formula>0</formula>
    </cfRule>
  </conditionalFormatting>
  <conditionalFormatting sqref="H10:H1048576">
    <cfRule type="cellIs" dxfId="276" priority="2281" operator="lessThan">
      <formula>0</formula>
    </cfRule>
  </conditionalFormatting>
  <conditionalFormatting sqref="H10:H1048576">
    <cfRule type="cellIs" dxfId="275" priority="2280" operator="lessThan">
      <formula>0</formula>
    </cfRule>
  </conditionalFormatting>
  <conditionalFormatting sqref="H10:H1048576">
    <cfRule type="cellIs" dxfId="274" priority="2279" operator="lessThan">
      <formula>0</formula>
    </cfRule>
  </conditionalFormatting>
  <conditionalFormatting sqref="H10:H1048576">
    <cfRule type="cellIs" dxfId="273" priority="2278" operator="lessThan">
      <formula>0</formula>
    </cfRule>
  </conditionalFormatting>
  <conditionalFormatting sqref="H10:H1048576">
    <cfRule type="cellIs" dxfId="272" priority="2277" operator="lessThan">
      <formula>0</formula>
    </cfRule>
  </conditionalFormatting>
  <conditionalFormatting sqref="H10:H1048576">
    <cfRule type="cellIs" dxfId="271" priority="2276" operator="lessThan">
      <formula>0</formula>
    </cfRule>
  </conditionalFormatting>
  <conditionalFormatting sqref="H10:H1048576">
    <cfRule type="cellIs" dxfId="270" priority="2275" operator="lessThan">
      <formula>0</formula>
    </cfRule>
  </conditionalFormatting>
  <conditionalFormatting sqref="H10:H1048576">
    <cfRule type="cellIs" dxfId="269" priority="2274" operator="lessThan">
      <formula>0</formula>
    </cfRule>
  </conditionalFormatting>
  <conditionalFormatting sqref="H10:H1048576">
    <cfRule type="cellIs" dxfId="268" priority="2273" operator="lessThan">
      <formula>0</formula>
    </cfRule>
  </conditionalFormatting>
  <conditionalFormatting sqref="H10:H1048576">
    <cfRule type="cellIs" dxfId="267" priority="2272" operator="lessThan">
      <formula>0</formula>
    </cfRule>
  </conditionalFormatting>
  <conditionalFormatting sqref="H10:H1048576">
    <cfRule type="cellIs" dxfId="266" priority="2271" operator="lessThan">
      <formula>0</formula>
    </cfRule>
  </conditionalFormatting>
  <conditionalFormatting sqref="H10:H1048576">
    <cfRule type="cellIs" dxfId="265" priority="2270" operator="lessThan">
      <formula>0</formula>
    </cfRule>
  </conditionalFormatting>
  <conditionalFormatting sqref="H10:H1048576">
    <cfRule type="cellIs" dxfId="264" priority="2269" operator="lessThan">
      <formula>0</formula>
    </cfRule>
  </conditionalFormatting>
  <conditionalFormatting sqref="H10:H1048576">
    <cfRule type="cellIs" dxfId="263" priority="2268" operator="lessThan">
      <formula>0</formula>
    </cfRule>
  </conditionalFormatting>
  <conditionalFormatting sqref="H10:H1048576">
    <cfRule type="cellIs" dxfId="262" priority="2267" operator="lessThan">
      <formula>0</formula>
    </cfRule>
  </conditionalFormatting>
  <conditionalFormatting sqref="H10:H1048576">
    <cfRule type="cellIs" dxfId="261" priority="2266" operator="lessThan">
      <formula>0</formula>
    </cfRule>
  </conditionalFormatting>
  <conditionalFormatting sqref="H10:H1048576">
    <cfRule type="cellIs" dxfId="260" priority="2265" operator="lessThan">
      <formula>0</formula>
    </cfRule>
  </conditionalFormatting>
  <conditionalFormatting sqref="H10:H1048576">
    <cfRule type="cellIs" dxfId="259" priority="2264" operator="lessThan">
      <formula>0</formula>
    </cfRule>
  </conditionalFormatting>
  <conditionalFormatting sqref="H10:H1048576">
    <cfRule type="cellIs" dxfId="258" priority="2263" operator="lessThan">
      <formula>0</formula>
    </cfRule>
  </conditionalFormatting>
  <conditionalFormatting sqref="H10:H1048576">
    <cfRule type="cellIs" dxfId="257" priority="2262" operator="lessThan">
      <formula>0</formula>
    </cfRule>
  </conditionalFormatting>
  <conditionalFormatting sqref="H10:H1048576">
    <cfRule type="cellIs" dxfId="256" priority="2261" operator="lessThan">
      <formula>0</formula>
    </cfRule>
  </conditionalFormatting>
  <conditionalFormatting sqref="H10:H1048576">
    <cfRule type="cellIs" dxfId="255" priority="2260" operator="lessThan">
      <formula>0</formula>
    </cfRule>
  </conditionalFormatting>
  <conditionalFormatting sqref="H10:H1048576">
    <cfRule type="cellIs" dxfId="254" priority="2259" operator="lessThan">
      <formula>0</formula>
    </cfRule>
  </conditionalFormatting>
  <conditionalFormatting sqref="H10:H1048576">
    <cfRule type="cellIs" dxfId="253" priority="2258" operator="lessThan">
      <formula>0</formula>
    </cfRule>
  </conditionalFormatting>
  <conditionalFormatting sqref="H10:H1048576">
    <cfRule type="cellIs" dxfId="252" priority="2257" operator="lessThan">
      <formula>0</formula>
    </cfRule>
  </conditionalFormatting>
  <conditionalFormatting sqref="H10:H1048576">
    <cfRule type="cellIs" dxfId="251" priority="2256" operator="lessThan">
      <formula>0</formula>
    </cfRule>
  </conditionalFormatting>
  <conditionalFormatting sqref="H10:H1048576">
    <cfRule type="cellIs" dxfId="250" priority="2255" operator="lessThan">
      <formula>0</formula>
    </cfRule>
  </conditionalFormatting>
  <conditionalFormatting sqref="H10:H1048576">
    <cfRule type="cellIs" dxfId="249" priority="2254" operator="lessThan">
      <formula>0</formula>
    </cfRule>
  </conditionalFormatting>
  <conditionalFormatting sqref="H10:H1048576">
    <cfRule type="cellIs" dxfId="248" priority="2253" operator="lessThan">
      <formula>0</formula>
    </cfRule>
  </conditionalFormatting>
  <conditionalFormatting sqref="H10:H1048576">
    <cfRule type="cellIs" dxfId="247" priority="2252" operator="lessThan">
      <formula>0</formula>
    </cfRule>
  </conditionalFormatting>
  <conditionalFormatting sqref="H10:H1048576">
    <cfRule type="cellIs" dxfId="246" priority="2251" operator="lessThan">
      <formula>0</formula>
    </cfRule>
  </conditionalFormatting>
  <conditionalFormatting sqref="H10:H1048576">
    <cfRule type="cellIs" dxfId="245" priority="2250" operator="lessThan">
      <formula>0</formula>
    </cfRule>
  </conditionalFormatting>
  <conditionalFormatting sqref="H10:H1048576">
    <cfRule type="cellIs" dxfId="244" priority="2249" operator="lessThan">
      <formula>0</formula>
    </cfRule>
  </conditionalFormatting>
  <conditionalFormatting sqref="H10:H1048576">
    <cfRule type="cellIs" dxfId="243" priority="2248" operator="lessThan">
      <formula>0</formula>
    </cfRule>
  </conditionalFormatting>
  <conditionalFormatting sqref="H10:H1048576">
    <cfRule type="cellIs" dxfId="242" priority="2247" operator="lessThan">
      <formula>0</formula>
    </cfRule>
  </conditionalFormatting>
  <conditionalFormatting sqref="H10:H1048576">
    <cfRule type="cellIs" dxfId="241" priority="2246" operator="lessThan">
      <formula>0</formula>
    </cfRule>
  </conditionalFormatting>
  <conditionalFormatting sqref="H10:H1048576">
    <cfRule type="cellIs" dxfId="240" priority="2245" operator="lessThan">
      <formula>0</formula>
    </cfRule>
  </conditionalFormatting>
  <conditionalFormatting sqref="H10:H1048576">
    <cfRule type="cellIs" dxfId="239" priority="2244" operator="lessThan">
      <formula>0</formula>
    </cfRule>
  </conditionalFormatting>
  <conditionalFormatting sqref="H10:H1048576">
    <cfRule type="cellIs" dxfId="238" priority="2243" operator="lessThan">
      <formula>0</formula>
    </cfRule>
  </conditionalFormatting>
  <conditionalFormatting sqref="H10:H1048576">
    <cfRule type="cellIs" dxfId="237" priority="2242" operator="lessThan">
      <formula>0</formula>
    </cfRule>
  </conditionalFormatting>
  <conditionalFormatting sqref="H10:H1048576">
    <cfRule type="cellIs" dxfId="236" priority="2241" operator="lessThan">
      <formula>0</formula>
    </cfRule>
  </conditionalFormatting>
  <conditionalFormatting sqref="H10:H1048576">
    <cfRule type="cellIs" dxfId="235" priority="2240" operator="lessThan">
      <formula>0</formula>
    </cfRule>
  </conditionalFormatting>
  <conditionalFormatting sqref="H10:H1048576">
    <cfRule type="cellIs" dxfId="234" priority="2239" operator="lessThan">
      <formula>0</formula>
    </cfRule>
  </conditionalFormatting>
  <conditionalFormatting sqref="H10:H1048576">
    <cfRule type="cellIs" dxfId="233" priority="2238" operator="lessThan">
      <formula>0</formula>
    </cfRule>
  </conditionalFormatting>
  <conditionalFormatting sqref="H10:H1048576">
    <cfRule type="cellIs" dxfId="232" priority="2237" operator="lessThan">
      <formula>0</formula>
    </cfRule>
  </conditionalFormatting>
  <conditionalFormatting sqref="H10:H1048576">
    <cfRule type="cellIs" dxfId="231" priority="2236" operator="lessThan">
      <formula>0</formula>
    </cfRule>
  </conditionalFormatting>
  <conditionalFormatting sqref="H10:H1048576">
    <cfRule type="cellIs" dxfId="230" priority="2235" operator="lessThan">
      <formula>0</formula>
    </cfRule>
  </conditionalFormatting>
  <conditionalFormatting sqref="H10:H1048576">
    <cfRule type="cellIs" dxfId="229" priority="2234" operator="lessThan">
      <formula>0</formula>
    </cfRule>
  </conditionalFormatting>
  <conditionalFormatting sqref="H10:H1048576">
    <cfRule type="cellIs" dxfId="228" priority="2233" operator="lessThan">
      <formula>0</formula>
    </cfRule>
  </conditionalFormatting>
  <conditionalFormatting sqref="H10:H1048576">
    <cfRule type="cellIs" dxfId="227" priority="2232" operator="lessThan">
      <formula>0</formula>
    </cfRule>
  </conditionalFormatting>
  <conditionalFormatting sqref="H10:H1048576">
    <cfRule type="cellIs" dxfId="226" priority="2231" operator="lessThan">
      <formula>0</formula>
    </cfRule>
  </conditionalFormatting>
  <conditionalFormatting sqref="H10:H1048576">
    <cfRule type="cellIs" dxfId="225" priority="2230" operator="lessThan">
      <formula>0</formula>
    </cfRule>
  </conditionalFormatting>
  <conditionalFormatting sqref="H10:H1048576">
    <cfRule type="cellIs" dxfId="224" priority="2229" operator="lessThan">
      <formula>0</formula>
    </cfRule>
  </conditionalFormatting>
  <conditionalFormatting sqref="H10:H1048576">
    <cfRule type="cellIs" dxfId="223" priority="2228" operator="lessThan">
      <formula>0</formula>
    </cfRule>
  </conditionalFormatting>
  <conditionalFormatting sqref="H10:H1048576">
    <cfRule type="cellIs" dxfId="222" priority="2227" operator="lessThan">
      <formula>0</formula>
    </cfRule>
  </conditionalFormatting>
  <conditionalFormatting sqref="H10:H1048576">
    <cfRule type="cellIs" dxfId="221" priority="2226" operator="lessThan">
      <formula>0</formula>
    </cfRule>
  </conditionalFormatting>
  <conditionalFormatting sqref="H10:H1048576">
    <cfRule type="cellIs" dxfId="220" priority="2225" operator="lessThan">
      <formula>0</formula>
    </cfRule>
  </conditionalFormatting>
  <conditionalFormatting sqref="H10:H1048576">
    <cfRule type="cellIs" dxfId="219" priority="2224" operator="lessThan">
      <formula>0</formula>
    </cfRule>
  </conditionalFormatting>
  <conditionalFormatting sqref="H1:H1048576">
    <cfRule type="cellIs" dxfId="218" priority="2223" operator="lessThan">
      <formula>0</formula>
    </cfRule>
  </conditionalFormatting>
  <conditionalFormatting sqref="H1:H1048576">
    <cfRule type="cellIs" dxfId="217" priority="2222" operator="lessThan">
      <formula>0</formula>
    </cfRule>
  </conditionalFormatting>
  <conditionalFormatting sqref="H1:H1048576">
    <cfRule type="cellIs" dxfId="216" priority="2221" operator="lessThan">
      <formula>0</formula>
    </cfRule>
  </conditionalFormatting>
  <conditionalFormatting sqref="H1:H1048576">
    <cfRule type="cellIs" dxfId="215" priority="2220" operator="lessThan">
      <formula>0</formula>
    </cfRule>
  </conditionalFormatting>
  <conditionalFormatting sqref="H1:H1048576">
    <cfRule type="cellIs" dxfId="214" priority="2219" operator="lessThan">
      <formula>0</formula>
    </cfRule>
  </conditionalFormatting>
  <conditionalFormatting sqref="H1:H1048576">
    <cfRule type="cellIs" dxfId="213" priority="2218" operator="lessThan">
      <formula>0</formula>
    </cfRule>
  </conditionalFormatting>
  <conditionalFormatting sqref="H1:H1048576">
    <cfRule type="cellIs" dxfId="212" priority="2217" operator="lessThan">
      <formula>0</formula>
    </cfRule>
  </conditionalFormatting>
  <conditionalFormatting sqref="H1:H1048576">
    <cfRule type="cellIs" dxfId="211" priority="2216" operator="lessThan">
      <formula>0</formula>
    </cfRule>
  </conditionalFormatting>
  <conditionalFormatting sqref="H1:H1048576">
    <cfRule type="cellIs" dxfId="210" priority="2215" operator="lessThan">
      <formula>0</formula>
    </cfRule>
  </conditionalFormatting>
  <conditionalFormatting sqref="H1:H1048576">
    <cfRule type="cellIs" dxfId="209" priority="2214" operator="lessThan">
      <formula>0</formula>
    </cfRule>
  </conditionalFormatting>
  <conditionalFormatting sqref="H1:H1048576">
    <cfRule type="cellIs" dxfId="208" priority="2213" operator="lessThan">
      <formula>0</formula>
    </cfRule>
  </conditionalFormatting>
  <conditionalFormatting sqref="H1:H1048576">
    <cfRule type="cellIs" dxfId="207" priority="2212" operator="lessThan">
      <formula>0</formula>
    </cfRule>
  </conditionalFormatting>
  <conditionalFormatting sqref="H1:H1048576">
    <cfRule type="cellIs" dxfId="206" priority="2211" operator="lessThan">
      <formula>0</formula>
    </cfRule>
  </conditionalFormatting>
  <conditionalFormatting sqref="H1:H1048576">
    <cfRule type="cellIs" dxfId="205" priority="2210" operator="lessThan">
      <formula>0</formula>
    </cfRule>
  </conditionalFormatting>
  <conditionalFormatting sqref="H1:H1048576">
    <cfRule type="cellIs" dxfId="204" priority="2209" operator="lessThan">
      <formula>0</formula>
    </cfRule>
  </conditionalFormatting>
  <conditionalFormatting sqref="H1:H1048576">
    <cfRule type="cellIs" dxfId="203" priority="2208" operator="lessThan">
      <formula>0</formula>
    </cfRule>
  </conditionalFormatting>
  <conditionalFormatting sqref="H1:H1048576">
    <cfRule type="cellIs" dxfId="202" priority="2207" operator="lessThan">
      <formula>0</formula>
    </cfRule>
  </conditionalFormatting>
  <conditionalFormatting sqref="H1:H1048576">
    <cfRule type="cellIs" dxfId="201" priority="2206" operator="lessThan">
      <formula>0</formula>
    </cfRule>
  </conditionalFormatting>
  <conditionalFormatting sqref="H1:H1048576">
    <cfRule type="cellIs" dxfId="200" priority="2205" operator="lessThan">
      <formula>0</formula>
    </cfRule>
  </conditionalFormatting>
  <conditionalFormatting sqref="H1:H1048576">
    <cfRule type="cellIs" dxfId="199" priority="2204" operator="lessThan">
      <formula>0</formula>
    </cfRule>
  </conditionalFormatting>
  <conditionalFormatting sqref="H1:H1048576">
    <cfRule type="cellIs" dxfId="198" priority="2203" operator="lessThan">
      <formula>0</formula>
    </cfRule>
  </conditionalFormatting>
  <conditionalFormatting sqref="H1:H1048576">
    <cfRule type="cellIs" dxfId="197" priority="2202" operator="lessThan">
      <formula>0</formula>
    </cfRule>
  </conditionalFormatting>
  <conditionalFormatting sqref="H1:H1048576">
    <cfRule type="cellIs" dxfId="196" priority="2201" operator="lessThan">
      <formula>0</formula>
    </cfRule>
  </conditionalFormatting>
  <conditionalFormatting sqref="H1:H1048576">
    <cfRule type="cellIs" dxfId="195" priority="2200" operator="lessThan">
      <formula>0</formula>
    </cfRule>
  </conditionalFormatting>
  <conditionalFormatting sqref="H1:H1048576">
    <cfRule type="cellIs" dxfId="194" priority="2199" operator="lessThan">
      <formula>0</formula>
    </cfRule>
  </conditionalFormatting>
  <conditionalFormatting sqref="H1:H1048576">
    <cfRule type="cellIs" dxfId="193" priority="2198" operator="lessThan">
      <formula>0</formula>
    </cfRule>
  </conditionalFormatting>
  <conditionalFormatting sqref="H1:H1048576">
    <cfRule type="cellIs" dxfId="192" priority="2197" operator="lessThan">
      <formula>0</formula>
    </cfRule>
  </conditionalFormatting>
  <conditionalFormatting sqref="H1:H1048576">
    <cfRule type="cellIs" dxfId="191" priority="2196" operator="lessThan">
      <formula>0</formula>
    </cfRule>
  </conditionalFormatting>
  <conditionalFormatting sqref="H1:H1048576">
    <cfRule type="cellIs" dxfId="190" priority="2195" operator="lessThan">
      <formula>0</formula>
    </cfRule>
  </conditionalFormatting>
  <conditionalFormatting sqref="H1:H1048576">
    <cfRule type="cellIs" dxfId="189" priority="2194" operator="lessThan">
      <formula>0</formula>
    </cfRule>
  </conditionalFormatting>
  <conditionalFormatting sqref="H1:H1048576">
    <cfRule type="cellIs" dxfId="188" priority="2193" operator="lessThan">
      <formula>0</formula>
    </cfRule>
  </conditionalFormatting>
  <conditionalFormatting sqref="H1:H1048576">
    <cfRule type="cellIs" dxfId="187" priority="2192" operator="lessThan">
      <formula>0</formula>
    </cfRule>
  </conditionalFormatting>
  <conditionalFormatting sqref="H1:H1048576">
    <cfRule type="cellIs" dxfId="186" priority="2191" operator="lessThan">
      <formula>0</formula>
    </cfRule>
  </conditionalFormatting>
  <conditionalFormatting sqref="H1:H1048576">
    <cfRule type="cellIs" dxfId="185" priority="2190" operator="lessThan">
      <formula>0</formula>
    </cfRule>
  </conditionalFormatting>
  <conditionalFormatting sqref="H1:H1048576">
    <cfRule type="cellIs" dxfId="184" priority="2189" operator="lessThan">
      <formula>0</formula>
    </cfRule>
  </conditionalFormatting>
  <conditionalFormatting sqref="H1:H1048576">
    <cfRule type="cellIs" dxfId="183" priority="2188" operator="lessThan">
      <formula>0</formula>
    </cfRule>
  </conditionalFormatting>
  <conditionalFormatting sqref="H1:H1048576">
    <cfRule type="cellIs" dxfId="182" priority="2187" operator="lessThan">
      <formula>0</formula>
    </cfRule>
  </conditionalFormatting>
  <conditionalFormatting sqref="H1:H1048576">
    <cfRule type="cellIs" dxfId="181" priority="2186" operator="lessThan">
      <formula>0</formula>
    </cfRule>
  </conditionalFormatting>
  <conditionalFormatting sqref="H1:H1048576">
    <cfRule type="cellIs" dxfId="180" priority="2185" operator="lessThan">
      <formula>0</formula>
    </cfRule>
  </conditionalFormatting>
  <conditionalFormatting sqref="H1:H1048576">
    <cfRule type="cellIs" dxfId="179" priority="2184" operator="lessThan">
      <formula>0</formula>
    </cfRule>
  </conditionalFormatting>
  <conditionalFormatting sqref="H1:H1048576">
    <cfRule type="cellIs" dxfId="178" priority="2183" operator="lessThan">
      <formula>0</formula>
    </cfRule>
  </conditionalFormatting>
  <conditionalFormatting sqref="H1:H1048576">
    <cfRule type="cellIs" dxfId="177" priority="2182" operator="lessThan">
      <formula>0</formula>
    </cfRule>
  </conditionalFormatting>
  <conditionalFormatting sqref="H1:H1048576">
    <cfRule type="cellIs" dxfId="176" priority="2181" operator="lessThan">
      <formula>0</formula>
    </cfRule>
  </conditionalFormatting>
  <conditionalFormatting sqref="H1:H1048576">
    <cfRule type="cellIs" dxfId="175" priority="2180" operator="lessThan">
      <formula>0</formula>
    </cfRule>
  </conditionalFormatting>
  <conditionalFormatting sqref="H1:H1048576">
    <cfRule type="cellIs" dxfId="174" priority="2179" operator="lessThan">
      <formula>0</formula>
    </cfRule>
  </conditionalFormatting>
  <conditionalFormatting sqref="H1:H1048576">
    <cfRule type="cellIs" dxfId="173" priority="2178" operator="lessThan">
      <formula>0</formula>
    </cfRule>
  </conditionalFormatting>
  <conditionalFormatting sqref="H1:H1048576">
    <cfRule type="cellIs" dxfId="172" priority="2177" operator="lessThan">
      <formula>0</formula>
    </cfRule>
  </conditionalFormatting>
  <conditionalFormatting sqref="H1:H1048576">
    <cfRule type="cellIs" dxfId="171" priority="2176" operator="lessThan">
      <formula>0</formula>
    </cfRule>
  </conditionalFormatting>
  <conditionalFormatting sqref="H1:H1048576">
    <cfRule type="cellIs" dxfId="170" priority="2175" operator="lessThan">
      <formula>0</formula>
    </cfRule>
  </conditionalFormatting>
  <conditionalFormatting sqref="H1:H1048576">
    <cfRule type="cellIs" dxfId="169" priority="2174" operator="lessThan">
      <formula>0</formula>
    </cfRule>
  </conditionalFormatting>
  <conditionalFormatting sqref="H1:H1048576">
    <cfRule type="cellIs" dxfId="168" priority="2173" operator="lessThan">
      <formula>0</formula>
    </cfRule>
  </conditionalFormatting>
  <conditionalFormatting sqref="H1:H1048576">
    <cfRule type="cellIs" dxfId="167" priority="2172" operator="lessThan">
      <formula>0</formula>
    </cfRule>
  </conditionalFormatting>
  <conditionalFormatting sqref="H1:H1048576">
    <cfRule type="cellIs" dxfId="166" priority="2171" operator="lessThan">
      <formula>0</formula>
    </cfRule>
  </conditionalFormatting>
  <conditionalFormatting sqref="H1:H1048576">
    <cfRule type="cellIs" dxfId="165" priority="2170" operator="lessThan">
      <formula>0</formula>
    </cfRule>
  </conditionalFormatting>
  <conditionalFormatting sqref="H1:H1048576">
    <cfRule type="cellIs" dxfId="164" priority="2169" operator="lessThan">
      <formula>0</formula>
    </cfRule>
  </conditionalFormatting>
  <conditionalFormatting sqref="H1:H1048576">
    <cfRule type="cellIs" dxfId="163" priority="2168" operator="lessThan">
      <formula>0</formula>
    </cfRule>
  </conditionalFormatting>
  <conditionalFormatting sqref="H1:H1048576">
    <cfRule type="cellIs" dxfId="162" priority="2167" operator="lessThan">
      <formula>0</formula>
    </cfRule>
  </conditionalFormatting>
  <conditionalFormatting sqref="H1:H1048576">
    <cfRule type="cellIs" dxfId="161" priority="2166" operator="lessThan">
      <formula>0</formula>
    </cfRule>
  </conditionalFormatting>
  <conditionalFormatting sqref="H1:H1048576">
    <cfRule type="cellIs" dxfId="160" priority="2165" operator="lessThan">
      <formula>0</formula>
    </cfRule>
  </conditionalFormatting>
  <conditionalFormatting sqref="H1:H1048576">
    <cfRule type="cellIs" dxfId="159" priority="2164" operator="lessThan">
      <formula>0</formula>
    </cfRule>
  </conditionalFormatting>
  <conditionalFormatting sqref="H1:H1048576">
    <cfRule type="cellIs" dxfId="158" priority="2163" operator="lessThan">
      <formula>0</formula>
    </cfRule>
  </conditionalFormatting>
  <conditionalFormatting sqref="H1:H1048576">
    <cfRule type="cellIs" dxfId="157" priority="2162" operator="lessThan">
      <formula>0</formula>
    </cfRule>
  </conditionalFormatting>
  <conditionalFormatting sqref="H1:H1048576">
    <cfRule type="cellIs" dxfId="156" priority="2161" operator="lessThan">
      <formula>0</formula>
    </cfRule>
  </conditionalFormatting>
  <conditionalFormatting sqref="H1:H1048576">
    <cfRule type="cellIs" dxfId="155" priority="2160" operator="lessThan">
      <formula>0</formula>
    </cfRule>
  </conditionalFormatting>
  <conditionalFormatting sqref="H1:H1048576">
    <cfRule type="cellIs" dxfId="154" priority="2159" operator="lessThan">
      <formula>0</formula>
    </cfRule>
  </conditionalFormatting>
  <conditionalFormatting sqref="H1:H1048576">
    <cfRule type="cellIs" dxfId="153" priority="2158" operator="lessThan">
      <formula>0</formula>
    </cfRule>
  </conditionalFormatting>
  <conditionalFormatting sqref="H1:H1048576">
    <cfRule type="cellIs" dxfId="152" priority="2157" operator="lessThan">
      <formula>0</formula>
    </cfRule>
  </conditionalFormatting>
  <conditionalFormatting sqref="H1:H1048576">
    <cfRule type="cellIs" dxfId="151" priority="2156" operator="lessThan">
      <formula>0</formula>
    </cfRule>
  </conditionalFormatting>
  <conditionalFormatting sqref="H1:H1048576">
    <cfRule type="cellIs" dxfId="150" priority="2155" operator="lessThan">
      <formula>0</formula>
    </cfRule>
  </conditionalFormatting>
  <conditionalFormatting sqref="H1:H1048576">
    <cfRule type="cellIs" dxfId="149" priority="2154" operator="lessThan">
      <formula>0</formula>
    </cfRule>
  </conditionalFormatting>
  <conditionalFormatting sqref="H1:H1048576">
    <cfRule type="cellIs" dxfId="148" priority="2153" operator="lessThan">
      <formula>0</formula>
    </cfRule>
  </conditionalFormatting>
  <conditionalFormatting sqref="H1:H1048576">
    <cfRule type="cellIs" dxfId="147" priority="2152" operator="lessThan">
      <formula>0</formula>
    </cfRule>
  </conditionalFormatting>
  <conditionalFormatting sqref="H1:H1048576">
    <cfRule type="cellIs" dxfId="146" priority="2151" operator="lessThan">
      <formula>0</formula>
    </cfRule>
  </conditionalFormatting>
  <conditionalFormatting sqref="H1:H1048576">
    <cfRule type="cellIs" dxfId="145" priority="2150" operator="lessThan">
      <formula>0</formula>
    </cfRule>
  </conditionalFormatting>
  <conditionalFormatting sqref="H1:H1048576">
    <cfRule type="cellIs" dxfId="144" priority="2149" operator="lessThan">
      <formula>0</formula>
    </cfRule>
  </conditionalFormatting>
  <conditionalFormatting sqref="H1:H1048576">
    <cfRule type="cellIs" dxfId="143" priority="2148" operator="lessThan">
      <formula>0</formula>
    </cfRule>
  </conditionalFormatting>
  <conditionalFormatting sqref="H1:H1048576">
    <cfRule type="cellIs" dxfId="142" priority="2147" operator="lessThan">
      <formula>0</formula>
    </cfRule>
  </conditionalFormatting>
  <conditionalFormatting sqref="H1:H1048576">
    <cfRule type="cellIs" dxfId="141" priority="2146" operator="lessThan">
      <formula>0</formula>
    </cfRule>
  </conditionalFormatting>
  <conditionalFormatting sqref="H1:H1048576">
    <cfRule type="cellIs" dxfId="140" priority="2145" operator="lessThan">
      <formula>0</formula>
    </cfRule>
  </conditionalFormatting>
  <conditionalFormatting sqref="H1:H1048576">
    <cfRule type="cellIs" dxfId="139" priority="2144" operator="lessThan">
      <formula>0</formula>
    </cfRule>
  </conditionalFormatting>
  <conditionalFormatting sqref="H1:H1048576">
    <cfRule type="cellIs" dxfId="138" priority="2143" operator="lessThan">
      <formula>0</formula>
    </cfRule>
  </conditionalFormatting>
  <conditionalFormatting sqref="H1:H1048576">
    <cfRule type="cellIs" dxfId="137" priority="2142" operator="lessThan">
      <formula>0</formula>
    </cfRule>
  </conditionalFormatting>
  <conditionalFormatting sqref="H1:H1048576">
    <cfRule type="cellIs" dxfId="136" priority="2141" operator="lessThan">
      <formula>0</formula>
    </cfRule>
  </conditionalFormatting>
  <conditionalFormatting sqref="H1:H1048576">
    <cfRule type="cellIs" dxfId="135" priority="2140" operator="lessThan">
      <formula>0</formula>
    </cfRule>
  </conditionalFormatting>
  <conditionalFormatting sqref="H1:H1048576">
    <cfRule type="cellIs" dxfId="134" priority="2139" operator="lessThan">
      <formula>0</formula>
    </cfRule>
  </conditionalFormatting>
  <conditionalFormatting sqref="H1:H1048576">
    <cfRule type="cellIs" dxfId="133" priority="2138" operator="lessThan">
      <formula>0</formula>
    </cfRule>
  </conditionalFormatting>
  <conditionalFormatting sqref="H1:H1048576">
    <cfRule type="cellIs" dxfId="132" priority="2137" operator="lessThan">
      <formula>0</formula>
    </cfRule>
  </conditionalFormatting>
  <conditionalFormatting sqref="H1:H1048576">
    <cfRule type="cellIs" dxfId="131" priority="2136" operator="lessThan">
      <formula>0</formula>
    </cfRule>
  </conditionalFormatting>
  <conditionalFormatting sqref="H1:H1048576">
    <cfRule type="cellIs" dxfId="130" priority="2135" operator="lessThan">
      <formula>0</formula>
    </cfRule>
  </conditionalFormatting>
  <conditionalFormatting sqref="H1:H1048576">
    <cfRule type="cellIs" dxfId="129" priority="2134" operator="lessThan">
      <formula>0</formula>
    </cfRule>
  </conditionalFormatting>
  <conditionalFormatting sqref="H1:H1048576">
    <cfRule type="cellIs" dxfId="128" priority="2133" operator="lessThan">
      <formula>0</formula>
    </cfRule>
  </conditionalFormatting>
  <conditionalFormatting sqref="H1:H1048576">
    <cfRule type="cellIs" dxfId="127" priority="2132" operator="lessThan">
      <formula>0</formula>
    </cfRule>
  </conditionalFormatting>
  <conditionalFormatting sqref="H1:H1048576">
    <cfRule type="cellIs" dxfId="126" priority="2131" operator="lessThan">
      <formula>0</formula>
    </cfRule>
  </conditionalFormatting>
  <conditionalFormatting sqref="H1:H1048576">
    <cfRule type="cellIs" dxfId="125" priority="2130" operator="lessThan">
      <formula>0</formula>
    </cfRule>
  </conditionalFormatting>
  <conditionalFormatting sqref="H1:H1048576">
    <cfRule type="cellIs" dxfId="124" priority="2129" operator="lessThan">
      <formula>0</formula>
    </cfRule>
  </conditionalFormatting>
  <conditionalFormatting sqref="H1:H1048576">
    <cfRule type="cellIs" dxfId="123" priority="2128" operator="lessThan">
      <formula>0</formula>
    </cfRule>
  </conditionalFormatting>
  <conditionalFormatting sqref="H1:H1048576">
    <cfRule type="cellIs" dxfId="122" priority="2127" operator="lessThan">
      <formula>0</formula>
    </cfRule>
  </conditionalFormatting>
  <conditionalFormatting sqref="H1:H1048576">
    <cfRule type="cellIs" dxfId="121" priority="2126" operator="lessThan">
      <formula>0</formula>
    </cfRule>
  </conditionalFormatting>
  <conditionalFormatting sqref="H1:H1048576">
    <cfRule type="cellIs" dxfId="120" priority="2125" operator="lessThan">
      <formula>0</formula>
    </cfRule>
  </conditionalFormatting>
  <conditionalFormatting sqref="H1:H1048576">
    <cfRule type="cellIs" dxfId="119" priority="2124" operator="lessThan">
      <formula>0</formula>
    </cfRule>
  </conditionalFormatting>
  <conditionalFormatting sqref="H1:H1048576">
    <cfRule type="cellIs" dxfId="118" priority="2123" operator="lessThan">
      <formula>0</formula>
    </cfRule>
  </conditionalFormatting>
  <conditionalFormatting sqref="H1:H1048576">
    <cfRule type="cellIs" dxfId="117" priority="2122" operator="lessThan">
      <formula>0</formula>
    </cfRule>
  </conditionalFormatting>
  <conditionalFormatting sqref="H1:H1048576">
    <cfRule type="cellIs" dxfId="116" priority="2121" operator="lessThan">
      <formula>0</formula>
    </cfRule>
  </conditionalFormatting>
  <conditionalFormatting sqref="H1:H1048576">
    <cfRule type="cellIs" dxfId="115" priority="2120" operator="lessThan">
      <formula>0</formula>
    </cfRule>
  </conditionalFormatting>
  <conditionalFormatting sqref="H1:H1048576">
    <cfRule type="cellIs" dxfId="114" priority="2119" operator="lessThan">
      <formula>0</formula>
    </cfRule>
  </conditionalFormatting>
  <conditionalFormatting sqref="H1:H1048576">
    <cfRule type="cellIs" dxfId="113" priority="2118" operator="lessThan">
      <formula>0</formula>
    </cfRule>
  </conditionalFormatting>
  <conditionalFormatting sqref="H1:H1048576">
    <cfRule type="cellIs" dxfId="112" priority="2117" operator="lessThan">
      <formula>0</formula>
    </cfRule>
  </conditionalFormatting>
  <conditionalFormatting sqref="H1:H1048576">
    <cfRule type="cellIs" dxfId="111" priority="2116" operator="lessThan">
      <formula>0</formula>
    </cfRule>
  </conditionalFormatting>
  <conditionalFormatting sqref="H1:H1048576">
    <cfRule type="cellIs" dxfId="110" priority="2115" operator="lessThan">
      <formula>0</formula>
    </cfRule>
  </conditionalFormatting>
  <conditionalFormatting sqref="H1:H1048576">
    <cfRule type="cellIs" dxfId="109" priority="2114" operator="lessThan">
      <formula>0</formula>
    </cfRule>
  </conditionalFormatting>
  <conditionalFormatting sqref="H1:H1048576">
    <cfRule type="cellIs" dxfId="108" priority="2113" operator="lessThan">
      <formula>0</formula>
    </cfRule>
  </conditionalFormatting>
  <conditionalFormatting sqref="H1:H1048576">
    <cfRule type="cellIs" dxfId="107" priority="2112" operator="lessThan">
      <formula>0</formula>
    </cfRule>
  </conditionalFormatting>
  <conditionalFormatting sqref="H1:H1048576">
    <cfRule type="cellIs" dxfId="106" priority="2111" operator="lessThan">
      <formula>0</formula>
    </cfRule>
  </conditionalFormatting>
  <conditionalFormatting sqref="H1:H1048576">
    <cfRule type="cellIs" dxfId="105" priority="2110" operator="lessThan">
      <formula>0</formula>
    </cfRule>
  </conditionalFormatting>
  <conditionalFormatting sqref="H1:H1048576">
    <cfRule type="cellIs" dxfId="104" priority="2109" operator="lessThan">
      <formula>0</formula>
    </cfRule>
  </conditionalFormatting>
  <conditionalFormatting sqref="H1:H1048576">
    <cfRule type="cellIs" dxfId="103" priority="2108" operator="lessThan">
      <formula>0</formula>
    </cfRule>
  </conditionalFormatting>
  <conditionalFormatting sqref="H1:H1048576">
    <cfRule type="cellIs" dxfId="102" priority="2107" operator="lessThan">
      <formula>0</formula>
    </cfRule>
  </conditionalFormatting>
  <conditionalFormatting sqref="H1:H1048576">
    <cfRule type="cellIs" dxfId="101" priority="2106" operator="lessThan">
      <formula>0</formula>
    </cfRule>
  </conditionalFormatting>
  <conditionalFormatting sqref="H1:H1048576">
    <cfRule type="cellIs" dxfId="100" priority="2105" operator="lessThan">
      <formula>0</formula>
    </cfRule>
  </conditionalFormatting>
  <conditionalFormatting sqref="H1:H1048576">
    <cfRule type="cellIs" dxfId="99" priority="2104" operator="lessThan">
      <formula>0</formula>
    </cfRule>
  </conditionalFormatting>
  <conditionalFormatting sqref="H1:H1048576">
    <cfRule type="cellIs" dxfId="98" priority="2103" operator="lessThan">
      <formula>0</formula>
    </cfRule>
  </conditionalFormatting>
  <conditionalFormatting sqref="H1:H1048576">
    <cfRule type="cellIs" dxfId="97" priority="2102" operator="lessThan">
      <formula>0</formula>
    </cfRule>
  </conditionalFormatting>
  <conditionalFormatting sqref="H1:H1048576">
    <cfRule type="cellIs" dxfId="96" priority="2101" operator="lessThan">
      <formula>0</formula>
    </cfRule>
  </conditionalFormatting>
  <conditionalFormatting sqref="H1:H1048576">
    <cfRule type="cellIs" dxfId="95" priority="2100" operator="lessThan">
      <formula>0</formula>
    </cfRule>
  </conditionalFormatting>
  <conditionalFormatting sqref="H1:H1048576">
    <cfRule type="cellIs" dxfId="94" priority="2099" operator="lessThan">
      <formula>0</formula>
    </cfRule>
  </conditionalFormatting>
  <conditionalFormatting sqref="H1:H1048576">
    <cfRule type="cellIs" dxfId="93" priority="2098" operator="lessThan">
      <formula>0</formula>
    </cfRule>
  </conditionalFormatting>
  <conditionalFormatting sqref="H1:H1048576">
    <cfRule type="cellIs" dxfId="92" priority="2097" operator="lessThan">
      <formula>0</formula>
    </cfRule>
  </conditionalFormatting>
  <conditionalFormatting sqref="H1:H1048576">
    <cfRule type="cellIs" dxfId="91" priority="2096" operator="lessThan">
      <formula>0</formula>
    </cfRule>
  </conditionalFormatting>
  <conditionalFormatting sqref="H1:H1048576">
    <cfRule type="cellIs" dxfId="90" priority="2095" operator="lessThan">
      <formula>0</formula>
    </cfRule>
  </conditionalFormatting>
  <conditionalFormatting sqref="H1:H1048576">
    <cfRule type="cellIs" dxfId="89" priority="2094" operator="lessThan">
      <formula>0</formula>
    </cfRule>
  </conditionalFormatting>
  <conditionalFormatting sqref="H1:H1048576">
    <cfRule type="cellIs" dxfId="88" priority="2093" operator="lessThan">
      <formula>0</formula>
    </cfRule>
  </conditionalFormatting>
  <conditionalFormatting sqref="H1:H1048576">
    <cfRule type="cellIs" dxfId="87" priority="2092" operator="lessThan">
      <formula>0</formula>
    </cfRule>
  </conditionalFormatting>
  <conditionalFormatting sqref="H1:H1048576">
    <cfRule type="cellIs" dxfId="86" priority="2091" operator="lessThan">
      <formula>0</formula>
    </cfRule>
  </conditionalFormatting>
  <conditionalFormatting sqref="H1:H1048576">
    <cfRule type="cellIs" dxfId="85" priority="2090" operator="lessThan">
      <formula>0</formula>
    </cfRule>
  </conditionalFormatting>
  <conditionalFormatting sqref="H1:H1048576">
    <cfRule type="cellIs" dxfId="84" priority="2089" operator="lessThan">
      <formula>0</formula>
    </cfRule>
  </conditionalFormatting>
  <conditionalFormatting sqref="H1:H1048576">
    <cfRule type="cellIs" dxfId="83" priority="2088" operator="lessThan">
      <formula>0</formula>
    </cfRule>
  </conditionalFormatting>
  <conditionalFormatting sqref="H1:H1048576">
    <cfRule type="cellIs" dxfId="82" priority="2087" operator="lessThan">
      <formula>0</formula>
    </cfRule>
  </conditionalFormatting>
  <conditionalFormatting sqref="H1:H1048576">
    <cfRule type="cellIs" dxfId="81" priority="2086" operator="lessThan">
      <formula>0</formula>
    </cfRule>
  </conditionalFormatting>
  <conditionalFormatting sqref="H1:H1048576">
    <cfRule type="cellIs" dxfId="80" priority="2085" operator="lessThan">
      <formula>0</formula>
    </cfRule>
  </conditionalFormatting>
  <conditionalFormatting sqref="H1:H1048576">
    <cfRule type="cellIs" dxfId="79" priority="2084" operator="lessThan">
      <formula>0</formula>
    </cfRule>
  </conditionalFormatting>
  <conditionalFormatting sqref="H1:H1048576">
    <cfRule type="cellIs" dxfId="78" priority="2083" operator="lessThan">
      <formula>0</formula>
    </cfRule>
  </conditionalFormatting>
  <conditionalFormatting sqref="H1:H1048576">
    <cfRule type="cellIs" dxfId="77" priority="2082" operator="lessThan">
      <formula>0</formula>
    </cfRule>
  </conditionalFormatting>
  <conditionalFormatting sqref="H1:H1048576">
    <cfRule type="cellIs" dxfId="76" priority="2081" operator="lessThan">
      <formula>0</formula>
    </cfRule>
  </conditionalFormatting>
  <conditionalFormatting sqref="H1:H1048576">
    <cfRule type="cellIs" dxfId="75" priority="2080" operator="lessThan">
      <formula>0</formula>
    </cfRule>
  </conditionalFormatting>
  <conditionalFormatting sqref="H1:H1048576">
    <cfRule type="cellIs" dxfId="74" priority="2079" operator="lessThan">
      <formula>0</formula>
    </cfRule>
  </conditionalFormatting>
  <conditionalFormatting sqref="H1:H1048576">
    <cfRule type="cellIs" dxfId="73" priority="2078" operator="lessThan">
      <formula>0</formula>
    </cfRule>
  </conditionalFormatting>
  <conditionalFormatting sqref="H1:H1048576">
    <cfRule type="cellIs" dxfId="72" priority="2077" operator="lessThan">
      <formula>0</formula>
    </cfRule>
  </conditionalFormatting>
  <conditionalFormatting sqref="H1:H1048576">
    <cfRule type="cellIs" dxfId="71" priority="2076" operator="lessThan">
      <formula>0</formula>
    </cfRule>
  </conditionalFormatting>
  <conditionalFormatting sqref="H1:H1048576">
    <cfRule type="cellIs" dxfId="70" priority="2075" operator="lessThan">
      <formula>0</formula>
    </cfRule>
  </conditionalFormatting>
  <conditionalFormatting sqref="H1:H1048576">
    <cfRule type="cellIs" dxfId="69" priority="2074" operator="lessThan">
      <formula>0</formula>
    </cfRule>
  </conditionalFormatting>
  <conditionalFormatting sqref="H1:H1048576">
    <cfRule type="cellIs" dxfId="68" priority="2073" operator="lessThan">
      <formula>0</formula>
    </cfRule>
  </conditionalFormatting>
  <conditionalFormatting sqref="H1:H1048576">
    <cfRule type="cellIs" dxfId="67" priority="2072" operator="lessThan">
      <formula>0</formula>
    </cfRule>
  </conditionalFormatting>
  <conditionalFormatting sqref="H1:H1048576">
    <cfRule type="cellIs" dxfId="66" priority="2071" operator="lessThan">
      <formula>0</formula>
    </cfRule>
  </conditionalFormatting>
  <conditionalFormatting sqref="H1:H1048576">
    <cfRule type="cellIs" dxfId="65" priority="2070" operator="lessThan">
      <formula>0</formula>
    </cfRule>
  </conditionalFormatting>
  <conditionalFormatting sqref="H1:H1048576">
    <cfRule type="cellIs" dxfId="64" priority="2069" operator="lessThan">
      <formula>0</formula>
    </cfRule>
  </conditionalFormatting>
  <conditionalFormatting sqref="H1:H1048576">
    <cfRule type="cellIs" dxfId="63" priority="2068" operator="lessThan">
      <formula>0</formula>
    </cfRule>
  </conditionalFormatting>
  <conditionalFormatting sqref="H1:H1048576">
    <cfRule type="cellIs" dxfId="62" priority="2067" operator="lessThan">
      <formula>0</formula>
    </cfRule>
  </conditionalFormatting>
  <conditionalFormatting sqref="H1:H1048576">
    <cfRule type="cellIs" dxfId="61" priority="2066" operator="lessThan">
      <formula>0</formula>
    </cfRule>
  </conditionalFormatting>
  <conditionalFormatting sqref="H1:H1048576">
    <cfRule type="cellIs" dxfId="60" priority="2065" operator="lessThan">
      <formula>0</formula>
    </cfRule>
  </conditionalFormatting>
  <conditionalFormatting sqref="H1:H1048576">
    <cfRule type="cellIs" dxfId="59" priority="2064" operator="lessThan">
      <formula>0</formula>
    </cfRule>
  </conditionalFormatting>
  <conditionalFormatting sqref="H1:H1048576">
    <cfRule type="cellIs" dxfId="58" priority="2063" operator="lessThan">
      <formula>0</formula>
    </cfRule>
  </conditionalFormatting>
  <conditionalFormatting sqref="H1:H1048576">
    <cfRule type="cellIs" dxfId="57" priority="2062" operator="lessThan">
      <formula>0</formula>
    </cfRule>
  </conditionalFormatting>
  <conditionalFormatting sqref="H1:H1048576">
    <cfRule type="cellIs" dxfId="56" priority="2061" operator="lessThan">
      <formula>0</formula>
    </cfRule>
  </conditionalFormatting>
  <conditionalFormatting sqref="H1:H1048576">
    <cfRule type="cellIs" dxfId="55" priority="2060" operator="lessThan">
      <formula>0</formula>
    </cfRule>
  </conditionalFormatting>
  <conditionalFormatting sqref="H1:H1048576">
    <cfRule type="cellIs" dxfId="54" priority="2059" operator="lessThan">
      <formula>0</formula>
    </cfRule>
  </conditionalFormatting>
  <conditionalFormatting sqref="H1:H1048576">
    <cfRule type="cellIs" dxfId="53" priority="2058" operator="lessThan">
      <formula>0</formula>
    </cfRule>
  </conditionalFormatting>
  <conditionalFormatting sqref="H1:H1048576">
    <cfRule type="cellIs" dxfId="52" priority="2057" operator="lessThan">
      <formula>0</formula>
    </cfRule>
  </conditionalFormatting>
  <conditionalFormatting sqref="H1:H1048576">
    <cfRule type="cellIs" dxfId="51" priority="2056" operator="lessThan">
      <formula>0</formula>
    </cfRule>
  </conditionalFormatting>
  <conditionalFormatting sqref="H1:H1048576">
    <cfRule type="cellIs" dxfId="50" priority="2055" operator="lessThan">
      <formula>0</formula>
    </cfRule>
  </conditionalFormatting>
  <conditionalFormatting sqref="H1:H1048576">
    <cfRule type="cellIs" dxfId="49" priority="2054" operator="lessThan">
      <formula>0</formula>
    </cfRule>
  </conditionalFormatting>
  <conditionalFormatting sqref="H1:H1048576">
    <cfRule type="cellIs" dxfId="48" priority="2053" operator="lessThan">
      <formula>0</formula>
    </cfRule>
  </conditionalFormatting>
  <conditionalFormatting sqref="H1:H1048576">
    <cfRule type="cellIs" dxfId="47" priority="2052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2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U30" sqref="U30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3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7.1406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339.89</v>
      </c>
      <c r="D1" s="172">
        <f t="shared" ref="D1:D10" si="0">C1/E1-1</f>
        <v>-4.15103916979217E-2</v>
      </c>
      <c r="E1" s="239">
        <f>_xll.BDP(B1&amp;" EQUITY","PX_YEST_CLOSE")</f>
        <v>354.61</v>
      </c>
      <c r="H1" t="s">
        <v>6</v>
      </c>
      <c r="I1" s="173" cm="1">
        <f t="array" ref="I1">_xll.BDP(H1&amp;" EQUITY","LAST_PRICE")</f>
        <v>85.12</v>
      </c>
      <c r="J1" s="172">
        <f t="shared" ref="J1:J10" si="1">I1/K1-1</f>
        <v>-6.3039925286013654E-3</v>
      </c>
      <c r="K1" s="239">
        <f>_xll.BDP(H1&amp;" EQUITY","PX_YEST_CLOSE")</f>
        <v>85.66</v>
      </c>
      <c r="O1">
        <v>3.4</v>
      </c>
      <c r="P1" s="50">
        <v>1.36</v>
      </c>
      <c r="Q1" t="s">
        <v>1921</v>
      </c>
      <c r="R1" s="5">
        <f>SUM(U21:U36)</f>
        <v>1.5803273494142109E-2</v>
      </c>
      <c r="S1" s="5">
        <f>T1/R1/10000</f>
        <v>-2.0181870363041077E-2</v>
      </c>
      <c r="T1" s="276">
        <f>SUM(V21:V36)</f>
        <v>-3.1893961697045921</v>
      </c>
      <c r="U1" s="413"/>
      <c r="V1" s="369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183.14</v>
      </c>
      <c r="D2" s="172">
        <f t="shared" si="0"/>
        <v>-1.4369517248802643E-2</v>
      </c>
      <c r="E2" s="239" cm="1">
        <f t="array" ref="E2">_xll.BDP(B2&amp;" EQUITY","PX_YEST_CLOSE")</f>
        <v>185.81</v>
      </c>
      <c r="H2" t="s">
        <v>95</v>
      </c>
      <c r="I2" s="173" cm="1">
        <f t="array" ref="I2">_xll.BDP(H2&amp;" EQUITY","LAST_PRICE")</f>
        <v>331.9</v>
      </c>
      <c r="J2" s="172">
        <f t="shared" si="1"/>
        <v>-4.2004200420042714E-3</v>
      </c>
      <c r="K2" s="239">
        <f>_xll.BDP(H2&amp;" EQUITY","PX_YEST_CLOSE")</f>
        <v>333.3</v>
      </c>
      <c r="O2" s="50"/>
      <c r="P2" s="50"/>
      <c r="R2" s="5"/>
      <c r="S2" s="5"/>
      <c r="T2" s="276"/>
      <c r="U2" s="370"/>
      <c r="V2" s="369"/>
      <c r="W2" s="276">
        <f>W5/W6</f>
        <v>2.1358767463191963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327.11</v>
      </c>
      <c r="D3" s="172">
        <f t="shared" si="0"/>
        <v>-1.2378853295492154E-2</v>
      </c>
      <c r="E3" s="239">
        <f>_xll.BDP(B3&amp;" EQUITY","PX_YEST_CLOSE")</f>
        <v>331.21</v>
      </c>
      <c r="H3" t="s">
        <v>136</v>
      </c>
      <c r="I3" s="173" cm="1">
        <f t="array" ref="I3">_xll.BDP(H3&amp;" EQUITY","LAST_PRICE")</f>
        <v>388.35</v>
      </c>
      <c r="J3" s="172">
        <f t="shared" si="1"/>
        <v>-8.1219829898090401E-3</v>
      </c>
      <c r="K3" s="239" cm="1">
        <f t="array" ref="K3">_xll.BDP(H3&amp;" EQUITY","PX_YEST_CLOSE")</f>
        <v>391.53</v>
      </c>
      <c r="L3" s="174"/>
      <c r="O3" s="5"/>
      <c r="R3" s="5"/>
      <c r="S3" s="5"/>
      <c r="T3" s="276"/>
      <c r="U3" s="276">
        <f>U5/-U6</f>
        <v>9.3772748776789019</v>
      </c>
      <c r="W3" s="45" t="s">
        <v>154</v>
      </c>
      <c r="X3" s="5">
        <f>_xll.BDP("SPY Equity","LAST_PRICE")/_xll.BDP("SPY Equity","PX_YEST_CLOSE")-1</f>
        <v>-4.9151736166164195E-3</v>
      </c>
      <c r="AC3" s="93" cm="1">
        <f t="array" ref="AC3">_xll.BDP("brl Curncy","LAST_PRICE")</f>
        <v>5.3928000000000003</v>
      </c>
      <c r="AD3" s="8">
        <f>AD5*$AC$3</f>
        <v>11367526262.4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333.35</v>
      </c>
      <c r="D4" s="172">
        <f t="shared" si="0"/>
        <v>-1.4136574690207793E-2</v>
      </c>
      <c r="E4" s="239" cm="1">
        <f t="array" ref="E4">_xll.BDP(B4&amp;" EQUITY","PX_YEST_CLOSE")</f>
        <v>338.13</v>
      </c>
      <c r="F4" s="7"/>
      <c r="G4" s="7"/>
      <c r="H4" t="s">
        <v>0</v>
      </c>
      <c r="I4" s="173" cm="1">
        <f t="array" ref="I4">_xll.BDP(H4&amp;" EQUITY","LAST_PRICE")</f>
        <v>690.36</v>
      </c>
      <c r="J4" s="172">
        <f t="shared" si="1"/>
        <v>-4.9151736166164195E-3</v>
      </c>
      <c r="K4" s="239" cm="1">
        <f t="array" ref="K4">_xll.BDP(H4&amp;" EQUITY","PX_YEST_CLOSE")</f>
        <v>693.77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236.65</v>
      </c>
      <c r="D5" s="172">
        <f t="shared" si="0"/>
        <v>-2.4525968672712284E-2</v>
      </c>
      <c r="E5" s="239" cm="1">
        <f t="array" ref="E5">_xll.BDP(B5&amp;" EQUITY","PX_YEST_CLOSE")</f>
        <v>242.6</v>
      </c>
      <c r="H5" t="s">
        <v>3</v>
      </c>
      <c r="I5" s="175" cm="1">
        <f t="array" ref="I5">_xll.BDP(H5&amp;" EQUITY","LAST_PRICE")</f>
        <v>198.68</v>
      </c>
      <c r="J5" s="172">
        <f t="shared" si="1"/>
        <v>4.550510668419383E-3</v>
      </c>
      <c r="K5" s="239" cm="1">
        <f t="array" ref="K5">_xll.BDP(H5&amp;" EQUITY","PX_YEST_CLOSE")</f>
        <v>197.78</v>
      </c>
      <c r="L5" s="174"/>
      <c r="O5" s="27">
        <f>SUMIF(O12:O41,"&gt;0")</f>
        <v>1.7303165120651307E-2</v>
      </c>
      <c r="P5" s="20">
        <f>SUMIF($F$12:$F$41,"Long",P12:P41)</f>
        <v>-1.4437257270572084</v>
      </c>
      <c r="R5" s="27">
        <f>SUMIF(R12:R41,"&gt;0")</f>
        <v>5.1369853825574407E-3</v>
      </c>
      <c r="S5" s="170">
        <f>SUMIF($F$12:$F$41,"Long",S12:S41)</f>
        <v>-1.6031021611899903</v>
      </c>
      <c r="T5" t="s">
        <v>99</v>
      </c>
      <c r="U5" s="33">
        <f>SUMIF($F$12:$F$41,"Long",U12:U41)</f>
        <v>1.9338299411787465E-2</v>
      </c>
      <c r="V5" s="39">
        <f>SUMIF($F$12:$F$41,"Long",V12:V41)</f>
        <v>-3.0468278882471984</v>
      </c>
      <c r="W5" s="5">
        <f>V5/U5/10000</f>
        <v>-1.5755407563862803E-2</v>
      </c>
      <c r="X5" s="5">
        <f>W5-$X$3</f>
        <v>-1.0840233947246383E-2</v>
      </c>
      <c r="Y5" s="55">
        <f>$U5*X5*10000</f>
        <v>-2.0963168976567323</v>
      </c>
      <c r="Z5" s="9">
        <f>U5*$X$3*10000</f>
        <v>-0.95051099059046573</v>
      </c>
      <c r="AA5" s="33">
        <f>SUMIF($F$12:$F$41,"Long",AA12:AA41)</f>
        <v>2.541938577013329E-2</v>
      </c>
      <c r="AB5" s="276">
        <f>AA5/U5</f>
        <v>1.3144581759158802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259.95999999999998</v>
      </c>
      <c r="D6" s="172">
        <f t="shared" si="0"/>
        <v>-4.1754453169892125E-3</v>
      </c>
      <c r="E6" s="239" cm="1">
        <f t="array" ref="E6">_xll.BDP(B6&amp;" EQUITY","PX_YEST_CLOSE")</f>
        <v>261.05</v>
      </c>
      <c r="H6" t="s">
        <v>135</v>
      </c>
      <c r="I6" s="176" cm="1">
        <f t="array" ref="I6">_xll.BDP(H6&amp;" EQUITY","LAST_PRICE")</f>
        <v>619.54999999999995</v>
      </c>
      <c r="J6" s="172">
        <f t="shared" si="1"/>
        <v>-1.0682805314256583E-2</v>
      </c>
      <c r="K6" s="239" cm="1">
        <f t="array" ref="K6">_xll.BDP(H6&amp;" EQUITY","PX_YEST_CLOSE")</f>
        <v>626.24</v>
      </c>
      <c r="L6" s="1">
        <f>$S$1/J6</f>
        <v>1.8891920024141651</v>
      </c>
      <c r="O6" s="27">
        <f>SUMIF(O12:O41,"&lt;0")</f>
        <v>-4.6659689894544805E-3</v>
      </c>
      <c r="P6" s="20">
        <f>SUMIF($F$12:$F$41,"Short",P12:P41)</f>
        <v>0.10444601610196882</v>
      </c>
      <c r="R6" s="27">
        <f>SUMIF(R12:R41,"&lt;0")</f>
        <v>-4.9813362642826386E-4</v>
      </c>
      <c r="S6" s="170">
        <f>SUMIF($F$12:$F$41,"Short",S12:S41)</f>
        <v>4.7677056182427707E-2</v>
      </c>
      <c r="T6" t="s">
        <v>100</v>
      </c>
      <c r="U6" s="33">
        <f>SUMIF($F$12:$F$41,"Short",U12:U41)</f>
        <v>-2.0622515244614597E-3</v>
      </c>
      <c r="V6" s="39">
        <f>SUMIF($F$12:$F$41,"Short",V12:V41)</f>
        <v>0.15212307228439653</v>
      </c>
      <c r="W6" s="5">
        <f>V6/U6/10000</f>
        <v>-7.3765527861167296E-3</v>
      </c>
      <c r="X6" s="5">
        <f>$X$3-W6</f>
        <v>2.4613791695003101E-3</v>
      </c>
      <c r="Y6" s="55">
        <f>-$U6*X6*10000</f>
        <v>5.0759829445796961E-2</v>
      </c>
      <c r="Z6" s="9">
        <f>U6*$X$3*10000</f>
        <v>0.10136324283859957</v>
      </c>
      <c r="AA6" s="33">
        <f>SUMIF($F$12:$F$41,"Short",AA12:AA41)</f>
        <v>-2.292139610338305E-3</v>
      </c>
      <c r="AB6" s="276">
        <f>AA6/U6</f>
        <v>1.1114743197665371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459.38</v>
      </c>
      <c r="D7" s="172">
        <f t="shared" si="0"/>
        <v>-2.3987082244460112E-2</v>
      </c>
      <c r="E7" s="239" cm="1">
        <f t="array" ref="E7">_xll.BDP(B7&amp;" EQUITY","PX_YEST_CLOSE")</f>
        <v>470.67</v>
      </c>
      <c r="H7" t="s">
        <v>143</v>
      </c>
      <c r="I7" s="175" cm="1">
        <f t="array" ref="I7">_xll.BDP(H7&amp;" EQUITY","LAST_PRICE")</f>
        <v>104.32</v>
      </c>
      <c r="J7" s="172">
        <f t="shared" si="1"/>
        <v>-4.0099293488639054E-3</v>
      </c>
      <c r="K7" s="239">
        <f>_xll.BDP(H7&amp;" EQUITY","PX_YEST_CLOSE")</f>
        <v>104.74</v>
      </c>
      <c r="L7" s="174"/>
      <c r="M7"/>
      <c r="N7" s="28"/>
      <c r="O7" s="29">
        <f>O5+O6</f>
        <v>1.2637196131196828E-2</v>
      </c>
      <c r="P7" s="169">
        <f>SUM(P12:P41)</f>
        <v>-1.3392797109552395</v>
      </c>
      <c r="Q7" s="28"/>
      <c r="R7" s="29">
        <f>R5+R6</f>
        <v>4.6388517561291769E-3</v>
      </c>
      <c r="S7" s="169">
        <f>SUM(S12:S41)</f>
        <v>-1.5554251050075625</v>
      </c>
      <c r="T7" s="344" t="s">
        <v>66</v>
      </c>
      <c r="U7" s="345">
        <f>U5+U6</f>
        <v>1.7276047887326007E-2</v>
      </c>
      <c r="V7" s="346">
        <f>V5+V6</f>
        <v>-2.8947048159628017</v>
      </c>
      <c r="W7" s="44">
        <f>V7/U7/10000</f>
        <v>-1.6755596157419804E-2</v>
      </c>
      <c r="X7" s="44"/>
      <c r="Y7" s="56">
        <f>Y5+Y6</f>
        <v>-2.0455570682109352</v>
      </c>
      <c r="Z7" s="47">
        <f>Z5+Z6</f>
        <v>-0.84914774775186619</v>
      </c>
      <c r="AA7" s="34">
        <f>AA5+AA6</f>
        <v>2.3127246159794983E-2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335.84</v>
      </c>
      <c r="D8" s="172">
        <f t="shared" si="0"/>
        <v>-3.8693931005762128E-4</v>
      </c>
      <c r="E8" s="239" cm="1">
        <f t="array" ref="E8">_xll.BDP(B8&amp;" EQUITY","PX_YEST_CLOSE")</f>
        <v>335.97</v>
      </c>
      <c r="F8" s="16"/>
      <c r="G8" s="16"/>
      <c r="H8" t="s">
        <v>144</v>
      </c>
      <c r="I8" s="175" cm="1">
        <f t="array" ref="I8">_xll.BDP(H8&amp;" EQUITY","LAST_PRICE")</f>
        <v>263.19</v>
      </c>
      <c r="J8" s="172">
        <f t="shared" si="1"/>
        <v>7.0403673235124309E-3</v>
      </c>
      <c r="K8" s="239" cm="1">
        <f t="array" ref="K8">_xll.BDP(H8&amp;" EQUITY","PX_YEST_CLOSE")</f>
        <v>261.35000000000002</v>
      </c>
      <c r="M8"/>
      <c r="N8" s="6"/>
      <c r="O8" s="30">
        <f>O5-O6</f>
        <v>2.1969134110105787E-2</v>
      </c>
      <c r="P8" s="31"/>
      <c r="Q8" s="6"/>
      <c r="R8" s="30">
        <f>R5-R6</f>
        <v>5.6351190089857046E-3</v>
      </c>
      <c r="S8" s="31"/>
      <c r="T8" s="6" t="s">
        <v>67</v>
      </c>
      <c r="U8" s="35">
        <f>U5-U6</f>
        <v>2.1400550936248923E-2</v>
      </c>
      <c r="V8" s="41"/>
      <c r="AA8" s="35">
        <f>AA5-AA6</f>
        <v>2.7711525380471596E-2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615.52</v>
      </c>
      <c r="D9" s="172">
        <f t="shared" si="0"/>
        <v>-2.4671599930279453E-2</v>
      </c>
      <c r="E9" s="239">
        <f>_xll.BDP(B9&amp;" EQUITY","PX_YEST_CLOSE")</f>
        <v>631.09</v>
      </c>
      <c r="F9" s="16"/>
      <c r="G9" s="16"/>
      <c r="H9" t="s">
        <v>484</v>
      </c>
      <c r="I9" s="175" cm="1">
        <f t="array" ref="I9">_xll.BDP(H9&amp;" EQUITY","LAST_PRICE")</f>
        <v>82.39</v>
      </c>
      <c r="J9" s="172">
        <f t="shared" si="1"/>
        <v>3.1938877755510964E-2</v>
      </c>
      <c r="K9" s="239" cm="1">
        <f t="array" ref="K9">_xll.BDP(H9&amp;" EQUITY","PX_YEST_CLOSE")</f>
        <v>79.84</v>
      </c>
      <c r="N9" s="6"/>
      <c r="O9" s="30"/>
      <c r="P9" s="46"/>
      <c r="Q9" s="6"/>
      <c r="R9" s="30"/>
      <c r="S9" s="46"/>
      <c r="T9" s="339"/>
      <c r="U9" s="340"/>
      <c r="V9" s="341"/>
      <c r="W9" s="123">
        <v>5</v>
      </c>
      <c r="X9" s="221" t="s">
        <v>398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193.61</v>
      </c>
      <c r="D10" s="172">
        <f t="shared" si="0"/>
        <v>-4.2908695437243405E-2</v>
      </c>
      <c r="E10" s="239">
        <f>_xll.BDP(B10&amp;" EQUITY","PX_YEST_CLOSE")</f>
        <v>202.29</v>
      </c>
      <c r="F10" s="13"/>
      <c r="G10" s="13"/>
      <c r="H10" t="s">
        <v>131</v>
      </c>
      <c r="I10" s="175" cm="1">
        <f t="array" ref="I10">_xll.BDP(H10&amp;" EQUITY","LAST_PRICE")</f>
        <v>96.86</v>
      </c>
      <c r="J10" s="172">
        <f t="shared" si="1"/>
        <v>4.0427075774851495E-3</v>
      </c>
      <c r="K10" s="239">
        <f>_xll.BDP(H10&amp;" EQUITY","PX_YEST_CLOSE")</f>
        <v>96.47</v>
      </c>
      <c r="N10" s="6"/>
      <c r="P10" s="50">
        <f>SUM(Tabelad[D1 P&amp;L bps])</f>
        <v>-1.3392797109552395</v>
      </c>
      <c r="Q10" s="6"/>
      <c r="S10" s="50">
        <f>SUM(Tabelad[Options P&amp;L bps])</f>
        <v>-1.5554251050075625</v>
      </c>
      <c r="T10" s="342" t="s">
        <v>1845</v>
      </c>
      <c r="U10" s="342">
        <f>U7+U9</f>
        <v>1.7276047887326007E-2</v>
      </c>
      <c r="V10" s="343">
        <f>V7+V9</f>
        <v>-2.8947048159628017</v>
      </c>
      <c r="W10" s="17">
        <f>AE7*W9/10000</f>
        <v>1127376.6525000001</v>
      </c>
      <c r="X10" s="348"/>
      <c r="Y10" s="54">
        <v>0.35</v>
      </c>
      <c r="Z10" s="38">
        <f>SUM(Tabelad[Beta Adj])</f>
        <v>3.8673641771983172</v>
      </c>
      <c r="AA10" s="71" t="e">
        <f>AA7-SUM(#REF!)</f>
        <v>#REF!</v>
      </c>
      <c r="AD10" s="15">
        <f>SUM(Tabelad[Daily P&amp;L])</f>
        <v>-282307.84169602371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SUM(AH12:AH41)+#REF!+#REF!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1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1916</v>
      </c>
      <c r="E12" t="s">
        <v>194</v>
      </c>
      <c r="F12" s="22" t="str">
        <f>IF(T12&gt;0,"Long","Short")</f>
        <v>Long</v>
      </c>
      <c r="G12" s="15"/>
      <c r="H12" s="492">
        <v>3378</v>
      </c>
      <c r="I12" s="36" cm="1">
        <f t="array" ref="I12">_xll.BDP(B12&amp;" Equity","LAST_PRICE")</f>
        <v>169.9</v>
      </c>
      <c r="J12" s="51">
        <f t="shared" ref="J12:J41" si="2">I12/K12-1</f>
        <v>1.7304353032752573E-2</v>
      </c>
      <c r="K12" s="440" cm="1">
        <f t="array" ref="K12">_xll.BDP(B12&amp;" EQUITY","PX_YEST_CLOSE")</f>
        <v>167.01</v>
      </c>
      <c r="L12" s="53" cm="1">
        <f t="array" ref="L12">_xll.BDP(E12&amp;" Curncy","PX_LAST")</f>
        <v>1</v>
      </c>
      <c r="M12" s="52">
        <v>1</v>
      </c>
      <c r="N12" s="15">
        <f t="shared" ref="N12:N37" si="3">IFERROR(IF(((I12/L12)*H12*M12)&lt;&gt;0,((I12/L12)*H12*M12),0),"-")</f>
        <v>573922.20000000007</v>
      </c>
      <c r="O12" s="358">
        <f>IFERROR(IF(Tabelad[[#This Row],[D1 Exp USD]]&lt;&gt;0,N12/$AE$7,0),"-")</f>
        <v>2.5453879975574536E-4</v>
      </c>
      <c r="P12" s="20">
        <f>IFERROR(IF(Tabelad[[#This Row],[D1 Exp USD]]&lt;&gt;0,((I12-K12)/L12*M12*H12)/$AD$7*10000,0),"-")</f>
        <v>4.329706482013583E-2</v>
      </c>
      <c r="Q12" s="15">
        <f>IF(SUM(SUMIFS(Options!$AL$4:$AL$33, Options!$D$4:$D$33, B12), SUMIFS(Options!$AL$4:$AL$33, Options!$D$4:$D$33, B12 &amp; " US"))=0,0,SUM(SUMIFS(Options!$AL$4:$AL$33, Options!$D$4:$D$33, B12), SUMIFS(Options!$AL$4:$AL$33, Options!$D$4:$D$33, B12 &amp; " US")))</f>
        <v>0</v>
      </c>
      <c r="R12" s="19">
        <f t="shared" ref="R12:R41" si="4">Q12/$AE$7</f>
        <v>0</v>
      </c>
      <c r="S12" s="20">
        <f>IF(SUM(SUMIFS(Options!$AK$4:$AK$33, Options!$D$4:$D$33, B12), SUMIFS(Options!$AK$4:$AK$33, Options!$D$4:$D$33, B12 &amp; " US"))=0,0,SUM(SUMIFS(Options!$AK$4:$AK$33, Options!$D$4:$D$33, B12), SUMIFS(Options!AK$4:$AK$33, Options!$D$4:$D$33, B12 &amp; " US")))</f>
        <v>0</v>
      </c>
      <c r="T12" s="13">
        <f t="shared" ref="T12:T37" si="5">N12+Q12</f>
        <v>573922.20000000007</v>
      </c>
      <c r="U12" s="48">
        <f t="shared" ref="U12:U41" si="6">T12/$AE$7</f>
        <v>2.5453879975574536E-4</v>
      </c>
      <c r="V12" s="20">
        <f t="shared" ref="V12:V37" si="7">P12+S12</f>
        <v>4.329706482013583E-2</v>
      </c>
      <c r="W12" s="15">
        <f t="shared" ref="W12:W37" si="8">$W$10/(I12/L12*M12)</f>
        <v>6635.530620953502</v>
      </c>
      <c r="X12" s="19"/>
      <c r="Y12" s="376">
        <f>Tabelad[[#This Row],[Exp %]]*$Y$10*$AD$7/Tabelad[[#This Row],[Price Today]]</f>
        <v>1182.3000000000002</v>
      </c>
      <c r="Z12" s="266">
        <f>Tabelad[[#This Row],[Vol 10d]]/16*Tabelad[[#This Row],[Exp %]]*100</f>
        <v>0.1150988323072691</v>
      </c>
      <c r="AA12" s="19">
        <f>Tabelad[[#This Row],[Exp %]]*Tabelad[[#This Row],[Beta Adj2]]</f>
        <v>2.2129209408133853E-4</v>
      </c>
      <c r="AB12" s="36">
        <f>_xll.BDP($B12&amp;" Equity","volatility_10d")</f>
        <v>72.349728948336406</v>
      </c>
      <c r="AC12" s="36">
        <f>_xll.BDP(B12&amp;" EQUITY","eqy_beta")</f>
        <v>0.8693845272064209</v>
      </c>
      <c r="AD12" s="15">
        <f>Tabelad[[#This Row],[D1 P&amp;L bps]]*$AD$5/10000</f>
        <v>9126.6229310882882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7" si="9">(T12*AG12)/$AD$7*10000</f>
        <v>#VALUE!</v>
      </c>
      <c r="AI12" s="493" t="str">
        <f>_xll.BDP(B12&amp;" Equity","DVD_EX_DT")</f>
        <v>12/06/2025</v>
      </c>
    </row>
    <row r="13" spans="1:39">
      <c r="B13" s="40" t="s">
        <v>2215</v>
      </c>
      <c r="C13" t="s">
        <v>1916</v>
      </c>
      <c r="E13" t="s">
        <v>194</v>
      </c>
      <c r="F13" s="22" t="str">
        <f>IF(T13&gt;0,"Long","Short")</f>
        <v>Long</v>
      </c>
      <c r="G13" s="15"/>
      <c r="H13" s="492">
        <v>3510</v>
      </c>
      <c r="I13" s="36" cm="1">
        <f t="array" ref="I13">_xll.BDP(B13&amp;" Equity","LAST_PRICE")</f>
        <v>150.5</v>
      </c>
      <c r="J13" s="51">
        <f t="shared" si="2"/>
        <v>7.7000334784065316E-3</v>
      </c>
      <c r="K13" s="440" cm="1">
        <f t="array" ref="K13">_xll.BDP(B13&amp;" EQUITY","PX_YEST_CLOSE")</f>
        <v>149.35</v>
      </c>
      <c r="L13" s="53" cm="1">
        <f t="array" ref="L13">_xll.BDP(E13&amp;" Curncy","PX_LAST")</f>
        <v>1</v>
      </c>
      <c r="M13" s="52">
        <v>1</v>
      </c>
      <c r="N13" s="15">
        <f t="shared" si="3"/>
        <v>528255</v>
      </c>
      <c r="O13" s="358">
        <f>IFERROR(IF(Tabelad[[#This Row],[D1 Exp USD]]&lt;&gt;0,N13/$AE$7,0),"-")</f>
        <v>2.3428505408045071E-4</v>
      </c>
      <c r="P13" s="20">
        <f>IFERROR(IF(Tabelad[[#This Row],[D1 Exp USD]]&lt;&gt;0,((I13-K13)/L13*M13*H13)/$AD$7*10000,0),"-")</f>
        <v>1.7902180212127552E-2</v>
      </c>
      <c r="Q13" s="15">
        <f>IF(SUM(SUMIFS(Options!$AL$4:$AL$33, Options!$D$4:$D$33, B13), SUMIFS(Options!$AL$4:$AL$33, Options!$D$4:$D$33, B13 &amp; " US"))=0,0,SUM(SUMIFS(Options!$AL$4:$AL$33, Options!$D$4:$D$33, B13), SUMIFS(Options!$AL$4:$AL$33, Options!$D$4:$D$33, B13 &amp; " US")))</f>
        <v>0</v>
      </c>
      <c r="R13" s="19">
        <f t="shared" si="4"/>
        <v>0</v>
      </c>
      <c r="S13" s="20">
        <f>IF(SUM(SUMIFS(Options!$AK$4:$AK$33, Options!$D$4:$D$33, B13), SUMIFS(Options!$AK$4:$AK$33, Options!$D$4:$D$33, B13 &amp; " US"))=0,0,SUM(SUMIFS(Options!$AK$4:$AK$33, Options!$D$4:$D$33, B13), SUMIFS(Options!AK$4:$AK$33, Options!$D$4:$D$33, B13 &amp; " US")))</f>
        <v>0</v>
      </c>
      <c r="T13" s="13">
        <f t="shared" si="5"/>
        <v>528255</v>
      </c>
      <c r="U13" s="48">
        <f t="shared" si="6"/>
        <v>2.3428505408045071E-4</v>
      </c>
      <c r="V13" s="20">
        <f t="shared" si="7"/>
        <v>1.7902180212127552E-2</v>
      </c>
      <c r="W13" s="15">
        <f t="shared" si="8"/>
        <v>7490.874767441861</v>
      </c>
      <c r="X13" s="19"/>
      <c r="Y13" s="376">
        <f>Tabelad[[#This Row],[Exp %]]*$Y$10*$AD$7/Tabelad[[#This Row],[Price Today]]</f>
        <v>1228.4999999999998</v>
      </c>
      <c r="Z13" s="266">
        <f>Tabelad[[#This Row],[Vol 10d]]/16*Tabelad[[#This Row],[Exp %]]*100</f>
        <v>0.128101548674774</v>
      </c>
      <c r="AA13" s="19">
        <f>Tabelad[[#This Row],[Exp %]]*Tabelad[[#This Row],[Beta Adj2]]</f>
        <v>2.4462709020323564E-4</v>
      </c>
      <c r="AB13" s="36">
        <f>_xll.BDP($B13&amp;" Equity","volatility_10d")</f>
        <v>87.484230986948361</v>
      </c>
      <c r="AC13" s="36">
        <f>_xll.BDP(B13&amp;" EQUITY","eqy_beta")</f>
        <v>1.0441429615020752</v>
      </c>
      <c r="AD13" s="15">
        <f>Tabelad[[#This Row],[D1 P&amp;L bps]]*$AD$5/10000</f>
        <v>3773.6148886585361</v>
      </c>
      <c r="AE13" s="277"/>
      <c r="AF13" s="231" t="str">
        <f>_xll.BDP(B13&amp;" Equity","EXPECTED_REPORT_DT")</f>
        <v>17/02/2026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93" t="str">
        <f>_xll.BDP(B13&amp;" Equity","DVD_EX_DT")</f>
        <v>#N/A Field Not Applicable</v>
      </c>
    </row>
    <row r="14" spans="1:39">
      <c r="B14" s="40" t="s">
        <v>38</v>
      </c>
      <c r="C14" t="s">
        <v>1916</v>
      </c>
      <c r="E14" t="s">
        <v>194</v>
      </c>
      <c r="F14" s="22" t="str">
        <f>IF(T14&gt;0,"Long","Short")</f>
        <v>Long</v>
      </c>
      <c r="G14" s="15"/>
      <c r="H14" s="492"/>
      <c r="I14" s="36" cm="1">
        <f t="array" ref="I14">_xll.BDP(B14&amp;" Equity","LAST_PRICE")</f>
        <v>33.68</v>
      </c>
      <c r="J14" s="51">
        <f t="shared" si="2"/>
        <v>-5.316007088009389E-3</v>
      </c>
      <c r="K14" s="440" cm="1">
        <f t="array" ref="K14">_xll.BDP(B14&amp;" EQUITY","PX_YEST_CLOSE")</f>
        <v>33.86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8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IF(SUM(SUMIFS(Options!$AL$4:$AL$33, Options!$D$4:$D$33, B14), SUMIFS(Options!$AL$4:$AL$33, Options!$D$4:$D$33, B14 &amp; " US"))=0,0,SUM(SUMIFS(Options!$AL$4:$AL$33, Options!$D$4:$D$33, B14), SUMIFS(Options!$AL$4:$AL$33, Options!$D$4:$D$33, B14 &amp; " US")))</f>
        <v>1483059.6910715105</v>
      </c>
      <c r="R14" s="19">
        <f t="shared" si="4"/>
        <v>6.5774809500567986E-4</v>
      </c>
      <c r="S14" s="20">
        <f>IF(SUM(SUMIFS(Options!$AK$4:$AK$33, Options!$D$4:$D$33, B14), SUMIFS(Options!$AK$4:$AK$33, Options!$D$4:$D$33, B14 &amp; " US"))=0,0,SUM(SUMIFS(Options!$AK$4:$AK$33, Options!$D$4:$D$33, B14), SUMIFS(Options!AK$4:$AK$33, Options!$D$4:$D$33, B14 &amp; " US")))</f>
        <v>-6.4086787621217181E-2</v>
      </c>
      <c r="T14" s="13">
        <f t="shared" si="5"/>
        <v>1483059.6910715105</v>
      </c>
      <c r="U14" s="48">
        <f t="shared" si="6"/>
        <v>6.5774809500567986E-4</v>
      </c>
      <c r="V14" s="20">
        <f t="shared" si="7"/>
        <v>-6.4086787621217181E-2</v>
      </c>
      <c r="W14" s="15">
        <f t="shared" si="8"/>
        <v>33473.178518408553</v>
      </c>
      <c r="X14" s="19"/>
      <c r="Y14" s="376">
        <f>Tabelad[[#This Row],[Exp %]]*$Y$10*$AD$7/Tabelad[[#This Row],[Price Today]]</f>
        <v>15411.843582987789</v>
      </c>
      <c r="Z14" s="266">
        <f>Tabelad[[#This Row],[Vol 10d]]/16*Tabelad[[#This Row],[Exp %]]*100</f>
        <v>6.8824363288564602E-2</v>
      </c>
      <c r="AA14" s="19">
        <f>Tabelad[[#This Row],[Exp %]]*Tabelad[[#This Row],[Beta Adj2]]</f>
        <v>7.5232115019077737E-4</v>
      </c>
      <c r="AB14" s="36">
        <f>_xll.BDP($B14&amp;" Equity","volatility_10d")</f>
        <v>16.741816828941552</v>
      </c>
      <c r="AC14" s="36">
        <f>_xll.BDP(B14&amp;" EQUITY","eqy_beta")</f>
        <v>1.1437830924987793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-4.430051E-3</v>
      </c>
      <c r="AH14" s="20">
        <f t="shared" si="9"/>
        <v>-2.9138576060280065E-2</v>
      </c>
      <c r="AI14" s="493" t="str">
        <f>_xll.BDP(B14&amp;" Equity","DVD_EX_DT")</f>
        <v>19/12/2025</v>
      </c>
    </row>
    <row r="15" spans="1:39">
      <c r="B15" s="40" t="s">
        <v>143</v>
      </c>
      <c r="C15" t="s">
        <v>78</v>
      </c>
      <c r="E15" t="s">
        <v>194</v>
      </c>
      <c r="F15" s="22" t="s">
        <v>100</v>
      </c>
      <c r="G15" s="15"/>
      <c r="H15" s="492">
        <v>-46000</v>
      </c>
      <c r="I15" s="36" cm="1">
        <f t="array" ref="I15">_xll.BDP(B15&amp;" Equity","LAST_PRICE")</f>
        <v>104.32</v>
      </c>
      <c r="J15" s="51">
        <f t="shared" si="2"/>
        <v>-4.0099293488639054E-3</v>
      </c>
      <c r="K15" s="440" cm="1">
        <f t="array" ref="K15">_xll.BDP(B15&amp;" EQUITY","PX_YEST_CLOSE")</f>
        <v>104.74</v>
      </c>
      <c r="L15" s="53" cm="1">
        <f t="array" ref="L15">_xll.BDP(E15&amp;" Curncy","PX_LAST")</f>
        <v>1</v>
      </c>
      <c r="M15" s="52">
        <v>1</v>
      </c>
      <c r="N15" s="15">
        <f t="shared" si="3"/>
        <v>-4798720</v>
      </c>
      <c r="O15" s="358">
        <f>IFERROR(IF(Tabelad[[#This Row],[D1 Exp USD]]&lt;&gt;0,N15/$AE$7,0),"-")</f>
        <v>-2.128268307383632E-3</v>
      </c>
      <c r="P15" s="20">
        <f>IFERROR(IF(Tabelad[[#This Row],[D1 Exp USD]]&lt;&gt;0,((I15-K15)/L15*M15*H15)/$AD$7*10000,0),"-")</f>
        <v>8.5685648878559159E-2</v>
      </c>
      <c r="Q15" s="15">
        <f>IF(SUM(SUMIFS(Options!$AL$4:$AL$33, Options!$D$4:$D$33, B15), SUMIFS(Options!$AL$4:$AL$33, Options!$D$4:$D$33, B15 &amp; " US"))=0,0,SUM(SUMIFS(Options!$AL$4:$AL$33, Options!$D$4:$D$33, B15), SUMIFS(Options!$AL$4:$AL$33, Options!$D$4:$D$33, B15 &amp; " US")))</f>
        <v>0</v>
      </c>
      <c r="R15" s="19">
        <f t="shared" si="4"/>
        <v>0</v>
      </c>
      <c r="S15" s="20">
        <f>IF(SUM(SUMIFS(Options!$AK$4:$AK$33, Options!$D$4:$D$33, B15), SUMIFS(Options!$AK$4:$AK$33, Options!$D$4:$D$33, B15 &amp; " US"))=0,0,SUM(SUMIFS(Options!$AK$4:$AK$33, Options!$D$4:$D$33, B15), SUMIFS(Options!AK$4:$AK$33, Options!$D$4:$D$33, B15 &amp; " US")))</f>
        <v>0</v>
      </c>
      <c r="T15" s="13">
        <f t="shared" si="5"/>
        <v>-4798720</v>
      </c>
      <c r="U15" s="48">
        <f t="shared" si="6"/>
        <v>-2.128268307383632E-3</v>
      </c>
      <c r="V15" s="20">
        <f t="shared" si="7"/>
        <v>8.5685648878559159E-2</v>
      </c>
      <c r="W15" s="15">
        <f t="shared" si="8"/>
        <v>10806.908095283743</v>
      </c>
      <c r="X15" s="19"/>
      <c r="Y15" s="376">
        <f>Tabelad[[#This Row],[Exp %]]*$Y$10*$AD$7/Tabelad[[#This Row],[Price Today]]</f>
        <v>-16100.000000000002</v>
      </c>
      <c r="Z15" s="266">
        <f>Tabelad[[#This Row],[Vol 10d]]/16*Tabelad[[#This Row],[Exp %]]*100</f>
        <v>-0.17075985359608709</v>
      </c>
      <c r="AA15" s="19">
        <f>Tabelad[[#This Row],[Exp %]]*Tabelad[[#This Row],[Beta Adj2]]</f>
        <v>-2.1240804539500433E-3</v>
      </c>
      <c r="AB15" s="36">
        <f>_xll.BDP($B15&amp;" Equity","volatility_10d")</f>
        <v>12.837468133405357</v>
      </c>
      <c r="AC15" s="36" cm="1">
        <f t="array" ref="AC15">_xll.BDP(B15&amp;" EQUITY","eqy_beta")</f>
        <v>0.99803227186203003</v>
      </c>
      <c r="AD15" s="15">
        <f>Tabelad[[#This Row],[D1 P&amp;L bps]]*$AD$5/10000</f>
        <v>18061.746475630589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-4.1968220000000002E-3</v>
      </c>
      <c r="AH15" s="20">
        <f t="shared" si="9"/>
        <v>8.9319632543303898E-2</v>
      </c>
      <c r="AI15" s="493" t="str">
        <f>_xll.BDP(B15&amp;" Equity","DVD_EX_DT")</f>
        <v>23/12/2025</v>
      </c>
    </row>
    <row r="16" spans="1:39" s="59" customFormat="1">
      <c r="A16" s="445"/>
      <c r="B16" s="425" t="s">
        <v>143</v>
      </c>
      <c r="C16" s="59" t="s">
        <v>78</v>
      </c>
      <c r="E16" s="59" t="s">
        <v>194</v>
      </c>
      <c r="F16" s="163" t="s">
        <v>100</v>
      </c>
      <c r="G16" s="405"/>
      <c r="H16" s="446">
        <v>36000</v>
      </c>
      <c r="I16" s="14" cm="1">
        <f t="array" ref="I16">_xll.BDP(B16&amp;" Equity","LAST_PRICE")</f>
        <v>104.32</v>
      </c>
      <c r="J16" s="447">
        <f t="shared" ref="J16" si="10">I16/K16-1</f>
        <v>4.1389931658484258E-3</v>
      </c>
      <c r="K16" s="448">
        <v>103.89</v>
      </c>
      <c r="L16" s="8" cm="1">
        <f t="array" ref="L16">_xll.BDP(E16&amp;" Curncy","PX_LAST")</f>
        <v>1</v>
      </c>
      <c r="M16" s="449">
        <v>1</v>
      </c>
      <c r="N16" s="405">
        <f t="shared" ref="N16" si="11">IFERROR(IF(((I16/L16)*H16*M16)&lt;&gt;0,((I16/L16)*H16*M16),0),"-")</f>
        <v>3755519.9999999995</v>
      </c>
      <c r="O16" s="450">
        <f>IFERROR(IF(Tabelad[[#This Row],[D1 Exp USD]]&lt;&gt;0,N16/$AE$7,0),"-")</f>
        <v>1.6656012840393639E-3</v>
      </c>
      <c r="P16" s="451">
        <f>IFERROR(IF(Tabelad[[#This Row],[D1 Exp USD]]&lt;&gt;0,((I16-K16)/L16*M16*H16)/$AD$7*10000,0),"-")</f>
        <v>6.8654960902695003E-2</v>
      </c>
      <c r="Q16" s="405"/>
      <c r="R16" s="128"/>
      <c r="S16" s="451"/>
      <c r="T16" s="452">
        <f t="shared" ref="T16" si="12">N16+Q16</f>
        <v>3755519.9999999995</v>
      </c>
      <c r="U16" s="453">
        <f t="shared" ref="U16" si="13">T16/$AE$7</f>
        <v>1.6656012840393639E-3</v>
      </c>
      <c r="V16" s="451">
        <f t="shared" ref="V16" si="14">P16+S16</f>
        <v>6.8654960902695003E-2</v>
      </c>
      <c r="W16" s="405">
        <f t="shared" ref="W16" si="15">$W$10/(I16/L16*M16)</f>
        <v>10806.908095283743</v>
      </c>
      <c r="X16" s="128"/>
      <c r="Y16" s="454">
        <f>Tabelad[[#This Row],[Exp %]]*$Y$10*$AD$7/Tabelad[[#This Row],[Price Today]]</f>
        <v>12599.999999999998</v>
      </c>
      <c r="Z16" s="455">
        <f>Tabelad[[#This Row],[Vol 10d]]/16*Tabelad[[#This Row],[Exp %]]*100</f>
        <v>0.13363814629258988</v>
      </c>
      <c r="AA16" s="128">
        <f>Tabelad[[#This Row],[Exp %]]*Tabelad[[#This Row],[Beta Adj2]]</f>
        <v>1.6623238335261208E-3</v>
      </c>
      <c r="AB16" s="14">
        <f>_xll.BDP($B16&amp;" Equity","volatility_10d")</f>
        <v>12.837468133405357</v>
      </c>
      <c r="AC16" s="14" cm="1">
        <f t="array" ref="AC16">_xll.BDP(B16&amp;" EQUITY","eqy_beta")</f>
        <v>0.99803227186203003</v>
      </c>
      <c r="AD16" s="405">
        <f>Tabelad[[#This Row],[D1 P&amp;L bps]]*$AD$5/10000</f>
        <v>14471.8341326478</v>
      </c>
      <c r="AE16" s="337"/>
      <c r="AF16" s="456" t="str">
        <f>_xll.BDP(B16&amp;" Equity","EXPECTED_REPORT_DT")</f>
        <v>#N/A N/A</v>
      </c>
      <c r="AG16" s="457">
        <f>_xll.BDP(B16&amp;" Index","CHG_PCT_1D_PRE_FROM_REGULAR")/100</f>
        <v>-4.1968220000000002E-3</v>
      </c>
      <c r="AH16" s="451">
        <f t="shared" ref="AH16" si="16">(T16*AG16)/$AD$7*10000</f>
        <v>-6.9902321120846517E-2</v>
      </c>
      <c r="AI16" s="458" t="str">
        <f>_xll.BDP(B16&amp;" Equity","DVD_EX_DT")</f>
        <v>23/12/2025</v>
      </c>
    </row>
    <row r="17" spans="1:35">
      <c r="B17" s="40" t="s">
        <v>3</v>
      </c>
      <c r="C17" t="s">
        <v>78</v>
      </c>
      <c r="E17" t="s">
        <v>194</v>
      </c>
      <c r="F17" s="22" t="s">
        <v>100</v>
      </c>
      <c r="G17" s="15"/>
      <c r="H17" s="492">
        <v>-12500</v>
      </c>
      <c r="I17" s="36" cm="1">
        <f t="array" ref="I17">_xll.BDP(B17&amp;" Equity","LAST_PRICE")</f>
        <v>198.68</v>
      </c>
      <c r="J17" s="51">
        <f t="shared" si="2"/>
        <v>4.550510668419383E-3</v>
      </c>
      <c r="K17" s="440" cm="1">
        <f t="array" ref="K17">_xll.BDP(B17&amp;" EQUITY","PX_YEST_CLOSE")</f>
        <v>197.78</v>
      </c>
      <c r="L17" s="53" cm="1">
        <f t="array" ref="L17">_xll.BDP(E17&amp;" Curncy","PX_LAST")</f>
        <v>1</v>
      </c>
      <c r="M17" s="52">
        <v>1</v>
      </c>
      <c r="N17" s="15">
        <f t="shared" si="3"/>
        <v>-2483500</v>
      </c>
      <c r="O17" s="358">
        <f>IFERROR(IF(Tabelad[[#This Row],[D1 Exp USD]]&lt;&gt;0,N17/$AE$7,0),"-")</f>
        <v>-1.1014508746889275E-3</v>
      </c>
      <c r="P17" s="20">
        <f>IFERROR(IF(Tabelad[[#This Row],[D1 Exp USD]]&lt;&gt;0,((I17-K17)/L17*M17*H17)/$AD$7*10000,0),"-")</f>
        <v>-4.989459367928533E-2</v>
      </c>
      <c r="Q17" s="15">
        <f>IF(SUM(SUMIFS(Options!$AL$4:$AL$33, Options!$D$4:$D$33, B17), SUMIFS(Options!$AL$4:$AL$33, Options!$D$4:$D$33, B17 &amp; " US"))=0,0,SUM(SUMIFS(Options!$AL$4:$AL$33, Options!$D$4:$D$33, B17), SUMIFS(Options!$AL$4:$AL$33, Options!$D$4:$D$33, B17 &amp; " US")))</f>
        <v>0</v>
      </c>
      <c r="R17" s="19">
        <f t="shared" si="4"/>
        <v>0</v>
      </c>
      <c r="S17" s="20">
        <f>IF(SUM(SUMIFS(Options!$AK$4:$AK$33, Options!$D$4:$D$33, B17), SUMIFS(Options!$AK$4:$AK$33, Options!$D$4:$D$33, B17 &amp; " US"))=0,0,SUM(SUMIFS(Options!$AK$4:$AK$33, Options!$D$4:$D$33, B17), SUMIFS(Options!AK$4:$AK$33, Options!$D$4:$D$33, B17 &amp; " US")))</f>
        <v>0</v>
      </c>
      <c r="T17" s="13">
        <f t="shared" si="5"/>
        <v>-2483500</v>
      </c>
      <c r="U17" s="48">
        <f t="shared" si="6"/>
        <v>-1.1014508746889275E-3</v>
      </c>
      <c r="V17" s="20">
        <f t="shared" si="7"/>
        <v>-4.989459367928533E-2</v>
      </c>
      <c r="W17" s="15">
        <f t="shared" si="8"/>
        <v>5674.3338660157042</v>
      </c>
      <c r="X17" s="19"/>
      <c r="Y17" s="376">
        <f>Tabelad[[#This Row],[Exp %]]*$Y$10*$AD$7/Tabelad[[#This Row],[Price Today]]</f>
        <v>-4375</v>
      </c>
      <c r="Z17" s="266">
        <f>Tabelad[[#This Row],[Vol 10d]]/16*Tabelad[[#This Row],[Exp %]]*100</f>
        <v>-7.6977383807673924E-2</v>
      </c>
      <c r="AA17" s="19">
        <f>Tabelad[[#This Row],[Exp %]]*Tabelad[[#This Row],[Beta Adj2]]</f>
        <v>-1.0974975330069021E-3</v>
      </c>
      <c r="AB17" s="36">
        <f>_xll.BDP($B17&amp;" Equity","volatility_10d")</f>
        <v>11.181961621943628</v>
      </c>
      <c r="AC17" s="36" cm="1">
        <f t="array" ref="AC17">_xll.BDP(B17&amp;" EQUITY","eqy_beta")</f>
        <v>0.9964107871055603</v>
      </c>
      <c r="AD17" s="15">
        <f>Tabelad[[#This Row],[D1 P&amp;L bps]]*$AD$5/10000</f>
        <v>-10517.321317331498</v>
      </c>
      <c r="AE17" s="277"/>
      <c r="AF17" s="231" t="str">
        <f>_xll.BDP(B17&amp;" Equity","EXPECTED_REPORT_DT")</f>
        <v>#N/A N/A</v>
      </c>
      <c r="AG17" s="172" t="e">
        <f>_xll.BDP(B17&amp;" Index","CHG_PCT_1D_PRE_FROM_REGULAR")/100</f>
        <v>#VALUE!</v>
      </c>
      <c r="AH17" s="20" t="e">
        <f t="shared" si="9"/>
        <v>#VALUE!</v>
      </c>
      <c r="AI17" s="493" t="str">
        <f>_xll.BDP(B17&amp;" Equity","DVD_EX_DT")</f>
        <v>22/12/2025</v>
      </c>
    </row>
    <row r="18" spans="1:35">
      <c r="B18" s="40" t="s">
        <v>2200</v>
      </c>
      <c r="C18" t="s">
        <v>2199</v>
      </c>
      <c r="E18" t="s">
        <v>194</v>
      </c>
      <c r="F18" s="22" t="s">
        <v>99</v>
      </c>
      <c r="G18" s="15"/>
      <c r="H18" s="492">
        <v>25121</v>
      </c>
      <c r="I18" s="36" cm="1">
        <f t="array" ref="I18">_xll.BDP(B18&amp;" Equity","LAST_PRICE")</f>
        <v>96.86</v>
      </c>
      <c r="J18" s="51">
        <f t="shared" si="2"/>
        <v>4.0427075774851495E-3</v>
      </c>
      <c r="K18" s="440" cm="1">
        <f t="array" ref="K18">_xll.BDP(B18&amp;" EQUITY","PX_YEST_CLOSE")</f>
        <v>96.47</v>
      </c>
      <c r="L18" s="53" cm="1">
        <f t="array" ref="L18">_xll.BDP(E18&amp;" Curncy","PX_LAST")</f>
        <v>1</v>
      </c>
      <c r="M18" s="52">
        <v>1</v>
      </c>
      <c r="N18" s="15">
        <f t="shared" si="3"/>
        <v>2433220.06</v>
      </c>
      <c r="O18" s="358">
        <f>IFERROR(IF(Tabelad[[#This Row],[D1 Exp USD]]&lt;&gt;0,N18/$AE$7,0),"-")</f>
        <v>1.0791513442309822E-3</v>
      </c>
      <c r="P18" s="20">
        <f>IFERROR(IF(Tabelad[[#This Row],[D1 Exp USD]]&lt;&gt;0,((I18-K18)/L18*M18*H18)/$AD$7*10000,0),"-")</f>
        <v>4.3451272377667119E-2</v>
      </c>
      <c r="Q18" s="15">
        <f>IF(SUM(SUMIFS(Options!$AL$4:$AL$33, Options!$D$4:$D$33, B18), SUMIFS(Options!$AL$4:$AL$33, Options!$D$4:$D$33, B18 &amp; " US"))=0,0,SUM(SUMIFS(Options!$AL$4:$AL$33, Options!$D$4:$D$33, B18), SUMIFS(Options!$AL$4:$AL$33, Options!$D$4:$D$33, B18 &amp; " US")))</f>
        <v>0</v>
      </c>
      <c r="R18" s="19">
        <f t="shared" si="4"/>
        <v>0</v>
      </c>
      <c r="S18" s="20">
        <f>IF(SUM(SUMIFS(Options!$AK$4:$AK$33, Options!$D$4:$D$33, B18), SUMIFS(Options!$AK$4:$AK$33, Options!$D$4:$D$33, B18 &amp; " US"))=0,0,SUM(SUMIFS(Options!$AK$4:$AK$33, Options!$D$4:$D$33, B18), SUMIFS(Options!AK$4:$AK$33, Options!$D$4:$D$33, B18 &amp; " US")))</f>
        <v>0</v>
      </c>
      <c r="T18" s="13">
        <f t="shared" si="5"/>
        <v>2433220.06</v>
      </c>
      <c r="U18" s="48">
        <f t="shared" si="6"/>
        <v>1.0791513442309822E-3</v>
      </c>
      <c r="V18" s="20">
        <f t="shared" si="7"/>
        <v>4.3451272377667119E-2</v>
      </c>
      <c r="W18" s="15">
        <f t="shared" si="8"/>
        <v>11639.238617592402</v>
      </c>
      <c r="X18" s="19"/>
      <c r="Y18" s="376">
        <f>Tabelad[[#This Row],[Exp %]]*$Y$10*$AD$7/Tabelad[[#This Row],[Price Today]]</f>
        <v>8792.3499999999985</v>
      </c>
      <c r="Z18" s="266">
        <f>Tabelad[[#This Row],[Vol 10d]]/16*Tabelad[[#This Row],[Exp %]]*100</f>
        <v>0.19213932134478082</v>
      </c>
      <c r="AA18" s="19">
        <f>Tabelad[[#This Row],[Exp %]]*Tabelad[[#This Row],[Beta Adj2]]</f>
        <v>1.0685569250135389E-3</v>
      </c>
      <c r="AB18" s="36">
        <f>_xll.BDP($B18&amp;" Equity","volatility_10d")</f>
        <v>28.487469880392265</v>
      </c>
      <c r="AC18" s="36">
        <f>_xll.BDP(B18&amp;" EQUITY","eqy_beta")</f>
        <v>0.99018263816833496</v>
      </c>
      <c r="AD18" s="15">
        <f>Tabelad[[#This Row],[D1 P&amp;L bps]]*$AD$5/10000</f>
        <v>9159.1284655063537</v>
      </c>
      <c r="AE18" s="277"/>
      <c r="AF18" s="231" t="str">
        <f>_xll.BDP(B18&amp;" Equity","EXPECTED_REPORT_DT")</f>
        <v>#N/A N/A</v>
      </c>
      <c r="AG18" s="172">
        <f>_xll.BDP(B18&amp;" Index","CHG_PCT_1D_PRE_FROM_REGULAR")/100</f>
        <v>2.0213510000000001E-2</v>
      </c>
      <c r="AH18" s="20">
        <f t="shared" si="9"/>
        <v>0.21813436488126403</v>
      </c>
      <c r="AI18" s="493" t="str">
        <f>_xll.BDP(B18&amp;" Equity","DVD_EX_DT")</f>
        <v>22/12/2025</v>
      </c>
    </row>
    <row r="19" spans="1:35" s="59" customFormat="1">
      <c r="A19" s="445"/>
      <c r="B19" s="425" t="s">
        <v>2200</v>
      </c>
      <c r="C19" s="59" t="s">
        <v>2199</v>
      </c>
      <c r="E19" s="59" t="s">
        <v>194</v>
      </c>
      <c r="F19" s="163" t="s">
        <v>99</v>
      </c>
      <c r="G19" s="405"/>
      <c r="H19" s="446">
        <v>2797</v>
      </c>
      <c r="I19" s="14" cm="1">
        <f t="array" ref="I19">_xll.BDP(B19&amp;" Equity","LAST_PRICE")</f>
        <v>96.86</v>
      </c>
      <c r="J19" s="447">
        <f t="shared" ref="J19" si="17">I19/K19-1</f>
        <v>8.6431323544724492E-3</v>
      </c>
      <c r="K19" s="448">
        <v>96.03</v>
      </c>
      <c r="L19" s="8" cm="1">
        <f t="array" ref="L19">_xll.BDP(E19&amp;" Curncy","PX_LAST")</f>
        <v>1</v>
      </c>
      <c r="M19" s="449">
        <v>1</v>
      </c>
      <c r="N19" s="405">
        <f t="shared" ref="N19" si="18">IFERROR(IF(((I19/L19)*H19*M19)&lt;&gt;0,((I19/L19)*H19*M19),0),"-")</f>
        <v>270917.42</v>
      </c>
      <c r="O19" s="450">
        <f>IFERROR(IF(Tabelad[[#This Row],[D1 Exp USD]]&lt;&gt;0,N19/$AE$7,0),"-")</f>
        <v>1.2015390748035737E-4</v>
      </c>
      <c r="P19" s="451">
        <f>IFERROR(IF(Tabelad[[#This Row],[D1 Exp USD]]&lt;&gt;0,((I19-K19)/L19*M19*H19)/$AD$7*10000,0),"-")</f>
        <v>1.0296070948657485E-2</v>
      </c>
      <c r="Q19" s="405"/>
      <c r="R19" s="128"/>
      <c r="S19" s="451"/>
      <c r="T19" s="452">
        <f t="shared" ref="T19" si="19">N19+Q19</f>
        <v>270917.42</v>
      </c>
      <c r="U19" s="453">
        <f t="shared" ref="U19" si="20">T19/$AE$7</f>
        <v>1.2015390748035737E-4</v>
      </c>
      <c r="V19" s="451">
        <f t="shared" ref="V19" si="21">P19+S19</f>
        <v>1.0296070948657485E-2</v>
      </c>
      <c r="W19" s="405">
        <f t="shared" ref="W19" si="22">$W$10/(I19/L19*M19)</f>
        <v>11639.238617592402</v>
      </c>
      <c r="X19" s="128"/>
      <c r="Y19" s="454">
        <f>Tabelad[[#This Row],[Exp %]]*$Y$10*$AD$7/Tabelad[[#This Row],[Price Today]]</f>
        <v>978.94999999999993</v>
      </c>
      <c r="Z19" s="455">
        <f>Tabelad[[#This Row],[Vol 10d]]/16*Tabelad[[#This Row],[Exp %]]*100</f>
        <v>2.1393005127238244E-2</v>
      </c>
      <c r="AA19" s="128">
        <f>Tabelad[[#This Row],[Exp %]]*Tabelad[[#This Row],[Beta Adj2]]</f>
        <v>1.1897431309513429E-4</v>
      </c>
      <c r="AB19" s="14">
        <f>_xll.BDP($B19&amp;" Equity","volatility_10d")</f>
        <v>28.487469880392265</v>
      </c>
      <c r="AC19" s="14">
        <f>_xll.BDP(B19&amp;" EQUITY","eqy_beta")</f>
        <v>0.99018263816833496</v>
      </c>
      <c r="AD19" s="405">
        <f>Tabelad[[#This Row],[D1 P&amp;L bps]]*$AD$5/10000</f>
        <v>2170.3170321242701</v>
      </c>
      <c r="AE19" s="337"/>
      <c r="AF19" s="456" t="str">
        <f>_xll.BDP(B19&amp;" Equity","EXPECTED_REPORT_DT")</f>
        <v>#N/A N/A</v>
      </c>
      <c r="AG19" s="457">
        <f>_xll.BDP(B19&amp;" Index","CHG_PCT_1D_PRE_FROM_REGULAR")/100</f>
        <v>2.0213510000000001E-2</v>
      </c>
      <c r="AH19" s="451">
        <f t="shared" ref="AH19" si="23">(T19*AG19)/$AD$7*10000</f>
        <v>2.4287322103932786E-2</v>
      </c>
      <c r="AI19" s="458" t="str">
        <f>_xll.BDP(B19&amp;" Equity","DVD_EX_DT")</f>
        <v>22/12/2025</v>
      </c>
    </row>
    <row r="20" spans="1:35">
      <c r="B20" s="40" t="s">
        <v>2103</v>
      </c>
      <c r="C20" t="s">
        <v>2382</v>
      </c>
      <c r="E20" t="s">
        <v>194</v>
      </c>
      <c r="F20" s="22" t="s">
        <v>100</v>
      </c>
      <c r="G20" s="15"/>
      <c r="H20" s="492">
        <v>0</v>
      </c>
      <c r="I20" s="36" cm="1">
        <f t="array" ref="I20">_xll.BDP(B20&amp;" Equity","LAST_PRICE")</f>
        <v>88.55</v>
      </c>
      <c r="J20" s="51">
        <f>I20/K20-1</f>
        <v>-1.9596988485385269E-2</v>
      </c>
      <c r="K20" s="440" cm="1">
        <f t="array" ref="K20">_xll.BDP(B20&amp;" EQUITY","PX_YEST_CLOSE")</f>
        <v>90.32</v>
      </c>
      <c r="L20" s="53" cm="1">
        <f t="array" ref="L20">_xll.BDP(E20&amp;" Curncy","PX_LAST")</f>
        <v>1</v>
      </c>
      <c r="M20" s="52">
        <v>1</v>
      </c>
      <c r="N20" s="15">
        <f>IFERROR(IF(((I20/L20)*H20*M20)&lt;&gt;0,((I20/L20)*H20*M20),0),"-")</f>
        <v>0</v>
      </c>
      <c r="O20" s="358">
        <f>IFERROR(IF(Tabelad[[#This Row],[D1 Exp USD]]&lt;&gt;0,N20/$AE$7,0),"-")</f>
        <v>0</v>
      </c>
      <c r="P20" s="20">
        <f>IFERROR(IF(Tabelad[[#This Row],[D1 Exp USD]]&lt;&gt;0,((I20-K20)/L20*M20*H20)/$AD$7*10000,0),"-")</f>
        <v>0</v>
      </c>
      <c r="Q20" s="15">
        <f>IF(SUM(SUMIFS(Options!$AL$4:$AL$33, Options!$D$4:$D$33, B20), SUMIFS(Options!$AL$4:$AL$33, Options!$D$4:$D$33, B20 &amp; " US"))=0,0,SUM(SUMIFS(Options!$AL$4:$AL$33, Options!$D$4:$D$33, B20), SUMIFS(Options!$AL$4:$AL$33, Options!$D$4:$D$33, B20 &amp; " US")))</f>
        <v>-436605.18836081028</v>
      </c>
      <c r="R20" s="19">
        <f>Q20/$AE$7</f>
        <v>-1.936376753024918E-4</v>
      </c>
      <c r="S20" s="20">
        <f>IF(SUM(SUMIFS(Options!$AK$4:$AK$33, Options!$D$4:$D$33, B20), SUMIFS(Options!$AK$4:$AK$33, Options!$D$4:$D$33, B20 &amp; " US"))=0,0,SUM(SUMIFS(Options!$AK$4:$AK$33, Options!$D$4:$D$33, B20), SUMIFS(Options!AK$4:$AK$33, Options!$D$4:$D$33, B20 &amp; " US")))</f>
        <v>3.392832370191376E-2</v>
      </c>
      <c r="T20" s="13">
        <f>N20+Q20</f>
        <v>-436605.18836081028</v>
      </c>
      <c r="U20" s="48">
        <f>T20/$AE$7</f>
        <v>-1.936376753024918E-4</v>
      </c>
      <c r="V20" s="20">
        <f>P20+S20</f>
        <v>3.392832370191376E-2</v>
      </c>
      <c r="W20" s="15">
        <f>$W$10/(I20/L20*M20)</f>
        <v>12731.526284584981</v>
      </c>
      <c r="X20" s="19"/>
      <c r="Y20" s="376">
        <f>Tabelad[[#This Row],[Exp %]]*$Y$10*$AD$7/Tabelad[[#This Row],[Price Today]]</f>
        <v>-1725.7122069597244</v>
      </c>
      <c r="Z20" s="266">
        <f>Tabelad[[#This Row],[Vol 10d]]/16*Tabelad[[#This Row],[Exp %]]*100</f>
        <v>-2.4775731901901476E-2</v>
      </c>
      <c r="AA20" s="19">
        <f>Tabelad[[#This Row],[Exp %]]*Tabelad[[#This Row],[Beta Adj2]]</f>
        <v>-2.14980041912122E-4</v>
      </c>
      <c r="AB20" s="36">
        <f>_xll.BDP($B20&amp;" Equity","volatility_10d")</f>
        <v>20.471827593011927</v>
      </c>
      <c r="AC20" s="36">
        <f>_xll.BDP(B20&amp;" EQUITY","eqy_beta")</f>
        <v>1.1102180480957031</v>
      </c>
      <c r="AD20" s="15">
        <f>Tabelad[[#This Row],[D1 P&amp;L bps]]*$AD$5/10000</f>
        <v>0</v>
      </c>
      <c r="AE20" s="277"/>
      <c r="AF20" s="231" t="str">
        <f>_xll.BDP(B20&amp;" Equity","EXPECTED_REPORT_DT")</f>
        <v>20/01/2026</v>
      </c>
      <c r="AG20" s="172">
        <f>_xll.BDP(B20&amp;" Index","CHG_PCT_1D_PRE_FROM_REGULAR")/100</f>
        <v>1.0185979999999999E-2</v>
      </c>
      <c r="AH20" s="20">
        <f>(T20*AG20)/$AD$7*10000</f>
        <v>-1.9723894878776752E-2</v>
      </c>
      <c r="AI20" s="493" t="str">
        <f>_xll.BDP(B20&amp;" Equity","DVD_EX_DT")</f>
        <v>#N/A Field Not Applicable</v>
      </c>
    </row>
    <row r="21" spans="1:35">
      <c r="B21" s="40" t="s">
        <v>2224</v>
      </c>
      <c r="C21" t="s">
        <v>2382</v>
      </c>
      <c r="E21" t="s">
        <v>194</v>
      </c>
      <c r="F21" s="22" t="s">
        <v>99</v>
      </c>
      <c r="G21" s="15"/>
      <c r="H21" s="492">
        <v>1780</v>
      </c>
      <c r="I21" s="36" cm="1">
        <f t="array" ref="I21">_xll.BDP(B21&amp;" Equity","LAST_PRICE")</f>
        <v>336.31</v>
      </c>
      <c r="J21" s="51">
        <f t="shared" si="2"/>
        <v>-3.5668638349728443E-4</v>
      </c>
      <c r="K21" s="440" cm="1">
        <f t="array" ref="K21">_xll.BDP(B21&amp;" EQUITY","PX_YEST_CLOSE")</f>
        <v>336.43</v>
      </c>
      <c r="L21" s="53" cm="1">
        <f t="array" ref="L21">_xll.BDP(E21&amp;" Curncy","PX_LAST")</f>
        <v>1</v>
      </c>
      <c r="M21" s="52">
        <v>1</v>
      </c>
      <c r="N21" s="15">
        <f t="shared" si="3"/>
        <v>598631.80000000005</v>
      </c>
      <c r="O21" s="358">
        <f>IFERROR(IF(Tabelad[[#This Row],[D1 Exp USD]]&lt;&gt;0,N21/$AE$7,0),"-")</f>
        <v>2.6549769266221346E-4</v>
      </c>
      <c r="P21" s="20">
        <f>IFERROR(IF(Tabelad[[#This Row],[D1 Exp USD]]&lt;&gt;0,((I21-K21)/L21*M21*H21)/$AD$7*10000,0),"-")</f>
        <v>-9.4733201865739415E-4</v>
      </c>
      <c r="Q21" s="15">
        <f>IF(SUM(SUMIFS(Options!$AL$4:$AL$33, Options!$D$4:$D$33, B21), SUMIFS(Options!$AL$4:$AL$33, Options!$D$4:$D$33, B21 &amp; " US"))=0,0,SUM(SUMIFS(Options!$AL$4:$AL$33, Options!$D$4:$D$33, B21), SUMIFS(Options!$AL$4:$AL$33, Options!$D$4:$D$33, B21 &amp; " US")))</f>
        <v>0</v>
      </c>
      <c r="R21" s="19">
        <f t="shared" si="4"/>
        <v>0</v>
      </c>
      <c r="S21" s="20">
        <f>IF(SUM(SUMIFS(Options!$AK$4:$AK$33, Options!$D$4:$D$33, B21), SUMIFS(Options!$AK$4:$AK$33, Options!$D$4:$D$33, B21 &amp; " US"))=0,0,SUM(SUMIFS(Options!$AK$4:$AK$33, Options!$D$4:$D$33, B21), SUMIFS(Options!AK$4:$AK$33, Options!$D$4:$D$33, B21 &amp; " US")))</f>
        <v>0</v>
      </c>
      <c r="T21" s="13">
        <f t="shared" si="5"/>
        <v>598631.80000000005</v>
      </c>
      <c r="U21" s="48">
        <f t="shared" si="6"/>
        <v>2.6549769266221346E-4</v>
      </c>
      <c r="V21" s="20">
        <f t="shared" si="7"/>
        <v>-9.4733201865739415E-4</v>
      </c>
      <c r="W21" s="15">
        <f t="shared" si="8"/>
        <v>3352.194857423211</v>
      </c>
      <c r="X21" s="19"/>
      <c r="Y21" s="376">
        <f>Tabelad[[#This Row],[Exp %]]*$Y$10*$AD$7/Tabelad[[#This Row],[Price Today]]</f>
        <v>623</v>
      </c>
      <c r="Z21" s="266">
        <f>Tabelad[[#This Row],[Vol 10d]]/16*Tabelad[[#This Row],[Exp %]]*100</f>
        <v>2.4531463828465001E-2</v>
      </c>
      <c r="AA21" s="19">
        <f>Tabelad[[#This Row],[Exp %]]*Tabelad[[#This Row],[Beta Adj2]]</f>
        <v>2.7127140584369769E-4</v>
      </c>
      <c r="AB21" s="36">
        <f>_xll.BDP($B21&amp;" Equity","volatility_10d")</f>
        <v>14.783684834309014</v>
      </c>
      <c r="AC21" s="36" cm="1">
        <f t="array" ref="AC21">_xll.BDP(B21&amp;" EQUITY","eqy_beta")</f>
        <v>1.0217467546463013</v>
      </c>
      <c r="AD21" s="15">
        <f>Tabelad[[#This Row],[D1 P&amp;L bps]]*$AD$5/10000</f>
        <v>-199.68887407840705</v>
      </c>
      <c r="AE21" s="277"/>
      <c r="AF21" s="231" t="str">
        <f>_xll.BDP(B21&amp;" Equity","EXPECTED_REPORT_DT")</f>
        <v>04/02/2026</v>
      </c>
      <c r="AG21" s="172">
        <f>_xll.BDP(B21&amp;" Index","CHG_PCT_1D_PRE_FROM_REGULAR")/100</f>
        <v>-5.2016759999999997E-3</v>
      </c>
      <c r="AH21" s="20">
        <f t="shared" si="9"/>
        <v>-1.3810329759764118E-2</v>
      </c>
      <c r="AI21" s="493" t="str">
        <f>_xll.BDP(B21&amp;" Equity","DVD_EX_DT")</f>
        <v>08/12/2025</v>
      </c>
    </row>
    <row r="22" spans="1:35">
      <c r="B22" s="40" t="s">
        <v>399</v>
      </c>
      <c r="C22" t="s">
        <v>2382</v>
      </c>
      <c r="E22" t="s">
        <v>194</v>
      </c>
      <c r="F22" s="22" t="s">
        <v>99</v>
      </c>
      <c r="G22" s="15"/>
      <c r="H22" s="492">
        <v>16435</v>
      </c>
      <c r="I22" s="36" cm="1">
        <f t="array" ref="I22">_xll.BDP(B22&amp;" Equity","LAST_PRICE")</f>
        <v>236.65</v>
      </c>
      <c r="J22" s="51">
        <f t="shared" si="2"/>
        <v>-2.4525968672712284E-2</v>
      </c>
      <c r="K22" s="440" cm="1">
        <f t="array" ref="K22">_xll.BDP(B22&amp;" EQUITY","PX_YEST_CLOSE")</f>
        <v>242.6</v>
      </c>
      <c r="L22" s="53" cm="1">
        <f t="array" ref="L22">_xll.BDP(E22&amp;" Curncy","PX_LAST")</f>
        <v>1</v>
      </c>
      <c r="M22" s="52">
        <v>1</v>
      </c>
      <c r="N22" s="15">
        <f t="shared" si="3"/>
        <v>3889342.75</v>
      </c>
      <c r="O22" s="358">
        <f>IFERROR(IF(Tabelad[[#This Row],[D1 Exp USD]]&lt;&gt;0,N22/$AE$7,0),"-")</f>
        <v>1.7249526772508711E-3</v>
      </c>
      <c r="P22" s="20">
        <f>IFERROR(IF(Tabelad[[#This Row],[D1 Exp USD]]&lt;&gt;0,((I22-K22)/L22*M22*H22)/$AD$7*10000,0),"-")</f>
        <v>-0.43369822225407406</v>
      </c>
      <c r="Q22" s="15">
        <f>IF(SUM(SUMIFS(Options!$AL$4:$AL$33, Options!$D$4:$D$33, B22), SUMIFS(Options!$AL$4:$AL$33, Options!$D$4:$D$33, B22 &amp; " US"))=0,0,SUM(SUMIFS(Options!$AL$4:$AL$33, Options!$D$4:$D$33, B22), SUMIFS(Options!$AL$4:$AL$33, Options!$D$4:$D$33, B22 &amp; " US")))</f>
        <v>0</v>
      </c>
      <c r="R22" s="19">
        <f t="shared" si="4"/>
        <v>0</v>
      </c>
      <c r="S22" s="20">
        <f>IF(SUM(SUMIFS(Options!$AK$4:$AK$33, Options!$D$4:$D$33, B22), SUMIFS(Options!$AK$4:$AK$33, Options!$D$4:$D$33, B22 &amp; " US"))=0,0,SUM(SUMIFS(Options!$AK$4:$AK$33, Options!$D$4:$D$33, B22), SUMIFS(Options!AK$4:$AK$33, Options!$D$4:$D$33, B22 &amp; " US")))</f>
        <v>0</v>
      </c>
      <c r="T22" s="13">
        <f t="shared" si="5"/>
        <v>3889342.75</v>
      </c>
      <c r="U22" s="48">
        <f t="shared" si="6"/>
        <v>1.7249526772508711E-3</v>
      </c>
      <c r="V22" s="20">
        <f t="shared" si="7"/>
        <v>-0.43369822225407406</v>
      </c>
      <c r="W22" s="15">
        <f t="shared" si="8"/>
        <v>4763.898806253962</v>
      </c>
      <c r="X22" s="19"/>
      <c r="Y22" s="376">
        <f>Tabelad[[#This Row],[Exp %]]*$Y$10*$AD$7/Tabelad[[#This Row],[Price Today]]</f>
        <v>5752.2499999999991</v>
      </c>
      <c r="Z22" s="266">
        <f>Tabelad[[#This Row],[Vol 10d]]/16*Tabelad[[#This Row],[Exp %]]*100</f>
        <v>0.36230704821626591</v>
      </c>
      <c r="AA22" s="19">
        <f>Tabelad[[#This Row],[Exp %]]*Tabelad[[#This Row],[Beta Adj2]]</f>
        <v>2.2028695604329198E-3</v>
      </c>
      <c r="AB22" s="36">
        <f>_xll.BDP($B22&amp;" Equity","volatility_10d")</f>
        <v>33.60621336406188</v>
      </c>
      <c r="AC22" s="36" cm="1">
        <f t="array" ref="AC22">_xll.BDP(B22&amp;" EQUITY","eqy_beta")</f>
        <v>1.277060866355896</v>
      </c>
      <c r="AD22" s="15">
        <f>Tabelad[[#This Row],[D1 P&amp;L bps]]*$AD$5/10000</f>
        <v>-91419.595227514073</v>
      </c>
      <c r="AE22" s="277"/>
      <c r="AF22" s="231" t="str">
        <f>_xll.BDP(B22&amp;" Equity","EXPECTED_REPORT_DT")</f>
        <v>06/02/2026</v>
      </c>
      <c r="AG22" s="172">
        <f>_xll.BDP(B22&amp;" Index","CHG_PCT_1D_PRE_FROM_REGULAR")/100</f>
        <v>-6.4303900000000002E-3</v>
      </c>
      <c r="AH22" s="20">
        <f t="shared" si="9"/>
        <v>-0.11092118446267231</v>
      </c>
      <c r="AI22" s="493" t="str">
        <f>_xll.BDP(B22&amp;" Equity","DVD_EX_DT")</f>
        <v>#N/A Field Not Applicable</v>
      </c>
    </row>
    <row r="23" spans="1:35">
      <c r="B23" s="40" t="s">
        <v>81</v>
      </c>
      <c r="C23" t="s">
        <v>2382</v>
      </c>
      <c r="E23" t="s">
        <v>194</v>
      </c>
      <c r="F23" s="22" t="s">
        <v>99</v>
      </c>
      <c r="G23" s="15"/>
      <c r="H23" s="492">
        <v>6000</v>
      </c>
      <c r="I23" s="36" cm="1">
        <f t="array" ref="I23">_xll.BDP(B23&amp;" Equity","LAST_PRICE")</f>
        <v>615.52</v>
      </c>
      <c r="J23" s="51">
        <f t="shared" si="2"/>
        <v>-2.4671599930279453E-2</v>
      </c>
      <c r="K23" s="440" cm="1">
        <f t="array" ref="K23">_xll.BDP(B23&amp;" EQUITY","PX_YEST_CLOSE")</f>
        <v>631.09</v>
      </c>
      <c r="L23" s="53" cm="1">
        <f t="array" ref="L23">_xll.BDP(E23&amp;" Curncy","PX_LAST")</f>
        <v>1</v>
      </c>
      <c r="M23" s="52">
        <v>1</v>
      </c>
      <c r="N23" s="15">
        <f t="shared" si="3"/>
        <v>3693120</v>
      </c>
      <c r="O23" s="358">
        <f>IFERROR(IF(Tabelad[[#This Row],[D1 Exp USD]]&lt;&gt;0,N23/$AE$7,0),"-")</f>
        <v>1.6379264160785874E-3</v>
      </c>
      <c r="P23" s="20">
        <f>IFERROR(IF(Tabelad[[#This Row],[D1 Exp USD]]&lt;&gt;0,((I23-K23)/L23*M23*H23)/$AD$7*10000,0),"-")</f>
        <v>-0.41432470591278414</v>
      </c>
      <c r="Q23" s="15">
        <f>IF(SUM(SUMIFS(Options!$AL$4:$AL$33, Options!$D$4:$D$33, B23), SUMIFS(Options!$AL$4:$AL$33, Options!$D$4:$D$33, B23 &amp; " US"))=0,0,SUM(SUMIFS(Options!$AL$4:$AL$33, Options!$D$4:$D$33, B23), SUMIFS(Options!$AL$4:$AL$33, Options!$D$4:$D$33, B23 &amp; " US")))</f>
        <v>1235370.0469207764</v>
      </c>
      <c r="R23" s="19">
        <f t="shared" si="4"/>
        <v>5.4789588030819023E-4</v>
      </c>
      <c r="S23" s="20">
        <f>IF(SUM(SUMIFS(Options!$AK$4:$AK$33, Options!$D$4:$D$33, B23), SUMIFS(Options!$AK$4:$AK$33, Options!$D$4:$D$33, B23 &amp; " US"))=0,0,SUM(SUMIFS(Options!$AK$4:$AK$33, Options!$D$4:$D$33, B23), SUMIFS(Options!AK$4:$AK$33, Options!$D$4:$D$33, B23 &amp; " US")))</f>
        <v>-0.14427298954552381</v>
      </c>
      <c r="T23" s="13">
        <f t="shared" si="5"/>
        <v>4928490.0469207764</v>
      </c>
      <c r="U23" s="48">
        <f t="shared" si="6"/>
        <v>2.1858222963867776E-3</v>
      </c>
      <c r="V23" s="20">
        <f t="shared" si="7"/>
        <v>-0.55859769545830795</v>
      </c>
      <c r="W23" s="15">
        <f t="shared" si="8"/>
        <v>1831.5841118079024</v>
      </c>
      <c r="X23" s="19"/>
      <c r="Y23" s="376">
        <f>Tabelad[[#This Row],[Exp %]]*$Y$10*$AD$7/Tabelad[[#This Row],[Price Today]]</f>
        <v>2802.4621725082393</v>
      </c>
      <c r="Z23" s="266">
        <f>Tabelad[[#This Row],[Vol 10d]]/16*Tabelad[[#This Row],[Exp %]]*100</f>
        <v>0.29511177128304317</v>
      </c>
      <c r="AA23" s="19">
        <f>Tabelad[[#This Row],[Exp %]]*Tabelad[[#This Row],[Beta Adj2]]</f>
        <v>2.6462802833497894E-3</v>
      </c>
      <c r="AB23" s="36">
        <f>_xll.BDP($B23&amp;" Equity","volatility_10d")</f>
        <v>21.601885699189417</v>
      </c>
      <c r="AC23" s="36" cm="1">
        <f t="array" ref="AC23">_xll.BDP(B23&amp;" EQUITY","eqy_beta")</f>
        <v>1.2106566429138184</v>
      </c>
      <c r="AD23" s="15">
        <f>Tabelad[[#This Row],[D1 P&amp;L bps]]*$AD$5/10000</f>
        <v>-87335.836219120509</v>
      </c>
      <c r="AE23" s="277"/>
      <c r="AF23" s="231" t="str">
        <f>_xll.BDP(B23&amp;" Equity","EXPECTED_REPORT_DT")</f>
        <v>29/01/2026</v>
      </c>
      <c r="AG23" s="172" t="e">
        <f>_xll.BDP(B23&amp;" Index","CHG_PCT_1D_PRE_FROM_REGULAR")/100</f>
        <v>#VALUE!</v>
      </c>
      <c r="AH23" s="20" t="e">
        <f t="shared" si="9"/>
        <v>#VALUE!</v>
      </c>
      <c r="AI23" s="493" t="str">
        <f>_xll.BDP(B23&amp;" Equity","DVD_EX_DT")</f>
        <v>15/12/2025</v>
      </c>
    </row>
    <row r="24" spans="1:35">
      <c r="B24" s="40" t="s">
        <v>90</v>
      </c>
      <c r="C24" t="s">
        <v>2382</v>
      </c>
      <c r="E24" t="s">
        <v>194</v>
      </c>
      <c r="F24" s="22" t="s">
        <v>99</v>
      </c>
      <c r="G24" s="15"/>
      <c r="H24" s="492">
        <v>8510</v>
      </c>
      <c r="I24" s="36" cm="1">
        <f t="array" ref="I24">_xll.BDP(B24&amp;" Equity","LAST_PRICE")</f>
        <v>459.38</v>
      </c>
      <c r="J24" s="51">
        <f t="shared" si="2"/>
        <v>-2.3987082244460112E-2</v>
      </c>
      <c r="K24" s="440" cm="1">
        <f t="array" ref="K24">_xll.BDP(B24&amp;" EQUITY","PX_YEST_CLOSE")</f>
        <v>470.67</v>
      </c>
      <c r="L24" s="53" cm="1">
        <f t="array" ref="L24">_xll.BDP(E24&amp;" Curncy","PX_LAST")</f>
        <v>1</v>
      </c>
      <c r="M24" s="52">
        <v>1</v>
      </c>
      <c r="N24" s="15">
        <f t="shared" si="3"/>
        <v>3909323.8</v>
      </c>
      <c r="O24" s="358">
        <f>IFERROR(IF(Tabelad[[#This Row],[D1 Exp USD]]&lt;&gt;0,N24/$AE$7,0),"-")</f>
        <v>1.7338144227711863E-3</v>
      </c>
      <c r="P24" s="20">
        <f>IFERROR(IF(Tabelad[[#This Row],[D1 Exp USD]]&lt;&gt;0,((I24-K24)/L24*M24*H24)/$AD$7*10000,0),"-")</f>
        <v>-0.42611269173857658</v>
      </c>
      <c r="Q24" s="15">
        <f>IF(SUM(SUMIFS(Options!$AL$4:$AL$33, Options!$D$4:$D$33, B24), SUMIFS(Options!$AL$4:$AL$33, Options!$D$4:$D$33, B24 &amp; " US"))=0,0,SUM(SUMIFS(Options!$AL$4:$AL$33, Options!$D$4:$D$33, B24), SUMIFS(Options!$AL$4:$AL$33, Options!$D$4:$D$33, B24 &amp; " US")))</f>
        <v>2609854.1063219309</v>
      </c>
      <c r="R24" s="19">
        <f t="shared" si="4"/>
        <v>1.1574898684190778E-3</v>
      </c>
      <c r="S24" s="20">
        <f>IF(SUM(SUMIFS(Options!$AK$4:$AK$33, Options!$D$4:$D$33, B24), SUMIFS(Options!$AK$4:$AK$33, Options!$D$4:$D$33, B24 &amp; " US"))=0,0,SUM(SUMIFS(Options!$AK$4:$AK$33, Options!$D$4:$D$33, B24), SUMIFS(Options!AK$4:$AK$33, Options!$D$4:$D$33, B24 &amp; " US")))</f>
        <v>-0.2561255808869965</v>
      </c>
      <c r="T24" s="13">
        <f t="shared" si="5"/>
        <v>6519177.9063219307</v>
      </c>
      <c r="U24" s="48">
        <f t="shared" si="6"/>
        <v>2.8913042911902641E-3</v>
      </c>
      <c r="V24" s="20">
        <f t="shared" si="7"/>
        <v>-0.68223827262557313</v>
      </c>
      <c r="W24" s="15">
        <f t="shared" si="8"/>
        <v>2454.1265455614089</v>
      </c>
      <c r="X24" s="19"/>
      <c r="Y24" s="376">
        <f>Tabelad[[#This Row],[Exp %]]*$Y$10*$AD$7/Tabelad[[#This Row],[Price Today]]</f>
        <v>4966.9386286139479</v>
      </c>
      <c r="Z24" s="266">
        <f>Tabelad[[#This Row],[Vol 10d]]/16*Tabelad[[#This Row],[Exp %]]*100</f>
        <v>0.3997733345482376</v>
      </c>
      <c r="AA24" s="19">
        <f>Tabelad[[#This Row],[Exp %]]*Tabelad[[#This Row],[Beta Adj2]]</f>
        <v>2.9465146187291989E-3</v>
      </c>
      <c r="AB24" s="36">
        <f>_xll.BDP($B24&amp;" Equity","volatility_10d")</f>
        <v>22.122795488048077</v>
      </c>
      <c r="AC24" s="36" cm="1">
        <f t="array" ref="AC24">_xll.BDP(B24&amp;" EQUITY","eqy_beta")</f>
        <v>1.0190953016281128</v>
      </c>
      <c r="AD24" s="15">
        <f>Tabelad[[#This Row],[D1 P&amp;L bps]]*$AD$5/10000</f>
        <v>-89820.63518172795</v>
      </c>
      <c r="AE24" s="277"/>
      <c r="AF24" s="231" t="str">
        <f>_xll.BDP(B24&amp;" Equity","EXPECTED_REPORT_DT")</f>
        <v>28/01/2026</v>
      </c>
      <c r="AG24" s="172" t="e">
        <f>_xll.BDP(B24&amp;" Index","CHG_PCT_1D_PRE_FROM_REGULAR")/100</f>
        <v>#VALUE!</v>
      </c>
      <c r="AH24" s="20" t="e">
        <f t="shared" si="9"/>
        <v>#VALUE!</v>
      </c>
      <c r="AI24" s="493" t="str">
        <f>_xll.BDP(B24&amp;" Equity","DVD_EX_DT")</f>
        <v>19/02/2026</v>
      </c>
    </row>
    <row r="25" spans="1:35">
      <c r="B25" s="490" t="s">
        <v>1761</v>
      </c>
      <c r="C25" t="s">
        <v>2197</v>
      </c>
      <c r="E25" t="s">
        <v>2163</v>
      </c>
      <c r="F25" s="22" t="s">
        <v>99</v>
      </c>
      <c r="G25" s="15"/>
      <c r="H25" s="492">
        <v>1500</v>
      </c>
      <c r="I25" s="36" cm="1">
        <f t="array" ref="I25">_xll.BDP(B25&amp;" Equity","LAST_PRICE")</f>
        <v>736000</v>
      </c>
      <c r="J25" s="51">
        <f t="shared" si="2"/>
        <v>-4.0595399188092518E-3</v>
      </c>
      <c r="K25" s="440" cm="1">
        <f t="array" ref="K25">_xll.BDP(B25&amp;" EQUITY","PX_YEST_CLOSE")</f>
        <v>739000</v>
      </c>
      <c r="L25" s="53" cm="1">
        <f t="array" ref="L25">_xll.BDP(E25&amp;" Curncy","PX_LAST")</f>
        <v>1463.85</v>
      </c>
      <c r="M25" s="52">
        <v>1</v>
      </c>
      <c r="N25" s="15">
        <f t="shared" si="3"/>
        <v>754175.63274925714</v>
      </c>
      <c r="O25" s="358">
        <f>IFERROR(IF(Tabelad[[#This Row],[D1 Exp USD]]&lt;&gt;0,N25/$AE$7,0),"-")</f>
        <v>3.3448254896748322E-4</v>
      </c>
      <c r="P25" s="20">
        <f>IFERROR(IF(Tabelad[[#This Row],[D1 Exp USD]]&lt;&gt;0,((I25-K25)/L25*M25*H25)/$AD$7*10000,0),"-")</f>
        <v>-1.3633799550305022E-2</v>
      </c>
      <c r="Q25" s="15">
        <f>IF(SUM(SUMIFS(Options!$AL$4:$AL$33, Options!$D$4:$D$33, B25), SUMIFS(Options!$AL$4:$AL$33, Options!$D$4:$D$33, B25 &amp; " US"))=0,0,SUM(SUMIFS(Options!$AL$4:$AL$33, Options!$D$4:$D$33, B25), SUMIFS(Options!$AL$4:$AL$33, Options!$D$4:$D$33, B25 &amp; " US")))</f>
        <v>0</v>
      </c>
      <c r="R25" s="19">
        <f t="shared" si="4"/>
        <v>0</v>
      </c>
      <c r="S25" s="20">
        <f>IF(SUM(SUMIFS(Options!$AK$4:$AK$33, Options!$D$4:$D$33, B25), SUMIFS(Options!$AK$4:$AK$33, Options!$D$4:$D$33, B25 &amp; " US"))=0,0,SUM(SUMIFS(Options!$AK$4:$AK$33, Options!$D$4:$D$33, B25), SUMIFS(Options!AK$4:$AK$33, Options!$D$4:$D$33, B25 &amp; " US")))</f>
        <v>0</v>
      </c>
      <c r="T25" s="13">
        <f t="shared" si="5"/>
        <v>754175.63274925714</v>
      </c>
      <c r="U25" s="48">
        <f t="shared" si="6"/>
        <v>3.3448254896748322E-4</v>
      </c>
      <c r="V25" s="20">
        <f t="shared" si="7"/>
        <v>-1.3633799550305022E-2</v>
      </c>
      <c r="W25" s="15">
        <f t="shared" si="8"/>
        <v>2242.2694466876696</v>
      </c>
      <c r="X25" s="19"/>
      <c r="Y25" s="376">
        <f>Tabelad[[#This Row],[Exp %]]*$Y$10*$AD$7/Tabelad[[#This Row],[Price Today]]</f>
        <v>0.35864330361717389</v>
      </c>
      <c r="Z25" s="266">
        <f>Tabelad[[#This Row],[Vol 10d]]/16*Tabelad[[#This Row],[Exp %]]*100</f>
        <v>7.6629324813671101E-2</v>
      </c>
      <c r="AA25" s="19">
        <f>Tabelad[[#This Row],[Exp %]]*Tabelad[[#This Row],[Beta Adj2]]</f>
        <v>5.5431518359048016E-4</v>
      </c>
      <c r="AB25" s="36">
        <f>_xll.BDP($B25&amp;" Equity","volatility_10d")</f>
        <v>36.655700000000003</v>
      </c>
      <c r="AC25" s="36" cm="1">
        <f t="array" ref="AC25">_xll.BDP(B25&amp;" EQUITY","eqy_beta")</f>
        <v>1.657232</v>
      </c>
      <c r="AD25" s="15">
        <f>Tabelad[[#This Row],[D1 P&amp;L bps]]*$AD$5/10000</f>
        <v>-2873.879514248436</v>
      </c>
      <c r="AE25" s="277"/>
      <c r="AF25" s="231" t="str">
        <f>_xll.BDP(B25&amp;" Equity","EXPECTED_REPORT_DT")</f>
        <v>22/01/2026</v>
      </c>
      <c r="AG25" s="172" t="e">
        <f>_xll.BDP(B25&amp;" Index","CHG_PCT_1D_PRE_FROM_REGULAR")/100</f>
        <v>#VALUE!</v>
      </c>
      <c r="AH25" s="20" t="e">
        <f t="shared" si="9"/>
        <v>#VALUE!</v>
      </c>
      <c r="AI25" s="493" t="str">
        <f>_xll.BDP(B25&amp;" Equity","DVD_EX_DT")</f>
        <v>27/11/2025</v>
      </c>
    </row>
    <row r="26" spans="1:35">
      <c r="B26" s="40" t="s">
        <v>1754</v>
      </c>
      <c r="C26" t="s">
        <v>2197</v>
      </c>
      <c r="E26" t="s">
        <v>194</v>
      </c>
      <c r="F26" s="22" t="s">
        <v>99</v>
      </c>
      <c r="G26" s="15"/>
      <c r="H26" s="492">
        <v>44500</v>
      </c>
      <c r="I26" s="36" cm="1">
        <f t="array" ref="I26">_xll.BDP(B26&amp;" Equity","LAST_PRICE")</f>
        <v>109.64</v>
      </c>
      <c r="J26" s="51">
        <f t="shared" si="2"/>
        <v>1.9527617630648919E-2</v>
      </c>
      <c r="K26" s="440" cm="1">
        <f t="array" ref="K26">_xll.BDP(B26&amp;" EQUITY","PX_YEST_CLOSE")</f>
        <v>107.54</v>
      </c>
      <c r="L26" s="53" cm="1">
        <f t="array" ref="L26">_xll.BDP(E26&amp;" Curncy","PX_LAST")</f>
        <v>1</v>
      </c>
      <c r="M26" s="52">
        <v>1</v>
      </c>
      <c r="N26" s="15">
        <f t="shared" si="3"/>
        <v>4878980</v>
      </c>
      <c r="O26" s="358">
        <f>IFERROR(IF(Tabelad[[#This Row],[D1 Exp USD]]&lt;&gt;0,N26/$AE$7,0),"-")</f>
        <v>2.1638642192831825E-3</v>
      </c>
      <c r="P26" s="20">
        <f>IFERROR(IF(Tabelad[[#This Row],[D1 Exp USD]]&lt;&gt;0,((I26-K26)/L26*M26*H26)/$AD$7*10000,0),"-")</f>
        <v>0.41445775816259312</v>
      </c>
      <c r="Q26" s="15">
        <f>IF(SUM(SUMIFS(Options!$AL$4:$AL$33, Options!$D$4:$D$33, B26), SUMIFS(Options!$AL$4:$AL$33, Options!$D$4:$D$33, B26 &amp; " US"))=0,0,SUM(SUMIFS(Options!$AL$4:$AL$33, Options!$D$4:$D$33, B26), SUMIFS(Options!$AL$4:$AL$33, Options!$D$4:$D$33, B26 &amp; " US")))</f>
        <v>0</v>
      </c>
      <c r="R26" s="19">
        <f t="shared" si="4"/>
        <v>0</v>
      </c>
      <c r="S26" s="20">
        <f>IF(SUM(SUMIFS(Options!$AK$4:$AK$33, Options!$D$4:$D$33, B26), SUMIFS(Options!$AK$4:$AK$33, Options!$D$4:$D$33, B26 &amp; " US"))=0,0,SUM(SUMIFS(Options!$AK$4:$AK$33, Options!$D$4:$D$33, B26), SUMIFS(Options!AK$4:$AK$33, Options!$D$4:$D$33, B26 &amp; " US")))</f>
        <v>0</v>
      </c>
      <c r="T26" s="13">
        <f t="shared" si="5"/>
        <v>4878980</v>
      </c>
      <c r="U26" s="48">
        <f t="shared" si="6"/>
        <v>2.1638642192831825E-3</v>
      </c>
      <c r="V26" s="20">
        <f t="shared" si="7"/>
        <v>0.41445775816259312</v>
      </c>
      <c r="W26" s="15">
        <f t="shared" si="8"/>
        <v>10282.530577344036</v>
      </c>
      <c r="X26" s="19"/>
      <c r="Y26" s="376">
        <f>Tabelad[[#This Row],[Exp %]]*$Y$10*$AD$7/Tabelad[[#This Row],[Price Today]]</f>
        <v>15575</v>
      </c>
      <c r="Z26" s="266">
        <f>Tabelad[[#This Row],[Vol 10d]]/16*Tabelad[[#This Row],[Exp %]]*100</f>
        <v>0.44094155289920672</v>
      </c>
      <c r="AA26" s="19">
        <f>Tabelad[[#This Row],[Exp %]]*Tabelad[[#This Row],[Beta Adj2]]</f>
        <v>2.0147344023579124E-3</v>
      </c>
      <c r="AB26" s="36">
        <f>_xll.BDP($B26&amp;" Equity","volatility_10d")</f>
        <v>32.604008992414599</v>
      </c>
      <c r="AC26" s="36" cm="1">
        <f t="array" ref="AC26">_xll.BDP(B26&amp;" EQUITY","eqy_beta")</f>
        <v>0.93108171224594116</v>
      </c>
      <c r="AD26" s="15">
        <f>Tabelad[[#This Row],[D1 P&amp;L bps]]*$AD$5/10000</f>
        <v>87363.882409299535</v>
      </c>
      <c r="AE26" s="277"/>
      <c r="AF26" s="231" t="str">
        <f>_xll.BDP(B26&amp;" Equity","EXPECTED_REPORT_DT")</f>
        <v>#N/A N/A</v>
      </c>
      <c r="AG26" s="172">
        <f>_xll.BDP(B26&amp;" Index","CHG_PCT_1D_PRE_FROM_REGULAR")/100</f>
        <v>1.404131E-2</v>
      </c>
      <c r="AH26" s="20">
        <f t="shared" si="9"/>
        <v>0.30383488300863137</v>
      </c>
      <c r="AI26" s="493" t="str">
        <f>_xll.BDP(B26&amp;" Equity","DVD_EX_DT")</f>
        <v>16/12/2025</v>
      </c>
    </row>
    <row r="27" spans="1:35">
      <c r="B27" s="40" t="s">
        <v>2216</v>
      </c>
      <c r="C27" t="s">
        <v>2102</v>
      </c>
      <c r="E27" t="s">
        <v>194</v>
      </c>
      <c r="F27" s="22" t="s">
        <v>99</v>
      </c>
      <c r="G27" s="15"/>
      <c r="H27" s="492">
        <v>3120</v>
      </c>
      <c r="I27" s="36" cm="1">
        <f t="array" ref="I27">_xll.BDP(B27&amp;" Equity","LAST_PRICE")</f>
        <v>184.11</v>
      </c>
      <c r="J27" s="51">
        <f t="shared" si="2"/>
        <v>-3.1152975845919029E-2</v>
      </c>
      <c r="K27" s="440" cm="1">
        <f t="array" ref="K27">_xll.BDP(B27&amp;" EQUITY","PX_YEST_CLOSE")</f>
        <v>190.03</v>
      </c>
      <c r="L27" s="53" cm="1">
        <f t="array" ref="L27">_xll.BDP(E27&amp;" Curncy","PX_LAST")</f>
        <v>1</v>
      </c>
      <c r="M27" s="52">
        <v>1</v>
      </c>
      <c r="N27" s="15">
        <f t="shared" si="3"/>
        <v>574423.20000000007</v>
      </c>
      <c r="O27" s="358">
        <f>IFERROR(IF(Tabelad[[#This Row],[D1 Exp USD]]&lt;&gt;0,N27/$AE$7,0),"-")</f>
        <v>2.5476099701293047E-4</v>
      </c>
      <c r="P27" s="20">
        <f>IFERROR(IF(Tabelad[[#This Row],[D1 Exp USD]]&lt;&gt;0,((I27-K27)/L27*M27*H27)/$AD$7*10000,0),"-")</f>
        <v>-8.1917609163899036E-2</v>
      </c>
      <c r="Q27" s="15">
        <f>IF(SUM(SUMIFS(Options!$AL$4:$AL$33, Options!$D$4:$D$33, B27), SUMIFS(Options!$AL$4:$AL$33, Options!$D$4:$D$33, B27 &amp; " US"))=0,0,SUM(SUMIFS(Options!$AL$4:$AL$33, Options!$D$4:$D$33, B27), SUMIFS(Options!$AL$4:$AL$33, Options!$D$4:$D$33, B27 &amp; " US")))</f>
        <v>0</v>
      </c>
      <c r="R27" s="19">
        <f t="shared" si="4"/>
        <v>0</v>
      </c>
      <c r="S27" s="20">
        <f>IF(SUM(SUMIFS(Options!$AK$4:$AK$33, Options!$D$4:$D$33, B27), SUMIFS(Options!$AK$4:$AK$33, Options!$D$4:$D$33, B27 &amp; " US"))=0,0,SUM(SUMIFS(Options!$AK$4:$AK$33, Options!$D$4:$D$33, B27), SUMIFS(Options!AK$4:$AK$33, Options!$D$4:$D$33, B27 &amp; " US")))</f>
        <v>0</v>
      </c>
      <c r="T27" s="13">
        <f t="shared" si="5"/>
        <v>574423.20000000007</v>
      </c>
      <c r="U27" s="48">
        <f t="shared" si="6"/>
        <v>2.5476099701293047E-4</v>
      </c>
      <c r="V27" s="20">
        <f t="shared" si="7"/>
        <v>-8.1917609163899036E-2</v>
      </c>
      <c r="W27" s="15">
        <f t="shared" si="8"/>
        <v>6123.3863043832489</v>
      </c>
      <c r="X27" s="19"/>
      <c r="Y27" s="376">
        <f>Tabelad[[#This Row],[Exp %]]*$Y$10*$AD$7/Tabelad[[#This Row],[Price Today]]</f>
        <v>1092</v>
      </c>
      <c r="Z27" s="266">
        <f>Tabelad[[#This Row],[Vol 10d]]/16*Tabelad[[#This Row],[Exp %]]*100</f>
        <v>0.1299579670170698</v>
      </c>
      <c r="AA27" s="19">
        <f>Tabelad[[#This Row],[Exp %]]*Tabelad[[#This Row],[Beta Adj2]]</f>
        <v>5.6758591978100961E-4</v>
      </c>
      <c r="AB27" s="36">
        <f>_xll.BDP($B27&amp;" Equity","volatility_10d")</f>
        <v>81.618752346442562</v>
      </c>
      <c r="AC27" s="36" cm="1">
        <f t="array" ref="AC27">_xll.BDP(B27&amp;" EQUITY","eqy_beta")</f>
        <v>2.2279152870178223</v>
      </c>
      <c r="AD27" s="15">
        <f>Tabelad[[#This Row],[D1 P&amp;L bps]]*$AD$5/10000</f>
        <v>-17267.478369745608</v>
      </c>
      <c r="AE27" s="277"/>
      <c r="AF27" s="231" t="str">
        <f>_xll.BDP(B27&amp;" Equity","EXPECTED_REPORT_DT")</f>
        <v>05/02/2026</v>
      </c>
      <c r="AG27" s="172">
        <f>_xll.BDP(B27&amp;" Index","CHG_PCT_1D_PRE_FROM_REGULAR")/100</f>
        <v>7.7356270000000001E-3</v>
      </c>
      <c r="AH27" s="20">
        <f t="shared" si="9"/>
        <v>1.970736047040144E-2</v>
      </c>
      <c r="AI27" s="493" t="str">
        <f>_xll.BDP(B27&amp;" Equity","DVD_EX_DT")</f>
        <v>27/02/2004</v>
      </c>
    </row>
    <row r="28" spans="1:35">
      <c r="B28" s="40" t="s">
        <v>2101</v>
      </c>
      <c r="C28" t="s">
        <v>2102</v>
      </c>
      <c r="E28" t="s">
        <v>194</v>
      </c>
      <c r="F28" s="22" t="s">
        <v>99</v>
      </c>
      <c r="G28" s="15"/>
      <c r="H28" s="492">
        <v>1500</v>
      </c>
      <c r="I28" s="36" cm="1">
        <f t="array" ref="I28">_xll.BDP(B28&amp;" Equity","LAST_PRICE")</f>
        <v>331.62</v>
      </c>
      <c r="J28" s="51">
        <f t="shared" si="2"/>
        <v>-8.2224005756510565E-2</v>
      </c>
      <c r="K28" s="440" cm="1">
        <f t="array" ref="K28">_xll.BDP(B28&amp;" EQUITY","PX_YEST_CLOSE")</f>
        <v>361.33</v>
      </c>
      <c r="L28" s="53" cm="1">
        <f t="array" ref="L28">_xll.BDP(E28&amp;" Curncy","PX_LAST")</f>
        <v>1</v>
      </c>
      <c r="M28" s="52">
        <v>1</v>
      </c>
      <c r="N28" s="15">
        <f t="shared" si="3"/>
        <v>497430</v>
      </c>
      <c r="O28" s="358">
        <f>IFERROR(IF(Tabelad[[#This Row],[D1 Exp USD]]&lt;&gt;0,N28/$AE$7,0),"-")</f>
        <v>2.2061393541232663E-4</v>
      </c>
      <c r="P28" s="20">
        <f>IFERROR(IF(Tabelad[[#This Row],[D1 Exp USD]]&lt;&gt;0,((I28-K28)/L28*M28*H28)/$AD$7*10000,0),"-")</f>
        <v>-0.19764911709487426</v>
      </c>
      <c r="Q28" s="15">
        <f>IF(SUM(SUMIFS(Options!$AL$4:$AL$33, Options!$D$4:$D$33, B28), SUMIFS(Options!$AL$4:$AL$33, Options!$D$4:$D$33, B28 &amp; " US"))=0,0,SUM(SUMIFS(Options!$AL$4:$AL$33, Options!$D$4:$D$33, B28), SUMIFS(Options!$AL$4:$AL$33, Options!$D$4:$D$33, B28 &amp; " US")))</f>
        <v>1044073.7450891733</v>
      </c>
      <c r="R28" s="19">
        <f t="shared" si="4"/>
        <v>4.6305453584385514E-4</v>
      </c>
      <c r="S28" s="20">
        <f>IF(SUM(SUMIFS(Options!$AK$4:$AK$33, Options!$D$4:$D$33, B28), SUMIFS(Options!$AK$4:$AK$33, Options!$D$4:$D$33, B28 &amp; " US"))=0,0,SUM(SUMIFS(Options!$AK$4:$AK$33, Options!$D$4:$D$33, B28), SUMIFS(Options!AK$4:$AK$33, Options!$D$4:$D$33, B28 &amp; " US")))</f>
        <v>-0.50218354153826139</v>
      </c>
      <c r="T28" s="13">
        <f t="shared" si="5"/>
        <v>1541503.7450891733</v>
      </c>
      <c r="U28" s="48">
        <f t="shared" si="6"/>
        <v>6.8366847125618177E-4</v>
      </c>
      <c r="V28" s="20">
        <f t="shared" si="7"/>
        <v>-0.6998326586331356</v>
      </c>
      <c r="W28" s="15">
        <f t="shared" si="8"/>
        <v>3399.603921657319</v>
      </c>
      <c r="X28" s="19"/>
      <c r="Y28" s="376">
        <f>Tabelad[[#This Row],[Exp %]]*$Y$10*$AD$7/Tabelad[[#This Row],[Price Today]]</f>
        <v>1626.9414111971855</v>
      </c>
      <c r="Z28" s="266">
        <f>Tabelad[[#This Row],[Vol 10d]]/16*Tabelad[[#This Row],[Exp %]]*100</f>
        <v>0.51952860439655768</v>
      </c>
      <c r="AA28" s="19">
        <f>Tabelad[[#This Row],[Exp %]]*Tabelad[[#This Row],[Beta Adj2]]</f>
        <v>1.3743719908110603E-3</v>
      </c>
      <c r="AB28" s="36">
        <f>_xll.BDP($B28&amp;" Equity","volatility_10d")</f>
        <v>121.58609062476584</v>
      </c>
      <c r="AC28" s="36" cm="1">
        <f t="array" ref="AC28">_xll.BDP(B28&amp;" EQUITY","eqy_beta")</f>
        <v>2.0102901458740234</v>
      </c>
      <c r="AD28" s="15">
        <f>Tabelad[[#This Row],[D1 P&amp;L bps]]*$AD$5/10000</f>
        <v>-41662.615511722222</v>
      </c>
      <c r="AE28" s="277"/>
      <c r="AF28" s="231" t="str">
        <f>_xll.BDP(B28&amp;" Equity","EXPECTED_REPORT_DT")</f>
        <v>03/02/2026</v>
      </c>
      <c r="AG28" s="172" t="e">
        <f>_xll.BDP(B28&amp;" Index","CHG_PCT_1D_PRE_FROM_REGULAR")/100</f>
        <v>#VALUE!</v>
      </c>
      <c r="AH28" s="20" t="e">
        <f t="shared" si="9"/>
        <v>#VALUE!</v>
      </c>
      <c r="AI28" s="493" t="str">
        <f>_xll.BDP(B28&amp;" Equity","DVD_EX_DT")</f>
        <v>#N/A N/A</v>
      </c>
    </row>
    <row r="29" spans="1:35" s="59" customFormat="1">
      <c r="A29" s="445"/>
      <c r="B29" s="425" t="s">
        <v>2101</v>
      </c>
      <c r="C29" s="59" t="s">
        <v>2102</v>
      </c>
      <c r="E29" s="59" t="s">
        <v>194</v>
      </c>
      <c r="F29" s="163" t="s">
        <v>99</v>
      </c>
      <c r="G29" s="405"/>
      <c r="H29" s="446">
        <v>500</v>
      </c>
      <c r="I29" s="14" cm="1">
        <f t="array" ref="I29">_xll.BDP(B29&amp;" Equity","LAST_PRICE")</f>
        <v>331.62</v>
      </c>
      <c r="J29" s="447">
        <f t="shared" ref="J29" si="24">I29/K29-1</f>
        <v>-2.479047198941331E-2</v>
      </c>
      <c r="K29" s="448">
        <v>340.05</v>
      </c>
      <c r="L29" s="8" cm="1">
        <f t="array" ref="L29">_xll.BDP(E29&amp;" Curncy","PX_LAST")</f>
        <v>1</v>
      </c>
      <c r="M29" s="449">
        <v>1</v>
      </c>
      <c r="N29" s="405">
        <f t="shared" ref="N29" si="25">IFERROR(IF(((I29/L29)*H29*M29)&lt;&gt;0,((I29/L29)*H29*M29),0),"-")</f>
        <v>165810</v>
      </c>
      <c r="O29" s="450">
        <f>IFERROR(IF(Tabelad[[#This Row],[D1 Exp USD]]&lt;&gt;0,N29/$AE$7,0),"-")</f>
        <v>7.3537978470775538E-5</v>
      </c>
      <c r="P29" s="451">
        <f>IFERROR(IF(Tabelad[[#This Row],[D1 Exp USD]]&lt;&gt;0,((I29-K29)/L29*M29*H29)/$AD$7*10000,0),"-")</f>
        <v>-1.869384109850547E-2</v>
      </c>
      <c r="Q29" s="405"/>
      <c r="R29" s="128"/>
      <c r="S29" s="451"/>
      <c r="T29" s="452">
        <f t="shared" ref="T29" si="26">N29+Q29</f>
        <v>165810</v>
      </c>
      <c r="U29" s="453">
        <f t="shared" ref="U29" si="27">T29/$AE$7</f>
        <v>7.3537978470775538E-5</v>
      </c>
      <c r="V29" s="451">
        <f t="shared" ref="V29" si="28">P29+S29</f>
        <v>-1.869384109850547E-2</v>
      </c>
      <c r="W29" s="405">
        <f t="shared" ref="W29" si="29">$W$10/(I29/L29*M29)</f>
        <v>3399.603921657319</v>
      </c>
      <c r="X29" s="128"/>
      <c r="Y29" s="454">
        <f>Tabelad[[#This Row],[Exp %]]*$Y$10*$AD$7/Tabelad[[#This Row],[Price Today]]</f>
        <v>174.99999999999997</v>
      </c>
      <c r="Z29" s="455">
        <f>Tabelad[[#This Row],[Vol 10d]]/16*Tabelad[[#This Row],[Exp %]]*100</f>
        <v>5.5882470716936208E-2</v>
      </c>
      <c r="AA29" s="128">
        <f>Tabelad[[#This Row],[Exp %]]*Tabelad[[#This Row],[Beta Adj2]]</f>
        <v>1.4783267346729615E-4</v>
      </c>
      <c r="AB29" s="14">
        <f>_xll.BDP($B29&amp;" Equity","volatility_10d")</f>
        <v>121.58609062476584</v>
      </c>
      <c r="AC29" s="14" cm="1">
        <f t="array" ref="AC29">_xll.BDP(B29&amp;" EQUITY","eqy_beta")</f>
        <v>2.0102901458740234</v>
      </c>
      <c r="AD29" s="405">
        <f>Tabelad[[#This Row],[D1 P&amp;L bps]]*$AD$5/10000</f>
        <v>-3940.4897202268467</v>
      </c>
      <c r="AE29" s="337"/>
      <c r="AF29" s="456" t="str">
        <f>_xll.BDP(B29&amp;" Equity","EXPECTED_REPORT_DT")</f>
        <v>03/02/2026</v>
      </c>
      <c r="AG29" s="457" t="e">
        <f>_xll.BDP(B29&amp;" Index","CHG_PCT_1D_PRE_FROM_REGULAR")/100</f>
        <v>#VALUE!</v>
      </c>
      <c r="AH29" s="451" t="e">
        <f t="shared" ref="AH29" si="30">(T29*AG29)/$AD$7*10000</f>
        <v>#VALUE!</v>
      </c>
      <c r="AI29" s="458" t="str">
        <f>_xll.BDP(B29&amp;" Equity","DVD_EX_DT")</f>
        <v>#N/A N/A</v>
      </c>
    </row>
    <row r="30" spans="1:35">
      <c r="B30" s="40" t="s">
        <v>137</v>
      </c>
      <c r="C30" t="s">
        <v>1883</v>
      </c>
      <c r="E30" t="s">
        <v>194</v>
      </c>
      <c r="F30" s="22" t="s">
        <v>99</v>
      </c>
      <c r="G30" s="15"/>
      <c r="H30" s="492">
        <v>4892</v>
      </c>
      <c r="I30" s="36" cm="1">
        <f t="array" ref="I30">_xll.BDP(B30&amp;" Equity","LAST_PRICE")</f>
        <v>339.89</v>
      </c>
      <c r="J30" s="51">
        <f t="shared" si="2"/>
        <v>-4.15103916979217E-2</v>
      </c>
      <c r="K30" s="440" cm="1">
        <f t="array" ref="K30">_xll.BDP(B30&amp;" EQUITY","PX_YEST_CLOSE")</f>
        <v>354.61</v>
      </c>
      <c r="L30" s="53" cm="1">
        <f t="array" ref="L30">_xll.BDP(E30&amp;" Curncy","PX_LAST")</f>
        <v>1</v>
      </c>
      <c r="M30" s="52">
        <v>1</v>
      </c>
      <c r="N30" s="15">
        <f t="shared" si="3"/>
        <v>1662741.88</v>
      </c>
      <c r="O30" s="358">
        <f>IFERROR(IF(Tabelad[[#This Row],[D1 Exp USD]]&lt;&gt;0,N30/$AE$7,0),"-")</f>
        <v>7.374384932989376E-4</v>
      </c>
      <c r="P30" s="20">
        <f>IFERROR(IF(Tabelad[[#This Row],[D1 Exp USD]]&lt;&gt;0,((I30-K30)/L30*M30*H30)/$AD$7*10000,0),"-")</f>
        <v>-0.31937081471536038</v>
      </c>
      <c r="Q30" s="15">
        <f>IF(SUM(SUMIFS(Options!$AL$4:$AL$33, Options!$D$4:$D$33, B30), SUMIFS(Options!$AL$4:$AL$33, Options!$D$4:$D$33, B30 &amp; " US"))=0,0,SUM(SUMIFS(Options!$AL$4:$AL$33, Options!$D$4:$D$33, B30), SUMIFS(Options!$AL$4:$AL$33, Options!$D$4:$D$33, B30 &amp; " US")))</f>
        <v>332167.94934868801</v>
      </c>
      <c r="R30" s="19">
        <f t="shared" si="4"/>
        <v>1.4731897658696989E-4</v>
      </c>
      <c r="S30" s="20">
        <f>IF(SUM(SUMIFS(Options!$AK$4:$AK$33, Options!$D$4:$D$33, B30), SUMIFS(Options!$AK$4:$AK$33, Options!$D$4:$D$33, B30 &amp; " US"))=0,0,SUM(SUMIFS(Options!$AK$4:$AK$33, Options!$D$4:$D$33, B30), SUMIFS(Options!AK$4:$AK$33, Options!$D$4:$D$33, B30 &amp; " US")))</f>
        <v>-6.7634893654141826E-2</v>
      </c>
      <c r="T30" s="13">
        <f t="shared" si="5"/>
        <v>1994909.829348688</v>
      </c>
      <c r="U30" s="48">
        <f t="shared" si="6"/>
        <v>8.8475746988590754E-4</v>
      </c>
      <c r="V30" s="20">
        <f t="shared" si="7"/>
        <v>-0.38700570836950221</v>
      </c>
      <c r="W30" s="15">
        <f t="shared" si="8"/>
        <v>3316.8867942569659</v>
      </c>
      <c r="X30" s="19"/>
      <c r="Y30" s="376">
        <f>Tabelad[[#This Row],[Exp %]]*$Y$10*$AD$7/Tabelad[[#This Row],[Price Today]]</f>
        <v>2054.2482575893396</v>
      </c>
      <c r="Z30" s="266">
        <f>Tabelad[[#This Row],[Vol 10d]]/16*Tabelad[[#This Row],[Exp %]]*100</f>
        <v>0.21909726685502529</v>
      </c>
      <c r="AA30" s="19">
        <f>Tabelad[[#This Row],[Exp %]]*Tabelad[[#This Row],[Beta Adj2]]</f>
        <v>1.7854430059762712E-3</v>
      </c>
      <c r="AB30" s="36">
        <f>_xll.BDP($B30&amp;" Equity","volatility_10d")</f>
        <v>39.621663438823042</v>
      </c>
      <c r="AC30" s="36" cm="1">
        <f t="array" ref="AC30">_xll.BDP(B30&amp;" EQUITY","eqy_beta")</f>
        <v>2.0180027484893799</v>
      </c>
      <c r="AD30" s="15">
        <f>Tabelad[[#This Row],[D1 P&amp;L bps]]*$AD$5/10000</f>
        <v>-67320.429530502588</v>
      </c>
      <c r="AE30" s="277"/>
      <c r="AF30" s="231" t="str">
        <f>_xll.BDP(B30&amp;" Equity","EXPECTED_REPORT_DT")</f>
        <v>06/03/2026</v>
      </c>
      <c r="AG30" s="172">
        <f>_xll.BDP(B30&amp;" Index","CHG_PCT_1D_PRE_FROM_REGULAR")/100</f>
        <v>-1.528435E-2</v>
      </c>
      <c r="AH30" s="20">
        <f t="shared" si="9"/>
        <v>-0.13522942834850671</v>
      </c>
      <c r="AI30" s="493" t="str">
        <f>_xll.BDP(B30&amp;" Equity","DVD_EX_DT")</f>
        <v>22/12/2025</v>
      </c>
    </row>
    <row r="31" spans="1:35" s="59" customFormat="1">
      <c r="A31" s="445"/>
      <c r="B31" s="425" t="s">
        <v>137</v>
      </c>
      <c r="C31" s="59" t="s">
        <v>1883</v>
      </c>
      <c r="E31" s="59" t="s">
        <v>194</v>
      </c>
      <c r="F31" s="163" t="s">
        <v>99</v>
      </c>
      <c r="G31" s="405"/>
      <c r="H31" s="446">
        <v>2108</v>
      </c>
      <c r="I31" s="14" cm="1">
        <f t="array" ref="I31">_xll.BDP(B31&amp;" Equity","LAST_PRICE")</f>
        <v>339.89</v>
      </c>
      <c r="J31" s="447">
        <f t="shared" ref="J31" si="31">I31/K31-1</f>
        <v>1.8274530609838635E-3</v>
      </c>
      <c r="K31" s="448">
        <v>339.27</v>
      </c>
      <c r="L31" s="8" cm="1">
        <f t="array" ref="L31">_xll.BDP(E31&amp;" Curncy","PX_LAST")</f>
        <v>1</v>
      </c>
      <c r="M31" s="449">
        <v>1</v>
      </c>
      <c r="N31" s="405">
        <f t="shared" ref="N31" si="32">IFERROR(IF(((I31/L31)*H31*M31)&lt;&gt;0,((I31/L31)*H31*M31),0),"-")</f>
        <v>716488.12</v>
      </c>
      <c r="O31" s="450">
        <f>IFERROR(IF(Tabelad[[#This Row],[D1 Exp USD]]&lt;&gt;0,N31/$AE$7,0),"-")</f>
        <v>3.1776785443053158E-4</v>
      </c>
      <c r="P31" s="451">
        <f>IFERROR(IF(Tabelad[[#This Row],[D1 Exp USD]]&lt;&gt;0,((I31-K31)/L31*M31*H31)/$AD$7*10000,0),"-")</f>
        <v>5.7964656137847841E-3</v>
      </c>
      <c r="Q31" s="405"/>
      <c r="R31" s="128"/>
      <c r="S31" s="451"/>
      <c r="T31" s="452">
        <f t="shared" ref="T31" si="33">N31+Q31</f>
        <v>716488.12</v>
      </c>
      <c r="U31" s="453">
        <f t="shared" ref="U31" si="34">T31/$AE$7</f>
        <v>3.1776785443053158E-4</v>
      </c>
      <c r="V31" s="451">
        <f t="shared" ref="V31" si="35">P31+S31</f>
        <v>5.7964656137847841E-3</v>
      </c>
      <c r="W31" s="405">
        <f t="shared" ref="W31" si="36">$W$10/(I31/L31*M31)</f>
        <v>3316.8867942569659</v>
      </c>
      <c r="X31" s="128"/>
      <c r="Y31" s="454">
        <f>Tabelad[[#This Row],[Exp %]]*$Y$10*$AD$7/Tabelad[[#This Row],[Price Today]]</f>
        <v>737.8</v>
      </c>
      <c r="Z31" s="455">
        <f>Tabelad[[#This Row],[Vol 10d]]/16*Tabelad[[#This Row],[Exp %]]*100</f>
        <v>7.8690568624521465E-2</v>
      </c>
      <c r="AA31" s="128">
        <f>Tabelad[[#This Row],[Exp %]]*Tabelad[[#This Row],[Beta Adj2]]</f>
        <v>6.4125640362238594E-4</v>
      </c>
      <c r="AB31" s="14">
        <f>_xll.BDP($B31&amp;" Equity","volatility_10d")</f>
        <v>39.621663438823042</v>
      </c>
      <c r="AC31" s="14" cm="1">
        <f t="array" ref="AC31">_xll.BDP(B31&amp;" EQUITY","eqy_beta")</f>
        <v>2.0180027484893799</v>
      </c>
      <c r="AD31" s="405">
        <f>Tabelad[[#This Row],[D1 P&amp;L bps]]*$AD$5/10000</f>
        <v>1221.8416239021856</v>
      </c>
      <c r="AE31" s="337"/>
      <c r="AF31" s="456" t="str">
        <f>_xll.BDP(B31&amp;" Equity","EXPECTED_REPORT_DT")</f>
        <v>06/03/2026</v>
      </c>
      <c r="AG31" s="457">
        <f>_xll.BDP(B31&amp;" Index","CHG_PCT_1D_PRE_FROM_REGULAR")/100</f>
        <v>-1.528435E-2</v>
      </c>
      <c r="AH31" s="451">
        <f t="shared" ref="AH31" si="37">(T31*AG31)/$AD$7*10000</f>
        <v>-4.8568751058652958E-2</v>
      </c>
      <c r="AI31" s="458" t="str">
        <f>_xll.BDP(B31&amp;" Equity","DVD_EX_DT")</f>
        <v>22/12/2025</v>
      </c>
    </row>
    <row r="32" spans="1:35">
      <c r="B32" s="40" t="s">
        <v>96</v>
      </c>
      <c r="C32" t="s">
        <v>1883</v>
      </c>
      <c r="E32" t="s">
        <v>194</v>
      </c>
      <c r="F32" s="22" t="s">
        <v>99</v>
      </c>
      <c r="G32" s="15"/>
      <c r="H32" s="492">
        <v>-4300</v>
      </c>
      <c r="I32" s="36" cm="1">
        <f t="array" ref="I32">_xll.BDP(B32&amp;" Equity","LAST_PRICE")</f>
        <v>327.11</v>
      </c>
      <c r="J32" s="51">
        <f t="shared" si="2"/>
        <v>-1.2378853295492154E-2</v>
      </c>
      <c r="K32" s="440" cm="1">
        <f t="array" ref="K32">_xll.BDP(B32&amp;" EQUITY","PX_YEST_CLOSE")</f>
        <v>331.21</v>
      </c>
      <c r="L32" s="53" cm="1">
        <f t="array" ref="L32">_xll.BDP(E32&amp;" Curncy","PX_LAST")</f>
        <v>1</v>
      </c>
      <c r="M32" s="52">
        <v>1</v>
      </c>
      <c r="N32" s="15">
        <f t="shared" si="3"/>
        <v>-1406573</v>
      </c>
      <c r="O32" s="358">
        <f>IFERROR(IF(Tabelad[[#This Row],[D1 Exp USD]]&lt;&gt;0,N32/$AE$7,0),"-")</f>
        <v>-6.2382567391335963E-4</v>
      </c>
      <c r="P32" s="20">
        <f>IFERROR(IF(Tabelad[[#This Row],[D1 Exp USD]]&lt;&gt;0,((I32-K32)/L32*M32*H32)/$AD$7*10000,0),"-")</f>
        <v>7.8190372139181119E-2</v>
      </c>
      <c r="Q32" s="15">
        <f>IF(SUM(SUMIFS(Options!$AL$4:$AL$33, Options!$D$4:$D$33, B32), SUMIFS(Options!$AL$4:$AL$33, Options!$D$4:$D$33, B32 &amp; " US"))=0,0,SUM(SUMIFS(Options!$AL$4:$AL$33, Options!$D$4:$D$33, B32), SUMIFS(Options!$AL$4:$AL$33, Options!$D$4:$D$33, B32 &amp; " US")))</f>
        <v>4878109.2303059995</v>
      </c>
      <c r="R32" s="19">
        <f t="shared" si="4"/>
        <v>2.1634780263936676E-3</v>
      </c>
      <c r="S32" s="20">
        <f>IF(SUM(SUMIFS(Options!$AK$4:$AK$33, Options!$D$4:$D$33, B32), SUMIFS(Options!$AK$4:$AK$33, Options!$D$4:$D$33, B32 &amp; " US"))=0,0,SUM(SUMIFS(Options!$AK$4:$AK$33, Options!$D$4:$D$33, B32), SUMIFS(Options!AK$4:$AK$33, Options!$D$4:$D$33, B32 &amp; " US")))</f>
        <v>-0.56879836794384953</v>
      </c>
      <c r="T32" s="13">
        <f t="shared" si="5"/>
        <v>3471536.2303059995</v>
      </c>
      <c r="U32" s="48">
        <f t="shared" si="6"/>
        <v>1.539652352480308E-3</v>
      </c>
      <c r="V32" s="20">
        <f t="shared" si="7"/>
        <v>-0.49060799580466841</v>
      </c>
      <c r="W32" s="15">
        <f t="shared" si="8"/>
        <v>3446.4756580355233</v>
      </c>
      <c r="X32" s="19"/>
      <c r="Y32" s="376">
        <f>Tabelad[[#This Row],[Exp %]]*$Y$10*$AD$7/Tabelad[[#This Row],[Price Today]]</f>
        <v>3714.4620482623573</v>
      </c>
      <c r="Z32" s="266">
        <f>Tabelad[[#This Row],[Vol 10d]]/16*Tabelad[[#This Row],[Exp %]]*100</f>
        <v>0.35901284932501054</v>
      </c>
      <c r="AA32" s="19">
        <f>Tabelad[[#This Row],[Exp %]]*Tabelad[[#This Row],[Beta Adj2]]</f>
        <v>2.2767412626746352E-3</v>
      </c>
      <c r="AB32" s="36">
        <f>_xll.BDP($B32&amp;" Equity","volatility_10d")</f>
        <v>37.308458496793264</v>
      </c>
      <c r="AC32" s="36" cm="1">
        <f t="array" ref="AC32">_xll.BDP(B32&amp;" EQUITY","eqy_beta")</f>
        <v>1.4787372350692749</v>
      </c>
      <c r="AD32" s="15">
        <f>Tabelad[[#This Row],[D1 P&amp;L bps]]*$AD$5/10000</f>
        <v>16481.811095515699</v>
      </c>
      <c r="AE32" s="277"/>
      <c r="AF32" s="231" t="str">
        <f>_xll.BDP(B32&amp;" Equity","EXPECTED_REPORT_DT")</f>
        <v>15/01/2026</v>
      </c>
      <c r="AG32" s="172" t="e">
        <f>_xll.BDP(B32&amp;" Index","CHG_PCT_1D_PRE_FROM_REGULAR")/100</f>
        <v>#VALUE!</v>
      </c>
      <c r="AH32" s="20" t="e">
        <f t="shared" si="9"/>
        <v>#VALUE!</v>
      </c>
      <c r="AI32" s="493" t="str">
        <f>_xll.BDP(B32&amp;" Equity","DVD_EX_DT")</f>
        <v>17/03/2026</v>
      </c>
    </row>
    <row r="33" spans="1:35" s="497" customFormat="1">
      <c r="A33" s="495"/>
      <c r="B33" s="496" t="s">
        <v>96</v>
      </c>
      <c r="C33" s="497" t="s">
        <v>1883</v>
      </c>
      <c r="E33" s="497" t="s">
        <v>194</v>
      </c>
      <c r="F33" s="498" t="s">
        <v>99</v>
      </c>
      <c r="G33" s="499"/>
      <c r="H33" s="500">
        <v>4300</v>
      </c>
      <c r="I33" s="97" cm="1">
        <f t="array" ref="I33">_xll.BDP(B33&amp;" Equity","LAST_PRICE")</f>
        <v>327.11</v>
      </c>
      <c r="J33" s="501">
        <f t="shared" ref="J33:J35" si="38">I33/K33-1</f>
        <v>5.0079882020399591E-3</v>
      </c>
      <c r="K33" s="502">
        <v>325.48</v>
      </c>
      <c r="L33" s="503" cm="1">
        <f t="array" ref="L33">_xll.BDP(E33&amp;" Curncy","PX_LAST")</f>
        <v>1</v>
      </c>
      <c r="M33" s="504">
        <v>1</v>
      </c>
      <c r="N33" s="499">
        <f t="shared" ref="N33:N35" si="39">IFERROR(IF(((I33/L33)*H33*M33)&lt;&gt;0,((I33/L33)*H33*M33),0),"-")</f>
        <v>1406573</v>
      </c>
      <c r="O33" s="505">
        <f>IFERROR(IF(Tabelad[[#This Row],[D1 Exp USD]]&lt;&gt;0,N33/$AE$7,0),"-")</f>
        <v>6.2382567391335963E-4</v>
      </c>
      <c r="P33" s="506">
        <f>IFERROR(IF(Tabelad[[#This Row],[D1 Exp USD]]&lt;&gt;0,((I33-K33)/L33*M33*H33)/$AD$7*10000,0),"-")</f>
        <v>3.1085440630942908E-2</v>
      </c>
      <c r="Q33" s="499"/>
      <c r="R33" s="507"/>
      <c r="S33" s="506"/>
      <c r="T33" s="508">
        <f t="shared" ref="T33:T35" si="40">N33+Q33</f>
        <v>1406573</v>
      </c>
      <c r="U33" s="509">
        <f t="shared" ref="U33:U35" si="41">T33/$AE$7</f>
        <v>6.2382567391335963E-4</v>
      </c>
      <c r="V33" s="506">
        <f t="shared" ref="V33:V35" si="42">P33+S33</f>
        <v>3.1085440630942908E-2</v>
      </c>
      <c r="W33" s="499">
        <f t="shared" ref="W33:W35" si="43">$W$10/(I33/L33*M33)</f>
        <v>3446.4756580355233</v>
      </c>
      <c r="X33" s="507"/>
      <c r="Y33" s="510">
        <f>Tabelad[[#This Row],[Exp %]]*$Y$10*$AD$7/Tabelad[[#This Row],[Price Today]]</f>
        <v>1504.9999999999998</v>
      </c>
      <c r="Z33" s="511">
        <f>Tabelad[[#This Row],[Vol 10d]]/16*Tabelad[[#This Row],[Exp %]]*100</f>
        <v>0.14546233915269166</v>
      </c>
      <c r="AA33" s="507">
        <f>Tabelad[[#This Row],[Exp %]]*Tabelad[[#This Row],[Beta Adj2]]</f>
        <v>9.2247425220786847E-4</v>
      </c>
      <c r="AB33" s="97">
        <f>_xll.BDP($B33&amp;" Equity","volatility_10d")</f>
        <v>37.308458496793264</v>
      </c>
      <c r="AC33" s="97" cm="1">
        <f t="array" ref="AC33">_xll.BDP(B33&amp;" EQUITY","eqy_beta")</f>
        <v>1.4787372350692749</v>
      </c>
      <c r="AD33" s="499">
        <f>Tabelad[[#This Row],[D1 P&amp;L bps]]*$AD$5/10000</f>
        <v>6552.5248989489601</v>
      </c>
      <c r="AE33" s="512"/>
      <c r="AF33" s="513" t="str">
        <f>_xll.BDP(B33&amp;" Equity","EXPECTED_REPORT_DT")</f>
        <v>15/01/2026</v>
      </c>
      <c r="AG33" s="514" t="e">
        <f>_xll.BDP(B33&amp;" Index","CHG_PCT_1D_PRE_FROM_REGULAR")/100</f>
        <v>#VALUE!</v>
      </c>
      <c r="AH33" s="506" t="e">
        <f t="shared" ref="AH33:AH35" si="44">(T33*AG33)/$AD$7*10000</f>
        <v>#VALUE!</v>
      </c>
      <c r="AI33" s="515" t="str">
        <f>_xll.BDP(B33&amp;" Equity","DVD_EX_DT")</f>
        <v>17/03/2026</v>
      </c>
    </row>
    <row r="34" spans="1:35" s="497" customFormat="1">
      <c r="A34" s="495"/>
      <c r="B34" s="496" t="s">
        <v>96</v>
      </c>
      <c r="C34" s="497" t="s">
        <v>1883</v>
      </c>
      <c r="E34" s="497" t="s">
        <v>194</v>
      </c>
      <c r="F34" s="498" t="s">
        <v>99</v>
      </c>
      <c r="G34" s="499"/>
      <c r="H34" s="500">
        <v>-5600</v>
      </c>
      <c r="I34" s="97" cm="1">
        <f t="array" ref="I34">_xll.BDP(B34&amp;" Equity","LAST_PRICE")</f>
        <v>327.11</v>
      </c>
      <c r="J34" s="501">
        <f t="shared" si="38"/>
        <v>1.4082351140365379E-3</v>
      </c>
      <c r="K34" s="502">
        <v>326.64999999999998</v>
      </c>
      <c r="L34" s="503" cm="1">
        <f t="array" ref="L34">_xll.BDP(E34&amp;" Curncy","PX_LAST")</f>
        <v>1</v>
      </c>
      <c r="M34" s="504">
        <v>1</v>
      </c>
      <c r="N34" s="499">
        <f t="shared" si="39"/>
        <v>-1831816</v>
      </c>
      <c r="O34" s="505">
        <f>IFERROR(IF(Tabelad[[#This Row],[D1 Exp USD]]&lt;&gt;0,N34/$AE$7,0),"-")</f>
        <v>-8.1242413346856147E-4</v>
      </c>
      <c r="P34" s="506">
        <f>IFERROR(IF(Tabelad[[#This Row],[D1 Exp USD]]&lt;&gt;0,((I34-K34)/L34*M34*H34)/$AD$7*10000,0),"-")</f>
        <v>-1.1424753183808744E-2</v>
      </c>
      <c r="Q34" s="499"/>
      <c r="R34" s="507"/>
      <c r="S34" s="506"/>
      <c r="T34" s="508">
        <f t="shared" si="40"/>
        <v>-1831816</v>
      </c>
      <c r="U34" s="509">
        <f t="shared" si="41"/>
        <v>-8.1242413346856147E-4</v>
      </c>
      <c r="V34" s="506">
        <f t="shared" si="42"/>
        <v>-1.1424753183808744E-2</v>
      </c>
      <c r="W34" s="499">
        <f t="shared" si="43"/>
        <v>3446.4756580355233</v>
      </c>
      <c r="X34" s="507"/>
      <c r="Y34" s="510">
        <f>Tabelad[[#This Row],[Exp %]]*$Y$10*$AD$7/Tabelad[[#This Row],[Price Today]]</f>
        <v>-1959.9999999999998</v>
      </c>
      <c r="Z34" s="511">
        <f>Tabelad[[#This Row],[Vol 10d]]/16*Tabelad[[#This Row],[Exp %]]*100</f>
        <v>-0.18943932540815661</v>
      </c>
      <c r="AA34" s="507">
        <f>Tabelad[[#This Row],[Exp %]]*Tabelad[[#This Row],[Beta Adj2]]</f>
        <v>-1.2013618168288521E-3</v>
      </c>
      <c r="AB34" s="97">
        <f>_xll.BDP($B34&amp;" Equity","volatility_10d")</f>
        <v>37.308458496793264</v>
      </c>
      <c r="AC34" s="97" cm="1">
        <f t="array" ref="AC34">_xll.BDP(B34&amp;" EQUITY","eqy_beta")</f>
        <v>1.4787372350692749</v>
      </c>
      <c r="AD34" s="499">
        <f>Tabelad[[#This Row],[D1 P&amp;L bps]]*$AD$5/10000</f>
        <v>-2408.2328634175924</v>
      </c>
      <c r="AE34" s="512"/>
      <c r="AF34" s="513" t="str">
        <f>_xll.BDP(B34&amp;" Equity","EXPECTED_REPORT_DT")</f>
        <v>15/01/2026</v>
      </c>
      <c r="AG34" s="514" t="e">
        <f>_xll.BDP(B34&amp;" Index","CHG_PCT_1D_PRE_FROM_REGULAR")/100</f>
        <v>#VALUE!</v>
      </c>
      <c r="AH34" s="506" t="e">
        <f t="shared" si="44"/>
        <v>#VALUE!</v>
      </c>
      <c r="AI34" s="515" t="str">
        <f>_xll.BDP(B34&amp;" Equity","DVD_EX_DT")</f>
        <v>17/03/2026</v>
      </c>
    </row>
    <row r="35" spans="1:35" s="497" customFormat="1">
      <c r="A35" s="495"/>
      <c r="B35" s="496" t="s">
        <v>96</v>
      </c>
      <c r="C35" s="497" t="s">
        <v>1883</v>
      </c>
      <c r="E35" s="497" t="s">
        <v>194</v>
      </c>
      <c r="F35" s="498" t="s">
        <v>99</v>
      </c>
      <c r="G35" s="499"/>
      <c r="H35" s="500">
        <v>5600</v>
      </c>
      <c r="I35" s="97" cm="1">
        <f t="array" ref="I35">_xll.BDP(B35&amp;" Equity","LAST_PRICE")</f>
        <v>327.11</v>
      </c>
      <c r="J35" s="501">
        <f t="shared" si="38"/>
        <v>1.1017597551645775E-3</v>
      </c>
      <c r="K35" s="502">
        <v>326.75</v>
      </c>
      <c r="L35" s="503" cm="1">
        <f t="array" ref="L35">_xll.BDP(E35&amp;" Curncy","PX_LAST")</f>
        <v>1</v>
      </c>
      <c r="M35" s="504">
        <v>1</v>
      </c>
      <c r="N35" s="499">
        <f t="shared" si="39"/>
        <v>1831816</v>
      </c>
      <c r="O35" s="505">
        <f>IFERROR(IF(Tabelad[[#This Row],[D1 Exp USD]]&lt;&gt;0,N35/$AE$7,0),"-")</f>
        <v>8.1242413346856147E-4</v>
      </c>
      <c r="P35" s="506">
        <f>IFERROR(IF(Tabelad[[#This Row],[D1 Exp USD]]&lt;&gt;0,((I35-K35)/L35*M35*H35)/$AD$7*10000,0),"-")</f>
        <v>8.9411111873282136E-3</v>
      </c>
      <c r="Q35" s="499"/>
      <c r="R35" s="507"/>
      <c r="S35" s="506"/>
      <c r="T35" s="508">
        <f t="shared" si="40"/>
        <v>1831816</v>
      </c>
      <c r="U35" s="509">
        <f t="shared" si="41"/>
        <v>8.1242413346856147E-4</v>
      </c>
      <c r="V35" s="506">
        <f t="shared" si="42"/>
        <v>8.9411111873282136E-3</v>
      </c>
      <c r="W35" s="499">
        <f t="shared" si="43"/>
        <v>3446.4756580355233</v>
      </c>
      <c r="X35" s="507"/>
      <c r="Y35" s="510">
        <f>Tabelad[[#This Row],[Exp %]]*$Y$10*$AD$7/Tabelad[[#This Row],[Price Today]]</f>
        <v>1959.9999999999998</v>
      </c>
      <c r="Z35" s="511">
        <f>Tabelad[[#This Row],[Vol 10d]]/16*Tabelad[[#This Row],[Exp %]]*100</f>
        <v>0.18943932540815661</v>
      </c>
      <c r="AA35" s="507">
        <f>Tabelad[[#This Row],[Exp %]]*Tabelad[[#This Row],[Beta Adj2]]</f>
        <v>1.2013618168288521E-3</v>
      </c>
      <c r="AB35" s="97">
        <f>_xll.BDP($B35&amp;" Equity","volatility_10d")</f>
        <v>37.308458496793264</v>
      </c>
      <c r="AC35" s="97" cm="1">
        <f t="array" ref="AC35">_xll.BDP(B35&amp;" EQUITY","eqy_beta")</f>
        <v>1.4787372350692749</v>
      </c>
      <c r="AD35" s="499">
        <f>Tabelad[[#This Row],[D1 P&amp;L bps]]*$AD$5/10000</f>
        <v>1884.703980065864</v>
      </c>
      <c r="AE35" s="512"/>
      <c r="AF35" s="513" t="str">
        <f>_xll.BDP(B35&amp;" Equity","EXPECTED_REPORT_DT")</f>
        <v>15/01/2026</v>
      </c>
      <c r="AG35" s="514" t="e">
        <f>_xll.BDP(B35&amp;" Index","CHG_PCT_1D_PRE_FROM_REGULAR")/100</f>
        <v>#VALUE!</v>
      </c>
      <c r="AH35" s="506" t="e">
        <f t="shared" si="44"/>
        <v>#VALUE!</v>
      </c>
      <c r="AI35" s="515" t="str">
        <f>_xll.BDP(B35&amp;" Equity","DVD_EX_DT")</f>
        <v>17/03/2026</v>
      </c>
    </row>
    <row r="36" spans="1:35">
      <c r="B36" s="40" t="s">
        <v>94</v>
      </c>
      <c r="C36" t="s">
        <v>1883</v>
      </c>
      <c r="E36" t="s">
        <v>194</v>
      </c>
      <c r="F36" s="22" t="s">
        <v>99</v>
      </c>
      <c r="G36" s="15"/>
      <c r="H36" s="492">
        <v>22892</v>
      </c>
      <c r="I36" s="36" cm="1">
        <f t="array" ref="I36">_xll.BDP(B36&amp;" Equity","LAST_PRICE")</f>
        <v>183.14</v>
      </c>
      <c r="J36" s="51">
        <f t="shared" si="2"/>
        <v>-1.4369517248802643E-2</v>
      </c>
      <c r="K36" s="440" cm="1">
        <f t="array" ref="K36">_xll.BDP(B36&amp;" EQUITY","PX_YEST_CLOSE")</f>
        <v>185.81</v>
      </c>
      <c r="L36" s="53" cm="1">
        <f t="array" ref="L36">_xll.BDP(E36&amp;" Curncy","PX_LAST")</f>
        <v>1</v>
      </c>
      <c r="M36" s="52">
        <v>1</v>
      </c>
      <c r="N36" s="15">
        <f t="shared" si="3"/>
        <v>4192440.88</v>
      </c>
      <c r="O36" s="358">
        <f>IFERROR(IF(Tabelad[[#This Row],[D1 Exp USD]]&lt;&gt;0,N36/$AE$7,0),"-")</f>
        <v>1.8593789709513253E-3</v>
      </c>
      <c r="P36" s="20">
        <f>IFERROR(IF(Tabelad[[#This Row],[D1 Exp USD]]&lt;&gt;0,((I36-K36)/L36*M36*H36)/$AD$7*10000,0),"-")</f>
        <v>-0.27107905713880465</v>
      </c>
      <c r="Q36" s="15">
        <f>IF(SUM(SUMIFS(Options!$AL$4:$AL$33, Options!$D$4:$D$33, B36), SUMIFS(Options!$AL$4:$AL$33, Options!$D$4:$D$33, B36 &amp; " US"))=0,0,SUM(SUMIFS(Options!$AL$4:$AL$33, Options!$D$4:$D$33, B36), SUMIFS(Options!$AL$4:$AL$33, Options!$D$4:$D$33, B36 &amp; " US")))</f>
        <v>0</v>
      </c>
      <c r="R36" s="19">
        <f t="shared" si="4"/>
        <v>0</v>
      </c>
      <c r="S36" s="20">
        <f>IF(SUM(SUMIFS(Options!$AK$4:$AK$33, Options!$D$4:$D$33, B36), SUMIFS(Options!$AK$4:$AK$33, Options!$D$4:$D$33, B36 &amp; " US"))=0,0,SUM(SUMIFS(Options!$AK$4:$AK$33, Options!$D$4:$D$33, B36), SUMIFS(Options!AK$4:$AK$33, Options!$D$4:$D$33, B36 &amp; " US")))</f>
        <v>0</v>
      </c>
      <c r="T36" s="13">
        <f t="shared" si="5"/>
        <v>4192440.88</v>
      </c>
      <c r="U36" s="48">
        <f t="shared" si="6"/>
        <v>1.8593789709513253E-3</v>
      </c>
      <c r="V36" s="20">
        <f t="shared" si="7"/>
        <v>-0.27107905713880465</v>
      </c>
      <c r="W36" s="15">
        <f t="shared" si="8"/>
        <v>6155.8187861745118</v>
      </c>
      <c r="X36" s="19"/>
      <c r="Y36" s="376">
        <f>Tabelad[[#This Row],[Exp %]]*$Y$10*$AD$7/Tabelad[[#This Row],[Price Today]]</f>
        <v>8012.1999999999989</v>
      </c>
      <c r="Z36" s="266">
        <f>Tabelad[[#This Row],[Vol 10d]]/16*Tabelad[[#This Row],[Exp %]]*100</f>
        <v>0.22676274256939294</v>
      </c>
      <c r="AA36" s="19">
        <f>Tabelad[[#This Row],[Exp %]]*Tabelad[[#This Row],[Beta Adj2]]</f>
        <v>3.4575629463437321E-3</v>
      </c>
      <c r="AB36" s="36">
        <f>_xll.BDP($B36&amp;" Equity","volatility_10d")</f>
        <v>19.512987603887801</v>
      </c>
      <c r="AC36" s="36" cm="1">
        <f t="array" ref="AC36">_xll.BDP(B36&amp;" EQUITY","eqy_beta")</f>
        <v>1.8595256805419922</v>
      </c>
      <c r="AD36" s="15">
        <f>Tabelad[[#This Row],[D1 P&amp;L bps]]*$AD$5/10000</f>
        <v>-57140.971317534342</v>
      </c>
      <c r="AE36" s="277"/>
      <c r="AF36" s="231" t="str">
        <f>_xll.BDP(B36&amp;" Equity","EXPECTED_REPORT_DT")</f>
        <v>25/02/2026</v>
      </c>
      <c r="AG36" s="172">
        <f>_xll.BDP(B36&amp;" Index","CHG_PCT_1D_PRE_FROM_REGULAR")/100</f>
        <v>-7.9651029999999994E-3</v>
      </c>
      <c r="AH36" s="20">
        <f t="shared" si="9"/>
        <v>-0.14810145019661317</v>
      </c>
      <c r="AI36" s="493" t="str">
        <f>_xll.BDP(B36&amp;" Equity","DVD_EX_DT")</f>
        <v>04/12/2025</v>
      </c>
    </row>
    <row r="37" spans="1:35">
      <c r="B37" s="40" t="s">
        <v>138</v>
      </c>
      <c r="C37" t="s">
        <v>1883</v>
      </c>
      <c r="E37" t="s">
        <v>194</v>
      </c>
      <c r="F37" s="22" t="s">
        <v>100</v>
      </c>
      <c r="G37" s="15"/>
      <c r="H37" s="492">
        <v>0</v>
      </c>
      <c r="I37" s="36" cm="1">
        <f t="array" ref="I37">_xll.BDP(B37&amp;" Equity","LAST_PRICE")</f>
        <v>81.209999999999994</v>
      </c>
      <c r="J37" s="51">
        <f t="shared" si="2"/>
        <v>-2.2155328115593065E-2</v>
      </c>
      <c r="K37" s="440" cm="1">
        <f t="array" ref="K37">_xll.BDP(B37&amp;" EQUITY","PX_YEST_CLOSE")</f>
        <v>83.05</v>
      </c>
      <c r="L37" s="53" cm="1">
        <f t="array" ref="L37">_xll.BDP(E37&amp;" Curncy","PX_LAST")</f>
        <v>1</v>
      </c>
      <c r="M37" s="52">
        <v>1</v>
      </c>
      <c r="N37" s="15">
        <f t="shared" si="3"/>
        <v>0</v>
      </c>
      <c r="O37" s="358">
        <f>IFERROR(IF(Tabelad[[#This Row],[D1 Exp USD]]&lt;&gt;0,N37/$AE$7,0),"-")</f>
        <v>0</v>
      </c>
      <c r="P37" s="20">
        <f>IFERROR(IF(Tabelad[[#This Row],[D1 Exp USD]]&lt;&gt;0,((I37-K37)/L37*M37*H37)/$AD$7*10000,0),"-")</f>
        <v>0</v>
      </c>
      <c r="Q37" s="15">
        <f>IF(SUM(SUMIFS(Options!$AL$4:$AL$33, Options!$D$4:$D$33, B37), SUMIFS(Options!$AL$4:$AL$33, Options!$D$4:$D$33, B37 &amp; " US"))=0,0,SUM(SUMIFS(Options!$AL$4:$AL$33, Options!$D$4:$D$33, B37), SUMIFS(Options!$AL$4:$AL$33, Options!$D$4:$D$33, B37 &amp; " US")))</f>
        <v>-243961.89809739584</v>
      </c>
      <c r="R37" s="19">
        <f t="shared" si="4"/>
        <v>-1.0819893136708179E-4</v>
      </c>
      <c r="S37" s="20">
        <f>IF(SUM(SUMIFS(Options!$AK$4:$AK$33, Options!$D$4:$D$33, B37), SUMIFS(Options!$AK$4:$AK$33, Options!$D$4:$D$33, B37 &amp; " US"))=0,0,SUM(SUMIFS(Options!$AK$4:$AK$33, Options!$D$4:$D$33, B37), SUMIFS(Options!AK$4:$AK$33, Options!$D$4:$D$33, B37 &amp; " US")))</f>
        <v>3.4815338700656534E-2</v>
      </c>
      <c r="T37" s="13">
        <f t="shared" si="5"/>
        <v>-243961.89809739584</v>
      </c>
      <c r="U37" s="48">
        <f t="shared" si="6"/>
        <v>-1.0819893136708179E-4</v>
      </c>
      <c r="V37" s="20">
        <f t="shared" si="7"/>
        <v>3.4815338700656534E-2</v>
      </c>
      <c r="W37" s="15">
        <f t="shared" si="8"/>
        <v>13882.239287033619</v>
      </c>
      <c r="X37" s="19"/>
      <c r="Y37" s="376">
        <f>Tabelad[[#This Row],[Exp %]]*$Y$10*$AD$7/Tabelad[[#This Row],[Price Today]]</f>
        <v>-1051.4304190874097</v>
      </c>
      <c r="Z37" s="266">
        <f>Tabelad[[#This Row],[Vol 10d]]/16*Tabelad[[#This Row],[Exp %]]*100</f>
        <v>-2.8266398398921738E-2</v>
      </c>
      <c r="AA37" s="19">
        <f>Tabelad[[#This Row],[Exp %]]*Tabelad[[#This Row],[Beta Adj2]]</f>
        <v>-2.1309464225630653E-4</v>
      </c>
      <c r="AB37" s="36">
        <f>_xll.BDP($B37&amp;" Equity","volatility_10d")</f>
        <v>41.799153528455562</v>
      </c>
      <c r="AC37" s="36" cm="1">
        <f t="array" ref="AC37">_xll.BDP(B37&amp;" EQUITY","eqy_beta")</f>
        <v>1.9694708585739136</v>
      </c>
      <c r="AD37" s="15">
        <f>Tabelad[[#This Row],[D1 P&amp;L bps]]*$AD$5/10000</f>
        <v>0</v>
      </c>
      <c r="AE37" s="277"/>
      <c r="AF37" s="231" t="str">
        <f>_xll.BDP(B37&amp;" Equity","EXPECTED_REPORT_DT")</f>
        <v>05/03/2026</v>
      </c>
      <c r="AG37" s="172">
        <f>_xll.BDP(B37&amp;" Index","CHG_PCT_1D_PRE_FROM_REGULAR")/100</f>
        <v>-1.4449459999999999E-3</v>
      </c>
      <c r="AH37" s="20">
        <f t="shared" si="9"/>
        <v>1.5634161308313937E-3</v>
      </c>
      <c r="AI37" s="493" t="str">
        <f>_xll.BDP(B37&amp;" Equity","DVD_EX_DT")</f>
        <v>09/01/2026</v>
      </c>
    </row>
    <row r="38" spans="1:35" s="59" customFormat="1">
      <c r="A38" s="445"/>
      <c r="B38" s="425" t="s">
        <v>2381</v>
      </c>
      <c r="C38" s="59" t="s">
        <v>1883</v>
      </c>
      <c r="E38" s="59" t="s">
        <v>194</v>
      </c>
      <c r="F38" s="163" t="s">
        <v>100</v>
      </c>
      <c r="G38" s="405"/>
      <c r="H38" s="446">
        <v>0</v>
      </c>
      <c r="I38" s="14" cm="1">
        <f t="array" ref="I38">_xll.BDP(B38&amp;" Equity","LAST_PRICE")</f>
        <v>301.89</v>
      </c>
      <c r="J38" s="447">
        <f t="shared" ref="J38" si="45">I38/K38-1</f>
        <v>-9.7746580509725511E-3</v>
      </c>
      <c r="K38" s="448" cm="1">
        <f t="array" ref="K38">_xll.BDP(B38&amp;" EQUITY","PX_YEST_CLOSE")</f>
        <v>304.87</v>
      </c>
      <c r="L38" s="8" cm="1">
        <f t="array" ref="L38">_xll.BDP(E38&amp;" Curncy","PX_LAST")</f>
        <v>1</v>
      </c>
      <c r="M38" s="449">
        <v>1</v>
      </c>
      <c r="N38" s="405">
        <f t="shared" ref="N38" si="46">IFERROR(IF(((I38/L38)*H38*M38)&lt;&gt;0,((I38/L38)*H38*M38),0),"-")</f>
        <v>0</v>
      </c>
      <c r="O38" s="450">
        <f>IFERROR(IF(Tabelad[[#This Row],[D1 Exp USD]]&lt;&gt;0,N38/$AE$7,0),"-")</f>
        <v>0</v>
      </c>
      <c r="P38" s="451">
        <f>IFERROR(IF(Tabelad[[#This Row],[D1 Exp USD]]&lt;&gt;0,((I38-K38)/L38*M38*H38)/$AD$7*10000,0),"-")</f>
        <v>0</v>
      </c>
      <c r="Q38" s="405">
        <f>IF(SUM(SUMIFS(Options!$AL$4:$AL$33, Options!$D$4:$D$33, B38), SUMIFS(Options!$AL$4:$AL$33, Options!$D$4:$D$33, B38 &amp; " US"))=0,0,SUM(SUMIFS(Options!$AL$4:$AL$33, Options!$D$4:$D$33, B38), SUMIFS(Options!$AL$4:$AL$33, Options!$D$4:$D$33, B38 &amp; " US")))</f>
        <v>-442601.35406255722</v>
      </c>
      <c r="R38" s="128">
        <f t="shared" ref="R38" si="47">Q38/$AE$7</f>
        <v>-1.962970197586903E-4</v>
      </c>
      <c r="S38" s="451">
        <f>IF(SUM(SUMIFS(Options!$AK$4:$AK$33, Options!$D$4:$D$33, B38), SUMIFS(Options!$AK$4:$AK$33, Options!$D$4:$D$33, B38 &amp; " US"))=0,0,SUM(SUMIFS(Options!$AK$4:$AK$33, Options!$D$4:$D$33, B38), SUMIFS(Options!AK$4:$AK$33, Options!$D$4:$D$33, B38 &amp; " US")))</f>
        <v>-2.1066606220142583E-2</v>
      </c>
      <c r="T38" s="452">
        <f t="shared" ref="T38" si="48">N38+Q38</f>
        <v>-442601.35406255722</v>
      </c>
      <c r="U38" s="453">
        <f t="shared" ref="U38" si="49">T38/$AE$7</f>
        <v>-1.962970197586903E-4</v>
      </c>
      <c r="V38" s="451">
        <f t="shared" ref="V38" si="50">P38+S38</f>
        <v>-2.1066606220142583E-2</v>
      </c>
      <c r="W38" s="405">
        <f t="shared" ref="W38" si="51">$W$10/(I38/L38*M38)</f>
        <v>3734.3954834542387</v>
      </c>
      <c r="X38" s="128"/>
      <c r="Y38" s="454">
        <f>Tabelad[[#This Row],[Exp %]]*$Y$10*$AD$7/Tabelad[[#This Row],[Price Today]]</f>
        <v>-513.13549280166626</v>
      </c>
      <c r="Z38" s="455">
        <f>Tabelad[[#This Row],[Vol 10d]]/16*Tabelad[[#This Row],[Exp %]]*100</f>
        <v>-7.160717519938381E-2</v>
      </c>
      <c r="AA38" s="128">
        <f>Tabelad[[#This Row],[Exp %]]*Tabelad[[#This Row],[Beta Adj2]]</f>
        <v>-3.0481077273905192E-4</v>
      </c>
      <c r="AB38" s="14">
        <f>_xll.BDP($B38&amp;" Equity","volatility_10d")</f>
        <v>58.366388068376096</v>
      </c>
      <c r="AC38" s="14" cm="1">
        <f t="array" ref="AC38">_xll.BDP(B38&amp;" EQUITY","eqy_beta")</f>
        <v>1.5528038740158081</v>
      </c>
      <c r="AD38" s="405">
        <f>Tabelad[[#This Row],[D1 P&amp;L bps]]*$AD$5/10000</f>
        <v>0</v>
      </c>
      <c r="AE38" s="337"/>
      <c r="AF38" s="456" t="str">
        <f>_xll.BDP(B38&amp;" Equity","EXPECTED_REPORT_DT")</f>
        <v>12/02/2026</v>
      </c>
      <c r="AG38" s="457">
        <f>_xll.BDP(B38&amp;" Index","CHG_PCT_1D_PRE_FROM_REGULAR")/100</f>
        <v>-1.2693920000000001E-2</v>
      </c>
      <c r="AH38" s="451">
        <f t="shared" ref="AH38" si="52">(T38*AG38)/$AD$7*10000</f>
        <v>2.4917786650552338E-2</v>
      </c>
      <c r="AI38" s="458" t="str">
        <f>_xll.BDP(B38&amp;" Equity","DVD_EX_DT")</f>
        <v>19/02/2026</v>
      </c>
    </row>
    <row r="39" spans="1:35">
      <c r="B39" s="40" t="s">
        <v>2189</v>
      </c>
      <c r="C39" t="s">
        <v>2190</v>
      </c>
      <c r="E39" t="s">
        <v>194</v>
      </c>
      <c r="F39" s="22" t="s">
        <v>99</v>
      </c>
      <c r="G39" s="15"/>
      <c r="H39" s="492">
        <v>22000</v>
      </c>
      <c r="I39" s="36" cm="1">
        <f t="array" ref="I39">_xll.BDP(B39&amp;" Equity","LAST_PRICE")</f>
        <v>17.309999999999999</v>
      </c>
      <c r="J39" s="51">
        <f>I39/K39-1</f>
        <v>3.3432835820895512E-2</v>
      </c>
      <c r="K39" s="440" cm="1">
        <f t="array" ref="K39">_xll.BDP(B39&amp;" EQUITY","PX_YEST_CLOSE")</f>
        <v>16.75</v>
      </c>
      <c r="L39" s="53" cm="1">
        <f t="array" ref="L39">_xll.BDP(E39&amp;" Curncy","PX_LAST")</f>
        <v>1</v>
      </c>
      <c r="M39" s="52">
        <v>1</v>
      </c>
      <c r="N39" s="15">
        <f>IFERROR(IF(((I39/L39)*H39*M39)&lt;&gt;0,((I39/L39)*H39*M39),0),"-")</f>
        <v>380820</v>
      </c>
      <c r="O39" s="358">
        <f>IFERROR(IF(Tabelad[[#This Row],[D1 Exp USD]]&lt;&gt;0,N39/$AE$7,0),"-")</f>
        <v>1.6889652591062506E-4</v>
      </c>
      <c r="P39" s="20">
        <f>IFERROR(IF(Tabelad[[#This Row],[D1 Exp USD]]&lt;&gt;0,((I39-K39)/L39*M39*H39)/$AD$7*10000,0),"-")</f>
        <v>5.4640123922559111E-2</v>
      </c>
      <c r="Q39" s="15">
        <f>IF(SUM(SUMIFS(Options!$AL$4:$AL$33, Options!$D$4:$D$33, B39), SUMIFS(Options!$AL$4:$AL$33, Options!$D$4:$D$33, B39 &amp; " US"))=0,0,SUM(SUMIFS(Options!$AL$4:$AL$33, Options!$D$4:$D$33, B39), SUMIFS(Options!$AL$4:$AL$33, Options!$D$4:$D$33, B39 &amp; " US")))</f>
        <v>0</v>
      </c>
      <c r="R39" s="19">
        <f>Q39/$AE$7</f>
        <v>0</v>
      </c>
      <c r="S39" s="20">
        <f>IF(SUM(SUMIFS(Options!$AK$4:$AK$33, Options!$D$4:$D$33, B39), SUMIFS(Options!$AK$4:$AK$33, Options!$D$4:$D$33, B39 &amp; " US"))=0,0,SUM(SUMIFS(Options!$AK$4:$AK$33, Options!$D$4:$D$33, B39), SUMIFS(Options!AK$4:$AK$33, Options!$D$4:$D$33, B39 &amp; " US")))</f>
        <v>0</v>
      </c>
      <c r="T39" s="13">
        <f>N39+Q39</f>
        <v>380820</v>
      </c>
      <c r="U39" s="48">
        <f>T39/$AE$7</f>
        <v>1.6889652591062506E-4</v>
      </c>
      <c r="V39" s="20">
        <f>P39+S39</f>
        <v>5.4640123922559111E-2</v>
      </c>
      <c r="W39" s="15">
        <f>$W$10/(I39/L39*M39)</f>
        <v>65128.633882149057</v>
      </c>
      <c r="X39" s="19"/>
      <c r="Y39" s="376">
        <f>Tabelad[[#This Row],[Exp %]]*$Y$10*$AD$7/Tabelad[[#This Row],[Price Today]]</f>
        <v>7699.9999999999991</v>
      </c>
      <c r="Z39" s="266">
        <f>Tabelad[[#This Row],[Vol 10d]]/16*Tabelad[[#This Row],[Exp %]]*100</f>
        <v>6.2195213729195932E-2</v>
      </c>
      <c r="AA39" s="19">
        <f>Tabelad[[#This Row],[Exp %]]*Tabelad[[#This Row],[Beta Adj2]]</f>
        <v>3.5324419205037707E-4</v>
      </c>
      <c r="AB39" s="36">
        <f>_xll.BDP($B39&amp;" Equity","volatility_10d")</f>
        <v>58.919117151866359</v>
      </c>
      <c r="AC39" s="36" cm="1">
        <f t="array" ref="AC39">_xll.BDP(B39&amp;" EQUITY","eqy_beta")</f>
        <v>2.0914828777313232</v>
      </c>
      <c r="AD39" s="15">
        <f>Tabelad[[#This Row],[D1 P&amp;L bps]]*$AD$5/10000</f>
        <v>11517.635433735373</v>
      </c>
      <c r="AE39" s="277"/>
      <c r="AF39" s="231" t="str">
        <f>_xll.BDP(B39&amp;" Equity","EXPECTED_REPORT_DT")</f>
        <v>24/02/2026</v>
      </c>
      <c r="AG39" s="172">
        <f>_xll.BDP(B39&amp;" Index","CHG_PCT_1D_PRE_FROM_REGULAR")/100</f>
        <v>3.283577E-2</v>
      </c>
      <c r="AH39" s="20">
        <f>(T39*AG39)/$AD$7*10000</f>
        <v>5.5458474786003249E-2</v>
      </c>
      <c r="AI39" s="493" t="str">
        <f>_xll.BDP(B39&amp;" Equity","DVD_EX_DT")</f>
        <v>12/10/2017</v>
      </c>
    </row>
    <row r="40" spans="1:35" s="59" customFormat="1">
      <c r="A40" s="445" t="s">
        <v>151</v>
      </c>
      <c r="B40" s="425" t="s">
        <v>87</v>
      </c>
      <c r="C40" s="59" t="s">
        <v>2355</v>
      </c>
      <c r="E40" s="59" t="s">
        <v>194</v>
      </c>
      <c r="F40" s="163" t="s">
        <v>99</v>
      </c>
      <c r="G40" s="405"/>
      <c r="H40" s="446">
        <v>3500</v>
      </c>
      <c r="I40" s="14" cm="1">
        <f t="array" ref="I40">_xll.BDP(B40&amp;" Equity","LAST_PRICE")</f>
        <v>329.17</v>
      </c>
      <c r="J40" s="447">
        <f t="shared" si="2"/>
        <v>3.934366231548081E-3</v>
      </c>
      <c r="K40" s="448" cm="1">
        <f t="array" ref="K40">_xll.BDP(B40&amp;" EQUITY","PX_YEST_CLOSE")</f>
        <v>327.88</v>
      </c>
      <c r="L40" s="8" cm="1">
        <f t="array" ref="L40">_xll.BDP(E40&amp;" Curncy","PX_LAST")</f>
        <v>1</v>
      </c>
      <c r="M40" s="449">
        <v>1</v>
      </c>
      <c r="N40" s="405">
        <f>IFERROR(IF(((I40/L40)*H40*M40)&lt;&gt;0,((I40/L40)*H40*M40),0),"-")</f>
        <v>1152095</v>
      </c>
      <c r="O40" s="450">
        <f>IFERROR(IF(Tabelad[[#This Row],[D1 Exp USD]]&lt;&gt;0,N40/$AE$7,0),"-")</f>
        <v>5.1096277248831887E-4</v>
      </c>
      <c r="P40" s="451">
        <f>IFERROR(IF(Tabelad[[#This Row],[D1 Exp USD]]&lt;&gt;0,((I40-K40)/L40*M40*H40)/$AD$7*10000,0),"-")</f>
        <v>2.0024363596620038E-2</v>
      </c>
      <c r="Q40" s="405">
        <f>IF(SUM(SUMIFS(Options!$AL$4:$AL$33, Options!$D$4:$D$33, B40), SUMIFS(Options!$AL$4:$AL$33, Options!$D$4:$D$33, B40 &amp; " US"))=0,0,SUM(SUMIFS(Options!$AL$4:$AL$33, Options!$D$4:$D$33, B40), SUMIFS(Options!$AL$4:$AL$33, Options!$D$4:$D$33, B40 &amp; " US")))</f>
        <v>0</v>
      </c>
      <c r="R40" s="128">
        <f t="shared" si="4"/>
        <v>0</v>
      </c>
      <c r="S40" s="451">
        <f>IF(SUM(SUMIFS(Options!$AK$4:$AK$33, Options!$D$4:$D$33, B40), SUMIFS(Options!$AK$4:$AK$33, Options!$D$4:$D$33, B40 &amp; " US"))=0,0,SUM(SUMIFS(Options!$AK$4:$AK$33, Options!$D$4:$D$33, B40), SUMIFS(Options!AK$4:$AK$33, Options!$D$4:$D$33, B40 &amp; " US")))</f>
        <v>0</v>
      </c>
      <c r="T40" s="452">
        <f>N40+Q40</f>
        <v>1152095</v>
      </c>
      <c r="U40" s="453">
        <f t="shared" si="6"/>
        <v>5.1096277248831887E-4</v>
      </c>
      <c r="V40" s="451">
        <f>P40+S40</f>
        <v>2.0024363596620038E-2</v>
      </c>
      <c r="W40" s="405">
        <f>$W$10/(I40/L40*M40)</f>
        <v>3424.9070465109216</v>
      </c>
      <c r="X40" s="128"/>
      <c r="Y40" s="454">
        <f>Tabelad[[#This Row],[Exp %]]*$Y$10*$AD$7/Tabelad[[#This Row],[Price Today]]</f>
        <v>1225</v>
      </c>
      <c r="Z40" s="455">
        <f>Tabelad[[#This Row],[Vol 10d]]/16*Tabelad[[#This Row],[Exp %]]*100</f>
        <v>9.7820526973462524E-2</v>
      </c>
      <c r="AA40" s="128">
        <f>Tabelad[[#This Row],[Exp %]]*Tabelad[[#This Row],[Beta Adj2]]</f>
        <v>4.2183881881394211E-4</v>
      </c>
      <c r="AB40" s="14">
        <f>_xll.BDP($B40&amp;" Equity","volatility_10d")</f>
        <v>30.630967965698147</v>
      </c>
      <c r="AC40" s="14">
        <f>_xll.BDP(B40&amp;" EQUITY","eqy_beta")</f>
        <v>0.82557642459869385</v>
      </c>
      <c r="AD40" s="405">
        <f>Tabelad[[#This Row],[D1 P&amp;L bps]]*$AD$5/10000</f>
        <v>4220.951622022415</v>
      </c>
      <c r="AE40" s="337"/>
      <c r="AF40" s="456" t="str">
        <f>_xll.BDP(B40&amp;" Equity","EXPECTED_REPORT_DT")</f>
        <v>30/01/2026</v>
      </c>
      <c r="AG40" s="457" t="e">
        <f>_xll.BDP(B40&amp;" Index","CHG_PCT_1D_PRE_FROM_REGULAR")/100</f>
        <v>#VALUE!</v>
      </c>
      <c r="AH40" s="451" t="e">
        <f>(T40*AG40)/$AD$7*10000</f>
        <v>#VALUE!</v>
      </c>
      <c r="AI40" s="458" t="str">
        <f>_xll.BDP(B40&amp;" Equity","DVD_EX_DT")</f>
        <v>12/11/2025</v>
      </c>
    </row>
    <row r="41" spans="1:35" s="59" customFormat="1">
      <c r="A41" s="445" t="s">
        <v>151</v>
      </c>
      <c r="B41" s="425" t="s">
        <v>86</v>
      </c>
      <c r="C41" s="59" t="s">
        <v>2355</v>
      </c>
      <c r="E41" s="59" t="s">
        <v>194</v>
      </c>
      <c r="F41" s="163" t="s">
        <v>99</v>
      </c>
      <c r="G41" s="405"/>
      <c r="H41" s="446">
        <v>2100</v>
      </c>
      <c r="I41" s="14" cm="1">
        <f t="array" ref="I41">_xll.BDP(B41&amp;" Equity","LAST_PRICE")</f>
        <v>546.82000000000005</v>
      </c>
      <c r="J41" s="447">
        <f t="shared" si="2"/>
        <v>3.3578597772436769E-3</v>
      </c>
      <c r="K41" s="448" cm="1">
        <f t="array" ref="K41">_xll.BDP(B41&amp;" EQUITY","PX_YEST_CLOSE")</f>
        <v>544.99</v>
      </c>
      <c r="L41" s="8" cm="1">
        <f t="array" ref="L41">_xll.BDP(E41&amp;" Curncy","PX_LAST")</f>
        <v>1</v>
      </c>
      <c r="M41" s="449">
        <v>1</v>
      </c>
      <c r="N41" s="405">
        <f>IFERROR(IF(((I41/L41)*H41*M41)&lt;&gt;0,((I41/L41)*H41*M41),0),"-")</f>
        <v>1148322</v>
      </c>
      <c r="O41" s="450">
        <f>IFERROR(IF(Tabelad[[#This Row],[D1 Exp USD]]&lt;&gt;0,N41/$AE$7,0),"-")</f>
        <v>5.0928941869319048E-4</v>
      </c>
      <c r="P41" s="451">
        <f>IFERROR(IF(Tabelad[[#This Row],[D1 Exp USD]]&lt;&gt;0,((I41-K41)/L41*M41*H41)/$AD$7*10000,0),"-")</f>
        <v>1.7043993200844144E-2</v>
      </c>
      <c r="Q41" s="405">
        <f>IF(SUM(SUMIFS(Options!$AL$4:$AL$33, Options!$D$4:$D$33, B41), SUMIFS(Options!$AL$4:$AL$33, Options!$D$4:$D$33, B41 &amp; " US"))=0,0,SUM(SUMIFS(Options!$AL$4:$AL$33, Options!$D$4:$D$33, B41), SUMIFS(Options!$AL$4:$AL$33, Options!$D$4:$D$33, B41 &amp; " US")))</f>
        <v>0</v>
      </c>
      <c r="R41" s="128">
        <f t="shared" si="4"/>
        <v>0</v>
      </c>
      <c r="S41" s="451">
        <f>IF(SUM(SUMIFS(Options!$AK$4:$AK$33, Options!$D$4:$D$33, B41), SUMIFS(Options!$AK$4:$AK$33, Options!$D$4:$D$33, B41 &amp; " US"))=0,0,SUM(SUMIFS(Options!$AK$4:$AK$33, Options!$D$4:$D$33, B41), SUMIFS(Options!AK$4:$AK$33, Options!$D$4:$D$33, B41 &amp; " US")))</f>
        <v>0</v>
      </c>
      <c r="T41" s="452">
        <f>N41+Q41</f>
        <v>1148322</v>
      </c>
      <c r="U41" s="453">
        <f t="shared" si="6"/>
        <v>5.0928941869319048E-4</v>
      </c>
      <c r="V41" s="451">
        <f>P41+S41</f>
        <v>1.7043993200844144E-2</v>
      </c>
      <c r="W41" s="405">
        <f>$W$10/(I41/L41*M41)</f>
        <v>2061.6960837204197</v>
      </c>
      <c r="X41" s="128"/>
      <c r="Y41" s="454">
        <f>Tabelad[[#This Row],[Exp %]]*$Y$10*$AD$7/Tabelad[[#This Row],[Price Today]]</f>
        <v>734.99999999999989</v>
      </c>
      <c r="Z41" s="455">
        <f>Tabelad[[#This Row],[Vol 10d]]/16*Tabelad[[#This Row],[Exp %]]*100</f>
        <v>8.6850458118314613E-2</v>
      </c>
      <c r="AA41" s="128">
        <f>Tabelad[[#This Row],[Exp %]]*Tabelad[[#This Row],[Beta Adj2]]</f>
        <v>4.2927727749669147E-4</v>
      </c>
      <c r="AB41" s="14">
        <f>_xll.BDP($B41&amp;" Equity","volatility_10d")</f>
        <v>27.285218951901495</v>
      </c>
      <c r="AC41" s="14">
        <f>_xll.BDP(B41&amp;" EQUITY","eqy_beta")</f>
        <v>0.84289455413818359</v>
      </c>
      <c r="AD41" s="405">
        <f>Tabelad[[#This Row],[D1 P&amp;L bps]]*$AD$5/10000</f>
        <v>3592.7169620004975</v>
      </c>
      <c r="AE41" s="337"/>
      <c r="AF41" s="456" t="str">
        <f>_xll.BDP(B41&amp;" Equity","EXPECTED_REPORT_DT")</f>
        <v>29/01/2026</v>
      </c>
      <c r="AG41" s="457" t="e">
        <f>_xll.BDP(B41&amp;" Index","CHG_PCT_1D_PRE_FROM_REGULAR")/100</f>
        <v>#VALUE!</v>
      </c>
      <c r="AH41" s="451" t="e">
        <f>(T41*AG41)/$AD$7*10000</f>
        <v>#VALUE!</v>
      </c>
      <c r="AI41" s="458" t="str">
        <f>_xll.BDP(B41&amp;" Equity","DVD_EX_DT")</f>
        <v>09/01/2026</v>
      </c>
    </row>
    <row r="42" spans="1:35">
      <c r="C42" s="40"/>
      <c r="D42" s="40"/>
      <c r="E42" s="40"/>
      <c r="H42" s="13"/>
      <c r="I42" s="53"/>
      <c r="K42" s="53"/>
      <c r="L42" s="53"/>
      <c r="M42" s="36"/>
      <c r="S42" s="277"/>
      <c r="U42" s="71"/>
      <c r="V42" s="65"/>
      <c r="X42" s="53"/>
      <c r="Y42" s="491"/>
      <c r="Z42" s="19"/>
      <c r="AG42" s="53"/>
      <c r="AI42" s="48"/>
    </row>
    <row r="43" spans="1:35">
      <c r="C43" s="21"/>
      <c r="D43" s="21"/>
      <c r="E43" s="21"/>
      <c r="H43" s="13"/>
      <c r="L43" s="3"/>
      <c r="S43" s="276"/>
    </row>
    <row r="44" spans="1:35">
      <c r="C44" s="21"/>
      <c r="D44" s="21"/>
      <c r="E44" s="21"/>
      <c r="H44" s="13"/>
      <c r="L44" s="3"/>
      <c r="S44" s="276"/>
    </row>
    <row r="45" spans="1:35">
      <c r="C45" s="21"/>
      <c r="D45" s="21"/>
      <c r="E45" s="21"/>
      <c r="H45" s="13"/>
      <c r="L45" s="3"/>
      <c r="S45" s="276"/>
    </row>
    <row r="46" spans="1:35">
      <c r="C46" s="21"/>
      <c r="D46" s="21"/>
      <c r="E46" s="21"/>
      <c r="H46" s="13"/>
      <c r="S46" s="276"/>
    </row>
    <row r="47" spans="1:35">
      <c r="C47" s="21"/>
      <c r="D47" s="21"/>
      <c r="E47" s="21"/>
      <c r="S47" s="276"/>
    </row>
    <row r="48" spans="1:35">
      <c r="C48" s="21"/>
      <c r="D48" s="21"/>
      <c r="E48" s="21"/>
      <c r="H48" s="13"/>
    </row>
    <row r="49" spans="3:5">
      <c r="C49" s="21"/>
      <c r="D49" s="21"/>
      <c r="E49" s="21"/>
    </row>
    <row r="50" spans="3:5">
      <c r="C50" s="21"/>
      <c r="D50" s="21"/>
      <c r="E50" s="21"/>
    </row>
    <row r="51" spans="3:5">
      <c r="C51" s="21"/>
      <c r="D51" s="21"/>
      <c r="E51" s="21"/>
    </row>
    <row r="52" spans="3:5">
      <c r="C52" s="21"/>
      <c r="D52" s="21"/>
      <c r="E52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38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38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8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1">
    <cfRule type="dataBar" priority="53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1">
    <cfRule type="colorScale" priority="538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1">
    <cfRule type="dataBar" priority="5386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1">
    <cfRule type="colorScale" priority="538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1">
    <cfRule type="colorScale" priority="538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1">
    <cfRule type="colorScale" priority="53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1">
    <cfRule type="colorScale" priority="538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AB12:AB41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2"/>
  <sheetViews>
    <sheetView zoomScale="85" zoomScaleNormal="85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V29" sqref="V29:V31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-2.8947048159628017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SUM(V4:V33)</f>
        <v>9.8266182605728574</v>
      </c>
      <c r="W1" s="50">
        <f>SUM(W4:W33)</f>
        <v>3.6437910887106972</v>
      </c>
      <c r="X1" s="50">
        <f>SUM(X4:X33)</f>
        <v>70.870000000000047</v>
      </c>
      <c r="Y1" s="269"/>
      <c r="AG1" s="43"/>
      <c r="AI1" s="417">
        <f>SUM(AI4:AI33)*252</f>
        <v>-1.3551715638251858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2177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35"/>
      <c r="B4" s="73" t="s">
        <v>2340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37</v>
      </c>
      <c r="G4" s="73" t="str" cm="1">
        <f t="array" ref="G4">_xll.BDP(B4&amp;" Equity","QUOTED_CURRENCY_REALTIME")</f>
        <v>USD</v>
      </c>
      <c r="H4" s="42">
        <v>1500</v>
      </c>
      <c r="I4" s="410">
        <v>0.54</v>
      </c>
      <c r="J4" s="416">
        <f>VLOOKUP(B4,Precificação!$B:$O,14,FALSE)</f>
        <v>0.46633326413051501</v>
      </c>
      <c r="K4" s="74">
        <f t="shared" ref="K4:K33" si="0">+J4</f>
        <v>0.46633326413051501</v>
      </c>
      <c r="L4" s="74" cm="1">
        <f t="array" ref="L4">_xll.BDP($B4&amp;" Equity","mid")</f>
        <v>0.37</v>
      </c>
      <c r="M4" s="75">
        <f t="shared" ref="M4:M33" si="1">L4/Z4</f>
        <v>1.0985748218527316E-2</v>
      </c>
      <c r="N4" s="353"/>
      <c r="O4" s="75">
        <f t="shared" ref="O4:O33" si="2">L4/K4-1</f>
        <v>-0.20657600806180909</v>
      </c>
      <c r="P4" s="74" cm="1">
        <f t="array" ref="P4">_xll.BDP($B4&amp;" Equity","bid")</f>
        <v>0.28999999999999998</v>
      </c>
      <c r="Q4" s="74" cm="1">
        <f t="array" ref="Q4">_xll.BDP($B4&amp;" Equity","ask")</f>
        <v>0.44</v>
      </c>
      <c r="R4" s="76">
        <f t="shared" ref="R4:R33" si="3">(Q4/P4-1)</f>
        <v>0.51724137931034497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33" si="4">(L4/S4)*H4*T4</f>
        <v>55500</v>
      </c>
      <c r="V4" s="113">
        <f>U4/'Master P&amp;L'!$AD$7*10000</f>
        <v>0.24614666215113942</v>
      </c>
      <c r="W4" s="113">
        <f>(Y4*H4*T4/S4)/'Master P&amp;L'!$AD$7*10000</f>
        <v>0.24614666215113942</v>
      </c>
      <c r="X4" s="118">
        <f t="shared" ref="X4:X33" si="5">IF(C4="Put",IF(Z4&lt;AA4,AA4-Z4,0),IF(Z4&gt;AA4,Z4-AA4,0))</f>
        <v>0</v>
      </c>
      <c r="Y4" s="272">
        <f t="shared" ref="Y4:Y33" si="6">L4-X4</f>
        <v>0.37</v>
      </c>
      <c r="Z4" s="77">
        <f>_xll.BDP(D4&amp;" Equity","LAST_PRICE")</f>
        <v>33.68</v>
      </c>
      <c r="AA4" s="77" cm="1">
        <f t="array" ref="AA4">_xll.BDP(B4&amp;" Equity","OPT_STRIKE_PX")</f>
        <v>35</v>
      </c>
      <c r="AB4" s="76">
        <f t="shared" ref="AB4:AB33" si="7">AA4/Z4-1</f>
        <v>3.9192399049881255E-2</v>
      </c>
      <c r="AC4" s="323" cm="1">
        <f t="array" ref="AC4">_xll.BDP($D4&amp;" Equity","volatility_10d")</f>
        <v>16.741816828941552</v>
      </c>
      <c r="AD4" s="77" cm="1">
        <f t="array" ref="AD4">_xll.BDP(B4&amp;" Equity","ivol_mid")</f>
        <v>20.292870000000001</v>
      </c>
      <c r="AE4" s="77">
        <f t="shared" ref="AE4:AE33" si="8">AD4/AC4</f>
        <v>1.2121067986432481</v>
      </c>
      <c r="AF4" s="78" cm="1">
        <f t="array" ref="AF4">_xll.BDP(B4&amp;" Equity","DELTA_MID_RT")</f>
        <v>0.29355892539024353</v>
      </c>
      <c r="AG4" s="75">
        <f>AL4/'Master P&amp;L'!$AE$7</f>
        <v>6.5774809500567986E-4</v>
      </c>
      <c r="AH4" s="75">
        <f>AM4/'Master P&amp;L'!$AE$7</f>
        <v>2.2405998868244258E-3</v>
      </c>
      <c r="AI4" s="437">
        <f>AO4/'Master P&amp;L'!$AD$7*10000</f>
        <v>-6.4863270516301065E-3</v>
      </c>
      <c r="AJ4" s="351">
        <f t="shared" ref="AJ4:AJ33" si="9">(252*AI4)/$AI$1</f>
        <v>1.2061605044286783</v>
      </c>
      <c r="AK4" s="78">
        <f>AP4/'Master P&amp;L'!$AD$7*10000</f>
        <v>-6.4086787621217181E-2</v>
      </c>
      <c r="AL4" s="42">
        <f t="shared" ref="AL4:AL33" si="10">Z4*AF4*H4*T4/S4</f>
        <v>1483059.6910715105</v>
      </c>
      <c r="AM4" s="42">
        <f t="shared" ref="AM4:AM33" si="11">IF(C4="Put",-Z4*H4*T4/S4,Z4*H4*T4/S4)</f>
        <v>5052000</v>
      </c>
      <c r="AN4" s="78" cm="1">
        <f t="array" ref="AN4">_xll.BDP($B4&amp;" Equity","theta_mid_rt")</f>
        <v>-9.7500449046492577E-3</v>
      </c>
      <c r="AO4" s="42">
        <f t="shared" ref="AO4:AO33" si="12">AN4*H4*T4/S4</f>
        <v>-1462.5067356973886</v>
      </c>
      <c r="AP4" s="42">
        <f t="shared" ref="AP4:AP33" si="13">(L4-K4)*T4/S4*H4</f>
        <v>-14449.989619577254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5.4843999999999997E-2</v>
      </c>
      <c r="AS4" s="73">
        <f t="shared" ref="AS4:AS33" si="14">$Z4*($AR4*$Z4*$AS$3)*$H4*$T4/$S4</f>
        <v>93317.811878399982</v>
      </c>
      <c r="AT4" s="73">
        <f t="shared" ref="AT4:AT33" si="15">$Z4*($AR4*$Z4*$AT$3)*$H4*$T4/$S4</f>
        <v>466589.05939199997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42">
        <v>0.37</v>
      </c>
      <c r="AZ4" s="355"/>
      <c r="BA4" s="42">
        <f t="shared" ref="BA4:BA33" si="16">+AY4</f>
        <v>0.37</v>
      </c>
      <c r="BB4" s="347">
        <f t="shared" ref="BB4:BB33" si="17">+J4</f>
        <v>0.46633326413051501</v>
      </c>
      <c r="BC4" s="347">
        <f t="shared" ref="BC4:BC33" si="18">(BB4-BA4)*H4*100</f>
        <v>14449.989619577253</v>
      </c>
      <c r="BD4" s="347">
        <f>BC4/'Master P&amp;L'!$AD$7*10000</f>
        <v>6.4086787621217181E-2</v>
      </c>
    </row>
    <row r="5" spans="1:56">
      <c r="A5" s="357"/>
      <c r="B5" t="s">
        <v>2159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155</v>
      </c>
      <c r="G5" t="str" cm="1">
        <f t="array" ref="G5">_xll.BDP(B5&amp;" Equity","QUOTED_CURRENCY_REALTIME")</f>
        <v>USD</v>
      </c>
      <c r="H5" s="15">
        <v>-50</v>
      </c>
      <c r="I5" s="411">
        <v>23.39</v>
      </c>
      <c r="J5" s="416">
        <f>VLOOKUP(B5,Precificação!$B:$O,14,FALSE)</f>
        <v>26.475000000000001</v>
      </c>
      <c r="K5" s="74">
        <f t="shared" si="0"/>
        <v>26.475000000000001</v>
      </c>
      <c r="L5" s="74" cm="1">
        <f t="array" ref="L5">_xll.BDP($B5&amp;" Equity","mid")</f>
        <v>21.85</v>
      </c>
      <c r="M5" s="19">
        <f t="shared" si="1"/>
        <v>6.4285504133690316E-2</v>
      </c>
      <c r="N5" s="351"/>
      <c r="O5" s="19">
        <f t="shared" si="2"/>
        <v>-0.17469310670443816</v>
      </c>
      <c r="P5" s="36" cm="1">
        <f t="array" ref="P5">_xll.BDP($B5&amp;" Equity","bid")</f>
        <v>21.6</v>
      </c>
      <c r="Q5" s="36" cm="1">
        <f t="array" ref="Q5">_xll.BDP($B5&amp;" Equity","ask")</f>
        <v>22.1</v>
      </c>
      <c r="R5" s="40">
        <f t="shared" si="3"/>
        <v>2.314814814814814E-2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-109250</v>
      </c>
      <c r="V5" s="124">
        <f>U5/'Master P&amp;L'!$AD$7*10000</f>
        <v>-0.48453194306327896</v>
      </c>
      <c r="W5" s="124">
        <f>(Y5*H5*T5/S5)/'Master P&amp;L'!$AD$7*10000</f>
        <v>-0.48453194306327896</v>
      </c>
      <c r="X5" s="414">
        <f t="shared" si="5"/>
        <v>0</v>
      </c>
      <c r="Y5" s="273">
        <f t="shared" si="6"/>
        <v>21.85</v>
      </c>
      <c r="Z5" s="37">
        <f>_xll.BDP(D5&amp;" Equity","LAST_PRICE")</f>
        <v>339.89</v>
      </c>
      <c r="AA5" s="37" cm="1">
        <f t="array" ref="AA5">_xll.BDP(B5&amp;" Equity","OPT_STRIKE_PX")</f>
        <v>410</v>
      </c>
      <c r="AB5" s="40">
        <f t="shared" si="7"/>
        <v>0.20627261761158033</v>
      </c>
      <c r="AC5" s="324" cm="1">
        <f t="array" ref="AC5">_xll.BDP($D5&amp;" Equity","volatility_10d")</f>
        <v>39.621663438823042</v>
      </c>
      <c r="AD5" s="37" cm="1">
        <f t="array" ref="AD5">_xll.BDP(B5&amp;" Equity","ivol_mid")</f>
        <v>48.967109999999998</v>
      </c>
      <c r="AE5" s="37">
        <f t="shared" si="8"/>
        <v>1.2358670926476014</v>
      </c>
      <c r="AF5" s="38" cm="1">
        <f t="array" ref="AF5">_xll.BDP(B5&amp;" Equity","DELTA_MID_RT")</f>
        <v>0.35136020183563232</v>
      </c>
      <c r="AG5" s="19">
        <f>AL5/'Master P&amp;L'!$AE$7</f>
        <v>-2.6482679665461902E-4</v>
      </c>
      <c r="AH5" s="19">
        <f>AM5/'Master P&amp;L'!$AE$7</f>
        <v>-7.5371881980676372E-4</v>
      </c>
      <c r="AI5" s="436">
        <f>AO5/'Master P&amp;L'!$AD$7*10000</f>
        <v>2.8434671662904407E-3</v>
      </c>
      <c r="AJ5" s="351">
        <f t="shared" si="9"/>
        <v>-0.52875498942923871</v>
      </c>
      <c r="AK5" s="38">
        <f>AP5/'Master P&amp;L'!$AD$7*10000</f>
        <v>0.10256110922964143</v>
      </c>
      <c r="AL5" s="15">
        <f t="shared" si="10"/>
        <v>-597119.09500956524</v>
      </c>
      <c r="AM5" s="15">
        <f t="shared" si="11"/>
        <v>-1699450</v>
      </c>
      <c r="AN5" s="38" cm="1">
        <f t="array" ref="AN5">_xll.BDP($B5&amp;" Equity","theta_mid_rt")</f>
        <v>-0.12822633981704712</v>
      </c>
      <c r="AO5" s="15">
        <f t="shared" si="12"/>
        <v>641.1316990852356</v>
      </c>
      <c r="AP5" s="15">
        <f t="shared" si="13"/>
        <v>23125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1.1582E-2</v>
      </c>
      <c r="AS5">
        <f t="shared" si="14"/>
        <v>-66900.650327109994</v>
      </c>
      <c r="AT5">
        <f t="shared" si="15"/>
        <v>-334503.25163555</v>
      </c>
      <c r="AU5" t="s">
        <v>151</v>
      </c>
      <c r="AV5" s="277" cm="1">
        <f t="array" ref="AV5">_xll.BDP($D5&amp;" Equity","EST_PE_NXT_YR")*(AA5/Z5)</f>
        <v>29.207678222005487</v>
      </c>
      <c r="AX5" s="15"/>
      <c r="AY5" s="15">
        <v>21.85</v>
      </c>
      <c r="AZ5" s="356"/>
      <c r="BA5" s="15">
        <f t="shared" si="16"/>
        <v>21.85</v>
      </c>
      <c r="BB5" s="415">
        <f t="shared" si="17"/>
        <v>26.475000000000001</v>
      </c>
      <c r="BC5" s="415">
        <f t="shared" si="18"/>
        <v>-23125</v>
      </c>
      <c r="BD5" s="415">
        <f>BC5/'Master P&amp;L'!$AD$7*10000</f>
        <v>-0.10256110922964143</v>
      </c>
    </row>
    <row r="6" spans="1:56" s="59" customFormat="1">
      <c r="A6" s="335"/>
      <c r="B6" s="73" t="s">
        <v>2157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AVGO US</v>
      </c>
      <c r="E6" s="73" t="str" cm="1">
        <f t="array" ref="E6">_xll.BDP($B6&amp;" Equity","mifid_Maturity_date")</f>
        <v>18/06/2026</v>
      </c>
      <c r="F6" s="73" cm="1">
        <f t="array" ref="F6">_xll.BDP($B6&amp;" Equity","opt_days_expire")</f>
        <v>155</v>
      </c>
      <c r="G6" s="73" t="str" cm="1">
        <f t="array" ref="G6">_xll.BDP(B6&amp;" Equity","QUOTED_CURRENCY_REALTIME")</f>
        <v>USD</v>
      </c>
      <c r="H6" s="42">
        <v>50</v>
      </c>
      <c r="I6" s="410">
        <v>43.25</v>
      </c>
      <c r="J6" s="416">
        <f>VLOOKUP(B6,Precificação!$B:$O,14,FALSE)</f>
        <v>49.375</v>
      </c>
      <c r="K6" s="74">
        <f t="shared" si="0"/>
        <v>49.375</v>
      </c>
      <c r="L6" s="74" cm="1">
        <f t="array" ref="L6">_xll.BDP($B6&amp;" Equity","mid")</f>
        <v>41.7</v>
      </c>
      <c r="M6" s="75">
        <f t="shared" si="1"/>
        <v>0.12268675159610463</v>
      </c>
      <c r="N6" s="353"/>
      <c r="O6" s="75">
        <f t="shared" si="2"/>
        <v>-0.15544303797468351</v>
      </c>
      <c r="P6" s="74" cm="1">
        <f t="array" ref="P6">_xll.BDP($B6&amp;" Equity","bid")</f>
        <v>41.3</v>
      </c>
      <c r="Q6" s="74" cm="1">
        <f t="array" ref="Q6">_xll.BDP($B6&amp;" Equity","ask")</f>
        <v>42.1</v>
      </c>
      <c r="R6" s="76">
        <f t="shared" si="3"/>
        <v>1.9370460048426352E-2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 t="shared" si="4"/>
        <v>208500</v>
      </c>
      <c r="V6" s="113">
        <f>U6/'Master P&amp;L'!$AD$7*10000</f>
        <v>0.92471313618941564</v>
      </c>
      <c r="W6" s="113">
        <f>(Y6*H6*T6/S6)/'Master P&amp;L'!$AD$7*10000</f>
        <v>0.92471313618941564</v>
      </c>
      <c r="X6" s="118">
        <f t="shared" si="5"/>
        <v>0</v>
      </c>
      <c r="Y6" s="272">
        <f t="shared" si="6"/>
        <v>41.7</v>
      </c>
      <c r="Z6" s="77">
        <f>_xll.BDP(D6&amp;" Equity","LAST_PRICE")</f>
        <v>339.89</v>
      </c>
      <c r="AA6" s="77" cm="1">
        <f t="array" ref="AA6">_xll.BDP(B6&amp;" Equity","OPT_STRIKE_PX")</f>
        <v>350</v>
      </c>
      <c r="AB6" s="76">
        <f t="shared" si="7"/>
        <v>2.9744917473300214E-2</v>
      </c>
      <c r="AC6" s="323" cm="1">
        <f t="array" ref="AC6">_xll.BDP($D6&amp;" Equity","volatility_10d")</f>
        <v>39.621663438823042</v>
      </c>
      <c r="AD6" s="77" cm="1">
        <f t="array" ref="AD6">_xll.BDP(B6&amp;" Equity","ivol_mid")</f>
        <v>49.695569999999996</v>
      </c>
      <c r="AE6" s="77">
        <f t="shared" si="8"/>
        <v>1.2542524893416287</v>
      </c>
      <c r="AF6" s="78" cm="1">
        <f t="array" ref="AF6">_xll.BDP(B6&amp;" Equity","DELTA_MID_RT")</f>
        <v>0.54681634902954102</v>
      </c>
      <c r="AG6" s="75">
        <f>AL6/'Master P&amp;L'!$AE$7</f>
        <v>4.1214577324158897E-4</v>
      </c>
      <c r="AH6" s="75">
        <f>AM6/'Master P&amp;L'!$AE$7</f>
        <v>7.5371881980676372E-4</v>
      </c>
      <c r="AI6" s="437">
        <f>AO6/'Master P&amp;L'!$AD$7*10000</f>
        <v>-3.0415394748071049E-3</v>
      </c>
      <c r="AJ6" s="351">
        <f t="shared" si="9"/>
        <v>0.5655873899005921</v>
      </c>
      <c r="AK6" s="78">
        <f>AP6/'Master P&amp;L'!$AD$7*10000</f>
        <v>-0.17019600288378325</v>
      </c>
      <c r="AL6" s="42">
        <f t="shared" si="10"/>
        <v>929287.04435825325</v>
      </c>
      <c r="AM6" s="42">
        <f t="shared" si="11"/>
        <v>1699450</v>
      </c>
      <c r="AN6" s="78" cm="1">
        <f t="array" ref="AN6">_xll.BDP($B6&amp;" Equity","theta_mid_rt")</f>
        <v>-0.13715842366218567</v>
      </c>
      <c r="AO6" s="42">
        <f t="shared" si="12"/>
        <v>-685.79211831092834</v>
      </c>
      <c r="AP6" s="42">
        <f t="shared" si="13"/>
        <v>-38374.999999999985</v>
      </c>
      <c r="AQ6" s="74" t="str" cm="1">
        <f t="array" ref="AQ6">_xll.BDP($D6&amp;" Equity","EXPECTED_REPORT_DT")</f>
        <v>06/03/2026</v>
      </c>
      <c r="AR6" s="235" cm="1">
        <f t="array" ref="AR6">_xll.BDP($B6&amp;" Equity","GAMMA_LAST")</f>
        <v>1.2231000000000001E-2</v>
      </c>
      <c r="AS6" s="73">
        <f t="shared" si="14"/>
        <v>70649.443459754984</v>
      </c>
      <c r="AT6" s="73">
        <f t="shared" si="15"/>
        <v>353247.21729877498</v>
      </c>
      <c r="AU6" s="73" t="s">
        <v>151</v>
      </c>
      <c r="AV6" s="322" cm="1">
        <f t="array" ref="AV6">_xll.BDP($D6&amp;" Equity","EST_PE_NXT_YR")*(AA6/Z6)</f>
        <v>24.933383848053463</v>
      </c>
      <c r="AW6" s="73"/>
      <c r="AX6" s="42"/>
      <c r="AY6" s="42">
        <v>41.7</v>
      </c>
      <c r="AZ6" s="355"/>
      <c r="BA6" s="42">
        <f t="shared" si="16"/>
        <v>41.7</v>
      </c>
      <c r="BB6" s="347">
        <f t="shared" si="17"/>
        <v>49.375</v>
      </c>
      <c r="BC6" s="347">
        <f t="shared" si="18"/>
        <v>38374.999999999985</v>
      </c>
      <c r="BD6" s="347">
        <f>BC6/'Master P&amp;L'!$AD$7*10000</f>
        <v>0.17019600288378325</v>
      </c>
    </row>
    <row r="7" spans="1:56">
      <c r="A7" s="357"/>
      <c r="B7" t="s">
        <v>2117</v>
      </c>
      <c r="C7" t="str" cm="1">
        <f t="array" ref="C7">_xll.BDP($B7&amp;" Equity","opt_put_call")</f>
        <v>Call</v>
      </c>
      <c r="D7" t="str" cm="1">
        <f t="array" ref="D7">_xll.BDP(B7&amp;" Equity","OPT_UNDL_TICKER")</f>
        <v>LITE US</v>
      </c>
      <c r="E7" t="str" cm="1">
        <f t="array" ref="E7">_xll.BDP($B7&amp;" Equity","mifid_Maturity_date")</f>
        <v>20/02/2026</v>
      </c>
      <c r="F7" cm="1">
        <f t="array" ref="F7">_xll.BDP($B7&amp;" Equity","opt_days_expire")</f>
        <v>37</v>
      </c>
      <c r="G7" t="str" cm="1">
        <f t="array" ref="G7">_xll.BDP(B7&amp;" Equity","QUOTED_CURRENCY_REALTIME")</f>
        <v>USD</v>
      </c>
      <c r="H7" s="15">
        <v>90</v>
      </c>
      <c r="I7" s="411">
        <v>38.049999999999997</v>
      </c>
      <c r="J7" s="416">
        <f>VLOOKUP(B7,Precificação!$B:$O,14,FALSE)</f>
        <v>35.049999999999997</v>
      </c>
      <c r="K7" s="74">
        <f t="shared" si="0"/>
        <v>35.049999999999997</v>
      </c>
      <c r="L7" s="74" cm="1">
        <f t="array" ref="L7">_xll.BDP($B7&amp;" Equity","mid")</f>
        <v>21.6</v>
      </c>
      <c r="M7" s="19">
        <f t="shared" si="1"/>
        <v>6.5134792835172789E-2</v>
      </c>
      <c r="N7" s="351"/>
      <c r="O7" s="19">
        <f t="shared" si="2"/>
        <v>-0.38373751783166898</v>
      </c>
      <c r="P7" s="36" cm="1">
        <f t="array" ref="P7">_xll.BDP($B7&amp;" Equity","bid")</f>
        <v>20</v>
      </c>
      <c r="Q7" s="36" cm="1">
        <f t="array" ref="Q7">_xll.BDP($B7&amp;" Equity","ask")</f>
        <v>23.2</v>
      </c>
      <c r="R7" s="40">
        <f t="shared" si="3"/>
        <v>0.15999999999999992</v>
      </c>
      <c r="S7" s="36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4"/>
        <v>194400.00000000003</v>
      </c>
      <c r="V7" s="124">
        <f>U7/'Master P&amp;L'!$AD$7*10000</f>
        <v>0.86217857877804527</v>
      </c>
      <c r="W7" s="124">
        <f>(Y7*H7*T7/S7)/'Master P&amp;L'!$AD$7*10000</f>
        <v>0.86217857877804527</v>
      </c>
      <c r="X7" s="414">
        <f t="shared" si="5"/>
        <v>0</v>
      </c>
      <c r="Y7" s="273">
        <f t="shared" si="6"/>
        <v>21.6</v>
      </c>
      <c r="Z7" s="37">
        <f>_xll.BDP(D7&amp;" Equity","LAST_PRICE")</f>
        <v>331.62</v>
      </c>
      <c r="AA7" s="37" cm="1">
        <f t="array" ref="AA7">_xll.BDP(B7&amp;" Equity","OPT_STRIKE_PX")</f>
        <v>400</v>
      </c>
      <c r="AB7" s="40">
        <f t="shared" si="7"/>
        <v>0.20619986731801454</v>
      </c>
      <c r="AC7" s="324" cm="1">
        <f t="array" ref="AC7">_xll.BDP($D7&amp;" Equity","volatility_10d")</f>
        <v>121.58609062476584</v>
      </c>
      <c r="AD7" s="37" cm="1">
        <f t="array" ref="AD7">_xll.BDP(B7&amp;" Equity","ivol_mid")</f>
        <v>105.0339</v>
      </c>
      <c r="AE7" s="37">
        <f t="shared" si="8"/>
        <v>0.86386443926510847</v>
      </c>
      <c r="AF7" s="38" cm="1">
        <f t="array" ref="AF7">_xll.BDP(B7&amp;" Equity","DELTA_MID_RT")</f>
        <v>0.34982267022132874</v>
      </c>
      <c r="AG7" s="19">
        <f>AL7/'Master P&amp;L'!$AE$7</f>
        <v>4.6305453584385514E-4</v>
      </c>
      <c r="AH7" s="19">
        <f>AM7/'Master P&amp;L'!$AE$7</f>
        <v>1.3236836124739598E-3</v>
      </c>
      <c r="AI7" s="436">
        <f>AO7/'Master P&amp;L'!$AD$7*10000</f>
        <v>-2.2153561511364848E-2</v>
      </c>
      <c r="AJ7" s="351">
        <f t="shared" si="9"/>
        <v>4.1195503579678849</v>
      </c>
      <c r="AK7" s="38">
        <f>AP7/'Master P&amp;L'!$AD$7*10000</f>
        <v>-0.53686582798910665</v>
      </c>
      <c r="AL7" s="15">
        <f t="shared" si="10"/>
        <v>1044073.7450891733</v>
      </c>
      <c r="AM7" s="15">
        <f t="shared" si="11"/>
        <v>2984580</v>
      </c>
      <c r="AN7" s="38" cm="1">
        <f t="array" ref="AN7">_xll.BDP($B7&amp;" Equity","theta_mid_rt")</f>
        <v>-0.55500906705856323</v>
      </c>
      <c r="AO7" s="15">
        <f t="shared" si="12"/>
        <v>-4995.0816035270691</v>
      </c>
      <c r="AP7" s="15">
        <f t="shared" si="13"/>
        <v>-121049.99999999996</v>
      </c>
      <c r="AQ7" s="36" t="str" cm="1">
        <f t="array" ref="AQ7">_xll.BDP($D7&amp;" Equity","EXPECTED_REPORT_DT")</f>
        <v>03/02/2026</v>
      </c>
      <c r="AR7" s="66" cm="1">
        <f t="array" ref="AR7">_xll.BDP($B7&amp;" Equity","GAMMA_LAST")</f>
        <v>1.1202E-2</v>
      </c>
      <c r="AS7">
        <f t="shared" si="14"/>
        <v>110871.39392359201</v>
      </c>
      <c r="AT7">
        <f t="shared" si="15"/>
        <v>554356.96961796004</v>
      </c>
      <c r="AU7" t="s">
        <v>151</v>
      </c>
      <c r="AV7" s="277" cm="1">
        <f t="array" ref="AV7">_xll.BDP($D7&amp;" Equity","EST_PE_NXT_YR")*(AA7/Z7)</f>
        <v>46.209906284769104</v>
      </c>
      <c r="AX7" s="15"/>
      <c r="AY7" s="15">
        <v>21.6</v>
      </c>
      <c r="AZ7" s="356"/>
      <c r="BA7" s="15">
        <f t="shared" si="16"/>
        <v>21.6</v>
      </c>
      <c r="BB7" s="415">
        <f t="shared" si="17"/>
        <v>35.049999999999997</v>
      </c>
      <c r="BC7" s="415">
        <f t="shared" si="18"/>
        <v>121049.99999999996</v>
      </c>
      <c r="BD7" s="415">
        <f>BC7/'Master P&amp;L'!$AD$7*10000</f>
        <v>0.53686582798910665</v>
      </c>
    </row>
    <row r="8" spans="1:56" s="59" customFormat="1">
      <c r="A8" s="426"/>
      <c r="B8" s="59" t="s">
        <v>2118</v>
      </c>
      <c r="C8" s="59" t="str" cm="1">
        <f t="array" ref="C8">_xll.BDP($B8&amp;" Equity","opt_put_call")</f>
        <v>Call</v>
      </c>
      <c r="D8" s="59" t="str" cm="1">
        <f t="array" ref="D8">_xll.BDP(B8&amp;" Equity","OPT_UNDL_TICKER")</f>
        <v>LITE US</v>
      </c>
      <c r="E8" s="59" t="str" cm="1">
        <f t="array" ref="E8">_xll.BDP($B8&amp;" Equity","mifid_Maturity_date")</f>
        <v>20/02/2026</v>
      </c>
      <c r="F8" s="59" cm="1">
        <f t="array" ref="F8">_xll.BDP($B8&amp;" Equity","opt_days_expire")</f>
        <v>37</v>
      </c>
      <c r="G8" s="59" t="str" cm="1">
        <f t="array" ref="G8">_xll.BDP(B8&amp;" Equity","QUOTED_CURRENCY_REALTIME")</f>
        <v>USD</v>
      </c>
      <c r="H8" s="405">
        <v>-10</v>
      </c>
      <c r="I8" s="412">
        <v>25.62</v>
      </c>
      <c r="J8" s="14">
        <f>VLOOKUP(B8,Precificação!$B:$O,14,FALSE)</f>
        <v>21.4</v>
      </c>
      <c r="K8" s="14">
        <f t="shared" si="0"/>
        <v>21.4</v>
      </c>
      <c r="L8" s="14">
        <v>13.58</v>
      </c>
      <c r="M8" s="128">
        <f t="shared" si="1"/>
        <v>4.0950485495446595E-2</v>
      </c>
      <c r="N8" s="427"/>
      <c r="O8" s="128">
        <f t="shared" si="2"/>
        <v>-0.36542056074766349</v>
      </c>
      <c r="P8" s="14" cm="1">
        <f t="array" ref="P8">_xll.BDP($B8&amp;" Equity","bid")</f>
        <v>11.2</v>
      </c>
      <c r="Q8" s="14" cm="1">
        <f t="array" ref="Q8">_xll.BDP($B8&amp;" Equity","ask")</f>
        <v>13.9</v>
      </c>
      <c r="R8" s="425">
        <f t="shared" si="3"/>
        <v>0.2410714285714286</v>
      </c>
      <c r="S8" s="14" cm="1">
        <f t="array" ref="S8">_xll.BDP(G8&amp;" Curncy","PX_LAST")</f>
        <v>1</v>
      </c>
      <c r="T8" s="405" cm="1">
        <f t="array" ref="T8">_xll.BDP(B8&amp;" Equity","OPT_MULTIPLIER")</f>
        <v>100</v>
      </c>
      <c r="U8" s="405">
        <f t="shared" si="4"/>
        <v>-13580.000000000002</v>
      </c>
      <c r="V8" s="428">
        <f>U8/'Master P&amp;L'!$AD$7*10000</f>
        <v>-6.0228318414639166E-2</v>
      </c>
      <c r="W8" s="428">
        <f>(Y8*H8*T8/S8)/'Master P&amp;L'!$AD$7*10000</f>
        <v>-6.0228318414639166E-2</v>
      </c>
      <c r="X8" s="429">
        <f t="shared" si="5"/>
        <v>0</v>
      </c>
      <c r="Y8" s="430">
        <f t="shared" si="6"/>
        <v>13.58</v>
      </c>
      <c r="Z8" s="431">
        <f>_xll.BDP(D8&amp;" Equity","LAST_PRICE")</f>
        <v>331.62</v>
      </c>
      <c r="AA8" s="431" cm="1">
        <f t="array" ref="AA8">_xll.BDP(B8&amp;" Equity","OPT_STRIKE_PX")</f>
        <v>450</v>
      </c>
      <c r="AB8" s="425">
        <f t="shared" si="7"/>
        <v>0.35697485073276636</v>
      </c>
      <c r="AC8" s="432" cm="1">
        <f t="array" ref="AC8">_xll.BDP($D8&amp;" Equity","volatility_10d")</f>
        <v>121.58609062476584</v>
      </c>
      <c r="AD8" s="431" cm="1">
        <f t="array" ref="AD8">_xll.BDP(B8&amp;" Equity","ivol_mid")</f>
        <v>106.34780000000001</v>
      </c>
      <c r="AE8" s="431">
        <f t="shared" si="8"/>
        <v>0.87467077404607374</v>
      </c>
      <c r="AF8" s="433"/>
      <c r="AG8" s="128"/>
      <c r="AH8" s="128"/>
      <c r="AI8" s="442"/>
      <c r="AJ8" s="427"/>
      <c r="AK8" s="433">
        <f>AP8/'Master P&amp;L'!$AD$7*10000</f>
        <v>3.4682286450845229E-2</v>
      </c>
      <c r="AL8" s="405">
        <f t="shared" si="10"/>
        <v>0</v>
      </c>
      <c r="AM8" s="405">
        <f t="shared" si="11"/>
        <v>-331620</v>
      </c>
      <c r="AN8" s="433" cm="1">
        <f t="array" ref="AN8">_xll.BDP($B8&amp;" Equity","theta_mid_rt")</f>
        <v>-0.45796385407447815</v>
      </c>
      <c r="AO8" s="405">
        <f t="shared" si="12"/>
        <v>457.96385407447815</v>
      </c>
      <c r="AP8" s="405">
        <f t="shared" si="13"/>
        <v>7819.9999999999991</v>
      </c>
      <c r="AQ8" s="14" t="str" cm="1">
        <f t="array" ref="AQ8">_xll.BDP($D8&amp;" Equity","EXPECTED_REPORT_DT")</f>
        <v>03/02/2026</v>
      </c>
      <c r="AR8" s="114" cm="1">
        <f t="array" ref="AR8">_xll.BDP($B8&amp;" Equity","GAMMA_LAST")</f>
        <v>9.0720000000000002E-3</v>
      </c>
      <c r="AS8" s="59">
        <f t="shared" si="14"/>
        <v>-9976.643909567998</v>
      </c>
      <c r="AT8" s="59">
        <f t="shared" si="15"/>
        <v>-49883.219547839995</v>
      </c>
      <c r="AU8" s="59" t="s">
        <v>151</v>
      </c>
      <c r="AV8" s="337" cm="1">
        <f t="array" ref="AV8">_xll.BDP($D8&amp;" Equity","EST_PE_NXT_YR")*(AA8/Z8)</f>
        <v>51.986144570365241</v>
      </c>
      <c r="AX8" s="405"/>
      <c r="AY8" s="405">
        <v>13.58</v>
      </c>
      <c r="AZ8" s="434"/>
      <c r="BA8" s="405">
        <f t="shared" si="16"/>
        <v>13.58</v>
      </c>
      <c r="BB8" s="435">
        <f t="shared" si="17"/>
        <v>21.4</v>
      </c>
      <c r="BC8" s="435">
        <f t="shared" si="18"/>
        <v>-7819.9999999999991</v>
      </c>
      <c r="BD8" s="435">
        <f>BC8/'Master P&amp;L'!$AD$7*10000</f>
        <v>-3.4682286450845229E-2</v>
      </c>
    </row>
    <row r="9" spans="1:56">
      <c r="A9" s="357"/>
      <c r="B9" t="s">
        <v>2111</v>
      </c>
      <c r="C9" t="str" cm="1">
        <f t="array" ref="C9">_xll.BDP($B9&amp;" Equity","opt_put_call")</f>
        <v>Call</v>
      </c>
      <c r="D9" t="str" cm="1">
        <f t="array" ref="D9">_xll.BDP(B9&amp;" Equity","OPT_UNDL_TICKER")</f>
        <v>META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93</v>
      </c>
      <c r="G9" t="str" cm="1">
        <f t="array" ref="G9">_xll.BDP(B9&amp;" Equity","QUOTED_CURRENCY_REALTIME")</f>
        <v>USD</v>
      </c>
      <c r="H9" s="15">
        <v>60</v>
      </c>
      <c r="I9" s="411">
        <v>43.12</v>
      </c>
      <c r="J9" s="416">
        <f>VLOOKUP(B9,Precificação!$B:$O,14,FALSE)</f>
        <v>23.1</v>
      </c>
      <c r="K9" s="74">
        <f t="shared" si="0"/>
        <v>23.1</v>
      </c>
      <c r="L9" s="74" cm="1">
        <f t="array" ref="L9">_xll.BDP($B9&amp;" Equity","mid")</f>
        <v>18.22</v>
      </c>
      <c r="M9" s="19">
        <f t="shared" si="1"/>
        <v>2.9600987782687809E-2</v>
      </c>
      <c r="N9" s="351"/>
      <c r="O9" s="19">
        <f t="shared" si="2"/>
        <v>-0.21125541125541136</v>
      </c>
      <c r="P9" s="36" cm="1">
        <f t="array" ref="P9">_xll.BDP($B9&amp;" Equity","bid")</f>
        <v>18</v>
      </c>
      <c r="Q9" s="36" cm="1">
        <f t="array" ref="Q9">_xll.BDP($B9&amp;" Equity","ask")</f>
        <v>18.45</v>
      </c>
      <c r="R9" s="40">
        <f t="shared" si="3"/>
        <v>2.4999999999999911E-2</v>
      </c>
      <c r="S9" s="36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4"/>
        <v>109319.99999999999</v>
      </c>
      <c r="V9" s="124">
        <f>U9/'Master P&amp;L'!$AD$7*10000</f>
        <v>0.48484239831283887</v>
      </c>
      <c r="W9" s="124">
        <f>(Y9*H9*T9/S9)/'Master P&amp;L'!$AD$7*10000</f>
        <v>0.48484239831283887</v>
      </c>
      <c r="X9" s="414">
        <f t="shared" si="5"/>
        <v>0</v>
      </c>
      <c r="Y9" s="273">
        <f t="shared" si="6"/>
        <v>18.22</v>
      </c>
      <c r="Z9" s="37">
        <f>_xll.BDP(D9&amp;" Equity","LAST_PRICE")</f>
        <v>615.52</v>
      </c>
      <c r="AA9" s="37" cm="1">
        <f t="array" ref="AA9">_xll.BDP(B9&amp;" Equity","OPT_STRIKE_PX")</f>
        <v>690</v>
      </c>
      <c r="AB9" s="40">
        <f t="shared" si="7"/>
        <v>0.12100337925656368</v>
      </c>
      <c r="AC9" s="324" cm="1">
        <f t="array" ref="AC9">_xll.BDP($D9&amp;" Equity","volatility_10d")</f>
        <v>22.209889526179403</v>
      </c>
      <c r="AD9" s="37" cm="1">
        <f t="array" ref="AD9">_xll.BDP(B9&amp;" Equity","ivol_mid")</f>
        <v>33.763010000000001</v>
      </c>
      <c r="AE9" s="37">
        <f t="shared" si="8"/>
        <v>1.5201791058079159</v>
      </c>
      <c r="AF9" s="38" cm="1">
        <f t="array" ref="AF9">_xll.BDP(B9&amp;" Equity","DELTA_MID_RT")</f>
        <v>0.29866752028465271</v>
      </c>
      <c r="AG9" s="19">
        <f>AL9/'Master P&amp;L'!$AE$7</f>
        <v>4.8919542109892005E-4</v>
      </c>
      <c r="AH9" s="19">
        <f>AM9/'Master P&amp;L'!$AE$7</f>
        <v>1.6379264160785872E-3</v>
      </c>
      <c r="AI9" s="436">
        <f>AO9/'Master P&amp;L'!$AD$7*10000</f>
        <v>-5.1819532079999319E-3</v>
      </c>
      <c r="AJ9" s="351">
        <f t="shared" si="9"/>
        <v>0.96360655969640396</v>
      </c>
      <c r="AK9" s="38">
        <f>AP9/'Master P&amp;L'!$AD$7*10000</f>
        <v>-0.12985899581595253</v>
      </c>
      <c r="AL9" s="15">
        <f t="shared" si="10"/>
        <v>1103014.9925136566</v>
      </c>
      <c r="AM9" s="15">
        <f t="shared" si="11"/>
        <v>3693119.9999999995</v>
      </c>
      <c r="AN9" s="38" cm="1">
        <f t="array" ref="AN9">_xll.BDP($B9&amp;" Equity","theta_mid_rt")</f>
        <v>-0.19473376870155334</v>
      </c>
      <c r="AO9" s="15">
        <f t="shared" si="12"/>
        <v>-1168.4026122093201</v>
      </c>
      <c r="AP9" s="15">
        <f t="shared" si="13"/>
        <v>-29280.000000000015</v>
      </c>
      <c r="AQ9" s="36" t="str" cm="1">
        <f t="array" ref="AQ9">_xll.BDP($D9&amp;" Equity","EXPECTED_REPORT_DT")</f>
        <v>29/01/2026</v>
      </c>
      <c r="AR9" s="66" cm="1">
        <f t="array" ref="AR9">_xll.BDP($B9&amp;" Equity","GAMMA_LAST")</f>
        <v>2.0389999999999998E-2</v>
      </c>
      <c r="AS9">
        <f t="shared" si="14"/>
        <v>463503.28244735993</v>
      </c>
      <c r="AT9">
        <f t="shared" si="15"/>
        <v>2317516.4122368</v>
      </c>
      <c r="AU9" t="s">
        <v>151</v>
      </c>
      <c r="AV9" s="277" cm="1">
        <f t="array" ref="AV9">_xll.BDP($D9&amp;" Equity","EST_PE_NXT_YR")*(AA9/Z9)</f>
        <v>20.530146598599565</v>
      </c>
      <c r="AX9" s="15"/>
      <c r="AY9" s="15">
        <v>18.22</v>
      </c>
      <c r="AZ9" s="356"/>
      <c r="BA9" s="15">
        <f t="shared" si="16"/>
        <v>18.22</v>
      </c>
      <c r="BB9" s="415">
        <f t="shared" si="17"/>
        <v>23.1</v>
      </c>
      <c r="BC9" s="415">
        <f t="shared" si="18"/>
        <v>29280.000000000018</v>
      </c>
      <c r="BD9" s="415">
        <f>BC9/'Master P&amp;L'!$AD$7*10000</f>
        <v>0.12985899581595256</v>
      </c>
    </row>
    <row r="10" spans="1:56" s="59" customFormat="1">
      <c r="A10" s="335"/>
      <c r="B10" s="73" t="s">
        <v>2160</v>
      </c>
      <c r="C10" s="73" t="str" cm="1">
        <f t="array" ref="C10">_xll.BDP($B10&amp;" Equity","opt_put_call")</f>
        <v>Put</v>
      </c>
      <c r="D10" s="73" t="str" cm="1">
        <f t="array" ref="D10">_xll.BDP(B10&amp;" Equity","OPT_UNDL_TICKER")</f>
        <v>META US</v>
      </c>
      <c r="E10" s="73" t="str" cm="1">
        <f t="array" ref="E10">_xll.BDP($B10&amp;" Equity","mifid_Maturity_date")</f>
        <v>17/04/2026</v>
      </c>
      <c r="F10" s="73" cm="1">
        <f t="array" ref="F10">_xll.BDP($B10&amp;" Equity","opt_days_expire")</f>
        <v>93</v>
      </c>
      <c r="G10" s="73" t="str" cm="1">
        <f t="array" ref="G10">_xll.BDP(B10&amp;" Equity","QUOTED_CURRENCY_REALTIME")</f>
        <v>USD</v>
      </c>
      <c r="H10" s="42">
        <v>-20</v>
      </c>
      <c r="I10" s="410">
        <v>22.96</v>
      </c>
      <c r="J10" s="416">
        <f>VLOOKUP(B10,Precificação!$B:$O,14,FALSE)</f>
        <v>26.824999999999999</v>
      </c>
      <c r="K10" s="74">
        <f t="shared" si="0"/>
        <v>26.824999999999999</v>
      </c>
      <c r="L10" s="74" cm="1">
        <f t="array" ref="L10">_xll.BDP($B10&amp;" Equity","mid")</f>
        <v>32.130000000000003</v>
      </c>
      <c r="M10" s="75">
        <f t="shared" si="1"/>
        <v>5.2199766051468685E-2</v>
      </c>
      <c r="N10" s="353"/>
      <c r="O10" s="75">
        <f t="shared" si="2"/>
        <v>0.1977632805219014</v>
      </c>
      <c r="P10" s="74" cm="1">
        <f t="array" ref="P10">_xll.BDP($B10&amp;" Equity","bid")</f>
        <v>31.95</v>
      </c>
      <c r="Q10" s="74" cm="1">
        <f t="array" ref="Q10">_xll.BDP($B10&amp;" Equity","ask")</f>
        <v>32.299999999999997</v>
      </c>
      <c r="R10" s="76">
        <f t="shared" si="3"/>
        <v>1.0954616588419341E-2</v>
      </c>
      <c r="S10" s="36" cm="1">
        <f t="array" ref="S10">_xll.BDP(G10&amp;" Curncy","PX_LAST")</f>
        <v>1</v>
      </c>
      <c r="T10" s="42" cm="1">
        <f t="array" ref="T10">_xll.BDP(B10&amp;" Equity","OPT_MULTIPLIER")</f>
        <v>100</v>
      </c>
      <c r="U10" s="42">
        <f t="shared" si="4"/>
        <v>-64260</v>
      </c>
      <c r="V10" s="113">
        <f>U10/'Master P&amp;L'!$AD$7*10000</f>
        <v>-0.28499791909607602</v>
      </c>
      <c r="W10" s="113">
        <f>(Y10*H10*T10/S10)/'Master P&amp;L'!$AD$7*10000</f>
        <v>-0.28499791909607602</v>
      </c>
      <c r="X10" s="118">
        <f t="shared" si="5"/>
        <v>0</v>
      </c>
      <c r="Y10" s="272">
        <f t="shared" si="6"/>
        <v>32.130000000000003</v>
      </c>
      <c r="Z10" s="77">
        <f>_xll.BDP(D10&amp;" Equity","LAST_PRICE")</f>
        <v>615.52</v>
      </c>
      <c r="AA10" s="77" cm="1">
        <f t="array" ref="AA10">_xll.BDP(B10&amp;" Equity","OPT_STRIKE_PX")</f>
        <v>600</v>
      </c>
      <c r="AB10" s="76">
        <f t="shared" si="7"/>
        <v>-2.5214452820379485E-2</v>
      </c>
      <c r="AC10" s="323" cm="1">
        <f t="array" ref="AC10">_xll.BDP($D10&amp;" Equity","volatility_10d")</f>
        <v>22.209889526179403</v>
      </c>
      <c r="AD10" s="77" cm="1">
        <f t="array" ref="AD10">_xll.BDP(B10&amp;" Equity","ivol_mid")</f>
        <v>34.267940000000003</v>
      </c>
      <c r="AE10" s="77">
        <f t="shared" si="8"/>
        <v>1.5429135727851075</v>
      </c>
      <c r="AF10" s="78" cm="1">
        <f t="array" ref="AF10">_xll.BDP(B10&amp;" Equity","DELTA_MID_RT")</f>
        <v>-0.39143440127372742</v>
      </c>
      <c r="AG10" s="75">
        <f>AL10/'Master P&amp;L'!$AE$7</f>
        <v>2.1371358200271464E-4</v>
      </c>
      <c r="AH10" s="75">
        <f>AM10/'Master P&amp;L'!$AE$7</f>
        <v>5.4597547202619578E-4</v>
      </c>
      <c r="AI10" s="437">
        <f>AO10/'Master P&amp;L'!$AD$7*10000</f>
        <v>1.9644423636705705E-3</v>
      </c>
      <c r="AJ10" s="351">
        <f t="shared" si="9"/>
        <v>-0.36529653429832648</v>
      </c>
      <c r="AK10" s="78">
        <f>AP10/'Master P&amp;L'!$AD$7*10000</f>
        <v>-4.7056145683307939E-2</v>
      </c>
      <c r="AL10" s="42">
        <f t="shared" si="10"/>
        <v>481871.40534400934</v>
      </c>
      <c r="AM10" s="42">
        <f t="shared" si="11"/>
        <v>1231040</v>
      </c>
      <c r="AN10" s="78" cm="1">
        <f t="array" ref="AN10">_xll.BDP($B10&amp;" Equity","theta_mid_rt")</f>
        <v>-0.22146664559841156</v>
      </c>
      <c r="AO10" s="42">
        <f t="shared" si="12"/>
        <v>442.93329119682312</v>
      </c>
      <c r="AP10" s="42">
        <f t="shared" si="13"/>
        <v>-10610.000000000007</v>
      </c>
      <c r="AQ10" s="74" t="str" cm="1">
        <f t="array" ref="AQ10">_xll.BDP($D10&amp;" Equity","EXPECTED_REPORT_DT")</f>
        <v>29/01/2026</v>
      </c>
      <c r="AR10" s="235" cm="1">
        <f t="array" ref="AR10">_xll.BDP($B10&amp;" Equity","GAMMA_LAST")</f>
        <v>2.2574E-2</v>
      </c>
      <c r="AS10" s="73">
        <f t="shared" si="14"/>
        <v>-171049.91168819202</v>
      </c>
      <c r="AT10" s="73">
        <f t="shared" si="15"/>
        <v>-855249.55844096001</v>
      </c>
      <c r="AU10" s="73" t="s">
        <v>151</v>
      </c>
      <c r="AV10" s="322" cm="1">
        <f t="array" ref="AV10">_xll.BDP($D10&amp;" Equity","EST_PE_NXT_YR")*(AA10/Z10)</f>
        <v>17.852301390086577</v>
      </c>
      <c r="AW10" s="73"/>
      <c r="AX10" s="42"/>
      <c r="AY10" s="42">
        <v>32.130000000000003</v>
      </c>
      <c r="AZ10" s="355"/>
      <c r="BA10" s="42">
        <f t="shared" si="16"/>
        <v>32.130000000000003</v>
      </c>
      <c r="BB10" s="347">
        <f t="shared" si="17"/>
        <v>26.824999999999999</v>
      </c>
      <c r="BC10" s="347">
        <f t="shared" si="18"/>
        <v>10610.000000000007</v>
      </c>
      <c r="BD10" s="347">
        <f>BC10/'Master P&amp;L'!$AD$7*10000</f>
        <v>4.7056145683307939E-2</v>
      </c>
    </row>
    <row r="11" spans="1:56">
      <c r="A11" s="357"/>
      <c r="B11" t="s">
        <v>2161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93</v>
      </c>
      <c r="G11" t="str" cm="1">
        <f t="array" ref="G11">_xll.BDP(B11&amp;" Equity","QUOTED_CURRENCY_REALTIME")</f>
        <v>USD</v>
      </c>
      <c r="H11" s="15">
        <v>20</v>
      </c>
      <c r="I11" s="411">
        <v>13.9</v>
      </c>
      <c r="J11" s="416">
        <f>VLOOKUP(B11,Precificação!$B:$O,14,FALSE)</f>
        <v>17.200000000000003</v>
      </c>
      <c r="K11" s="74">
        <f t="shared" si="0"/>
        <v>17.200000000000003</v>
      </c>
      <c r="L11" s="74" cm="1">
        <f t="array" ref="L11">_xll.BDP($B11&amp;" Equity","mid")</f>
        <v>20.88</v>
      </c>
      <c r="M11" s="19">
        <f t="shared" si="1"/>
        <v>3.3922537041850789E-2</v>
      </c>
      <c r="N11" s="351"/>
      <c r="O11" s="19">
        <f t="shared" si="2"/>
        <v>0.21395348837209283</v>
      </c>
      <c r="P11" s="36" cm="1">
        <f t="array" ref="P11">_xll.BDP($B11&amp;" Equity","bid")</f>
        <v>20.75</v>
      </c>
      <c r="Q11" s="36" cm="1">
        <f t="array" ref="Q11">_xll.BDP($B11&amp;" Equity","ask")</f>
        <v>21</v>
      </c>
      <c r="R11" s="40">
        <f t="shared" si="3"/>
        <v>1.2048192771084265E-2</v>
      </c>
      <c r="S11" s="36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4"/>
        <v>41760</v>
      </c>
      <c r="V11" s="124">
        <f>U11/'Master P&amp;L'!$AD$7*10000</f>
        <v>0.18520873173750599</v>
      </c>
      <c r="W11" s="124">
        <f>(Y11*H11*T11/S11)/'Master P&amp;L'!$AD$7*10000</f>
        <v>0.18520873173750599</v>
      </c>
      <c r="X11" s="414">
        <f t="shared" si="5"/>
        <v>0</v>
      </c>
      <c r="Y11" s="273">
        <f t="shared" si="6"/>
        <v>20.88</v>
      </c>
      <c r="Z11" s="37">
        <f>_xll.BDP(D11&amp;" Equity","LAST_PRICE")</f>
        <v>615.52</v>
      </c>
      <c r="AA11" s="37" cm="1">
        <f t="array" ref="AA11">_xll.BDP(B11&amp;" Equity","OPT_STRIKE_PX")</f>
        <v>570</v>
      </c>
      <c r="AB11" s="40">
        <f t="shared" si="7"/>
        <v>-7.3953730179360466E-2</v>
      </c>
      <c r="AC11" s="324" cm="1">
        <f t="array" ref="AC11">_xll.BDP($D11&amp;" Equity","volatility_10d")</f>
        <v>22.209889526179403</v>
      </c>
      <c r="AD11" s="37" cm="1">
        <f t="array" ref="AD11">_xll.BDP(B11&amp;" Equity","ivol_mid")</f>
        <v>34.943210000000001</v>
      </c>
      <c r="AE11" s="37">
        <f t="shared" si="8"/>
        <v>1.5733175961461441</v>
      </c>
      <c r="AF11" s="38" cm="1">
        <f t="array" ref="AF11">_xll.BDP(B11&amp;" Equity","DELTA_MID_RT")</f>
        <v>-0.2839195728302002</v>
      </c>
      <c r="AG11" s="19">
        <f>AL11/'Master P&amp;L'!$AE$7</f>
        <v>-1.5501312279344443E-4</v>
      </c>
      <c r="AH11" s="19">
        <f>AM11/'Master P&amp;L'!$AE$7</f>
        <v>-5.4597547202619578E-4</v>
      </c>
      <c r="AI11" s="436">
        <f>AO11/'Master P&amp;L'!$AD$7*10000</f>
        <v>-1.7631287145145882E-3</v>
      </c>
      <c r="AJ11" s="351">
        <f t="shared" si="9"/>
        <v>0.32786139254836894</v>
      </c>
      <c r="AK11" s="38">
        <f>AP11/'Master P&amp;L'!$AD$7*10000</f>
        <v>3.2642151953736646E-2</v>
      </c>
      <c r="AL11" s="15">
        <f t="shared" si="10"/>
        <v>-349516.35093688965</v>
      </c>
      <c r="AM11" s="15">
        <f t="shared" si="11"/>
        <v>-1231040</v>
      </c>
      <c r="AN11" s="38" cm="1">
        <f t="array" ref="AN11">_xll.BDP($B11&amp;" Equity","theta_mid_rt")</f>
        <v>-0.19877101480960846</v>
      </c>
      <c r="AO11" s="15">
        <f t="shared" si="12"/>
        <v>-397.54202961921692</v>
      </c>
      <c r="AP11" s="15">
        <f t="shared" si="13"/>
        <v>7359.9999999999918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1.9362000000000001E-2</v>
      </c>
      <c r="AS11">
        <f t="shared" si="14"/>
        <v>146711.632413696</v>
      </c>
      <c r="AT11">
        <f t="shared" si="15"/>
        <v>733558.16206847993</v>
      </c>
      <c r="AU11" t="s">
        <v>151</v>
      </c>
      <c r="AV11" s="277" cm="1">
        <f t="array" ref="AV11">_xll.BDP($D11&amp;" Equity","EST_PE_NXT_YR")*(AA11/Z11)</f>
        <v>16.95968632058225</v>
      </c>
      <c r="AX11" s="15"/>
      <c r="AY11" s="15">
        <v>20.88</v>
      </c>
      <c r="AZ11" s="356"/>
      <c r="BA11" s="15">
        <f t="shared" si="16"/>
        <v>20.88</v>
      </c>
      <c r="BB11" s="415">
        <f t="shared" si="17"/>
        <v>17.200000000000003</v>
      </c>
      <c r="BC11" s="415">
        <f t="shared" si="18"/>
        <v>-7359.9999999999927</v>
      </c>
      <c r="BD11" s="415">
        <f>BC11/'Master P&amp;L'!$AD$7*10000</f>
        <v>-3.2642151953736653E-2</v>
      </c>
    </row>
    <row r="12" spans="1:56" s="59" customFormat="1">
      <c r="A12" s="335"/>
      <c r="B12" s="73" t="s">
        <v>2144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65</v>
      </c>
      <c r="G12" s="73" t="str" cm="1">
        <f t="array" ref="G12">_xll.BDP(B12&amp;" Equity","QUOTED_CURRENCY_REALTIME")</f>
        <v>USD</v>
      </c>
      <c r="H12" s="42">
        <v>300</v>
      </c>
      <c r="I12" s="410">
        <v>9.1999999999999993</v>
      </c>
      <c r="J12" s="416">
        <f>VLOOKUP(B12,Precificação!$B:$O,14,FALSE)</f>
        <v>8.6750000000000007</v>
      </c>
      <c r="K12" s="74">
        <f t="shared" si="0"/>
        <v>8.6750000000000007</v>
      </c>
      <c r="L12" s="74" cm="1">
        <f t="array" ref="L12">_xll.BDP($B12&amp;" Equity","mid")</f>
        <v>9.75</v>
      </c>
      <c r="M12" s="75">
        <f t="shared" si="1"/>
        <v>0.12005910602142594</v>
      </c>
      <c r="N12" s="353"/>
      <c r="O12" s="75">
        <f t="shared" si="2"/>
        <v>0.12391930835734866</v>
      </c>
      <c r="P12" s="74" cm="1">
        <f t="array" ref="P12">_xll.BDP($B12&amp;" Equity","bid")</f>
        <v>9.65</v>
      </c>
      <c r="Q12" s="74" cm="1">
        <f t="array" ref="Q12">_xll.BDP($B12&amp;" Equity","ask")</f>
        <v>9.85</v>
      </c>
      <c r="R12" s="76">
        <f t="shared" si="3"/>
        <v>2.0725388601036121E-2</v>
      </c>
      <c r="S12" s="36" cm="1">
        <f t="array" ref="S12">_xll.BDP(G12&amp;" Curncy","PX_LAST")</f>
        <v>1</v>
      </c>
      <c r="T12" s="42" cm="1">
        <f t="array" ref="T12">_xll.BDP(B12&amp;" Equity","OPT_MULTIPLIER")</f>
        <v>100</v>
      </c>
      <c r="U12" s="42">
        <f t="shared" si="4"/>
        <v>292500</v>
      </c>
      <c r="V12" s="113">
        <f>U12/'Master P&amp;L'!$AD$7*10000</f>
        <v>1.2972594356614104</v>
      </c>
      <c r="W12" s="113">
        <f>(Y12*H12*T12/S12)/'Master P&amp;L'!$AD$7*10000</f>
        <v>0.79299140887610242</v>
      </c>
      <c r="X12" s="118">
        <f t="shared" si="5"/>
        <v>3.7900000000000063</v>
      </c>
      <c r="Y12" s="272">
        <f t="shared" si="6"/>
        <v>5.9599999999999937</v>
      </c>
      <c r="Z12" s="77">
        <f>_xll.BDP(D12&amp;" Equity","LAST_PRICE")</f>
        <v>81.209999999999994</v>
      </c>
      <c r="AA12" s="77" cm="1">
        <f t="array" ref="AA12">_xll.BDP(B12&amp;" Equity","OPT_STRIKE_PX")</f>
        <v>85</v>
      </c>
      <c r="AB12" s="76">
        <f t="shared" si="7"/>
        <v>4.6669129417559407E-2</v>
      </c>
      <c r="AC12" s="323" cm="1">
        <f t="array" ref="AC12">_xll.BDP($D12&amp;" Equity","volatility_10d")</f>
        <v>41.799153528455562</v>
      </c>
      <c r="AD12" s="77" cm="1">
        <f t="array" ref="AD12">_xll.BDP(B12&amp;" Equity","ivol_mid")</f>
        <v>57.299019999999999</v>
      </c>
      <c r="AE12" s="77">
        <f t="shared" si="8"/>
        <v>1.3708177119183194</v>
      </c>
      <c r="AF12" s="78" cm="1">
        <f t="array" ref="AF12">_xll.BDP(B12&amp;" Equity","DELTA_MID_RT")</f>
        <v>-0.51965659856796265</v>
      </c>
      <c r="AG12" s="75">
        <f>AL12/'Master P&amp;L'!$AE$7</f>
        <v>-5.6149795557839408E-4</v>
      </c>
      <c r="AH12" s="75">
        <f>AM12/'Master P&amp;L'!$AE$7</f>
        <v>-1.080517320718596E-3</v>
      </c>
      <c r="AI12" s="437">
        <f>AO12/'Master P&amp;L'!$AD$7*10000</f>
        <v>-8.0225133716662709E-3</v>
      </c>
      <c r="AJ12" s="351">
        <f t="shared" si="9"/>
        <v>1.4918209794436712</v>
      </c>
      <c r="AK12" s="78">
        <f>AP12/'Master P&amp;L'!$AD$7*10000</f>
        <v>0.14303116854728362</v>
      </c>
      <c r="AL12" s="42">
        <f t="shared" si="10"/>
        <v>-1266039.3710911272</v>
      </c>
      <c r="AM12" s="42">
        <f t="shared" si="11"/>
        <v>-2436299.9999999995</v>
      </c>
      <c r="AN12" s="78" cm="1">
        <f t="array" ref="AN12">_xll.BDP($B12&amp;" Equity","theta_mid_rt")</f>
        <v>-6.0295961797237396E-2</v>
      </c>
      <c r="AO12" s="42">
        <f t="shared" si="12"/>
        <v>-1808.8788539171219</v>
      </c>
      <c r="AP12" s="42">
        <f t="shared" si="13"/>
        <v>32249.999999999978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1.702E-2</v>
      </c>
      <c r="AS12" s="73">
        <f t="shared" si="14"/>
        <v>33674.397294599992</v>
      </c>
      <c r="AT12" s="73">
        <f t="shared" si="15"/>
        <v>168371.98647299997</v>
      </c>
      <c r="AU12" s="73" t="s">
        <v>151</v>
      </c>
      <c r="AV12" s="322" cm="1">
        <f t="array" ref="AV12">_xll.BDP($D12&amp;" Equity","EST_PE_NXT_YR")*(AA12/Z12)</f>
        <v>23.637667225183389</v>
      </c>
      <c r="AW12" s="73"/>
      <c r="AX12" s="42"/>
      <c r="AY12" s="42">
        <v>9.75</v>
      </c>
      <c r="AZ12" s="355"/>
      <c r="BA12" s="42">
        <f t="shared" si="16"/>
        <v>9.75</v>
      </c>
      <c r="BB12" s="347">
        <f t="shared" si="17"/>
        <v>8.6750000000000007</v>
      </c>
      <c r="BC12" s="347">
        <f t="shared" si="18"/>
        <v>-32249.999999999978</v>
      </c>
      <c r="BD12" s="347">
        <f>BC12/'Master P&amp;L'!$AD$7*10000</f>
        <v>-0.14303116854728362</v>
      </c>
    </row>
    <row r="13" spans="1:56" s="59" customFormat="1">
      <c r="A13" s="426"/>
      <c r="B13" s="59" t="s">
        <v>2144</v>
      </c>
      <c r="C13" s="59" t="str" cm="1">
        <f t="array" ref="C13">_xll.BDP($B13&amp;" Equity","opt_put_call")</f>
        <v>Put</v>
      </c>
      <c r="D13" s="59" t="str" cm="1">
        <f t="array" ref="D13">_xll.BDP(B13&amp;" Equity","OPT_UNDL_TICKER")</f>
        <v>MRVL US</v>
      </c>
      <c r="E13" s="59" t="str" cm="1">
        <f t="array" ref="E13">_xll.BDP($B13&amp;" Equity","mifid_Maturity_date")</f>
        <v>20/03/2026</v>
      </c>
      <c r="F13" s="59" cm="1">
        <f t="array" ref="F13">_xll.BDP($B13&amp;" Equity","opt_days_expire")</f>
        <v>65</v>
      </c>
      <c r="G13" s="59" t="str" cm="1">
        <f t="array" ref="G13">_xll.BDP(B13&amp;" Equity","QUOTED_CURRENCY_REALTIME")</f>
        <v>USD</v>
      </c>
      <c r="H13" s="405">
        <v>-100</v>
      </c>
      <c r="I13" s="412"/>
      <c r="J13" s="14"/>
      <c r="K13" s="14">
        <v>10.62</v>
      </c>
      <c r="L13" s="14" cm="1">
        <f t="array" ref="L13">_xll.BDP($B13&amp;" Equity","mid")</f>
        <v>9.75</v>
      </c>
      <c r="M13" s="128">
        <f t="shared" ref="M13:M14" si="19">L13/Z13</f>
        <v>0.12005910602142594</v>
      </c>
      <c r="N13" s="427"/>
      <c r="O13" s="128">
        <f t="shared" ref="O13:O14" si="20">L13/K13-1</f>
        <v>-8.1920903954802227E-2</v>
      </c>
      <c r="P13" s="14" cm="1">
        <f t="array" ref="P13">_xll.BDP($B13&amp;" Equity","bid")</f>
        <v>9.65</v>
      </c>
      <c r="Q13" s="14" cm="1">
        <f t="array" ref="Q13">_xll.BDP($B13&amp;" Equity","ask")</f>
        <v>9.85</v>
      </c>
      <c r="R13" s="425">
        <f t="shared" ref="R13:R14" si="21">(Q13/P13-1)</f>
        <v>2.0725388601036121E-2</v>
      </c>
      <c r="S13" s="14" cm="1">
        <f t="array" ref="S13">_xll.BDP(G13&amp;" Curncy","PX_LAST")</f>
        <v>1</v>
      </c>
      <c r="T13" s="405" cm="1">
        <f t="array" ref="T13">_xll.BDP(B13&amp;" Equity","OPT_MULTIPLIER")</f>
        <v>100</v>
      </c>
      <c r="U13" s="405">
        <f t="shared" ref="U13:U14" si="22">(L13/S13)*H13*T13</f>
        <v>-97500</v>
      </c>
      <c r="V13" s="428">
        <f>U13/'Master P&amp;L'!$AD$7*10000</f>
        <v>-0.4324198118871368</v>
      </c>
      <c r="W13" s="428">
        <f>(Y13*H13*T13/S13)/'Master P&amp;L'!$AD$7*10000</f>
        <v>-0.26433046962536744</v>
      </c>
      <c r="X13" s="429">
        <f t="shared" ref="X13:X14" si="23">IF(C13="Put",IF(Z13&lt;AA13,AA13-Z13,0),IF(Z13&gt;AA13,Z13-AA13,0))</f>
        <v>3.7900000000000063</v>
      </c>
      <c r="Y13" s="430">
        <f t="shared" ref="Y13:Y14" si="24">L13-X13</f>
        <v>5.9599999999999937</v>
      </c>
      <c r="Z13" s="431">
        <f>_xll.BDP(D13&amp;" Equity","LAST_PRICE")</f>
        <v>81.209999999999994</v>
      </c>
      <c r="AA13" s="431" cm="1">
        <f t="array" ref="AA13">_xll.BDP(B13&amp;" Equity","OPT_STRIKE_PX")</f>
        <v>85</v>
      </c>
      <c r="AB13" s="425">
        <f t="shared" ref="AB13:AB14" si="25">AA13/Z13-1</f>
        <v>4.6669129417559407E-2</v>
      </c>
      <c r="AC13" s="432" cm="1">
        <f t="array" ref="AC13">_xll.BDP($D13&amp;" Equity","volatility_10d")</f>
        <v>41.799153528455562</v>
      </c>
      <c r="AD13" s="431" cm="1">
        <f t="array" ref="AD13">_xll.BDP(B13&amp;" Equity","ivol_mid")</f>
        <v>57.299019999999999</v>
      </c>
      <c r="AE13" s="431">
        <f t="shared" ref="AE13:AE14" si="26">AD13/AC13</f>
        <v>1.3708177119183194</v>
      </c>
      <c r="AF13" s="433" cm="1">
        <f t="array" ref="AF13">_xll.BDP(B13&amp;" Equity","DELTA_MID_RT")</f>
        <v>-0.51965659856796265</v>
      </c>
      <c r="AG13" s="128">
        <f>AL13/'Master P&amp;L'!$AE$7</f>
        <v>1.8716598519279799E-4</v>
      </c>
      <c r="AH13" s="128">
        <f>AM13/'Master P&amp;L'!$AE$7</f>
        <v>3.6017244023953202E-4</v>
      </c>
      <c r="AI13" s="442">
        <f>AO13/'Master P&amp;L'!$AD$7*10000</f>
        <v>2.6741711238887573E-3</v>
      </c>
      <c r="AJ13" s="427">
        <f t="shared" ref="AJ13:AJ14" si="27">(252*AI13)/$AI$1</f>
        <v>-0.49727365981455712</v>
      </c>
      <c r="AK13" s="433">
        <f>AP13/'Master P&amp;L'!$AD$7*10000</f>
        <v>3.85851524453137E-2</v>
      </c>
      <c r="AL13" s="405">
        <f t="shared" ref="AL13:AL14" si="28">Z13*AF13*H13*T13/S13</f>
        <v>422013.12369704235</v>
      </c>
      <c r="AM13" s="405">
        <f t="shared" ref="AM13:AM14" si="29">IF(C13="Put",-Z13*H13*T13/S13,Z13*H13*T13/S13)</f>
        <v>812099.99999999988</v>
      </c>
      <c r="AN13" s="433" cm="1">
        <f t="array" ref="AN13">_xll.BDP($B13&amp;" Equity","theta_mid_rt")</f>
        <v>-6.0295961797237396E-2</v>
      </c>
      <c r="AO13" s="405">
        <f t="shared" ref="AO13:AO14" si="30">AN13*H13*T13/S13</f>
        <v>602.95961797237396</v>
      </c>
      <c r="AP13" s="405">
        <f t="shared" ref="AP13:AP14" si="31">(L13-K13)*T13/S13*H13</f>
        <v>8699.9999999999909</v>
      </c>
      <c r="AQ13" s="14" t="str" cm="1">
        <f t="array" ref="AQ13">_xll.BDP($D13&amp;" Equity","EXPECTED_REPORT_DT")</f>
        <v>05/03/2026</v>
      </c>
      <c r="AR13" s="114" cm="1">
        <f t="array" ref="AR13">_xll.BDP($B13&amp;" Equity","GAMMA_LAST")</f>
        <v>1.702E-2</v>
      </c>
      <c r="AS13" s="59">
        <f t="shared" si="14"/>
        <v>-11224.799098199997</v>
      </c>
      <c r="AT13" s="59">
        <f t="shared" si="15"/>
        <v>-56123.995490999994</v>
      </c>
      <c r="AU13" s="59" t="s">
        <v>151</v>
      </c>
      <c r="AV13" s="337" cm="1">
        <f t="array" ref="AV13">_xll.BDP($D13&amp;" Equity","EST_PE_NXT_YR")*(AA13/Z13)</f>
        <v>23.637667225183389</v>
      </c>
      <c r="AX13" s="405"/>
      <c r="AY13" s="405">
        <v>9.75</v>
      </c>
      <c r="AZ13" s="434"/>
      <c r="BA13" s="405">
        <f t="shared" ref="BA13:BA14" si="32">+AY13</f>
        <v>9.75</v>
      </c>
      <c r="BB13" s="435">
        <f t="shared" ref="BB13:BB14" si="33">+J13</f>
        <v>0</v>
      </c>
      <c r="BC13" s="435">
        <f t="shared" ref="BC13:BC14" si="34">(BB13-BA13)*H13*100</f>
        <v>97500</v>
      </c>
      <c r="BD13" s="435">
        <f>BC13/'Master P&amp;L'!$AD$7*10000</f>
        <v>0.4324198118871368</v>
      </c>
    </row>
    <row r="14" spans="1:56" s="59" customFormat="1">
      <c r="A14" s="426"/>
      <c r="B14" s="59" t="s">
        <v>2095</v>
      </c>
      <c r="C14" s="59" t="str" cm="1">
        <f t="array" ref="C14">_xll.BDP($B14&amp;" Equity","opt_put_call")</f>
        <v>Put</v>
      </c>
      <c r="D14" s="59" t="str" cm="1">
        <f t="array" ref="D14">_xll.BDP(B14&amp;" Equity","OPT_UNDL_TICKER")</f>
        <v>MRVL US</v>
      </c>
      <c r="E14" s="59" t="str" cm="1">
        <f t="array" ref="E14">_xll.BDP($B14&amp;" Equity","mifid_Maturity_date")</f>
        <v>20/03/2026</v>
      </c>
      <c r="F14" s="59" cm="1">
        <f t="array" ref="F14">_xll.BDP($B14&amp;" Equity","opt_days_expire")</f>
        <v>65</v>
      </c>
      <c r="G14" s="59" t="str" cm="1">
        <f t="array" ref="G14">_xll.BDP(B14&amp;" Equity","QUOTED_CURRENCY_REALTIME")</f>
        <v>USD</v>
      </c>
      <c r="H14" s="405">
        <v>100</v>
      </c>
      <c r="I14" s="412"/>
      <c r="J14" s="14"/>
      <c r="K14" s="14">
        <v>7.68</v>
      </c>
      <c r="L14" s="14" cm="1">
        <f t="array" ref="L14">_xll.BDP($B14&amp;" Equity","mid")</f>
        <v>7.03</v>
      </c>
      <c r="M14" s="128">
        <f t="shared" si="19"/>
        <v>8.6565693880064035E-2</v>
      </c>
      <c r="N14" s="427"/>
      <c r="O14" s="128">
        <f t="shared" si="20"/>
        <v>-8.463541666666663E-2</v>
      </c>
      <c r="P14" s="14" cm="1">
        <f t="array" ref="P14">_xll.BDP($B14&amp;" Equity","bid")</f>
        <v>6.95</v>
      </c>
      <c r="Q14" s="14" cm="1">
        <f t="array" ref="Q14">_xll.BDP($B14&amp;" Equity","ask")</f>
        <v>7.1</v>
      </c>
      <c r="R14" s="425">
        <f t="shared" si="21"/>
        <v>2.1582733812949506E-2</v>
      </c>
      <c r="S14" s="14" cm="1">
        <f t="array" ref="S14">_xll.BDP(G14&amp;" Curncy","PX_LAST")</f>
        <v>1</v>
      </c>
      <c r="T14" s="405" cm="1">
        <f t="array" ref="T14">_xll.BDP(B14&amp;" Equity","OPT_MULTIPLIER")</f>
        <v>100</v>
      </c>
      <c r="U14" s="405">
        <f t="shared" si="22"/>
        <v>70300</v>
      </c>
      <c r="V14" s="428">
        <f>U14/'Master P&amp;L'!$AD$7*10000</f>
        <v>0.31178577205810992</v>
      </c>
      <c r="W14" s="428">
        <f>(Y14*H14*T14/S14)/'Master P&amp;L'!$AD$7*10000</f>
        <v>0.31178577205810992</v>
      </c>
      <c r="X14" s="429">
        <f t="shared" si="23"/>
        <v>0</v>
      </c>
      <c r="Y14" s="430">
        <f t="shared" si="24"/>
        <v>7.03</v>
      </c>
      <c r="Z14" s="431">
        <f>_xll.BDP(D14&amp;" Equity","LAST_PRICE")</f>
        <v>81.209999999999994</v>
      </c>
      <c r="AA14" s="431" cm="1">
        <f t="array" ref="AA14">_xll.BDP(B14&amp;" Equity","OPT_STRIKE_PX")</f>
        <v>80</v>
      </c>
      <c r="AB14" s="425">
        <f t="shared" si="25"/>
        <v>-1.4899642901120447E-2</v>
      </c>
      <c r="AC14" s="432" cm="1">
        <f t="array" ref="AC14">_xll.BDP($D14&amp;" Equity","volatility_10d")</f>
        <v>41.799153528455562</v>
      </c>
      <c r="AD14" s="431" cm="1">
        <f t="array" ref="AD14">_xll.BDP(B14&amp;" Equity","ivol_mid")</f>
        <v>57.961350000000003</v>
      </c>
      <c r="AE14" s="431">
        <f t="shared" si="26"/>
        <v>1.3866632481095991</v>
      </c>
      <c r="AF14" s="433" cm="1">
        <f t="array" ref="AF14">_xll.BDP(B14&amp;" Equity","DELTA_MID_RT")</f>
        <v>-0.41937962174415588</v>
      </c>
      <c r="AG14" s="128">
        <f>AL14/'Master P&amp;L'!$AE$7</f>
        <v>-1.5104898175032454E-4</v>
      </c>
      <c r="AH14" s="128">
        <f>AM14/'Master P&amp;L'!$AE$7</f>
        <v>-3.6017244023953202E-4</v>
      </c>
      <c r="AI14" s="442">
        <f>AO14/'Master P&amp;L'!$AD$7*10000</f>
        <v>-2.6505582950398124E-3</v>
      </c>
      <c r="AJ14" s="427">
        <f t="shared" si="27"/>
        <v>0.49288275239827539</v>
      </c>
      <c r="AK14" s="433">
        <f>AP14/'Master P&amp;L'!$AD$7*10000</f>
        <v>-2.8827987459142432E-2</v>
      </c>
      <c r="AL14" s="405">
        <f t="shared" si="28"/>
        <v>-340578.19081842894</v>
      </c>
      <c r="AM14" s="405">
        <f t="shared" si="29"/>
        <v>-812099.99999999988</v>
      </c>
      <c r="AN14" s="433" cm="1">
        <f t="array" ref="AN14">_xll.BDP($B14&amp;" Equity","theta_mid_rt")</f>
        <v>-5.9763550758361816E-2</v>
      </c>
      <c r="AO14" s="405">
        <f t="shared" si="30"/>
        <v>-597.63550758361816</v>
      </c>
      <c r="AP14" s="405">
        <f t="shared" si="31"/>
        <v>-6499.9999999999945</v>
      </c>
      <c r="AQ14" s="14" t="str" cm="1">
        <f t="array" ref="AQ14">_xll.BDP($D14&amp;" Equity","EXPECTED_REPORT_DT")</f>
        <v>05/03/2026</v>
      </c>
      <c r="AR14" s="114" cm="1">
        <f t="array" ref="AR14">_xll.BDP($B14&amp;" Equity","GAMMA_LAST")</f>
        <v>1.6161999999999999E-2</v>
      </c>
      <c r="AS14" s="59">
        <f t="shared" si="14"/>
        <v>10658.942598419997</v>
      </c>
      <c r="AT14" s="59">
        <f t="shared" si="15"/>
        <v>53294.712992099994</v>
      </c>
      <c r="AU14" s="59" t="s">
        <v>151</v>
      </c>
      <c r="AV14" s="337" cm="1">
        <f t="array" ref="AV14">_xll.BDP($D14&amp;" Equity","EST_PE_NXT_YR")*(AA14/Z14)</f>
        <v>22.247216211937307</v>
      </c>
      <c r="AX14" s="405"/>
      <c r="AY14" s="405">
        <v>7.03</v>
      </c>
      <c r="AZ14" s="434"/>
      <c r="BA14" s="405">
        <f t="shared" si="32"/>
        <v>7.03</v>
      </c>
      <c r="BB14" s="435">
        <f t="shared" si="33"/>
        <v>0</v>
      </c>
      <c r="BC14" s="435">
        <f t="shared" si="34"/>
        <v>-70300</v>
      </c>
      <c r="BD14" s="435">
        <f>BC14/'Master P&amp;L'!$AD$7*10000</f>
        <v>-0.31178577205810992</v>
      </c>
    </row>
    <row r="15" spans="1:56">
      <c r="A15" s="357"/>
      <c r="B15" t="s">
        <v>2095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65</v>
      </c>
      <c r="G15" t="str" cm="1">
        <f t="array" ref="G15">_xll.BDP(B15&amp;" Equity","QUOTED_CURRENCY_REALTIME")</f>
        <v>USD</v>
      </c>
      <c r="H15" s="15">
        <v>-200</v>
      </c>
      <c r="I15" s="411">
        <v>3.91</v>
      </c>
      <c r="J15" s="416">
        <f>VLOOKUP(B15,Precificação!$B:$O,14,FALSE)</f>
        <v>6.0750000000000002</v>
      </c>
      <c r="K15" s="74">
        <f t="shared" si="0"/>
        <v>6.0750000000000002</v>
      </c>
      <c r="L15" s="74" cm="1">
        <f t="array" ref="L15">_xll.BDP($B15&amp;" Equity","mid")</f>
        <v>7.03</v>
      </c>
      <c r="M15" s="19">
        <f t="shared" si="1"/>
        <v>8.6565693880064035E-2</v>
      </c>
      <c r="N15" s="351"/>
      <c r="O15" s="19">
        <f t="shared" si="2"/>
        <v>0.157201646090535</v>
      </c>
      <c r="P15" s="36" cm="1">
        <f t="array" ref="P15">_xll.BDP($B15&amp;" Equity","bid")</f>
        <v>6.95</v>
      </c>
      <c r="Q15" s="36" cm="1">
        <f t="array" ref="Q15">_xll.BDP($B15&amp;" Equity","ask")</f>
        <v>7.1</v>
      </c>
      <c r="R15" s="40">
        <f t="shared" si="3"/>
        <v>2.1582733812949506E-2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4"/>
        <v>-140600</v>
      </c>
      <c r="V15" s="124">
        <f>U15/'Master P&amp;L'!$AD$7*10000</f>
        <v>-0.62357154411621984</v>
      </c>
      <c r="W15" s="124">
        <f>(Y15*H15*T15/S15)/'Master P&amp;L'!$AD$7*10000</f>
        <v>-0.62357154411621984</v>
      </c>
      <c r="X15" s="414">
        <f t="shared" si="5"/>
        <v>0</v>
      </c>
      <c r="Y15" s="273">
        <f t="shared" si="6"/>
        <v>7.03</v>
      </c>
      <c r="Z15" s="37">
        <f>_xll.BDP(D15&amp;" Equity","LAST_PRICE")</f>
        <v>81.209999999999994</v>
      </c>
      <c r="AA15" s="37" cm="1">
        <f t="array" ref="AA15">_xll.BDP(B15&amp;" Equity","OPT_STRIKE_PX")</f>
        <v>80</v>
      </c>
      <c r="AB15" s="40">
        <f t="shared" si="7"/>
        <v>-1.4899642901120447E-2</v>
      </c>
      <c r="AC15" s="324" cm="1">
        <f t="array" ref="AC15">_xll.BDP($D15&amp;" Equity","volatility_10d")</f>
        <v>41.799153528455562</v>
      </c>
      <c r="AD15" s="37" cm="1">
        <f t="array" ref="AD15">_xll.BDP(B15&amp;" Equity","ivol_mid")</f>
        <v>57.961350000000003</v>
      </c>
      <c r="AE15" s="37">
        <f t="shared" si="8"/>
        <v>1.3866632481095991</v>
      </c>
      <c r="AF15" s="38" cm="1">
        <f t="array" ref="AF15">_xll.BDP(B15&amp;" Equity","DELTA_MID_RT")</f>
        <v>-0.41937962174415588</v>
      </c>
      <c r="AG15" s="19">
        <f>AL15/'Master P&amp;L'!$AE$7</f>
        <v>3.0209796350064909E-4</v>
      </c>
      <c r="AH15" s="19">
        <f>AM15/'Master P&amp;L'!$AE$7</f>
        <v>7.2034488047906405E-4</v>
      </c>
      <c r="AI15" s="436">
        <f>AO15/'Master P&amp;L'!$AD$7*10000</f>
        <v>5.3011165900796247E-3</v>
      </c>
      <c r="AJ15" s="351">
        <f t="shared" si="9"/>
        <v>-0.98576550479655078</v>
      </c>
      <c r="AK15" s="38">
        <f>AP15/'Master P&amp;L'!$AD$7*10000</f>
        <v>-8.4709932379941677E-2</v>
      </c>
      <c r="AL15" s="15">
        <f t="shared" si="10"/>
        <v>681156.38163685787</v>
      </c>
      <c r="AM15" s="15">
        <f t="shared" si="11"/>
        <v>1624199.9999999998</v>
      </c>
      <c r="AN15" s="38" cm="1">
        <f t="array" ref="AN15">_xll.BDP($B15&amp;" Equity","theta_mid_rt")</f>
        <v>-5.9763550758361816E-2</v>
      </c>
      <c r="AO15" s="15">
        <f t="shared" si="12"/>
        <v>1195.2710151672363</v>
      </c>
      <c r="AP15" s="15">
        <f t="shared" si="13"/>
        <v>-19100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1.6161999999999999E-2</v>
      </c>
      <c r="AS15">
        <f t="shared" si="14"/>
        <v>-21317.885196839994</v>
      </c>
      <c r="AT15">
        <f t="shared" si="15"/>
        <v>-106589.42598419999</v>
      </c>
      <c r="AU15" t="s">
        <v>151</v>
      </c>
      <c r="AV15" s="277" cm="1">
        <f t="array" ref="AV15">_xll.BDP($D15&amp;" Equity","EST_PE_NXT_YR")*(AA15/Z15)</f>
        <v>22.247216211937307</v>
      </c>
      <c r="AX15" s="15"/>
      <c r="AY15" s="15">
        <v>7.03</v>
      </c>
      <c r="AZ15" s="356"/>
      <c r="BA15" s="15">
        <f t="shared" si="16"/>
        <v>7.03</v>
      </c>
      <c r="BB15" s="415">
        <f t="shared" si="17"/>
        <v>6.0750000000000002</v>
      </c>
      <c r="BC15" s="415">
        <f t="shared" si="18"/>
        <v>19100</v>
      </c>
      <c r="BD15" s="415">
        <f>BC15/'Master P&amp;L'!$AD$7*10000</f>
        <v>8.4709932379941677E-2</v>
      </c>
    </row>
    <row r="16" spans="1:56" s="59" customFormat="1">
      <c r="A16" s="335"/>
      <c r="B16" s="73" t="s">
        <v>2145</v>
      </c>
      <c r="C16" s="73" t="str" cm="1">
        <f t="array" ref="C16">_xll.BDP($B16&amp;" Equity","opt_put_call")</f>
        <v>Put</v>
      </c>
      <c r="D16" s="73" t="str" cm="1">
        <f t="array" ref="D16">_xll.BDP(B16&amp;" Equity","OPT_UNDL_TICKER")</f>
        <v>MRVL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65</v>
      </c>
      <c r="G16" s="73" t="str" cm="1">
        <f t="array" ref="G16">_xll.BDP(B16&amp;" Equity","QUOTED_CURRENCY_REALTIME")</f>
        <v>USD</v>
      </c>
      <c r="H16" s="42">
        <v>-100</v>
      </c>
      <c r="I16" s="410">
        <v>4.5999999999999996</v>
      </c>
      <c r="J16" s="416">
        <f>VLOOKUP(B16,Precificação!$B:$O,14,FALSE)</f>
        <v>4</v>
      </c>
      <c r="K16" s="74">
        <f t="shared" si="0"/>
        <v>4</v>
      </c>
      <c r="L16" s="74" cm="1">
        <f t="array" ref="L16">_xll.BDP($B16&amp;" Equity","mid")</f>
        <v>4.75</v>
      </c>
      <c r="M16" s="75">
        <f t="shared" si="1"/>
        <v>5.8490333702745971E-2</v>
      </c>
      <c r="N16" s="353"/>
      <c r="O16" s="75">
        <f t="shared" si="2"/>
        <v>0.1875</v>
      </c>
      <c r="P16" s="74" cm="1">
        <f t="array" ref="P16">_xll.BDP($B16&amp;" Equity","bid")</f>
        <v>4.5999999999999996</v>
      </c>
      <c r="Q16" s="74" cm="1">
        <f t="array" ref="Q16">_xll.BDP($B16&amp;" Equity","ask")</f>
        <v>4.9000000000000004</v>
      </c>
      <c r="R16" s="76">
        <f t="shared" si="3"/>
        <v>6.5217391304347894E-2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 t="shared" si="4"/>
        <v>-47500</v>
      </c>
      <c r="V16" s="113">
        <f>U16/'Master P&amp;L'!$AD$7*10000</f>
        <v>-0.21066606220142561</v>
      </c>
      <c r="W16" s="113">
        <f>(Y16*H16*T16/S16)/'Master P&amp;L'!$AD$7*10000</f>
        <v>-0.21066606220142561</v>
      </c>
      <c r="X16" s="118">
        <f t="shared" si="5"/>
        <v>0</v>
      </c>
      <c r="Y16" s="272">
        <f t="shared" si="6"/>
        <v>4.75</v>
      </c>
      <c r="Z16" s="77">
        <f>_xll.BDP(D16&amp;" Equity","LAST_PRICE")</f>
        <v>81.209999999999994</v>
      </c>
      <c r="AA16" s="77" cm="1">
        <f t="array" ref="AA16">_xll.BDP(B16&amp;" Equity","OPT_STRIKE_PX")</f>
        <v>75</v>
      </c>
      <c r="AB16" s="76">
        <f t="shared" si="7"/>
        <v>-7.6468415219800412E-2</v>
      </c>
      <c r="AC16" s="323" cm="1">
        <f t="array" ref="AC16">_xll.BDP($D16&amp;" Equity","volatility_10d")</f>
        <v>41.799153528455562</v>
      </c>
      <c r="AD16" s="77" cm="1">
        <f t="array" ref="AD16">_xll.BDP(B16&amp;" Equity","ivol_mid")</f>
        <v>58.384569999999997</v>
      </c>
      <c r="AE16" s="77">
        <f t="shared" si="8"/>
        <v>1.3967883335305726</v>
      </c>
      <c r="AF16" s="78" cm="1">
        <f t="array" ref="AF16">_xll.BDP(B16&amp;" Equity","DELTA_MID_RT")</f>
        <v>-0.31952488422393799</v>
      </c>
      <c r="AG16" s="75">
        <f>AL16/'Master P&amp;L'!$AE$7</f>
        <v>1.1508405726818969E-4</v>
      </c>
      <c r="AH16" s="75">
        <f>AM16/'Master P&amp;L'!$AE$7</f>
        <v>3.6017244023953202E-4</v>
      </c>
      <c r="AI16" s="437">
        <f>AO16/'Master P&amp;L'!$AD$7*10000</f>
        <v>2.4382605945928518E-3</v>
      </c>
      <c r="AJ16" s="351">
        <f t="shared" si="9"/>
        <v>-0.45340507891343296</v>
      </c>
      <c r="AK16" s="78">
        <f>AP16/'Master P&amp;L'!$AD$7*10000</f>
        <v>-3.3263062452856679E-2</v>
      </c>
      <c r="AL16" s="42">
        <f t="shared" si="10"/>
        <v>259486.15847825998</v>
      </c>
      <c r="AM16" s="42">
        <f t="shared" si="11"/>
        <v>812099.99999999988</v>
      </c>
      <c r="AN16" s="78" cm="1">
        <f t="array" ref="AN16">_xll.BDP($B16&amp;" Equity","theta_mid_rt")</f>
        <v>-5.4976761341094971E-2</v>
      </c>
      <c r="AO16" s="42">
        <f t="shared" si="12"/>
        <v>549.76761341094971</v>
      </c>
      <c r="AP16" s="42">
        <f t="shared" si="13"/>
        <v>-7500</v>
      </c>
      <c r="AQ16" s="74" t="str" cm="1">
        <f t="array" ref="AQ16">_xll.BDP($D16&amp;" Equity","EXPECTED_REPORT_DT")</f>
        <v>05/03/2026</v>
      </c>
      <c r="AR16" s="235" cm="1">
        <f t="array" ref="AR16">_xll.BDP($B16&amp;" Equity","GAMMA_LAST")</f>
        <v>1.4574E-2</v>
      </c>
      <c r="AS16" s="73">
        <f t="shared" si="14"/>
        <v>-9611.646419339997</v>
      </c>
      <c r="AT16" s="73">
        <f t="shared" si="15"/>
        <v>-48058.232096699991</v>
      </c>
      <c r="AU16" s="73" t="s">
        <v>151</v>
      </c>
      <c r="AV16" s="322" cm="1">
        <f t="array" ref="AV16">_xll.BDP($D16&amp;" Equity","EST_PE_NXT_YR")*(AA16/Z16)</f>
        <v>20.856765198691228</v>
      </c>
      <c r="AW16" s="73"/>
      <c r="AX16" s="42"/>
      <c r="AY16" s="42">
        <v>4.75</v>
      </c>
      <c r="AZ16" s="355"/>
      <c r="BA16" s="42">
        <f t="shared" si="16"/>
        <v>4.75</v>
      </c>
      <c r="BB16" s="347">
        <f t="shared" si="17"/>
        <v>4</v>
      </c>
      <c r="BC16" s="347">
        <f t="shared" si="18"/>
        <v>7500</v>
      </c>
      <c r="BD16" s="347">
        <f>BC16/'Master P&amp;L'!$AD$7*10000</f>
        <v>3.3263062452856679E-2</v>
      </c>
    </row>
    <row r="17" spans="1:56">
      <c r="A17" s="357"/>
      <c r="B17" t="s">
        <v>2084</v>
      </c>
      <c r="C17" t="str" cm="1">
        <f t="array" ref="C17">_xll.BDP($B17&amp;" Equity","opt_put_call")</f>
        <v>Call</v>
      </c>
      <c r="D17" t="str" cm="1">
        <f t="array" ref="D17">_xll.BDP(B17&amp;" Equity","OPT_UNDL_TICKER")</f>
        <v>MSFT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65</v>
      </c>
      <c r="G17" t="str" cm="1">
        <f t="array" ref="G17">_xll.BDP(B17&amp;" Equity","QUOTED_CURRENCY_REALTIME")</f>
        <v>USD</v>
      </c>
      <c r="H17" s="15">
        <v>-75</v>
      </c>
      <c r="I17" s="411">
        <v>15.9</v>
      </c>
      <c r="J17" s="416">
        <f>VLOOKUP(B17,Precificação!$B:$O,14,FALSE)</f>
        <v>6.9749999999999996</v>
      </c>
      <c r="K17" s="74">
        <f t="shared" si="0"/>
        <v>6.9749999999999996</v>
      </c>
      <c r="L17" s="74" cm="1">
        <f t="array" ref="L17">_xll.BDP($B17&amp;" Equity","mid")</f>
        <v>5.03</v>
      </c>
      <c r="M17" s="19">
        <f t="shared" si="1"/>
        <v>1.0949540685271453E-2</v>
      </c>
      <c r="N17" s="351"/>
      <c r="O17" s="19">
        <f t="shared" si="2"/>
        <v>-0.278853046594982</v>
      </c>
      <c r="P17" s="36" cm="1">
        <f t="array" ref="P17">_xll.BDP($B17&amp;" Equity","bid")</f>
        <v>4.95</v>
      </c>
      <c r="Q17" s="36" cm="1">
        <f t="array" ref="Q17">_xll.BDP($B17&amp;" Equity","ask")</f>
        <v>5.0999999999999996</v>
      </c>
      <c r="R17" s="40">
        <f t="shared" si="3"/>
        <v>3.0303030303030276E-2</v>
      </c>
      <c r="S17" s="36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4"/>
        <v>-37725</v>
      </c>
      <c r="V17" s="124">
        <f>U17/'Master P&amp;L'!$AD$7*10000</f>
        <v>-0.1673132041378691</v>
      </c>
      <c r="W17" s="124">
        <f>(Y17*H17*T17/S17)/'Master P&amp;L'!$AD$7*10000</f>
        <v>-0.1673132041378691</v>
      </c>
      <c r="X17" s="414">
        <f t="shared" si="5"/>
        <v>0</v>
      </c>
      <c r="Y17" s="273">
        <f t="shared" si="6"/>
        <v>5.03</v>
      </c>
      <c r="Z17" s="37">
        <f>_xll.BDP(D17&amp;" Equity","LAST_PRICE")</f>
        <v>459.38</v>
      </c>
      <c r="AA17" s="37" cm="1">
        <f t="array" ref="AA17">_xll.BDP(B17&amp;" Equity","OPT_STRIKE_PX")</f>
        <v>515</v>
      </c>
      <c r="AB17" s="40">
        <f t="shared" si="7"/>
        <v>0.12107623318385641</v>
      </c>
      <c r="AC17" s="324" cm="1">
        <f t="array" ref="AC17">_xll.BDP($D17&amp;" Equity","volatility_10d")</f>
        <v>21.087204749488329</v>
      </c>
      <c r="AD17" s="37" cm="1">
        <f t="array" ref="AD17">_xll.BDP(B17&amp;" Equity","ivol_mid")</f>
        <v>26.96904</v>
      </c>
      <c r="AE17" s="37">
        <f t="shared" si="8"/>
        <v>1.2789291098742896</v>
      </c>
      <c r="AF17" s="38" cm="1">
        <f t="array" ref="AF17">_xll.BDP(B17&amp;" Equity","DELTA_MID_RT")</f>
        <v>0.18547701835632324</v>
      </c>
      <c r="AG17" s="19">
        <f>AL17/'Master P&amp;L'!$AE$7</f>
        <v>-2.8341603659117745E-4</v>
      </c>
      <c r="AH17" s="19">
        <f>AM17/'Master P&amp;L'!$AE$7</f>
        <v>-1.52803856295933E-3</v>
      </c>
      <c r="AI17" s="436">
        <f>AO17/'Master P&amp;L'!$AD$7*10000</f>
        <v>3.5607551279521919E-3</v>
      </c>
      <c r="AJ17" s="351">
        <f t="shared" si="9"/>
        <v>-0.66213778107264309</v>
      </c>
      <c r="AK17" s="38">
        <f>AP17/'Master P&amp;L'!$AD$7*10000</f>
        <v>6.4696656470806219E-2</v>
      </c>
      <c r="AL17" s="15">
        <f t="shared" si="10"/>
        <v>-639033.24519395828</v>
      </c>
      <c r="AM17" s="15">
        <f t="shared" si="11"/>
        <v>-3445350</v>
      </c>
      <c r="AN17" s="38" cm="1">
        <f t="array" ref="AN17">_xll.BDP($B17&amp;" Equity","theta_mid_rt")</f>
        <v>-0.10704832524061203</v>
      </c>
      <c r="AO17" s="15">
        <f t="shared" si="12"/>
        <v>802.86243930459023</v>
      </c>
      <c r="AP17" s="15">
        <f t="shared" si="13"/>
        <v>14587.499999999996</v>
      </c>
      <c r="AQ17" s="36" t="str" cm="1">
        <f t="array" ref="AQ17">_xll.BDP($D17&amp;" Equity","EXPECTED_REPORT_DT")</f>
        <v>28/01/2026</v>
      </c>
      <c r="AR17" s="66" cm="1">
        <f t="array" ref="AR17">_xll.BDP($B17&amp;" Equity","GAMMA_LAST")</f>
        <v>2.2872E-2</v>
      </c>
      <c r="AS17">
        <f t="shared" si="14"/>
        <v>-362000.83523976</v>
      </c>
      <c r="AT17">
        <f t="shared" si="15"/>
        <v>-1810004.1761987999</v>
      </c>
      <c r="AU17" t="s">
        <v>151</v>
      </c>
      <c r="AV17" s="277" cm="1">
        <f t="array" ref="AV17">_xll.BDP($D17&amp;" Equity","EST_PE_NXT_YR")*(AA17/Z17)</f>
        <v>27.292193915322095</v>
      </c>
      <c r="AX17" s="15"/>
      <c r="AY17" s="15">
        <v>5.03</v>
      </c>
      <c r="AZ17" s="356"/>
      <c r="BA17" s="15">
        <f t="shared" si="16"/>
        <v>5.03</v>
      </c>
      <c r="BB17" s="415">
        <f t="shared" si="17"/>
        <v>6.9749999999999996</v>
      </c>
      <c r="BC17" s="415">
        <f t="shared" si="18"/>
        <v>-14587.499999999995</v>
      </c>
      <c r="BD17" s="415">
        <f>BC17/'Master P&amp;L'!$AD$7*10000</f>
        <v>-6.4696656470806205E-2</v>
      </c>
    </row>
    <row r="18" spans="1:56" s="59" customFormat="1">
      <c r="A18" s="426"/>
      <c r="B18" s="59" t="s">
        <v>2084</v>
      </c>
      <c r="C18" s="59" t="str" cm="1">
        <f t="array" ref="C18">_xll.BDP($B18&amp;" Equity","opt_put_call")</f>
        <v>Call</v>
      </c>
      <c r="D18" s="59" t="str" cm="1">
        <f t="array" ref="D18">_xll.BDP(B18&amp;" Equity","OPT_UNDL_TICKER")</f>
        <v>MSFT US</v>
      </c>
      <c r="E18" s="59" t="str" cm="1">
        <f t="array" ref="E18">_xll.BDP($B18&amp;" Equity","mifid_Maturity_date")</f>
        <v>20/03/2026</v>
      </c>
      <c r="F18" s="59" cm="1">
        <f t="array" ref="F18">_xll.BDP($B18&amp;" Equity","opt_days_expire")</f>
        <v>65</v>
      </c>
      <c r="G18" s="59" t="str" cm="1">
        <f t="array" ref="G18">_xll.BDP(B18&amp;" Equity","QUOTED_CURRENCY_REALTIME")</f>
        <v>USD</v>
      </c>
      <c r="H18" s="405">
        <v>25</v>
      </c>
      <c r="I18" s="412"/>
      <c r="J18" s="14"/>
      <c r="K18" s="14">
        <v>5</v>
      </c>
      <c r="L18" s="14" cm="1">
        <f t="array" ref="L18">_xll.BDP($B18&amp;" Equity","mid")</f>
        <v>5.03</v>
      </c>
      <c r="M18" s="128">
        <f t="shared" ref="M18" si="35">L18/Z18</f>
        <v>1.0949540685271453E-2</v>
      </c>
      <c r="N18" s="427"/>
      <c r="O18" s="128">
        <f t="shared" ref="O18" si="36">L18/K18-1</f>
        <v>6.0000000000000053E-3</v>
      </c>
      <c r="P18" s="14" cm="1">
        <f t="array" ref="P18">_xll.BDP($B18&amp;" Equity","bid")</f>
        <v>4.95</v>
      </c>
      <c r="Q18" s="14" cm="1">
        <f t="array" ref="Q18">_xll.BDP($B18&amp;" Equity","ask")</f>
        <v>5.0999999999999996</v>
      </c>
      <c r="R18" s="425">
        <f t="shared" ref="R18" si="37">(Q18/P18-1)</f>
        <v>3.0303030303030276E-2</v>
      </c>
      <c r="S18" s="14" cm="1">
        <f t="array" ref="S18">_xll.BDP(G18&amp;" Curncy","PX_LAST")</f>
        <v>1</v>
      </c>
      <c r="T18" s="405" cm="1">
        <f t="array" ref="T18">_xll.BDP(B18&amp;" Equity","OPT_MULTIPLIER")</f>
        <v>100</v>
      </c>
      <c r="U18" s="405">
        <f t="shared" ref="U18" si="38">(L18/S18)*H18*T18</f>
        <v>12575</v>
      </c>
      <c r="V18" s="428">
        <f>U18/'Master P&amp;L'!$AD$7*10000</f>
        <v>5.5771068045956364E-2</v>
      </c>
      <c r="W18" s="428">
        <f>(Y18*H18*T18/S18)/'Master P&amp;L'!$AD$7*10000</f>
        <v>5.5771068045956364E-2</v>
      </c>
      <c r="X18" s="429">
        <f t="shared" ref="X18" si="39">IF(C18="Put",IF(Z18&lt;AA18,AA18-Z18,0),IF(Z18&gt;AA18,Z18-AA18,0))</f>
        <v>0</v>
      </c>
      <c r="Y18" s="430">
        <f t="shared" ref="Y18" si="40">L18-X18</f>
        <v>5.03</v>
      </c>
      <c r="Z18" s="431">
        <f>_xll.BDP(D18&amp;" Equity","LAST_PRICE")</f>
        <v>459.38</v>
      </c>
      <c r="AA18" s="431" cm="1">
        <f t="array" ref="AA18">_xll.BDP(B18&amp;" Equity","OPT_STRIKE_PX")</f>
        <v>515</v>
      </c>
      <c r="AB18" s="425">
        <f t="shared" ref="AB18" si="41">AA18/Z18-1</f>
        <v>0.12107623318385641</v>
      </c>
      <c r="AC18" s="432" cm="1">
        <f t="array" ref="AC18">_xll.BDP($D18&amp;" Equity","volatility_10d")</f>
        <v>21.087204749488329</v>
      </c>
      <c r="AD18" s="431" cm="1">
        <f t="array" ref="AD18">_xll.BDP(B18&amp;" Equity","ivol_mid")</f>
        <v>26.96904</v>
      </c>
      <c r="AE18" s="431">
        <f t="shared" ref="AE18" si="42">AD18/AC18</f>
        <v>1.2789291098742896</v>
      </c>
      <c r="AF18" s="433" cm="1">
        <f t="array" ref="AF18">_xll.BDP(B18&amp;" Equity","DELTA_MID_RT")</f>
        <v>0.18547701835632324</v>
      </c>
      <c r="AG18" s="128">
        <f>AL18/'Master P&amp;L'!$AE$7</f>
        <v>9.4472012197059144E-5</v>
      </c>
      <c r="AH18" s="128">
        <f>AM18/'Master P&amp;L'!$AE$7</f>
        <v>5.0934618765311E-4</v>
      </c>
      <c r="AI18" s="442">
        <f>AO18/'Master P&amp;L'!$AD$7*10000</f>
        <v>-1.1869183759840639E-3</v>
      </c>
      <c r="AJ18" s="427">
        <f t="shared" ref="AJ18" si="43">(252*AI18)/$AI$1</f>
        <v>0.22071259369088106</v>
      </c>
      <c r="AK18" s="433">
        <f>AP18/'Master P&amp;L'!$AD$7*10000</f>
        <v>3.3263062452856953E-4</v>
      </c>
      <c r="AL18" s="405">
        <f t="shared" ref="AL18" si="44">Z18*AF18*H18*T18/S18</f>
        <v>213011.08173131943</v>
      </c>
      <c r="AM18" s="405">
        <f t="shared" ref="AM18" si="45">IF(C18="Put",-Z18*H18*T18/S18,Z18*H18*T18/S18)</f>
        <v>1148450</v>
      </c>
      <c r="AN18" s="433" cm="1">
        <f t="array" ref="AN18">_xll.BDP($B18&amp;" Equity","theta_mid_rt")</f>
        <v>-0.10704832524061203</v>
      </c>
      <c r="AO18" s="405">
        <f t="shared" ref="AO18" si="46">AN18*H18*T18/S18</f>
        <v>-267.62081310153008</v>
      </c>
      <c r="AP18" s="405">
        <f t="shared" ref="AP18" si="47">(L18-K18)*T18/S18*H18</f>
        <v>75.000000000000625</v>
      </c>
      <c r="AQ18" s="14" t="str" cm="1">
        <f t="array" ref="AQ18">_xll.BDP($D18&amp;" Equity","EXPECTED_REPORT_DT")</f>
        <v>28/01/2026</v>
      </c>
      <c r="AR18" s="114" cm="1">
        <f t="array" ref="AR18">_xll.BDP($B18&amp;" Equity","GAMMA_LAST")</f>
        <v>2.2872E-2</v>
      </c>
      <c r="AS18" s="59">
        <f t="shared" si="14"/>
        <v>120666.94507992001</v>
      </c>
      <c r="AT18" s="59">
        <f t="shared" si="15"/>
        <v>603334.72539959999</v>
      </c>
      <c r="AU18" s="59" t="s">
        <v>151</v>
      </c>
      <c r="AV18" s="337" cm="1">
        <f t="array" ref="AV18">_xll.BDP($D18&amp;" Equity","EST_PE_NXT_YR")*(AA18/Z18)</f>
        <v>27.292193915322095</v>
      </c>
      <c r="AX18" s="405"/>
      <c r="AY18" s="405">
        <v>5.03</v>
      </c>
      <c r="AZ18" s="434"/>
      <c r="BA18" s="405">
        <f t="shared" ref="BA18" si="48">+AY18</f>
        <v>5.03</v>
      </c>
      <c r="BB18" s="435">
        <f t="shared" ref="BB18" si="49">+J18</f>
        <v>0</v>
      </c>
      <c r="BC18" s="435">
        <f t="shared" ref="BC18" si="50">(BB18-BA18)*H18*100</f>
        <v>-12575</v>
      </c>
      <c r="BD18" s="435">
        <f>BC18/'Master P&amp;L'!$AD$7*10000</f>
        <v>-5.5771068045956364E-2</v>
      </c>
    </row>
    <row r="19" spans="1:56" s="59" customFormat="1">
      <c r="A19" s="335"/>
      <c r="B19" s="73" t="s">
        <v>2085</v>
      </c>
      <c r="C19" s="73" t="str" cm="1">
        <f t="array" ref="C19">_xll.BDP($B19&amp;" Equity","opt_put_call")</f>
        <v>Call</v>
      </c>
      <c r="D19" s="73" t="str" cm="1">
        <f t="array" ref="D19">_xll.BDP(B19&amp;" Equity","OPT_UNDL_TICKER")</f>
        <v>MSFT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65</v>
      </c>
      <c r="G19" s="73" t="str" cm="1">
        <f t="array" ref="G19">_xll.BDP(B19&amp;" Equity","QUOTED_CURRENCY_REALTIME")</f>
        <v>USD</v>
      </c>
      <c r="H19" s="42">
        <v>125</v>
      </c>
      <c r="I19" s="410">
        <v>26.07</v>
      </c>
      <c r="J19" s="416">
        <f>VLOOKUP(B19,Precificação!$B:$O,14,FALSE)</f>
        <v>14.375</v>
      </c>
      <c r="K19" s="74">
        <f t="shared" si="0"/>
        <v>14.375</v>
      </c>
      <c r="L19" s="74" cm="1">
        <f t="array" ref="L19">_xll.BDP($B19&amp;" Equity","mid")</f>
        <v>10.78</v>
      </c>
      <c r="M19" s="75">
        <f t="shared" si="1"/>
        <v>2.3466411249945578E-2</v>
      </c>
      <c r="N19" s="353"/>
      <c r="O19" s="75">
        <f t="shared" si="2"/>
        <v>-0.25008695652173918</v>
      </c>
      <c r="P19" s="74" cm="1">
        <f t="array" ref="P19">_xll.BDP($B19&amp;" Equity","bid")</f>
        <v>10.7</v>
      </c>
      <c r="Q19" s="74" cm="1">
        <f t="array" ref="Q19">_xll.BDP($B19&amp;" Equity","ask")</f>
        <v>10.85</v>
      </c>
      <c r="R19" s="76">
        <f t="shared" si="3"/>
        <v>1.4018691588784993E-2</v>
      </c>
      <c r="S19" s="36" cm="1">
        <f t="array" ref="S19">_xll.BDP(G19&amp;" Curncy","PX_LAST")</f>
        <v>1</v>
      </c>
      <c r="T19" s="42" cm="1">
        <f t="array" ref="T19">_xll.BDP(B19&amp;" Equity","OPT_MULTIPLIER")</f>
        <v>100</v>
      </c>
      <c r="U19" s="42">
        <f t="shared" si="4"/>
        <v>134750</v>
      </c>
      <c r="V19" s="113">
        <f>U19/'Master P&amp;L'!$AD$7*10000</f>
        <v>0.59762635540299158</v>
      </c>
      <c r="W19" s="113">
        <f>(Y19*H19*T19/S19)/'Master P&amp;L'!$AD$7*10000</f>
        <v>0.59762635540299158</v>
      </c>
      <c r="X19" s="118">
        <f t="shared" si="5"/>
        <v>0</v>
      </c>
      <c r="Y19" s="272">
        <f t="shared" si="6"/>
        <v>10.78</v>
      </c>
      <c r="Z19" s="77">
        <f>_xll.BDP(D19&amp;" Equity","LAST_PRICE")</f>
        <v>459.38</v>
      </c>
      <c r="AA19" s="77" cm="1">
        <f t="array" ref="AA19">_xll.BDP(B19&amp;" Equity","OPT_STRIKE_PX")</f>
        <v>490</v>
      </c>
      <c r="AB19" s="76">
        <f t="shared" si="7"/>
        <v>6.6655056815708047E-2</v>
      </c>
      <c r="AC19" s="323" cm="1">
        <f t="array" ref="AC19">_xll.BDP($D19&amp;" Equity","volatility_10d")</f>
        <v>21.087204749488329</v>
      </c>
      <c r="AD19" s="77" cm="1">
        <f t="array" ref="AD19">_xll.BDP(B19&amp;" Equity","ivol_mid")</f>
        <v>27.536359999999998</v>
      </c>
      <c r="AE19" s="77">
        <f t="shared" si="8"/>
        <v>1.3058326282277006</v>
      </c>
      <c r="AF19" s="78" cm="1">
        <f t="array" ref="AF19">_xll.BDP(B19&amp;" Equity","DELTA_MID_RT")</f>
        <v>0.32733887434005737</v>
      </c>
      <c r="AG19" s="75">
        <f>AL19/'Master P&amp;L'!$AE$7</f>
        <v>8.3364403857884327E-4</v>
      </c>
      <c r="AH19" s="75">
        <f>AM19/'Master P&amp;L'!$AE$7</f>
        <v>2.54673093826555E-3</v>
      </c>
      <c r="AI19" s="437">
        <f>AO19/'Master P&amp;L'!$AD$7*10000</f>
        <v>-8.2020032869681569E-3</v>
      </c>
      <c r="AJ19" s="351">
        <f t="shared" si="9"/>
        <v>1.5251979037117707</v>
      </c>
      <c r="AK19" s="78">
        <f>AP19/'Master P&amp;L'!$AD$7*10000</f>
        <v>-0.19930118253003296</v>
      </c>
      <c r="AL19" s="42">
        <f t="shared" si="10"/>
        <v>1879661.6511791945</v>
      </c>
      <c r="AM19" s="42">
        <f t="shared" si="11"/>
        <v>5742250</v>
      </c>
      <c r="AN19" s="78" cm="1">
        <f t="array" ref="AN19">_xll.BDP($B19&amp;" Equity","theta_mid_rt")</f>
        <v>-0.14794795215129852</v>
      </c>
      <c r="AO19" s="42">
        <f t="shared" si="12"/>
        <v>-1849.3494018912315</v>
      </c>
      <c r="AP19" s="42">
        <f t="shared" si="13"/>
        <v>-44937.500000000007</v>
      </c>
      <c r="AQ19" s="74" t="str" cm="1">
        <f t="array" ref="AQ19">_xll.BDP($D19&amp;" Equity","EXPECTED_REPORT_DT")</f>
        <v>28/01/2026</v>
      </c>
      <c r="AR19" s="235" cm="1">
        <f t="array" ref="AR19">_xll.BDP($B19&amp;" Equity","GAMMA_LAST")</f>
        <v>3.0859000000000001E-2</v>
      </c>
      <c r="AS19" s="73">
        <f t="shared" si="14"/>
        <v>814021.78607495001</v>
      </c>
      <c r="AT19" s="73">
        <f t="shared" si="15"/>
        <v>4070108.9303747504</v>
      </c>
      <c r="AU19" s="73" t="s">
        <v>151</v>
      </c>
      <c r="AV19" s="322" cm="1">
        <f t="array" ref="AV19">_xll.BDP($D19&amp;" Equity","EST_PE_NXT_YR")*(AA19/Z19)</f>
        <v>25.967330133024905</v>
      </c>
      <c r="AW19" s="73"/>
      <c r="AX19" s="42"/>
      <c r="AY19" s="42">
        <v>10.78</v>
      </c>
      <c r="AZ19" s="355"/>
      <c r="BA19" s="42">
        <f t="shared" si="16"/>
        <v>10.78</v>
      </c>
      <c r="BB19" s="347">
        <f t="shared" si="17"/>
        <v>14.375</v>
      </c>
      <c r="BC19" s="347">
        <f t="shared" si="18"/>
        <v>44937.500000000007</v>
      </c>
      <c r="BD19" s="347">
        <f>BC19/'Master P&amp;L'!$AD$7*10000</f>
        <v>0.19930118253003296</v>
      </c>
    </row>
    <row r="20" spans="1:56">
      <c r="A20" s="357"/>
      <c r="B20" t="s">
        <v>2086</v>
      </c>
      <c r="C20" t="str" cm="1">
        <f t="array" ref="C20">_xll.BDP($B20&amp;" Equity","opt_put_call")</f>
        <v>Put</v>
      </c>
      <c r="D20" t="str" cm="1">
        <f t="array" ref="D20">_xll.BDP(B20&amp;" Equity","OPT_UNDL_TICKER")</f>
        <v>MSFT US</v>
      </c>
      <c r="E20" t="str" cm="1">
        <f t="array" ref="E20">_xll.BDP($B20&amp;" Equity","mifid_Maturity_date")</f>
        <v>20/03/2026</v>
      </c>
      <c r="F20" cm="1">
        <f t="array" ref="F20">_xll.BDP($B20&amp;" Equity","opt_days_expire")</f>
        <v>65</v>
      </c>
      <c r="G20" t="str" cm="1">
        <f t="array" ref="G20">_xll.BDP(B20&amp;" Equity","QUOTED_CURRENCY_REALTIME")</f>
        <v>USD</v>
      </c>
      <c r="H20" s="15">
        <v>-50</v>
      </c>
      <c r="I20" s="411">
        <v>17.829999999999998</v>
      </c>
      <c r="J20" s="416">
        <f>VLOOKUP(B20,Precificação!$B:$O,14,FALSE)</f>
        <v>18.024999999999999</v>
      </c>
      <c r="K20" s="74">
        <f t="shared" si="0"/>
        <v>18.024999999999999</v>
      </c>
      <c r="L20" s="74" cm="1">
        <f t="array" ref="L20">_xll.BDP($B20&amp;" Equity","mid")</f>
        <v>23.52</v>
      </c>
      <c r="M20" s="19">
        <f t="shared" si="1"/>
        <v>5.1199442727153988E-2</v>
      </c>
      <c r="N20" s="351"/>
      <c r="O20" s="19">
        <f t="shared" si="2"/>
        <v>0.30485436893203888</v>
      </c>
      <c r="P20" s="36" cm="1">
        <f t="array" ref="P20">_xll.BDP($B20&amp;" Equity","bid")</f>
        <v>23.4</v>
      </c>
      <c r="Q20" s="36" cm="1">
        <f t="array" ref="Q20">_xll.BDP($B20&amp;" Equity","ask")</f>
        <v>23.65</v>
      </c>
      <c r="R20" s="40">
        <f t="shared" si="3"/>
        <v>1.0683760683760646E-2</v>
      </c>
      <c r="S20" s="36" cm="1">
        <f t="array" ref="S20">_xll.BDP(G20&amp;" Curncy","PX_LAST")</f>
        <v>1</v>
      </c>
      <c r="T20" s="15" cm="1">
        <f t="array" ref="T20">_xll.BDP(B20&amp;" Equity","OPT_MULTIPLIER")</f>
        <v>100</v>
      </c>
      <c r="U20" s="15">
        <f t="shared" si="4"/>
        <v>-117600</v>
      </c>
      <c r="V20" s="124">
        <f>U20/'Master P&amp;L'!$AD$7*10000</f>
        <v>-0.52156481926079268</v>
      </c>
      <c r="W20" s="124">
        <f>(Y20*H20*T20/S20)/'Master P&amp;L'!$AD$7*10000</f>
        <v>-0.39693921193742288</v>
      </c>
      <c r="X20" s="414">
        <f t="shared" si="5"/>
        <v>5.6200000000000045</v>
      </c>
      <c r="Y20" s="273">
        <f t="shared" si="6"/>
        <v>17.899999999999995</v>
      </c>
      <c r="Z20" s="37">
        <f>_xll.BDP(D20&amp;" Equity","LAST_PRICE")</f>
        <v>459.38</v>
      </c>
      <c r="AA20" s="37" cm="1">
        <f t="array" ref="AA20">_xll.BDP(B20&amp;" Equity","OPT_STRIKE_PX")</f>
        <v>465</v>
      </c>
      <c r="AB20" s="40">
        <f t="shared" si="7"/>
        <v>1.2233880447559686E-2</v>
      </c>
      <c r="AC20" s="324" cm="1">
        <f t="array" ref="AC20">_xll.BDP($D20&amp;" Equity","volatility_10d")</f>
        <v>21.087204749488329</v>
      </c>
      <c r="AD20" s="37" cm="1">
        <f t="array" ref="AD20">_xll.BDP(B20&amp;" Equity","ivol_mid")</f>
        <v>28.463080000000001</v>
      </c>
      <c r="AE20" s="37">
        <f t="shared" si="8"/>
        <v>1.3497796572914977</v>
      </c>
      <c r="AF20" s="38" cm="1">
        <f t="array" ref="AF20">_xll.BDP(B20&amp;" Equity","DELTA_MID_RT")</f>
        <v>-0.50338047742843628</v>
      </c>
      <c r="AG20" s="19">
        <f>AL20/'Master P&amp;L'!$AE$7</f>
        <v>5.1278985423435278E-4</v>
      </c>
      <c r="AH20" s="19">
        <f>AM20/'Master P&amp;L'!$AE$7</f>
        <v>1.01869237530622E-3</v>
      </c>
      <c r="AI20" s="436">
        <f>AO20/'Master P&amp;L'!$AD$7*10000</f>
        <v>3.7926560297909498E-3</v>
      </c>
      <c r="AJ20" s="351">
        <f t="shared" si="9"/>
        <v>-0.70526075444614988</v>
      </c>
      <c r="AK20" s="38">
        <f>AP20/'Master P&amp;L'!$AD$7*10000</f>
        <v>-0.12185368545229833</v>
      </c>
      <c r="AL20" s="15">
        <f t="shared" si="10"/>
        <v>1156214.6186053753</v>
      </c>
      <c r="AM20" s="15">
        <f t="shared" si="11"/>
        <v>2296900</v>
      </c>
      <c r="AN20" s="38" cm="1">
        <f t="array" ref="AN20">_xll.BDP($B20&amp;" Equity","theta_mid_rt")</f>
        <v>-0.17103007435798645</v>
      </c>
      <c r="AO20" s="15">
        <f t="shared" si="12"/>
        <v>855.15037178993225</v>
      </c>
      <c r="AP20" s="15">
        <f t="shared" si="13"/>
        <v>-27475.000000000007</v>
      </c>
      <c r="AQ20" s="36" t="str" cm="1">
        <f t="array" ref="AQ20">_xll.BDP($D20&amp;" Equity","EXPECTED_REPORT_DT")</f>
        <v>28/01/2026</v>
      </c>
      <c r="AR20" s="66" cm="1">
        <f t="array" ref="AR20">_xll.BDP($B20&amp;" Equity","GAMMA_LAST")</f>
        <v>3.3606999999999998E-2</v>
      </c>
      <c r="AS20">
        <f t="shared" si="14"/>
        <v>-354604.23428653996</v>
      </c>
      <c r="AT20">
        <f t="shared" si="15"/>
        <v>-1773021.1714327</v>
      </c>
      <c r="AU20" t="s">
        <v>151</v>
      </c>
      <c r="AV20" s="277" cm="1">
        <f t="array" ref="AV20">_xll.BDP($D20&amp;" Equity","EST_PE_NXT_YR")*(AA20/Z20)</f>
        <v>24.642466350727716</v>
      </c>
      <c r="AX20" s="15"/>
      <c r="AY20" s="15">
        <v>23.52</v>
      </c>
      <c r="AZ20" s="356"/>
      <c r="BA20" s="15">
        <f t="shared" si="16"/>
        <v>23.52</v>
      </c>
      <c r="BB20" s="415">
        <f t="shared" si="17"/>
        <v>18.024999999999999</v>
      </c>
      <c r="BC20" s="415">
        <f t="shared" si="18"/>
        <v>27475.000000000007</v>
      </c>
      <c r="BD20" s="415">
        <f>BC20/'Master P&amp;L'!$AD$7*10000</f>
        <v>0.12185368545229833</v>
      </c>
    </row>
    <row r="21" spans="1:56" s="497" customFormat="1">
      <c r="A21" s="516"/>
      <c r="B21" s="59" t="s">
        <v>2378</v>
      </c>
      <c r="C21" s="497" t="str" cm="1">
        <f t="array" ref="C21">_xll.BDP($B21&amp;" Equity","opt_put_call")</f>
        <v>Put</v>
      </c>
      <c r="D21" s="497" t="str" cm="1">
        <f t="array" ref="D21">_xll.BDP(B21&amp;" Equity","OPT_UNDL_TICKER")</f>
        <v>AMAT US</v>
      </c>
      <c r="E21" s="497" t="str" cm="1">
        <f t="array" ref="E21">_xll.BDP($B21&amp;" Equity","mifid_Maturity_date")</f>
        <v>23/01/2026</v>
      </c>
      <c r="F21" s="497" cm="1">
        <f t="array" ref="F21">_xll.BDP($B21&amp;" Equity","opt_days_expire")</f>
        <v>9</v>
      </c>
      <c r="G21" s="497" t="str" cm="1">
        <f t="array" ref="G21">_xll.BDP(B21&amp;" Equity","QUOTED_CURRENCY_REALTIME")</f>
        <v>USD</v>
      </c>
      <c r="H21" s="499">
        <v>125</v>
      </c>
      <c r="I21" s="517">
        <v>3.75</v>
      </c>
      <c r="J21" s="97"/>
      <c r="K21" s="517">
        <v>3.75</v>
      </c>
      <c r="L21" s="97" cm="1">
        <f t="array" ref="L21">_xll.BDP($B21&amp;" Equity","mid")</f>
        <v>3.53</v>
      </c>
      <c r="M21" s="507">
        <f t="shared" si="1"/>
        <v>1.1693000761866905E-2</v>
      </c>
      <c r="N21" s="518"/>
      <c r="O21" s="507">
        <f t="shared" si="2"/>
        <v>-5.8666666666666756E-2</v>
      </c>
      <c r="P21" s="97" cm="1">
        <f t="array" ref="P21">_xll.BDP($B21&amp;" Equity","bid")</f>
        <v>3.35</v>
      </c>
      <c r="Q21" s="97" cm="1">
        <f t="array" ref="Q21">_xll.BDP($B21&amp;" Equity","ask")</f>
        <v>3.7</v>
      </c>
      <c r="R21" s="496">
        <f t="shared" si="3"/>
        <v>0.10447761194029859</v>
      </c>
      <c r="S21" s="97" cm="1">
        <f t="array" ref="S21">_xll.BDP(G21&amp;" Curncy","PX_LAST")</f>
        <v>1</v>
      </c>
      <c r="T21" s="499" cm="1">
        <f t="array" ref="T21">_xll.BDP(B21&amp;" Equity","OPT_MULTIPLIER")</f>
        <v>100</v>
      </c>
      <c r="U21" s="499">
        <f t="shared" si="4"/>
        <v>44125</v>
      </c>
      <c r="V21" s="519">
        <f>U21/'Master P&amp;L'!$AD$7*10000</f>
        <v>0.19569768409764013</v>
      </c>
      <c r="W21" s="519">
        <f>(Y21*H21*T21/S21)/'Master P&amp;L'!$AD$7*10000</f>
        <v>0.19569768409764013</v>
      </c>
      <c r="X21" s="520">
        <f t="shared" si="5"/>
        <v>0</v>
      </c>
      <c r="Y21" s="521">
        <f t="shared" si="6"/>
        <v>3.53</v>
      </c>
      <c r="Z21" s="522">
        <f>_xll.BDP(D21&amp;" Equity","LAST_PRICE")</f>
        <v>301.89</v>
      </c>
      <c r="AA21" s="522" cm="1">
        <f t="array" ref="AA21">_xll.BDP(B21&amp;" Equity","OPT_STRIKE_PX")</f>
        <v>290</v>
      </c>
      <c r="AB21" s="496">
        <f t="shared" si="7"/>
        <v>-3.9385206532180583E-2</v>
      </c>
      <c r="AC21" s="523" cm="1">
        <f t="array" ref="AC21">_xll.BDP($D21&amp;" Equity","volatility_10d")</f>
        <v>58.366388068376096</v>
      </c>
      <c r="AD21" s="522" cm="1">
        <f t="array" ref="AD21">_xll.BDP(B21&amp;" Equity","ivol_mid")</f>
        <v>44.426749999999998</v>
      </c>
      <c r="AE21" s="522">
        <f t="shared" si="8"/>
        <v>0.76117010954925213</v>
      </c>
      <c r="AF21" s="524" cm="1">
        <f t="array" ref="AF21">_xll.BDP(B21&amp;" Equity","DELTA_MID_RT")</f>
        <v>-0.26590275764465332</v>
      </c>
      <c r="AG21" s="507">
        <f>AL21/'Master P&amp;L'!$AE$7</f>
        <v>-4.4502309480673095E-4</v>
      </c>
      <c r="AH21" s="507">
        <f>AM21/'Master P&amp;L'!$AE$7</f>
        <v>-1.6736309873154837E-3</v>
      </c>
      <c r="AI21" s="525">
        <f>AO21/'Master P&amp;L'!$AD$7*10000</f>
        <v>-2.2431713226766695E-2</v>
      </c>
      <c r="AJ21" s="518">
        <f t="shared" si="9"/>
        <v>4.171273869700534</v>
      </c>
      <c r="AK21" s="524">
        <f>AP21/'Master P&amp;L'!$AD$7*10000</f>
        <v>-1.2196456232714129E-2</v>
      </c>
      <c r="AL21" s="499">
        <f t="shared" si="10"/>
        <v>-1003417.2938168049</v>
      </c>
      <c r="AM21" s="499">
        <f t="shared" si="11"/>
        <v>-3773625</v>
      </c>
      <c r="AN21" s="524" cm="1">
        <f t="array" ref="AN21">_xll.BDP($B21&amp;" Equity","theta_mid_rt")</f>
        <v>-0.40462383627891541</v>
      </c>
      <c r="AO21" s="499">
        <f t="shared" si="12"/>
        <v>-5057.7979534864426</v>
      </c>
      <c r="AP21" s="499">
        <f t="shared" si="13"/>
        <v>-2750.0000000000027</v>
      </c>
      <c r="AQ21" s="97" t="str" cm="1">
        <f t="array" ref="AQ21">_xll.BDP($D21&amp;" Equity","EXPECTED_REPORT_DT")</f>
        <v>12/02/2026</v>
      </c>
      <c r="AR21" s="526" cm="1">
        <f t="array" ref="AR21">_xll.BDP($B21&amp;" Equity","GAMMA_LAST")</f>
        <v>4.8332E-2</v>
      </c>
      <c r="AS21" s="497">
        <f t="shared" si="14"/>
        <v>550607.6418421499</v>
      </c>
      <c r="AT21" s="497">
        <f t="shared" si="15"/>
        <v>2753038.2092107497</v>
      </c>
      <c r="AU21" s="497" t="s">
        <v>151</v>
      </c>
      <c r="AV21" s="512" cm="1">
        <f t="array" ref="AV21">_xll.BDP($D21&amp;" Equity","EST_PE_NXT_YR")*(AA21/Z21)</f>
        <v>25.202278461363225</v>
      </c>
      <c r="AX21" s="499"/>
      <c r="AY21" s="499">
        <v>3.53</v>
      </c>
      <c r="AZ21" s="527"/>
      <c r="BA21" s="499">
        <f t="shared" si="16"/>
        <v>3.53</v>
      </c>
      <c r="BB21" s="528">
        <f t="shared" si="17"/>
        <v>0</v>
      </c>
      <c r="BC21" s="528">
        <f t="shared" si="18"/>
        <v>-44125</v>
      </c>
      <c r="BD21" s="528">
        <f>BC21/'Master P&amp;L'!$AD$7*10000</f>
        <v>-0.19569768409764013</v>
      </c>
    </row>
    <row r="22" spans="1:56" s="497" customFormat="1">
      <c r="A22" s="516"/>
      <c r="B22" s="59" t="s">
        <v>2377</v>
      </c>
      <c r="C22" s="497" t="str" cm="1">
        <f t="array" ref="C22">_xll.BDP($B22&amp;" Equity","opt_put_call")</f>
        <v>Put</v>
      </c>
      <c r="D22" s="497" t="str" cm="1">
        <f t="array" ref="D22">_xll.BDP(B22&amp;" Equity","OPT_UNDL_TICKER")</f>
        <v>AMAT US</v>
      </c>
      <c r="E22" s="497" t="str" cm="1">
        <f t="array" ref="E22">_xll.BDP($B22&amp;" Equity","mifid_Maturity_date")</f>
        <v>23/01/2026</v>
      </c>
      <c r="F22" s="497" cm="1">
        <f t="array" ref="F22">_xll.BDP($B22&amp;" Equity","opt_days_expire")</f>
        <v>9</v>
      </c>
      <c r="G22" s="497" t="str" cm="1">
        <f t="array" ref="G22">_xll.BDP(B22&amp;" Equity","QUOTED_CURRENCY_REALTIME")</f>
        <v>USD</v>
      </c>
      <c r="H22" s="499">
        <v>-125</v>
      </c>
      <c r="I22" s="517">
        <v>1.66</v>
      </c>
      <c r="J22" s="97"/>
      <c r="K22" s="517">
        <v>1.66</v>
      </c>
      <c r="L22" s="97" cm="1">
        <f t="array" ref="L22">_xll.BDP($B22&amp;" Equity","mid")</f>
        <v>1.82</v>
      </c>
      <c r="M22" s="507">
        <f t="shared" si="1"/>
        <v>6.0286859452118322E-3</v>
      </c>
      <c r="N22" s="518"/>
      <c r="O22" s="507">
        <f t="shared" si="2"/>
        <v>9.6385542168674787E-2</v>
      </c>
      <c r="P22" s="97" cm="1">
        <f t="array" ref="P22">_xll.BDP($B22&amp;" Equity","bid")</f>
        <v>1.17</v>
      </c>
      <c r="Q22" s="97" cm="1">
        <f t="array" ref="Q22">_xll.BDP($B22&amp;" Equity","ask")</f>
        <v>2.4700000000000002</v>
      </c>
      <c r="R22" s="496">
        <f t="shared" si="3"/>
        <v>1.1111111111111116</v>
      </c>
      <c r="S22" s="97" cm="1">
        <f t="array" ref="S22">_xll.BDP(G22&amp;" Curncy","PX_LAST")</f>
        <v>1</v>
      </c>
      <c r="T22" s="499" cm="1">
        <f t="array" ref="T22">_xll.BDP(B22&amp;" Equity","OPT_MULTIPLIER")</f>
        <v>100</v>
      </c>
      <c r="U22" s="499">
        <f t="shared" si="4"/>
        <v>-22750</v>
      </c>
      <c r="V22" s="519">
        <f>U22/'Master P&amp;L'!$AD$7*10000</f>
        <v>-0.1008979561069986</v>
      </c>
      <c r="W22" s="519">
        <f>(Y22*H22*T22/S22)/'Master P&amp;L'!$AD$7*10000</f>
        <v>-0.1008979561069986</v>
      </c>
      <c r="X22" s="520">
        <f t="shared" si="5"/>
        <v>0</v>
      </c>
      <c r="Y22" s="521">
        <f t="shared" si="6"/>
        <v>1.82</v>
      </c>
      <c r="Z22" s="522">
        <f>_xll.BDP(D22&amp;" Equity","LAST_PRICE")</f>
        <v>301.89</v>
      </c>
      <c r="AA22" s="522" cm="1">
        <f t="array" ref="AA22">_xll.BDP(B22&amp;" Equity","OPT_STRIKE_PX")</f>
        <v>280</v>
      </c>
      <c r="AB22" s="496">
        <f t="shared" si="7"/>
        <v>-7.2509854582795019E-2</v>
      </c>
      <c r="AC22" s="523" cm="1">
        <f t="array" ref="AC22">_xll.BDP($D22&amp;" Equity","volatility_10d")</f>
        <v>58.366388068376096</v>
      </c>
      <c r="AD22" s="522" cm="1">
        <f t="array" ref="AD22">_xll.BDP(B22&amp;" Equity","ivol_mid")</f>
        <v>48.281999999999996</v>
      </c>
      <c r="AE22" s="522">
        <f t="shared" si="8"/>
        <v>0.82722268068803129</v>
      </c>
      <c r="AF22" s="524" cm="1">
        <f t="array" ref="AF22">_xll.BDP(B22&amp;" Equity","DELTA_MID_RT")</f>
        <v>-0.14861464500427246</v>
      </c>
      <c r="AG22" s="507">
        <f>AL22/'Master P&amp;L'!$AE$7</f>
        <v>2.4872607504804065E-4</v>
      </c>
      <c r="AH22" s="507">
        <f>AM22/'Master P&amp;L'!$AE$7</f>
        <v>1.6736309873154837E-3</v>
      </c>
      <c r="AI22" s="525">
        <f>AO22/'Master P&amp;L'!$AD$7*10000</f>
        <v>1.6912175243713926E-2</v>
      </c>
      <c r="AJ22" s="518">
        <f t="shared" si="9"/>
        <v>-3.1448919643695246</v>
      </c>
      <c r="AK22" s="524">
        <f>AP22/'Master P&amp;L'!$AD$7*10000</f>
        <v>-8.870149987428454E-3</v>
      </c>
      <c r="AL22" s="499">
        <f t="shared" si="10"/>
        <v>560815.93975424767</v>
      </c>
      <c r="AM22" s="499">
        <f t="shared" si="11"/>
        <v>3773625</v>
      </c>
      <c r="AN22" s="524" cm="1">
        <f t="array" ref="AN22">_xll.BDP($B22&amp;" Equity","theta_mid_rt")</f>
        <v>-0.30506226420402527</v>
      </c>
      <c r="AO22" s="499">
        <f t="shared" si="12"/>
        <v>3813.2783025503159</v>
      </c>
      <c r="AP22" s="499">
        <f t="shared" si="13"/>
        <v>-2000.0000000000018</v>
      </c>
      <c r="AQ22" s="97" t="str" cm="1">
        <f t="array" ref="AQ22">_xll.BDP($D22&amp;" Equity","EXPECTED_REPORT_DT")</f>
        <v>12/02/2026</v>
      </c>
      <c r="AR22" s="526" cm="1">
        <f t="array" ref="AR22">_xll.BDP($B22&amp;" Equity","GAMMA_LAST")</f>
        <v>3.2131E-2</v>
      </c>
      <c r="AS22" s="497">
        <f t="shared" si="14"/>
        <v>-366042.6661431375</v>
      </c>
      <c r="AT22" s="497">
        <f t="shared" si="15"/>
        <v>-1830213.3307156877</v>
      </c>
      <c r="AU22" s="497" t="s">
        <v>151</v>
      </c>
      <c r="AV22" s="512" cm="1">
        <f t="array" ref="AV22">_xll.BDP($D22&amp;" Equity","EST_PE_NXT_YR")*(AA22/Z22)</f>
        <v>24.333234376488633</v>
      </c>
      <c r="AX22" s="499"/>
      <c r="AY22" s="499">
        <v>1.82</v>
      </c>
      <c r="AZ22" s="527"/>
      <c r="BA22" s="499">
        <f t="shared" si="16"/>
        <v>1.82</v>
      </c>
      <c r="BB22" s="528">
        <f t="shared" si="17"/>
        <v>0</v>
      </c>
      <c r="BC22" s="528">
        <f t="shared" si="18"/>
        <v>22750</v>
      </c>
      <c r="BD22" s="528">
        <f>BC22/'Master P&amp;L'!$AD$7*10000</f>
        <v>0.1008979561069986</v>
      </c>
    </row>
    <row r="23" spans="1:56" s="59" customFormat="1">
      <c r="A23" s="335"/>
      <c r="B23" s="73" t="s">
        <v>2138</v>
      </c>
      <c r="C23" s="73" t="str" cm="1">
        <f t="array" ref="C23">_xll.BDP($B23&amp;" Equity","opt_put_call")</f>
        <v>Call</v>
      </c>
      <c r="D23" s="73" t="str" cm="1">
        <f t="array" ref="D23">_xll.BDP(B23&amp;" Equity","OPT_UNDL_TICKER")</f>
        <v>NFLX US</v>
      </c>
      <c r="E23" s="73" t="str" cm="1">
        <f t="array" ref="E23">_xll.BDP($B23&amp;" Equity","mifid_Maturity_date")</f>
        <v>20/03/2026</v>
      </c>
      <c r="F23" s="73" cm="1">
        <f t="array" ref="F23">_xll.BDP($B23&amp;" Equity","opt_days_expire")</f>
        <v>65</v>
      </c>
      <c r="G23" s="73" t="str" cm="1">
        <f t="array" ref="G23">_xll.BDP(B23&amp;" Equity","QUOTED_CURRENCY_REALTIME")</f>
        <v>USD</v>
      </c>
      <c r="H23" s="42">
        <v>-170</v>
      </c>
      <c r="I23" s="410">
        <v>4.5</v>
      </c>
      <c r="J23" s="416">
        <f>VLOOKUP(B23,Precificação!$B:$O,14,FALSE)</f>
        <v>2.0499999999999998</v>
      </c>
      <c r="K23" s="74">
        <f t="shared" si="0"/>
        <v>2.0499999999999998</v>
      </c>
      <c r="L23" s="74" cm="1">
        <f t="array" ref="L23">_xll.BDP($B23&amp;" Equity","mid")</f>
        <v>1.74</v>
      </c>
      <c r="M23" s="75">
        <f t="shared" si="1"/>
        <v>1.9649915302089215E-2</v>
      </c>
      <c r="N23" s="353"/>
      <c r="O23" s="75">
        <f t="shared" si="2"/>
        <v>-0.15121951219512186</v>
      </c>
      <c r="P23" s="74" cm="1">
        <f t="array" ref="P23">_xll.BDP($B23&amp;" Equity","bid")</f>
        <v>1.67</v>
      </c>
      <c r="Q23" s="74" cm="1">
        <f t="array" ref="Q23">_xll.BDP($B23&amp;" Equity","ask")</f>
        <v>1.82</v>
      </c>
      <c r="R23" s="76">
        <f t="shared" si="3"/>
        <v>8.9820359281437279E-2</v>
      </c>
      <c r="S23" s="36" cm="1">
        <f t="array" ref="S23">_xll.BDP(G23&amp;" Curncy","PX_LAST")</f>
        <v>1</v>
      </c>
      <c r="T23" s="42" cm="1">
        <f t="array" ref="T23">_xll.BDP(B23&amp;" Equity","OPT_MULTIPLIER")</f>
        <v>100</v>
      </c>
      <c r="U23" s="42">
        <f t="shared" si="4"/>
        <v>-29580</v>
      </c>
      <c r="V23" s="113">
        <f>U23/'Master P&amp;L'!$AD$7*10000</f>
        <v>-0.13118951831406675</v>
      </c>
      <c r="W23" s="113">
        <f>(Y23*H23*T23/S23)/'Master P&amp;L'!$AD$7*10000</f>
        <v>-0.13118951831406675</v>
      </c>
      <c r="X23" s="118">
        <f t="shared" si="5"/>
        <v>0</v>
      </c>
      <c r="Y23" s="272">
        <f t="shared" si="6"/>
        <v>1.74</v>
      </c>
      <c r="Z23" s="77">
        <f>_xll.BDP(D23&amp;" Equity","LAST_PRICE")</f>
        <v>88.55</v>
      </c>
      <c r="AA23" s="77" cm="1">
        <f t="array" ref="AA23">_xll.BDP(B23&amp;" Equity","OPT_STRIKE_PX")</f>
        <v>104</v>
      </c>
      <c r="AB23" s="76">
        <f t="shared" si="7"/>
        <v>0.17447769621682663</v>
      </c>
      <c r="AC23" s="323" cm="1">
        <f t="array" ref="AC23">_xll.BDP($D23&amp;" Equity","volatility_10d")</f>
        <v>20.471827593011927</v>
      </c>
      <c r="AD23" s="77" cm="1">
        <f t="array" ref="AD23">_xll.BDP(B23&amp;" Equity","ivol_mid")</f>
        <v>41.204219999999999</v>
      </c>
      <c r="AE23" s="77">
        <f t="shared" si="8"/>
        <v>2.0127279703188341</v>
      </c>
      <c r="AF23" s="78" cm="1">
        <f t="array" ref="AF23">_xll.BDP(B23&amp;" Equity","DELTA_MID_RT")</f>
        <v>0.21468795835971832</v>
      </c>
      <c r="AG23" s="75">
        <f>AL23/'Master P&amp;L'!$AE$7</f>
        <v>-1.4333298343554351E-4</v>
      </c>
      <c r="AH23" s="75">
        <f>AM23/'Master P&amp;L'!$AE$7</f>
        <v>-6.6763401417877064E-4</v>
      </c>
      <c r="AI23" s="437">
        <f>AO23/'Master P&amp;L'!$AD$7*10000</f>
        <v>2.6029114269564739E-3</v>
      </c>
      <c r="AJ23" s="351">
        <f t="shared" si="9"/>
        <v>-0.48402261167697097</v>
      </c>
      <c r="AK23" s="78">
        <f>AP23/'Master P&amp;L'!$AD$7*10000</f>
        <v>2.3372845216873946E-2</v>
      </c>
      <c r="AL23" s="42">
        <f t="shared" si="10"/>
        <v>-323180.51811680198</v>
      </c>
      <c r="AM23" s="42">
        <f t="shared" si="11"/>
        <v>-1505350</v>
      </c>
      <c r="AN23" s="78" cm="1">
        <f t="array" ref="AN23">_xll.BDP($B23&amp;" Equity","theta_mid_rt")</f>
        <v>-3.4523077309131622E-2</v>
      </c>
      <c r="AO23" s="42">
        <f t="shared" si="12"/>
        <v>586.89231425523758</v>
      </c>
      <c r="AP23" s="42">
        <f t="shared" si="13"/>
        <v>5269.9999999999973</v>
      </c>
      <c r="AQ23" s="74" t="str" cm="1">
        <f t="array" ref="AQ23">_xll.BDP($D23&amp;" Equity","EXPECTED_REPORT_DT")</f>
        <v>20/01/2026</v>
      </c>
      <c r="AR23" s="235" cm="1">
        <f t="array" ref="AR23">_xll.BDP($B23&amp;" Equity","GAMMA_LAST")</f>
        <v>1.6764000000000001E-2</v>
      </c>
      <c r="AS23" s="73">
        <f t="shared" si="14"/>
        <v>-22346.201192700002</v>
      </c>
      <c r="AT23" s="73">
        <f t="shared" si="15"/>
        <v>-111731.00596350001</v>
      </c>
      <c r="AU23" s="73" t="s">
        <v>151</v>
      </c>
      <c r="AV23" s="322" cm="1">
        <f t="array" ref="AV23">_xll.BDP($D23&amp;" Equity","EST_PE_NXT_YR")*(AA23/Z23)</f>
        <v>33.579793038680172</v>
      </c>
      <c r="AW23" s="73"/>
      <c r="AX23" s="42"/>
      <c r="AY23" s="42">
        <v>1.74</v>
      </c>
      <c r="AZ23" s="355"/>
      <c r="BA23" s="42">
        <f t="shared" si="16"/>
        <v>1.74</v>
      </c>
      <c r="BB23" s="347">
        <f t="shared" si="17"/>
        <v>2.0499999999999998</v>
      </c>
      <c r="BC23" s="347">
        <f t="shared" si="18"/>
        <v>-5269.9999999999973</v>
      </c>
      <c r="BD23" s="347">
        <f>BC23/'Master P&amp;L'!$AD$7*10000</f>
        <v>-2.3372845216873946E-2</v>
      </c>
    </row>
    <row r="24" spans="1:56">
      <c r="A24" s="357"/>
      <c r="B24" t="s">
        <v>2137</v>
      </c>
      <c r="C24" t="str" cm="1">
        <f t="array" ref="C24">_xll.BDP($B24&amp;" Equity","opt_put_call")</f>
        <v>Put</v>
      </c>
      <c r="D24" t="str" cm="1">
        <f t="array" ref="D24">_xll.BDP(B24&amp;" Equity","OPT_UNDL_TICKER")</f>
        <v>NFLX US</v>
      </c>
      <c r="E24" t="str" cm="1">
        <f t="array" ref="E24">_xll.BDP($B24&amp;" Equity","mifid_Maturity_date")</f>
        <v>20/03/2026</v>
      </c>
      <c r="F24" cm="1">
        <f t="array" ref="F24">_xll.BDP($B24&amp;" Equity","opt_days_expire")</f>
        <v>65</v>
      </c>
      <c r="G24" t="str" cm="1">
        <f t="array" ref="G24">_xll.BDP(B24&amp;" Equity","QUOTED_CURRENCY_REALTIME")</f>
        <v>USD</v>
      </c>
      <c r="H24" s="15">
        <v>170</v>
      </c>
      <c r="I24" s="411">
        <v>5.916666666666667</v>
      </c>
      <c r="J24" s="416">
        <f>VLOOKUP(B24,Precificação!$B:$O,14,FALSE)</f>
        <v>6.7750000000000004</v>
      </c>
      <c r="K24" s="74">
        <f t="shared" si="0"/>
        <v>6.7750000000000004</v>
      </c>
      <c r="L24" s="74" cm="1">
        <f t="array" ref="L24">_xll.BDP($B24&amp;" Equity","mid")</f>
        <v>7.8</v>
      </c>
      <c r="M24" s="19">
        <f t="shared" si="1"/>
        <v>8.8085827216262E-2</v>
      </c>
      <c r="N24" s="351"/>
      <c r="O24" s="19">
        <f t="shared" si="2"/>
        <v>0.1512915129151291</v>
      </c>
      <c r="P24" s="36" cm="1">
        <f t="array" ref="P24">_xll.BDP($B24&amp;" Equity","bid")</f>
        <v>7.7</v>
      </c>
      <c r="Q24" s="36" cm="1">
        <f t="array" ref="Q24">_xll.BDP($B24&amp;" Equity","ask")</f>
        <v>7.9</v>
      </c>
      <c r="R24" s="40">
        <f t="shared" si="3"/>
        <v>2.5974025974025983E-2</v>
      </c>
      <c r="S24" s="36" cm="1">
        <f t="array" ref="S24">_xll.BDP(G24&amp;" Curncy","PX_LAST")</f>
        <v>1</v>
      </c>
      <c r="T24" s="15" cm="1">
        <f t="array" ref="T24">_xll.BDP(B24&amp;" Equity","OPT_MULTIPLIER")</f>
        <v>100</v>
      </c>
      <c r="U24" s="15">
        <f t="shared" si="4"/>
        <v>132600</v>
      </c>
      <c r="V24" s="124">
        <f>U24/'Master P&amp;L'!$AD$7*10000</f>
        <v>0.58809094416650598</v>
      </c>
      <c r="W24" s="124">
        <f>(Y24*H24*T24/S24)/'Master P&amp;L'!$AD$7*10000</f>
        <v>0.32797379578516661</v>
      </c>
      <c r="X24" s="414">
        <f t="shared" si="5"/>
        <v>3.4500000000000028</v>
      </c>
      <c r="Y24" s="273">
        <f t="shared" si="6"/>
        <v>4.349999999999997</v>
      </c>
      <c r="Z24" s="37">
        <f>_xll.BDP(D24&amp;" Equity","LAST_PRICE")</f>
        <v>88.55</v>
      </c>
      <c r="AA24" s="37" cm="1">
        <f t="array" ref="AA24">_xll.BDP(B24&amp;" Equity","OPT_STRIKE_PX")</f>
        <v>92</v>
      </c>
      <c r="AB24" s="40">
        <f t="shared" si="7"/>
        <v>3.8961038961039085E-2</v>
      </c>
      <c r="AC24" s="324" cm="1">
        <f t="array" ref="AC24">_xll.BDP($D24&amp;" Equity","volatility_10d")</f>
        <v>20.471827593011927</v>
      </c>
      <c r="AD24" s="37" cm="1">
        <f t="array" ref="AD24">_xll.BDP(B24&amp;" Equity","ivol_mid")</f>
        <v>41.255470000000003</v>
      </c>
      <c r="AE24" s="37">
        <f t="shared" si="8"/>
        <v>2.0152314107062228</v>
      </c>
      <c r="AF24" s="38" cm="1">
        <f t="array" ref="AF24">_xll.BDP(B24&amp;" Equity","DELTA_MID_RT")</f>
        <v>-0.54339867830276489</v>
      </c>
      <c r="AG24" s="19">
        <f>AL24/'Master P&amp;L'!$AE$7</f>
        <v>-3.6279144089471337E-4</v>
      </c>
      <c r="AH24" s="19">
        <f>AM24/'Master P&amp;L'!$AE$7</f>
        <v>-6.6763401417877064E-4</v>
      </c>
      <c r="AI24" s="436">
        <f>AO24/'Master P&amp;L'!$AD$7*10000</f>
        <v>-3.5814699090695157E-3</v>
      </c>
      <c r="AJ24" s="351">
        <f t="shared" si="9"/>
        <v>0.66598978400785158</v>
      </c>
      <c r="AK24" s="38">
        <f>AP24/'Master P&amp;L'!$AD$7*10000</f>
        <v>7.7281181765470303E-2</v>
      </c>
      <c r="AL24" s="15">
        <f t="shared" si="10"/>
        <v>-818005.20038306713</v>
      </c>
      <c r="AM24" s="15">
        <f t="shared" si="11"/>
        <v>-1505350</v>
      </c>
      <c r="AN24" s="38" cm="1">
        <f t="array" ref="AN24">_xll.BDP($B24&amp;" Equity","theta_mid_rt")</f>
        <v>-4.7501947730779648E-2</v>
      </c>
      <c r="AO24" s="15">
        <f t="shared" si="12"/>
        <v>-807.53311142325401</v>
      </c>
      <c r="AP24" s="15">
        <f t="shared" si="13"/>
        <v>17424.999999999989</v>
      </c>
      <c r="AQ24" s="36" t="str" cm="1">
        <f t="array" ref="AQ24">_xll.BDP($D24&amp;" Equity","EXPECTED_REPORT_DT")</f>
        <v>20/01/2026</v>
      </c>
      <c r="AR24" s="66" cm="1">
        <f t="array" ref="AR24">_xll.BDP($B24&amp;" Equity","GAMMA_LAST")</f>
        <v>2.3276999999999999E-2</v>
      </c>
      <c r="AS24">
        <f t="shared" si="14"/>
        <v>31027.948291724999</v>
      </c>
      <c r="AT24">
        <f t="shared" si="15"/>
        <v>155139.74145862504</v>
      </c>
      <c r="AU24" t="s">
        <v>151</v>
      </c>
      <c r="AV24" s="277" cm="1">
        <f t="array" ref="AV24">_xll.BDP($D24&amp;" Equity","EST_PE_NXT_YR")*(AA24/Z24)</f>
        <v>29.705201534217082</v>
      </c>
      <c r="AX24" s="15"/>
      <c r="AY24" s="15">
        <v>7.8</v>
      </c>
      <c r="AZ24" s="356"/>
      <c r="BA24" s="15">
        <f t="shared" si="16"/>
        <v>7.8</v>
      </c>
      <c r="BB24" s="415">
        <f t="shared" si="17"/>
        <v>6.7750000000000004</v>
      </c>
      <c r="BC24" s="415">
        <f t="shared" si="18"/>
        <v>-17424.999999999993</v>
      </c>
      <c r="BD24" s="415">
        <f>BC24/'Master P&amp;L'!$AD$7*10000</f>
        <v>-7.7281181765470316E-2</v>
      </c>
    </row>
    <row r="25" spans="1:56" s="59" customFormat="1">
      <c r="A25" s="335"/>
      <c r="B25" s="73" t="s">
        <v>2139</v>
      </c>
      <c r="C25" s="73" t="str" cm="1">
        <f t="array" ref="C25">_xll.BDP($B25&amp;" Equity","opt_put_call")</f>
        <v>Put</v>
      </c>
      <c r="D25" s="73" t="str" cm="1">
        <f t="array" ref="D25">_xll.BDP(B25&amp;" Equity","OPT_UNDL_TICKER")</f>
        <v>NFLX US</v>
      </c>
      <c r="E25" s="73" t="str" cm="1">
        <f t="array" ref="E25">_xll.BDP($B25&amp;" Equity","mifid_Maturity_date")</f>
        <v>20/03/2026</v>
      </c>
      <c r="F25" s="73" cm="1">
        <f t="array" ref="F25">_xll.BDP($B25&amp;" Equity","opt_days_expire")</f>
        <v>65</v>
      </c>
      <c r="G25" s="73" t="str" cm="1">
        <f t="array" ref="G25">_xll.BDP(B25&amp;" Equity","QUOTED_CURRENCY_REALTIME")</f>
        <v>USD</v>
      </c>
      <c r="H25" s="42">
        <v>-255</v>
      </c>
      <c r="I25" s="410">
        <v>2.7466666666666666</v>
      </c>
      <c r="J25" s="416">
        <f>VLOOKUP(B25,Precificação!$B:$O,14,FALSE)</f>
        <v>2.81</v>
      </c>
      <c r="K25" s="74">
        <f t="shared" si="0"/>
        <v>2.81</v>
      </c>
      <c r="L25" s="74" cm="1">
        <f t="array" ref="L25">_xll.BDP($B25&amp;" Equity","mid")</f>
        <v>3.4</v>
      </c>
      <c r="M25" s="75">
        <f t="shared" si="1"/>
        <v>3.8396386222473176E-2</v>
      </c>
      <c r="N25" s="353"/>
      <c r="O25" s="75">
        <f t="shared" si="2"/>
        <v>0.20996441281138778</v>
      </c>
      <c r="P25" s="74" cm="1">
        <f t="array" ref="P25">_xll.BDP($B25&amp;" Equity","bid")</f>
        <v>3.3</v>
      </c>
      <c r="Q25" s="74" cm="1">
        <f t="array" ref="Q25">_xll.BDP($B25&amp;" Equity","ask")</f>
        <v>3.5</v>
      </c>
      <c r="R25" s="76">
        <f t="shared" si="3"/>
        <v>6.0606060606060552E-2</v>
      </c>
      <c r="S25" s="36" cm="1">
        <f t="array" ref="S25">_xll.BDP(G25&amp;" Curncy","PX_LAST")</f>
        <v>1</v>
      </c>
      <c r="T25" s="42" cm="1">
        <f t="array" ref="T25">_xll.BDP(B25&amp;" Equity","OPT_MULTIPLIER")</f>
        <v>100</v>
      </c>
      <c r="U25" s="42">
        <f t="shared" si="4"/>
        <v>-86700</v>
      </c>
      <c r="V25" s="113">
        <f>U25/'Master P&amp;L'!$AD$7*10000</f>
        <v>-0.38452100195502315</v>
      </c>
      <c r="W25" s="113">
        <f>(Y25*H25*T25/S25)/'Master P&amp;L'!$AD$7*10000</f>
        <v>-0.38452100195502315</v>
      </c>
      <c r="X25" s="118">
        <f t="shared" si="5"/>
        <v>0</v>
      </c>
      <c r="Y25" s="272">
        <f t="shared" si="6"/>
        <v>3.4</v>
      </c>
      <c r="Z25" s="77">
        <f>_xll.BDP(D25&amp;" Equity","LAST_PRICE")</f>
        <v>88.55</v>
      </c>
      <c r="AA25" s="77" cm="1">
        <f t="array" ref="AA25">_xll.BDP(B25&amp;" Equity","OPT_STRIKE_PX")</f>
        <v>83</v>
      </c>
      <c r="AB25" s="76">
        <f t="shared" si="7"/>
        <v>-6.2676453980801794E-2</v>
      </c>
      <c r="AC25" s="323" cm="1">
        <f t="array" ref="AC25">_xll.BDP($D25&amp;" Equity","volatility_10d")</f>
        <v>20.471827593011927</v>
      </c>
      <c r="AD25" s="77" cm="1">
        <f t="array" ref="AD25">_xll.BDP(B25&amp;" Equity","ivol_mid")</f>
        <v>41.373359999999998</v>
      </c>
      <c r="AE25" s="77">
        <f t="shared" si="8"/>
        <v>2.0209900563114758</v>
      </c>
      <c r="AF25" s="78" cm="1">
        <f t="array" ref="AF25">_xll.BDP(B25&amp;" Equity","DELTA_MID_RT")</f>
        <v>-0.31203398108482361</v>
      </c>
      <c r="AG25" s="75">
        <f>AL25/'Master P&amp;L'!$AE$7</f>
        <v>3.1248674902776505E-4</v>
      </c>
      <c r="AH25" s="75">
        <f>AM25/'Master P&amp;L'!$AE$7</f>
        <v>1.0014510212681561E-3</v>
      </c>
      <c r="AI25" s="437">
        <f>AO25/'Master P&amp;L'!$AD$7*10000</f>
        <v>4.7837209940484061E-3</v>
      </c>
      <c r="AJ25" s="351">
        <f t="shared" si="9"/>
        <v>-0.88955356109855988</v>
      </c>
      <c r="AK25" s="78">
        <f>AP25/'Master P&amp;L'!$AD$7*10000</f>
        <v>-6.6725703280430482E-2</v>
      </c>
      <c r="AL25" s="42">
        <f t="shared" si="10"/>
        <v>704580.53013905883</v>
      </c>
      <c r="AM25" s="42">
        <f t="shared" si="11"/>
        <v>2258025</v>
      </c>
      <c r="AN25" s="78" cm="1">
        <f t="array" ref="AN25">_xll.BDP($B25&amp;" Equity","theta_mid_rt")</f>
        <v>-4.2298473417758942E-2</v>
      </c>
      <c r="AO25" s="42">
        <f t="shared" si="12"/>
        <v>1078.611072152853</v>
      </c>
      <c r="AP25" s="42">
        <f t="shared" si="13"/>
        <v>-15044.999999999996</v>
      </c>
      <c r="AQ25" s="74" t="str" cm="1">
        <f t="array" ref="AQ25">_xll.BDP($D25&amp;" Equity","EXPECTED_REPORT_DT")</f>
        <v>20/01/2026</v>
      </c>
      <c r="AR25" s="235" cm="1">
        <f t="array" ref="AR25">_xll.BDP($B25&amp;" Equity","GAMMA_LAST")</f>
        <v>2.0226999999999998E-2</v>
      </c>
      <c r="AS25" s="73">
        <f t="shared" si="14"/>
        <v>-40443.504968212495</v>
      </c>
      <c r="AT25" s="73">
        <f t="shared" si="15"/>
        <v>-202217.52484106249</v>
      </c>
      <c r="AU25" s="73" t="s">
        <v>151</v>
      </c>
      <c r="AV25" s="322" cm="1">
        <f t="array" ref="AV25">_xll.BDP($D25&amp;" Equity","EST_PE_NXT_YR")*(AA25/Z25)</f>
        <v>26.799257905869755</v>
      </c>
      <c r="AW25" s="73"/>
      <c r="AX25" s="42"/>
      <c r="AY25" s="42">
        <v>3.4</v>
      </c>
      <c r="AZ25" s="355"/>
      <c r="BA25" s="42">
        <f t="shared" si="16"/>
        <v>3.4</v>
      </c>
      <c r="BB25" s="347">
        <f t="shared" si="17"/>
        <v>2.81</v>
      </c>
      <c r="BC25" s="347">
        <f t="shared" si="18"/>
        <v>15044.999999999996</v>
      </c>
      <c r="BD25" s="347">
        <f>BC25/'Master P&amp;L'!$AD$7*10000</f>
        <v>6.6725703280430482E-2</v>
      </c>
    </row>
    <row r="26" spans="1:56" s="59" customFormat="1">
      <c r="A26" s="426"/>
      <c r="B26" s="59" t="s">
        <v>2060</v>
      </c>
      <c r="C26" s="59" t="str" cm="1">
        <f t="array" ref="C26">_xll.BDP($B26&amp;" Equity","opt_put_call")</f>
        <v>Call</v>
      </c>
      <c r="D26" s="59" t="str" cm="1">
        <f t="array" ref="D26">_xll.BDP(B26&amp;" Equity","OPT_UNDL_TICKER")</f>
        <v>TSM US</v>
      </c>
      <c r="E26" s="59" t="str" cm="1">
        <f t="array" ref="E26">_xll.BDP($B26&amp;" Equity","mifid_Maturity_date")</f>
        <v>16/01/2026</v>
      </c>
      <c r="F26" s="59" cm="1">
        <f t="array" ref="F26">_xll.BDP($B26&amp;" Equity","opt_days_expire")</f>
        <v>2</v>
      </c>
      <c r="G26" s="59" t="str" cm="1">
        <f t="array" ref="G26">_xll.BDP(B26&amp;" Equity","QUOTED_CURRENCY_REALTIME")</f>
        <v>USD</v>
      </c>
      <c r="H26" s="405">
        <v>50</v>
      </c>
      <c r="I26" s="412">
        <v>11.44</v>
      </c>
      <c r="J26" s="14">
        <f>VLOOKUP(B26,Precificação!$B:$O,14,FALSE)</f>
        <v>31.85</v>
      </c>
      <c r="K26" s="14">
        <f t="shared" si="0"/>
        <v>31.85</v>
      </c>
      <c r="L26" s="14">
        <v>26.03</v>
      </c>
      <c r="M26" s="128">
        <f t="shared" si="1"/>
        <v>7.9575677906514625E-2</v>
      </c>
      <c r="N26" s="427"/>
      <c r="O26" s="128">
        <f t="shared" si="2"/>
        <v>-0.18273155416012554</v>
      </c>
      <c r="P26" s="14" cm="1">
        <f t="array" ref="P26">_xll.BDP($B26&amp;" Equity","bid")</f>
        <v>27.1</v>
      </c>
      <c r="Q26" s="14" cm="1">
        <f t="array" ref="Q26">_xll.BDP($B26&amp;" Equity","ask")</f>
        <v>28.3</v>
      </c>
      <c r="R26" s="425">
        <f t="shared" si="3"/>
        <v>4.4280442804428111E-2</v>
      </c>
      <c r="S26" s="14" cm="1">
        <f t="array" ref="S26">_xll.BDP(G26&amp;" Curncy","PX_LAST")</f>
        <v>1</v>
      </c>
      <c r="T26" s="405" cm="1">
        <f t="array" ref="T26">_xll.BDP(B26&amp;" Equity","OPT_MULTIPLIER")</f>
        <v>100</v>
      </c>
      <c r="U26" s="405">
        <f t="shared" si="4"/>
        <v>130150</v>
      </c>
      <c r="V26" s="428">
        <f>U26/'Master P&amp;L'!$AD$7*10000</f>
        <v>0.57722501043190622</v>
      </c>
      <c r="W26" s="428">
        <f>(Y26*H26*T26/S26)/'Master P&amp;L'!$AD$7*10000</f>
        <v>-2.3949404966057086E-2</v>
      </c>
      <c r="X26" s="429">
        <f t="shared" si="5"/>
        <v>27.110000000000014</v>
      </c>
      <c r="Y26" s="430">
        <f t="shared" si="6"/>
        <v>-1.0800000000000125</v>
      </c>
      <c r="Z26" s="431">
        <f>_xll.BDP(D26&amp;" Equity","LAST_PRICE")</f>
        <v>327.11</v>
      </c>
      <c r="AA26" s="431" cm="1">
        <f t="array" ref="AA26">_xll.BDP(B26&amp;" Equity","OPT_STRIKE_PX")</f>
        <v>300</v>
      </c>
      <c r="AB26" s="425">
        <f t="shared" si="7"/>
        <v>-8.2877319556112661E-2</v>
      </c>
      <c r="AC26" s="432" cm="1">
        <f t="array" ref="AC26">_xll.BDP($D26&amp;" Equity","volatility_10d")</f>
        <v>36.429613407934383</v>
      </c>
      <c r="AD26" s="431" cm="1">
        <f t="array" ref="AD26">_xll.BDP(B26&amp;" Equity","ivol_mid")</f>
        <v>62.965110000000003</v>
      </c>
      <c r="AE26" s="431">
        <f t="shared" si="8"/>
        <v>1.7284045618306281</v>
      </c>
      <c r="AF26" s="433"/>
      <c r="AG26" s="128"/>
      <c r="AH26" s="128"/>
      <c r="AI26" s="442"/>
      <c r="AJ26" s="427"/>
      <c r="AK26" s="433">
        <f>AP26/'Master P&amp;L'!$AD$7*10000</f>
        <v>-0.1290606823170839</v>
      </c>
      <c r="AL26" s="405">
        <f t="shared" si="10"/>
        <v>0</v>
      </c>
      <c r="AM26" s="405">
        <f t="shared" si="11"/>
        <v>1635550</v>
      </c>
      <c r="AN26" s="433" cm="1">
        <f t="array" ref="AN26">_xll.BDP($B26&amp;" Equity","theta_mid_rt")</f>
        <v>-0.34922096133232117</v>
      </c>
      <c r="AO26" s="405">
        <f t="shared" si="12"/>
        <v>-1746.1048066616058</v>
      </c>
      <c r="AP26" s="405">
        <f t="shared" si="13"/>
        <v>-29100</v>
      </c>
      <c r="AQ26" s="14" t="str" cm="1">
        <f t="array" ref="AQ26">_xll.BDP($D26&amp;" Equity","EXPECTED_REPORT_DT")</f>
        <v>15/01/2026</v>
      </c>
      <c r="AR26" s="114" cm="1">
        <f t="array" ref="AR26">_xll.BDP($B26&amp;" Equity","GAMMA_LAST")</f>
        <v>1.6326E-2</v>
      </c>
      <c r="AS26" s="59">
        <f t="shared" si="14"/>
        <v>87344.877199230003</v>
      </c>
      <c r="AT26" s="59">
        <f t="shared" si="15"/>
        <v>436724.38599615009</v>
      </c>
      <c r="AU26" s="59" t="s">
        <v>151</v>
      </c>
      <c r="AV26" s="337" cm="1">
        <f t="array" ref="AV26">_xll.BDP($D26&amp;" Equity","EST_PE_NXT_YR")*(AA26/Z26)</f>
        <v>24.087944028977148</v>
      </c>
      <c r="AX26" s="405"/>
      <c r="AY26" s="405">
        <v>26.03</v>
      </c>
      <c r="AZ26" s="434"/>
      <c r="BA26" s="405">
        <f t="shared" si="16"/>
        <v>26.03</v>
      </c>
      <c r="BB26" s="435">
        <f t="shared" si="17"/>
        <v>31.85</v>
      </c>
      <c r="BC26" s="435">
        <f t="shared" si="18"/>
        <v>29100</v>
      </c>
      <c r="BD26" s="435">
        <f>BC26/'Master P&amp;L'!$AD$7*10000</f>
        <v>0.1290606823170839</v>
      </c>
    </row>
    <row r="27" spans="1:56" s="59" customFormat="1">
      <c r="A27" s="335"/>
      <c r="B27" s="73" t="s">
        <v>2342</v>
      </c>
      <c r="C27" s="73" t="str" cm="1">
        <f t="array" ref="C27">_xll.BDP($B27&amp;" Equity","opt_put_call")</f>
        <v>Call</v>
      </c>
      <c r="D27" s="73" t="str" cm="1">
        <f t="array" ref="D27">_xll.BDP(B27&amp;" Equity","OPT_UNDL_TICKER")</f>
        <v>TSM US</v>
      </c>
      <c r="E27" s="73" t="str" cm="1">
        <f t="array" ref="E27">_xll.BDP($B27&amp;" Equity","mifid_Maturity_date")</f>
        <v>18/06/2026</v>
      </c>
      <c r="F27" s="73" cm="1">
        <f t="array" ref="F27">_xll.BDP($B27&amp;" Equity","opt_days_expire")</f>
        <v>155</v>
      </c>
      <c r="G27" s="73" t="str" cm="1">
        <f t="array" ref="G27">_xll.BDP(B27&amp;" Equity","QUOTED_CURRENCY_REALTIME")</f>
        <v>USD</v>
      </c>
      <c r="H27" s="42">
        <v>525</v>
      </c>
      <c r="I27" s="410">
        <v>33.42</v>
      </c>
      <c r="J27" s="416">
        <f>VLOOKUP(B27,Precificação!$B:$O,14,FALSE)</f>
        <v>33.375</v>
      </c>
      <c r="K27" s="74">
        <f t="shared" si="0"/>
        <v>33.375</v>
      </c>
      <c r="L27" s="74" cm="1">
        <f t="array" ref="L27">_xll.BDP($B27&amp;" Equity","mid")</f>
        <v>30.18</v>
      </c>
      <c r="M27" s="75">
        <f t="shared" si="1"/>
        <v>9.2262541652655072E-2</v>
      </c>
      <c r="N27" s="353"/>
      <c r="O27" s="75">
        <f t="shared" si="2"/>
        <v>-9.5730337078651639E-2</v>
      </c>
      <c r="P27" s="74" cm="1">
        <f t="array" ref="P27">_xll.BDP($B27&amp;" Equity","bid")</f>
        <v>29.4</v>
      </c>
      <c r="Q27" s="74" cm="1">
        <f t="array" ref="Q27">_xll.BDP($B27&amp;" Equity","ask")</f>
        <v>30.95</v>
      </c>
      <c r="R27" s="76">
        <f t="shared" si="3"/>
        <v>5.2721088435374153E-2</v>
      </c>
      <c r="S27" s="36" cm="1">
        <f t="array" ref="S27">_xll.BDP(G27&amp;" Curncy","PX_LAST")</f>
        <v>1</v>
      </c>
      <c r="T27" s="42" cm="1">
        <f t="array" ref="T27">_xll.BDP(B27&amp;" Equity","OPT_MULTIPLIER")</f>
        <v>100</v>
      </c>
      <c r="U27" s="42">
        <f t="shared" si="4"/>
        <v>1584450</v>
      </c>
      <c r="V27" s="113">
        <f>U27/'Master P&amp;L'!$AD$7*10000</f>
        <v>7.0271545737905017</v>
      </c>
      <c r="W27" s="113">
        <f>(Y27*H27*T27/S27)/'Master P&amp;L'!$AD$7*10000</f>
        <v>7.0271545737905017</v>
      </c>
      <c r="X27" s="118">
        <f t="shared" si="5"/>
        <v>0</v>
      </c>
      <c r="Y27" s="272">
        <f t="shared" si="6"/>
        <v>30.18</v>
      </c>
      <c r="Z27" s="77">
        <f>_xll.BDP(D27&amp;" Equity","LAST_PRICE")</f>
        <v>327.11</v>
      </c>
      <c r="AA27" s="77" cm="1">
        <f t="array" ref="AA27">_xll.BDP(B27&amp;" Equity","OPT_STRIKE_PX")</f>
        <v>340</v>
      </c>
      <c r="AB27" s="76">
        <f t="shared" si="7"/>
        <v>3.9405704503072236E-2</v>
      </c>
      <c r="AC27" s="323" cm="1">
        <f t="array" ref="AC27">_xll.BDP($D27&amp;" Equity","volatility_10d")</f>
        <v>36.429613407934383</v>
      </c>
      <c r="AD27" s="77" cm="1">
        <f t="array" ref="AD27">_xll.BDP(B27&amp;" Equity","ivol_mid")</f>
        <v>40.014600000000002</v>
      </c>
      <c r="AE27" s="77">
        <f t="shared" si="8"/>
        <v>1.0984085818293314</v>
      </c>
      <c r="AF27" s="78" cm="1">
        <f t="array" ref="AF27">_xll.BDP(B27&amp;" Equity","DELTA_MID_RT")</f>
        <v>0.51445811986923218</v>
      </c>
      <c r="AG27" s="75">
        <f>AL27/'Master P&amp;L'!$AE$7</f>
        <v>3.9183580522558709E-3</v>
      </c>
      <c r="AH27" s="75">
        <f>AM27/'Master P&amp;L'!$AE$7</f>
        <v>7.6164762512677632E-3</v>
      </c>
      <c r="AI27" s="437">
        <f>AO27/'Master P&amp;L'!$AD$7*10000</f>
        <v>-2.4813295630292134E-2</v>
      </c>
      <c r="AJ27" s="351">
        <f t="shared" si="9"/>
        <v>4.614139394412673</v>
      </c>
      <c r="AK27" s="78">
        <f>AP27/'Master P&amp;L'!$AD$7*10000</f>
        <v>-0.74392839175813963</v>
      </c>
      <c r="AL27" s="42">
        <f t="shared" si="10"/>
        <v>8834930.7684972882</v>
      </c>
      <c r="AM27" s="42">
        <f t="shared" si="11"/>
        <v>17173275</v>
      </c>
      <c r="AN27" s="78" cm="1">
        <f t="array" ref="AN27">_xll.BDP($B27&amp;" Equity","theta_mid_rt")</f>
        <v>-0.10656735301017761</v>
      </c>
      <c r="AO27" s="42">
        <f t="shared" si="12"/>
        <v>-5594.7860330343246</v>
      </c>
      <c r="AP27" s="42">
        <f t="shared" si="13"/>
        <v>-167737.5</v>
      </c>
      <c r="AQ27" s="74" t="str" cm="1">
        <f t="array" ref="AQ27">_xll.BDP($D27&amp;" Equity","EXPECTED_REPORT_DT")</f>
        <v>15/01/2026</v>
      </c>
      <c r="AR27" s="235" cm="1">
        <f t="array" ref="AR27">_xll.BDP($B27&amp;" Equity","GAMMA_LAST")</f>
        <v>1.5217E-2</v>
      </c>
      <c r="AS27" s="73">
        <f t="shared" si="14"/>
        <v>854822.58125549252</v>
      </c>
      <c r="AT27" s="73">
        <f t="shared" si="15"/>
        <v>4274112.9062774628</v>
      </c>
      <c r="AU27" s="73" t="s">
        <v>151</v>
      </c>
      <c r="AV27" s="322" cm="1">
        <f t="array" ref="AV27">_xll.BDP($D27&amp;" Equity","EST_PE_NXT_YR")*(AA27/Z27)</f>
        <v>27.299669899507432</v>
      </c>
      <c r="AW27" s="73"/>
      <c r="AX27" s="42"/>
      <c r="AY27" s="42">
        <v>30.18</v>
      </c>
      <c r="AZ27" s="355"/>
      <c r="BA27" s="42">
        <f t="shared" si="16"/>
        <v>30.18</v>
      </c>
      <c r="BB27" s="347">
        <f t="shared" si="17"/>
        <v>33.375</v>
      </c>
      <c r="BC27" s="347">
        <f t="shared" si="18"/>
        <v>167737.50000000003</v>
      </c>
      <c r="BD27" s="347">
        <f>BC27/'Master P&amp;L'!$AD$7*10000</f>
        <v>0.74392839175813974</v>
      </c>
    </row>
    <row r="28" spans="1:56">
      <c r="A28" s="357"/>
      <c r="B28" t="s">
        <v>2343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18/06/2026</v>
      </c>
      <c r="F28" cm="1">
        <f t="array" ref="F28">_xll.BDP($B28&amp;" Equity","opt_days_expire")</f>
        <v>155</v>
      </c>
      <c r="G28" t="str" cm="1">
        <f t="array" ref="G28">_xll.BDP(B28&amp;" Equity","QUOTED_CURRENCY_REALTIME")</f>
        <v>USD</v>
      </c>
      <c r="H28" s="15">
        <v>-525</v>
      </c>
      <c r="I28" s="411">
        <v>19.420000000000002</v>
      </c>
      <c r="J28" s="416">
        <f>VLOOKUP(B28,Precificação!$B:$O,14,FALSE)</f>
        <v>19</v>
      </c>
      <c r="K28" s="74">
        <f t="shared" si="0"/>
        <v>19</v>
      </c>
      <c r="L28" s="74" cm="1">
        <f t="array" ref="L28">_xll.BDP($B28&amp;" Equity","mid")</f>
        <v>17.100000000000001</v>
      </c>
      <c r="M28" s="19">
        <f t="shared" si="1"/>
        <v>5.2275992785301581E-2</v>
      </c>
      <c r="N28" s="351"/>
      <c r="O28" s="19">
        <f t="shared" si="2"/>
        <v>-9.9999999999999978E-2</v>
      </c>
      <c r="P28" s="36" cm="1">
        <f t="array" ref="P28">_xll.BDP($B28&amp;" Equity","bid")</f>
        <v>16.5</v>
      </c>
      <c r="Q28" s="36" cm="1">
        <f t="array" ref="Q28">_xll.BDP($B28&amp;" Equity","ask")</f>
        <v>17.7</v>
      </c>
      <c r="R28" s="40">
        <f t="shared" si="3"/>
        <v>7.2727272727272751E-2</v>
      </c>
      <c r="S28" s="36" cm="1">
        <f t="array" ref="S28">_xll.BDP(G28&amp;" Curncy","PX_LAST")</f>
        <v>1</v>
      </c>
      <c r="T28" s="15" cm="1">
        <f t="array" ref="T28">_xll.BDP(B28&amp;" Equity","OPT_MULTIPLIER")</f>
        <v>100</v>
      </c>
      <c r="U28" s="15">
        <f t="shared" si="4"/>
        <v>-897750</v>
      </c>
      <c r="V28" s="124">
        <f>U28/'Master P&amp;L'!$AD$7*10000</f>
        <v>-3.9815885756069442</v>
      </c>
      <c r="W28" s="124">
        <f>(Y28*H28*T28/S28)/'Master P&amp;L'!$AD$7*10000</f>
        <v>-3.9815885756069442</v>
      </c>
      <c r="X28" s="414">
        <f t="shared" si="5"/>
        <v>0</v>
      </c>
      <c r="Y28" s="273">
        <f t="shared" si="6"/>
        <v>17.100000000000001</v>
      </c>
      <c r="Z28" s="37">
        <f>_xll.BDP(D28&amp;" Equity","LAST_PRICE")</f>
        <v>327.11</v>
      </c>
      <c r="AA28" s="37" cm="1">
        <f t="array" ref="AA28">_xll.BDP(B28&amp;" Equity","OPT_STRIKE_PX")</f>
        <v>380</v>
      </c>
      <c r="AB28" s="40">
        <f t="shared" si="7"/>
        <v>0.16168872856225724</v>
      </c>
      <c r="AC28" s="324" cm="1">
        <f t="array" ref="AC28">_xll.BDP($D28&amp;" Equity","volatility_10d")</f>
        <v>36.429613407934383</v>
      </c>
      <c r="AD28" s="37" cm="1">
        <f t="array" ref="AD28">_xll.BDP(B28&amp;" Equity","ivol_mid")</f>
        <v>40.190170000000002</v>
      </c>
      <c r="AE28" s="37">
        <f t="shared" si="8"/>
        <v>1.1032280126048928</v>
      </c>
      <c r="AF28" s="38" cm="1">
        <f t="array" ref="AF28">_xll.BDP(B28&amp;" Equity","DELTA_MID_RT")</f>
        <v>0.34590211510658264</v>
      </c>
      <c r="AG28" s="19">
        <f>AL28/'Master P&amp;L'!$AE$7</f>
        <v>-2.6345552449725754E-3</v>
      </c>
      <c r="AH28" s="19">
        <f>AM28/'Master P&amp;L'!$AE$7</f>
        <v>-7.6164762512677632E-3</v>
      </c>
      <c r="AI28" s="436">
        <f>AO28/'Master P&amp;L'!$AD$7*10000</f>
        <v>2.3135209414861926E-2</v>
      </c>
      <c r="AJ28" s="351">
        <f t="shared" si="9"/>
        <v>-4.3020920215363017</v>
      </c>
      <c r="AK28" s="38">
        <f>AP28/'Master P&amp;L'!$AD$7*10000</f>
        <v>0.44239873062299351</v>
      </c>
      <c r="AL28" s="15">
        <f t="shared" si="10"/>
        <v>-5940272.1458069989</v>
      </c>
      <c r="AM28" s="15">
        <f t="shared" si="11"/>
        <v>-17173275</v>
      </c>
      <c r="AN28" s="38" cm="1">
        <f t="array" ref="AN28">_xll.BDP($B28&amp;" Equity","theta_mid_rt")</f>
        <v>-9.9360361695289612E-2</v>
      </c>
      <c r="AO28" s="15">
        <f t="shared" si="12"/>
        <v>5216.4189890027046</v>
      </c>
      <c r="AP28" s="15">
        <f t="shared" si="13"/>
        <v>99749.999999999927</v>
      </c>
      <c r="AQ28" s="36" t="str" cm="1">
        <f t="array" ref="AQ28">_xll.BDP($D28&amp;" Equity","EXPECTED_REPORT_DT")</f>
        <v>15/01/2026</v>
      </c>
      <c r="AR28" s="66" cm="1">
        <f t="array" ref="AR28">_xll.BDP($B28&amp;" Equity","GAMMA_LAST")</f>
        <v>1.4135999999999999E-2</v>
      </c>
      <c r="AS28">
        <f t="shared" si="14"/>
        <v>-794096.86591494014</v>
      </c>
      <c r="AT28">
        <f t="shared" si="15"/>
        <v>-3970484.3295747004</v>
      </c>
      <c r="AU28" t="s">
        <v>151</v>
      </c>
      <c r="AV28" s="277" cm="1">
        <f t="array" ref="AV28">_xll.BDP($D28&amp;" Equity","EST_PE_NXT_YR")*(AA28/Z28)</f>
        <v>30.511395770037719</v>
      </c>
      <c r="AX28" s="15"/>
      <c r="AY28" s="15">
        <v>17.100000000000001</v>
      </c>
      <c r="AZ28" s="356"/>
      <c r="BA28" s="15">
        <f t="shared" si="16"/>
        <v>17.100000000000001</v>
      </c>
      <c r="BB28" s="415">
        <f t="shared" si="17"/>
        <v>19</v>
      </c>
      <c r="BC28" s="415">
        <f t="shared" si="18"/>
        <v>-99749.999999999927</v>
      </c>
      <c r="BD28" s="415">
        <f>BC28/'Master P&amp;L'!$AD$7*10000</f>
        <v>-0.44239873062299351</v>
      </c>
    </row>
    <row r="29" spans="1:56" s="497" customFormat="1">
      <c r="A29" s="516"/>
      <c r="B29" s="132" t="s">
        <v>2371</v>
      </c>
      <c r="C29" s="497" t="str" cm="1">
        <f t="array" ref="C29">_xll.BDP($B29&amp;" Equity","opt_put_call")</f>
        <v>Call</v>
      </c>
      <c r="D29" s="497" t="str" cm="1">
        <f t="array" ref="D29">_xll.BDP(B29&amp;" Equity","OPT_UNDL_TICKER")</f>
        <v>TSM US</v>
      </c>
      <c r="E29" s="497" t="str" cm="1">
        <f t="array" ref="E29">_xll.BDP($B29&amp;" Equity","mifid_Maturity_date")</f>
        <v>16/01/2026</v>
      </c>
      <c r="F29" s="497" cm="1">
        <f t="array" ref="F29">_xll.BDP($B29&amp;" Equity","opt_days_expire")</f>
        <v>2</v>
      </c>
      <c r="G29" s="497" t="str" cm="1">
        <f t="array" ref="G29">_xll.BDP(B29&amp;" Equity","QUOTED_CURRENCY_REALTIME")</f>
        <v>USD</v>
      </c>
      <c r="H29" s="499">
        <v>-100</v>
      </c>
      <c r="I29" s="517">
        <v>3.7</v>
      </c>
      <c r="J29" s="97"/>
      <c r="K29" s="517">
        <v>3.7</v>
      </c>
      <c r="L29" s="97" cm="1">
        <f t="array" ref="L29">_xll.BDP($B29&amp;" Equity","mid")</f>
        <v>3.65</v>
      </c>
      <c r="M29" s="507">
        <f t="shared" ref="M29:M31" si="51">L29/Z29</f>
        <v>1.1158325945400629E-2</v>
      </c>
      <c r="N29" s="518"/>
      <c r="O29" s="507">
        <f t="shared" ref="O29:O31" si="52">L29/K29-1</f>
        <v>-1.3513513513513598E-2</v>
      </c>
      <c r="P29" s="97" cm="1">
        <f t="array" ref="P29">_xll.BDP($B29&amp;" Equity","bid")</f>
        <v>3.55</v>
      </c>
      <c r="Q29" s="97" cm="1">
        <f t="array" ref="Q29">_xll.BDP($B29&amp;" Equity","ask")</f>
        <v>3.75</v>
      </c>
      <c r="R29" s="496">
        <f t="shared" ref="R29:R31" si="53">(Q29/P29-1)</f>
        <v>5.6338028169014231E-2</v>
      </c>
      <c r="S29" s="97" cm="1">
        <f t="array" ref="S29">_xll.BDP(G29&amp;" Curncy","PX_LAST")</f>
        <v>1</v>
      </c>
      <c r="T29" s="499" cm="1">
        <f t="array" ref="T29">_xll.BDP(B29&amp;" Equity","OPT_MULTIPLIER")</f>
        <v>100</v>
      </c>
      <c r="U29" s="499">
        <f t="shared" ref="U29:U31" si="54">(L29/S29)*H29*T29</f>
        <v>-36500</v>
      </c>
      <c r="V29" s="519">
        <f>U29/'Master P&amp;L'!$AD$7*10000</f>
        <v>-0.16188023727056916</v>
      </c>
      <c r="W29" s="519">
        <f>(Y29*H29*T29/S29)/'Master P&amp;L'!$AD$7*10000</f>
        <v>-0.16188023727056916</v>
      </c>
      <c r="X29" s="520">
        <f t="shared" ref="X29:X31" si="55">IF(C29="Put",IF(Z29&lt;AA29,AA29-Z29,0),IF(Z29&gt;AA29,Z29-AA29,0))</f>
        <v>0</v>
      </c>
      <c r="Y29" s="521">
        <f t="shared" ref="Y29:Y31" si="56">L29-X29</f>
        <v>3.65</v>
      </c>
      <c r="Z29" s="522">
        <f>_xll.BDP(D29&amp;" Equity","LAST_PRICE")</f>
        <v>327.11</v>
      </c>
      <c r="AA29" s="522" cm="1">
        <f t="array" ref="AA29">_xll.BDP(B29&amp;" Equity","OPT_STRIKE_PX")</f>
        <v>335</v>
      </c>
      <c r="AB29" s="496">
        <f t="shared" ref="AB29:AB31" si="57">AA29/Z29-1</f>
        <v>2.4120326495674194E-2</v>
      </c>
      <c r="AC29" s="523" cm="1">
        <f t="array" ref="AC29">_xll.BDP($D29&amp;" Equity","volatility_10d")</f>
        <v>36.429613407934383</v>
      </c>
      <c r="AD29" s="522" cm="1">
        <f t="array" ref="AD29">_xll.BDP(B29&amp;" Equity","ivol_mid")</f>
        <v>60.854480000000002</v>
      </c>
      <c r="AE29" s="522">
        <f t="shared" ref="AE29:AE31" si="58">AD29/AC29</f>
        <v>1.6704673562839916</v>
      </c>
      <c r="AF29" s="524" cm="1">
        <f t="array" ref="AF29">_xll.BDP(B29&amp;" Equity","DELTA_MID_RT")</f>
        <v>0.33410555124282837</v>
      </c>
      <c r="AG29" s="507">
        <f>AL29/'Master P&amp;L'!$AE$7</f>
        <v>-4.8470609456337656E-4</v>
      </c>
      <c r="AH29" s="507">
        <f>AM29/'Master P&amp;L'!$AE$7</f>
        <v>-1.4507573811938597E-3</v>
      </c>
      <c r="AI29" s="525">
        <f>AO29/'Master P&amp;L'!$AD$7*10000</f>
        <v>5.1129446256443077E-2</v>
      </c>
      <c r="AJ29" s="518">
        <f t="shared" ref="AJ29:AJ31" si="59">(252*AI29)/$AI$1</f>
        <v>-9.5077411602814177</v>
      </c>
      <c r="AK29" s="524">
        <f>AP29/'Master P&amp;L'!$AD$7*10000</f>
        <v>2.2175374968571239E-3</v>
      </c>
      <c r="AL29" s="499">
        <f t="shared" ref="AL29:AL31" si="60">Z29*AF29*H29*T29/S29</f>
        <v>-1092892.6686704159</v>
      </c>
      <c r="AM29" s="499">
        <f t="shared" ref="AM29:AM31" si="61">IF(C29="Put",-Z29*H29*T29/S29,Z29*H29*T29/S29)</f>
        <v>-3271100</v>
      </c>
      <c r="AN29" s="524" cm="1">
        <f t="array" ref="AN29">_xll.BDP($B29&amp;" Equity","theta_mid_rt")</f>
        <v>-1.1528428792953491</v>
      </c>
      <c r="AO29" s="499">
        <f t="shared" ref="AO29:AO31" si="62">AN29*H29*T29/S29</f>
        <v>11528.428792953491</v>
      </c>
      <c r="AP29" s="499">
        <f t="shared" ref="AP29:AP31" si="63">(L29-K29)*T29/S29*H29</f>
        <v>500.00000000000267</v>
      </c>
      <c r="AQ29" s="97" t="str" cm="1">
        <f t="array" ref="AQ29">_xll.BDP($D29&amp;" Equity","EXPECTED_REPORT_DT")</f>
        <v>15/01/2026</v>
      </c>
      <c r="AR29" s="526" cm="1">
        <f t="array" ref="AR29">_xll.BDP($B29&amp;" Equity","GAMMA_LAST")</f>
        <v>7.0296999999999998E-2</v>
      </c>
      <c r="AS29" s="497">
        <f t="shared" si="14"/>
        <v>-752184.59297737002</v>
      </c>
      <c r="AT29" s="497">
        <f t="shared" si="15"/>
        <v>-3760922.9648868502</v>
      </c>
      <c r="AU29" s="497" t="s">
        <v>151</v>
      </c>
      <c r="AV29" s="512" cm="1">
        <f t="array" ref="AV29">_xll.BDP($D29&amp;" Equity","EST_PE_NXT_YR")*(AA29/Z29)</f>
        <v>26.898204165691148</v>
      </c>
      <c r="AX29" s="499"/>
      <c r="AY29" s="499">
        <v>3.65</v>
      </c>
      <c r="AZ29" s="527"/>
      <c r="BA29" s="499">
        <f t="shared" ref="BA29:BA31" si="64">+AY29</f>
        <v>3.65</v>
      </c>
      <c r="BB29" s="528">
        <f t="shared" ref="BB29:BB31" si="65">+J29</f>
        <v>0</v>
      </c>
      <c r="BC29" s="528">
        <f t="shared" ref="BC29:BC31" si="66">(BB29-BA29)*H29*100</f>
        <v>36500</v>
      </c>
      <c r="BD29" s="528">
        <f>BC29/'Master P&amp;L'!$AD$7*10000</f>
        <v>0.16188023727056916</v>
      </c>
    </row>
    <row r="30" spans="1:56" s="497" customFormat="1">
      <c r="A30" s="516"/>
      <c r="B30" s="132" t="s">
        <v>2370</v>
      </c>
      <c r="C30" s="497" t="str" cm="1">
        <f t="array" ref="C30">_xll.BDP($B30&amp;" Equity","opt_put_call")</f>
        <v>Put</v>
      </c>
      <c r="D30" s="497" t="str" cm="1">
        <f t="array" ref="D30">_xll.BDP(B30&amp;" Equity","OPT_UNDL_TICKER")</f>
        <v>TSM US</v>
      </c>
      <c r="E30" s="497" t="str" cm="1">
        <f t="array" ref="E30">_xll.BDP($B30&amp;" Equity","mifid_Maturity_date")</f>
        <v>16/01/2026</v>
      </c>
      <c r="F30" s="497" cm="1">
        <f t="array" ref="F30">_xll.BDP($B30&amp;" Equity","opt_days_expire")</f>
        <v>2</v>
      </c>
      <c r="G30" s="497" t="str" cm="1">
        <f t="array" ref="G30">_xll.BDP(B30&amp;" Equity","QUOTED_CURRENCY_REALTIME")</f>
        <v>USD</v>
      </c>
      <c r="H30" s="499">
        <v>100</v>
      </c>
      <c r="I30" s="517">
        <v>5.75</v>
      </c>
      <c r="J30" s="97"/>
      <c r="K30" s="517">
        <v>5.75</v>
      </c>
      <c r="L30" s="97" cm="1">
        <f t="array" ref="L30">_xll.BDP($B30&amp;" Equity","mid")</f>
        <v>5.6</v>
      </c>
      <c r="M30" s="507">
        <f t="shared" si="51"/>
        <v>1.7119623368285895E-2</v>
      </c>
      <c r="N30" s="518"/>
      <c r="O30" s="507">
        <f t="shared" si="52"/>
        <v>-2.6086956521739202E-2</v>
      </c>
      <c r="P30" s="97" cm="1">
        <f t="array" ref="P30">_xll.BDP($B30&amp;" Equity","bid")</f>
        <v>5.55</v>
      </c>
      <c r="Q30" s="97" cm="1">
        <f t="array" ref="Q30">_xll.BDP($B30&amp;" Equity","ask")</f>
        <v>5.65</v>
      </c>
      <c r="R30" s="496">
        <f t="shared" si="53"/>
        <v>1.8018018018018056E-2</v>
      </c>
      <c r="S30" s="97" cm="1">
        <f t="array" ref="S30">_xll.BDP(G30&amp;" Curncy","PX_LAST")</f>
        <v>1</v>
      </c>
      <c r="T30" s="499" cm="1">
        <f t="array" ref="T30">_xll.BDP(B30&amp;" Equity","OPT_MULTIPLIER")</f>
        <v>100</v>
      </c>
      <c r="U30" s="499">
        <f t="shared" si="54"/>
        <v>56000</v>
      </c>
      <c r="V30" s="519">
        <f>U30/'Master P&amp;L'!$AD$7*10000</f>
        <v>0.24836419964799653</v>
      </c>
      <c r="W30" s="519">
        <f>(Y30*H30*T30/S30)/'Master P&amp;L'!$AD$7*10000</f>
        <v>0.24836419964799653</v>
      </c>
      <c r="X30" s="520">
        <f t="shared" si="55"/>
        <v>0</v>
      </c>
      <c r="Y30" s="521">
        <f t="shared" si="56"/>
        <v>5.6</v>
      </c>
      <c r="Z30" s="522">
        <f>_xll.BDP(D30&amp;" Equity","LAST_PRICE")</f>
        <v>327.11</v>
      </c>
      <c r="AA30" s="522" cm="1">
        <f t="array" ref="AA30">_xll.BDP(B30&amp;" Equity","OPT_STRIKE_PX")</f>
        <v>325</v>
      </c>
      <c r="AB30" s="496">
        <f t="shared" si="57"/>
        <v>-6.4504295191220029E-3</v>
      </c>
      <c r="AC30" s="523" cm="1">
        <f t="array" ref="AC30">_xll.BDP($D30&amp;" Equity","volatility_10d")</f>
        <v>36.429613407934383</v>
      </c>
      <c r="AD30" s="522" cm="1">
        <f t="array" ref="AD30">_xll.BDP(B30&amp;" Equity","ivol_mid")</f>
        <v>58.31606</v>
      </c>
      <c r="AE30" s="522">
        <f t="shared" si="58"/>
        <v>1.6007872317222762</v>
      </c>
      <c r="AF30" s="524" cm="1">
        <f t="array" ref="AF30">_xll.BDP(B30&amp;" Equity","DELTA_MID_RT")</f>
        <v>-0.43641209602355957</v>
      </c>
      <c r="AG30" s="507">
        <f>AL30/'Master P&amp;L'!$AE$7</f>
        <v>-6.3312806954846264E-4</v>
      </c>
      <c r="AH30" s="507">
        <f>AM30/'Master P&amp;L'!$AE$7</f>
        <v>-1.4507573811938597E-3</v>
      </c>
      <c r="AI30" s="525">
        <f>AO30/'Master P&amp;L'!$AD$7*10000</f>
        <v>-5.5761913251196477E-2</v>
      </c>
      <c r="AJ30" s="518">
        <f t="shared" si="59"/>
        <v>10.369168387534282</v>
      </c>
      <c r="AK30" s="524">
        <f>AP30/'Master P&amp;L'!$AD$7*10000</f>
        <v>-6.6526124905713514E-3</v>
      </c>
      <c r="AL30" s="499">
        <f t="shared" si="60"/>
        <v>-1427547.6073026659</v>
      </c>
      <c r="AM30" s="499">
        <f t="shared" si="61"/>
        <v>-3271100</v>
      </c>
      <c r="AN30" s="524" cm="1">
        <f t="array" ref="AN30">_xll.BDP($B30&amp;" Equity","theta_mid_rt")</f>
        <v>-1.2572935819625854</v>
      </c>
      <c r="AO30" s="499">
        <f t="shared" si="62"/>
        <v>-12572.935819625854</v>
      </c>
      <c r="AP30" s="499">
        <f t="shared" si="63"/>
        <v>-1500.0000000000036</v>
      </c>
      <c r="AQ30" s="97" t="str" cm="1">
        <f t="array" ref="AQ30">_xll.BDP($D30&amp;" Equity","EXPECTED_REPORT_DT")</f>
        <v>15/01/2026</v>
      </c>
      <c r="AR30" s="526" cm="1">
        <f t="array" ref="AR30">_xll.BDP($B30&amp;" Equity","GAMMA_LAST")</f>
        <v>7.7288999999999997E-2</v>
      </c>
      <c r="AS30" s="497">
        <f t="shared" si="14"/>
        <v>826999.65868569014</v>
      </c>
      <c r="AT30" s="497">
        <f t="shared" si="15"/>
        <v>4134998.2934284504</v>
      </c>
      <c r="AU30" s="497" t="s">
        <v>151</v>
      </c>
      <c r="AV30" s="512" cm="1">
        <f t="array" ref="AV30">_xll.BDP($D30&amp;" Equity","EST_PE_NXT_YR")*(AA30/Z30)</f>
        <v>26.095272698058576</v>
      </c>
      <c r="AX30" s="499"/>
      <c r="AY30" s="499">
        <v>5.6</v>
      </c>
      <c r="AZ30" s="527"/>
      <c r="BA30" s="499">
        <f t="shared" si="64"/>
        <v>5.6</v>
      </c>
      <c r="BB30" s="528">
        <f t="shared" si="65"/>
        <v>0</v>
      </c>
      <c r="BC30" s="528">
        <f t="shared" si="66"/>
        <v>-56000</v>
      </c>
      <c r="BD30" s="528">
        <f>BC30/'Master P&amp;L'!$AD$7*10000</f>
        <v>-0.24836419964799653</v>
      </c>
    </row>
    <row r="31" spans="1:56" s="497" customFormat="1">
      <c r="A31" s="516"/>
      <c r="B31" s="132" t="s">
        <v>2372</v>
      </c>
      <c r="C31" s="497" t="str" cm="1">
        <f t="array" ref="C31">_xll.BDP($B31&amp;" Equity","opt_put_call")</f>
        <v>Put</v>
      </c>
      <c r="D31" s="497" t="str" cm="1">
        <f t="array" ref="D31">_xll.BDP(B31&amp;" Equity","OPT_UNDL_TICKER")</f>
        <v>TSM US</v>
      </c>
      <c r="E31" s="497" t="str" cm="1">
        <f t="array" ref="E31">_xll.BDP($B31&amp;" Equity","mifid_Maturity_date")</f>
        <v>16/01/2026</v>
      </c>
      <c r="F31" s="497" cm="1">
        <f t="array" ref="F31">_xll.BDP($B31&amp;" Equity","opt_days_expire")</f>
        <v>2</v>
      </c>
      <c r="G31" s="497" t="str" cm="1">
        <f t="array" ref="G31">_xll.BDP(B31&amp;" Equity","QUOTED_CURRENCY_REALTIME")</f>
        <v>USD</v>
      </c>
      <c r="H31" s="499">
        <v>-100</v>
      </c>
      <c r="I31" s="517">
        <v>2</v>
      </c>
      <c r="J31" s="97"/>
      <c r="K31" s="517">
        <v>2</v>
      </c>
      <c r="L31" s="97" cm="1">
        <f t="array" ref="L31">_xll.BDP($B31&amp;" Equity","mid")</f>
        <v>2.06</v>
      </c>
      <c r="M31" s="507">
        <f t="shared" si="51"/>
        <v>6.2975757390480265E-3</v>
      </c>
      <c r="N31" s="518"/>
      <c r="O31" s="507">
        <f t="shared" si="52"/>
        <v>3.0000000000000027E-2</v>
      </c>
      <c r="P31" s="97" cm="1">
        <f t="array" ref="P31">_xll.BDP($B31&amp;" Equity","bid")</f>
        <v>2</v>
      </c>
      <c r="Q31" s="97" cm="1">
        <f t="array" ref="Q31">_xll.BDP($B31&amp;" Equity","ask")</f>
        <v>2.12</v>
      </c>
      <c r="R31" s="496">
        <f t="shared" si="53"/>
        <v>6.0000000000000053E-2</v>
      </c>
      <c r="S31" s="97" cm="1">
        <f t="array" ref="S31">_xll.BDP(G31&amp;" Curncy","PX_LAST")</f>
        <v>1</v>
      </c>
      <c r="T31" s="499" cm="1">
        <f t="array" ref="T31">_xll.BDP(B31&amp;" Equity","OPT_MULTIPLIER")</f>
        <v>100</v>
      </c>
      <c r="U31" s="499">
        <f t="shared" si="54"/>
        <v>-20600</v>
      </c>
      <c r="V31" s="519">
        <f>U31/'Master P&amp;L'!$AD$7*10000</f>
        <v>-9.1362544870512999E-2</v>
      </c>
      <c r="W31" s="519">
        <f>(Y31*H31*T31/S31)/'Master P&amp;L'!$AD$7*10000</f>
        <v>-9.1362544870512999E-2</v>
      </c>
      <c r="X31" s="520">
        <f t="shared" si="55"/>
        <v>0</v>
      </c>
      <c r="Y31" s="521">
        <f t="shared" si="56"/>
        <v>2.06</v>
      </c>
      <c r="Z31" s="522">
        <f>_xll.BDP(D31&amp;" Equity","LAST_PRICE")</f>
        <v>327.11</v>
      </c>
      <c r="AA31" s="522" cm="1">
        <f t="array" ref="AA31">_xll.BDP(B31&amp;" Equity","OPT_STRIKE_PX")</f>
        <v>315</v>
      </c>
      <c r="AB31" s="496">
        <f t="shared" si="57"/>
        <v>-3.702118553391831E-2</v>
      </c>
      <c r="AC31" s="523" cm="1">
        <f t="array" ref="AC31">_xll.BDP($D31&amp;" Equity","volatility_10d")</f>
        <v>36.429613407934383</v>
      </c>
      <c r="AD31" s="522" cm="1">
        <f t="array" ref="AD31">_xll.BDP(B31&amp;" Equity","ivol_mid")</f>
        <v>56.064360000000001</v>
      </c>
      <c r="AE31" s="522">
        <f t="shared" si="58"/>
        <v>1.5389776271353228</v>
      </c>
      <c r="AF31" s="524" cm="1">
        <f t="array" ref="AF31">_xll.BDP(B31&amp;" Equity","DELTA_MID_RT")</f>
        <v>-0.21603673696517944</v>
      </c>
      <c r="AG31" s="507">
        <f>AL31/'Master P&amp;L'!$AE$7</f>
        <v>3.1341689076127042E-4</v>
      </c>
      <c r="AH31" s="507">
        <f>AM31/'Master P&amp;L'!$AE$7</f>
        <v>1.4507573811938597E-3</v>
      </c>
      <c r="AI31" s="525">
        <f>AO31/'Master P&amp;L'!$AD$7*10000</f>
        <v>3.781848697189967E-2</v>
      </c>
      <c r="AJ31" s="518">
        <f t="shared" si="59"/>
        <v>-7.0325108431422922</v>
      </c>
      <c r="AK31" s="524">
        <f>AP31/'Master P&amp;L'!$AD$7*10000</f>
        <v>-2.6610449962285367E-3</v>
      </c>
      <c r="AL31" s="499">
        <f t="shared" si="60"/>
        <v>706677.77028679848</v>
      </c>
      <c r="AM31" s="499">
        <f t="shared" si="61"/>
        <v>3271100</v>
      </c>
      <c r="AN31" s="524" cm="1">
        <f t="array" ref="AN31">_xll.BDP($B31&amp;" Equity","theta_mid_rt")</f>
        <v>-0.85271358489990234</v>
      </c>
      <c r="AO31" s="499">
        <f t="shared" si="62"/>
        <v>8527.1358489990234</v>
      </c>
      <c r="AP31" s="499">
        <f t="shared" si="63"/>
        <v>-600.00000000000057</v>
      </c>
      <c r="AQ31" s="97" t="str" cm="1">
        <f t="array" ref="AQ31">_xll.BDP($D31&amp;" Equity","EXPECTED_REPORT_DT")</f>
        <v>15/01/2026</v>
      </c>
      <c r="AR31" s="526" cm="1">
        <f t="array" ref="AR31">_xll.BDP($B31&amp;" Equity","GAMMA_LAST")</f>
        <v>5.8224999999999999E-2</v>
      </c>
      <c r="AS31" s="497">
        <f t="shared" si="14"/>
        <v>-623013.04360225005</v>
      </c>
      <c r="AT31" s="497">
        <f t="shared" si="15"/>
        <v>-3115065.2180112503</v>
      </c>
      <c r="AU31" s="497" t="s">
        <v>151</v>
      </c>
      <c r="AV31" s="512" cm="1">
        <f t="array" ref="AV31">_xll.BDP($D31&amp;" Equity","EST_PE_NXT_YR")*(AA31/Z31)</f>
        <v>25.292341230426004</v>
      </c>
      <c r="AX31" s="499"/>
      <c r="AY31" s="499">
        <v>2.06</v>
      </c>
      <c r="AZ31" s="527"/>
      <c r="BA31" s="499">
        <f t="shared" si="64"/>
        <v>2.06</v>
      </c>
      <c r="BB31" s="528">
        <f t="shared" si="65"/>
        <v>0</v>
      </c>
      <c r="BC31" s="528">
        <f t="shared" si="66"/>
        <v>20600</v>
      </c>
      <c r="BD31" s="528">
        <f>BC31/'Master P&amp;L'!$AD$7*10000</f>
        <v>9.1362544870512999E-2</v>
      </c>
    </row>
    <row r="32" spans="1:56" s="59" customFormat="1">
      <c r="A32" s="335"/>
      <c r="B32" s="73" t="s">
        <v>2146</v>
      </c>
      <c r="C32" s="73" t="str" cm="1">
        <f t="array" ref="C32">_xll.BDP($B32&amp;" Equity","opt_put_call")</f>
        <v>Call</v>
      </c>
      <c r="D32" s="73" t="str" cm="1">
        <f t="array" ref="D32">_xll.BDP(B32&amp;" Equity","OPT_UNDL_TICKER")</f>
        <v>TSM US</v>
      </c>
      <c r="E32" s="73" t="str" cm="1">
        <f t="array" ref="E32">_xll.BDP($B32&amp;" Equity","mifid_Maturity_date")</f>
        <v>20/03/2026</v>
      </c>
      <c r="F32" s="73" cm="1">
        <f t="array" ref="F32">_xll.BDP($B32&amp;" Equity","opt_days_expire")</f>
        <v>65</v>
      </c>
      <c r="G32" s="73" t="str" cm="1">
        <f t="array" ref="G32">_xll.BDP(B32&amp;" Equity","QUOTED_CURRENCY_REALTIME")</f>
        <v>USD</v>
      </c>
      <c r="H32" s="42">
        <v>425</v>
      </c>
      <c r="I32" s="410">
        <v>18</v>
      </c>
      <c r="J32" s="416">
        <f>VLOOKUP(B32,Precificação!$B:$O,14,FALSE)</f>
        <v>41.85</v>
      </c>
      <c r="K32" s="74">
        <f t="shared" si="0"/>
        <v>41.85</v>
      </c>
      <c r="L32" s="74" cm="1">
        <f t="array" ref="L32">_xll.BDP($B32&amp;" Equity","mid")</f>
        <v>38.6</v>
      </c>
      <c r="M32" s="75">
        <f t="shared" si="1"/>
        <v>0.11800311821711351</v>
      </c>
      <c r="N32" s="353"/>
      <c r="O32" s="75">
        <f t="shared" si="2"/>
        <v>-7.7658303464755107E-2</v>
      </c>
      <c r="P32" s="74" cm="1">
        <f t="array" ref="P32">_xll.BDP($B32&amp;" Equity","bid")</f>
        <v>37.200000000000003</v>
      </c>
      <c r="Q32" s="74" cm="1">
        <f t="array" ref="Q32">_xll.BDP($B32&amp;" Equity","ask")</f>
        <v>40</v>
      </c>
      <c r="R32" s="76">
        <f t="shared" si="3"/>
        <v>7.5268817204301008E-2</v>
      </c>
      <c r="S32" s="36" cm="1">
        <f t="array" ref="S32">_xll.BDP(G32&amp;" Curncy","PX_LAST")</f>
        <v>1</v>
      </c>
      <c r="T32" s="42" cm="1">
        <f t="array" ref="T32">_xll.BDP(B32&amp;" Equity","OPT_MULTIPLIER")</f>
        <v>100</v>
      </c>
      <c r="U32" s="42">
        <f t="shared" si="4"/>
        <v>1640500</v>
      </c>
      <c r="V32" s="113">
        <f>U32/'Master P&amp;L'!$AD$7*10000</f>
        <v>7.2757405271881836</v>
      </c>
      <c r="W32" s="113">
        <f>(Y32*H32*T32/S32)/'Master P&amp;L'!$AD$7*10000</f>
        <v>2.165757996305496</v>
      </c>
      <c r="X32" s="118">
        <f t="shared" si="5"/>
        <v>27.110000000000014</v>
      </c>
      <c r="Y32" s="272">
        <f t="shared" si="6"/>
        <v>11.489999999999988</v>
      </c>
      <c r="Z32" s="77">
        <f>_xll.BDP(D32&amp;" Equity","LAST_PRICE")</f>
        <v>327.11</v>
      </c>
      <c r="AA32" s="77" cm="1">
        <f t="array" ref="AA32">_xll.BDP(B32&amp;" Equity","OPT_STRIKE_PX")</f>
        <v>300</v>
      </c>
      <c r="AB32" s="76">
        <f t="shared" si="7"/>
        <v>-8.2877319556112661E-2</v>
      </c>
      <c r="AC32" s="323" cm="1">
        <f t="array" ref="AC32">_xll.BDP($D32&amp;" Equity","volatility_10d")</f>
        <v>36.429613407934383</v>
      </c>
      <c r="AD32" s="77" cm="1">
        <f t="array" ref="AD32">_xll.BDP(B32&amp;" Equity","ivol_mid")</f>
        <v>39.774209999999997</v>
      </c>
      <c r="AE32" s="77">
        <f t="shared" si="8"/>
        <v>1.0918098293993195</v>
      </c>
      <c r="AF32" s="78" cm="1">
        <f t="array" ref="AF32">_xll.BDP(B32&amp;" Equity","DELTA_MID_RT")</f>
        <v>0.73685365915298462</v>
      </c>
      <c r="AG32" s="75">
        <f>AL32/'Master P&amp;L'!$AE$7</f>
        <v>4.5432325107225627E-3</v>
      </c>
      <c r="AH32" s="75">
        <f>AM32/'Master P&amp;L'!$AE$7</f>
        <v>6.1657188700739041E-3</v>
      </c>
      <c r="AI32" s="437">
        <f>AO32/'Master P&amp;L'!$AD$7*10000</f>
        <v>-2.5600083553381982E-2</v>
      </c>
      <c r="AJ32" s="351">
        <f t="shared" si="9"/>
        <v>4.7604460037832173</v>
      </c>
      <c r="AK32" s="78">
        <f>AP32/'Master P&amp;L'!$AD$7*10000</f>
        <v>-0.61259473350677707</v>
      </c>
      <c r="AL32" s="42">
        <f t="shared" si="10"/>
        <v>10243868.518935146</v>
      </c>
      <c r="AM32" s="42">
        <f t="shared" si="11"/>
        <v>13902175</v>
      </c>
      <c r="AN32" s="78" cm="1">
        <f t="array" ref="AN32">_xll.BDP($B32&amp;" Equity","theta_mid_rt")</f>
        <v>-0.13581617176532745</v>
      </c>
      <c r="AO32" s="42">
        <f t="shared" si="12"/>
        <v>-5772.1873000264168</v>
      </c>
      <c r="AP32" s="42">
        <f t="shared" si="13"/>
        <v>-138125</v>
      </c>
      <c r="AQ32" s="74" t="str" cm="1">
        <f t="array" ref="AQ32">_xll.BDP($D32&amp;" Equity","EXPECTED_REPORT_DT")</f>
        <v>15/01/2026</v>
      </c>
      <c r="AR32" s="235" cm="1">
        <f t="array" ref="AR32">_xll.BDP($B32&amp;" Equity","GAMMA_LAST")</f>
        <v>1.9650000000000001E-2</v>
      </c>
      <c r="AS32" s="73">
        <f t="shared" si="14"/>
        <v>893591.70122512511</v>
      </c>
      <c r="AT32" s="73">
        <f t="shared" si="15"/>
        <v>4467958.5061256262</v>
      </c>
      <c r="AU32" s="73" t="s">
        <v>151</v>
      </c>
      <c r="AV32" s="322" cm="1">
        <f t="array" ref="AV32">_xll.BDP($D32&amp;" Equity","EST_PE_NXT_YR")*(AA32/Z32)</f>
        <v>24.087944028977148</v>
      </c>
      <c r="AW32" s="73"/>
      <c r="AX32" s="42"/>
      <c r="AY32" s="42">
        <v>38.6</v>
      </c>
      <c r="AZ32" s="355"/>
      <c r="BA32" s="42">
        <f t="shared" si="16"/>
        <v>38.6</v>
      </c>
      <c r="BB32" s="347">
        <f t="shared" si="17"/>
        <v>41.85</v>
      </c>
      <c r="BC32" s="347">
        <f t="shared" si="18"/>
        <v>138125</v>
      </c>
      <c r="BD32" s="347">
        <f>BC32/'Master P&amp;L'!$AD$7*10000</f>
        <v>0.61259473350677707</v>
      </c>
    </row>
    <row r="33" spans="1:56">
      <c r="A33" s="357"/>
      <c r="B33" t="s">
        <v>2147</v>
      </c>
      <c r="C33" t="str" cm="1">
        <f t="array" ref="C33">_xll.BDP($B33&amp;" Equity","opt_put_call")</f>
        <v>Call</v>
      </c>
      <c r="D33" t="str" cm="1">
        <f t="array" ref="D33">_xll.BDP(B33&amp;" Equity","OPT_UNDL_TICKER")</f>
        <v>TSM US</v>
      </c>
      <c r="E33" t="str" cm="1">
        <f t="array" ref="E33">_xll.BDP($B33&amp;" Equity","mifid_Maturity_date")</f>
        <v>20/03/2026</v>
      </c>
      <c r="F33" cm="1">
        <f t="array" ref="F33">_xll.BDP($B33&amp;" Equity","opt_days_expire")</f>
        <v>65</v>
      </c>
      <c r="G33" t="str" cm="1">
        <f t="array" ref="G33">_xll.BDP(B33&amp;" Equity","QUOTED_CURRENCY_REALTIME")</f>
        <v>USD</v>
      </c>
      <c r="H33" s="15">
        <v>-375</v>
      </c>
      <c r="I33" s="411">
        <v>8.3699999999999992</v>
      </c>
      <c r="J33" s="416">
        <f>VLOOKUP(B33,Precificação!$B:$O,14,FALSE)</f>
        <v>23.425000000000001</v>
      </c>
      <c r="K33" s="74">
        <f t="shared" si="0"/>
        <v>23.425000000000001</v>
      </c>
      <c r="L33" s="74" cm="1">
        <f t="array" ref="L33">_xll.BDP($B33&amp;" Equity","mid")</f>
        <v>20.53</v>
      </c>
      <c r="M33" s="19">
        <f t="shared" si="1"/>
        <v>6.2761762098376694E-2</v>
      </c>
      <c r="N33" s="351"/>
      <c r="O33" s="19">
        <f t="shared" si="2"/>
        <v>-0.12358591248665951</v>
      </c>
      <c r="P33" s="36" cm="1">
        <f t="array" ref="P33">_xll.BDP($B33&amp;" Equity","bid")</f>
        <v>20.3</v>
      </c>
      <c r="Q33" s="36" cm="1">
        <f t="array" ref="Q33">_xll.BDP($B33&amp;" Equity","ask")</f>
        <v>20.75</v>
      </c>
      <c r="R33" s="40">
        <f t="shared" si="3"/>
        <v>2.2167487684729092E-2</v>
      </c>
      <c r="S33" s="36" cm="1">
        <f t="array" ref="S33">_xll.BDP(G33&amp;" Curncy","PX_LAST")</f>
        <v>1</v>
      </c>
      <c r="T33" s="15" cm="1">
        <f t="array" ref="T33">_xll.BDP(B33&amp;" Equity","OPT_MULTIPLIER")</f>
        <v>100</v>
      </c>
      <c r="U33" s="15">
        <f t="shared" si="4"/>
        <v>-769875</v>
      </c>
      <c r="V33" s="124">
        <f>U33/'Master P&amp;L'!$AD$7*10000</f>
        <v>-3.4144533607857377</v>
      </c>
      <c r="W33" s="124">
        <f>(Y33*H33*T33/S33)/'Master P&amp;L'!$AD$7*10000</f>
        <v>-3.4144533607857377</v>
      </c>
      <c r="X33" s="414">
        <f t="shared" si="5"/>
        <v>0</v>
      </c>
      <c r="Y33" s="273">
        <f t="shared" si="6"/>
        <v>20.53</v>
      </c>
      <c r="Z33" s="37">
        <f>_xll.BDP(D33&amp;" Equity","LAST_PRICE")</f>
        <v>327.11</v>
      </c>
      <c r="AA33" s="37" cm="1">
        <f t="array" ref="AA33">_xll.BDP(B33&amp;" Equity","OPT_STRIKE_PX")</f>
        <v>330</v>
      </c>
      <c r="AB33" s="40">
        <f t="shared" si="7"/>
        <v>8.8349484882761509E-3</v>
      </c>
      <c r="AC33" s="324" cm="1">
        <f t="array" ref="AC33">_xll.BDP($D33&amp;" Equity","volatility_10d")</f>
        <v>36.429613407934383</v>
      </c>
      <c r="AD33" s="37" cm="1">
        <f t="array" ref="AD33">_xll.BDP(B33&amp;" Equity","ivol_mid")</f>
        <v>37.93806</v>
      </c>
      <c r="AE33" s="37">
        <f t="shared" si="8"/>
        <v>1.0414071534378972</v>
      </c>
      <c r="AF33" s="38" cm="1">
        <f t="array" ref="AF33">_xll.BDP(B33&amp;" Equity","DELTA_MID_RT")</f>
        <v>0.52554434537887573</v>
      </c>
      <c r="AG33" s="19">
        <f>AL33/'Master P&amp;L'!$AE$7</f>
        <v>-2.8591400182616214E-3</v>
      </c>
      <c r="AH33" s="19">
        <f>AM33/'Master P&amp;L'!$AE$7</f>
        <v>-5.4403401794769742E-3</v>
      </c>
      <c r="AI33" s="436">
        <f>AO33/'Master P&amp;L'!$AD$7*10000</f>
        <v>2.6542494620678585E-2</v>
      </c>
      <c r="AJ33" s="351">
        <f t="shared" si="9"/>
        <v>-4.9356914083491148</v>
      </c>
      <c r="AK33" s="38">
        <f>AP33/'Master P&amp;L'!$AD$7*10000</f>
        <v>0.48148282900510031</v>
      </c>
      <c r="AL33" s="15">
        <f t="shared" si="10"/>
        <v>-6446655.4056331515</v>
      </c>
      <c r="AM33" s="15">
        <f t="shared" si="11"/>
        <v>-12266625</v>
      </c>
      <c r="AN33" s="38" cm="1">
        <f t="array" ref="AN33">_xll.BDP($B33&amp;" Equity","theta_mid_rt")</f>
        <v>-0.15959140658378601</v>
      </c>
      <c r="AO33" s="15">
        <f t="shared" si="12"/>
        <v>5984.6777468919754</v>
      </c>
      <c r="AP33" s="15">
        <f t="shared" si="13"/>
        <v>108562.49999999999</v>
      </c>
      <c r="AQ33" s="36" t="str" cm="1">
        <f t="array" ref="AQ33">_xll.BDP($D33&amp;" Equity","EXPECTED_REPORT_DT")</f>
        <v>15/01/2026</v>
      </c>
      <c r="AR33" s="66" cm="1">
        <f t="array" ref="AR33">_xll.BDP($B33&amp;" Equity","GAMMA_LAST")</f>
        <v>2.4726999999999999E-2</v>
      </c>
      <c r="AS33">
        <f t="shared" si="14"/>
        <v>-992179.70346626267</v>
      </c>
      <c r="AT33">
        <f t="shared" si="15"/>
        <v>-4960898.5173313133</v>
      </c>
      <c r="AU33" t="s">
        <v>151</v>
      </c>
      <c r="AV33" s="277" cm="1">
        <f t="array" ref="AV33">_xll.BDP($D33&amp;" Equity","EST_PE_NXT_YR")*(AA33/Z33)</f>
        <v>26.496738431874864</v>
      </c>
      <c r="AX33" s="15"/>
      <c r="AY33" s="15">
        <v>20.53</v>
      </c>
      <c r="AZ33" s="356"/>
      <c r="BA33" s="15">
        <f t="shared" si="16"/>
        <v>20.53</v>
      </c>
      <c r="BB33" s="415">
        <f t="shared" si="17"/>
        <v>23.425000000000001</v>
      </c>
      <c r="BC33" s="415">
        <f t="shared" si="18"/>
        <v>-108562.49999999997</v>
      </c>
      <c r="BD33" s="415">
        <f>BC33/'Master P&amp;L'!$AD$7*10000</f>
        <v>-0.48148282900510025</v>
      </c>
    </row>
    <row r="34" spans="1:56">
      <c r="H34" s="336"/>
      <c r="I34" s="218"/>
      <c r="J34" s="218"/>
      <c r="K34" s="218"/>
      <c r="L34" s="218"/>
      <c r="AZ34">
        <v>-59.569999999999993</v>
      </c>
    </row>
    <row r="35" spans="1:56">
      <c r="I35" s="64"/>
      <c r="J35" s="64"/>
      <c r="K35" s="64"/>
      <c r="L35" s="64"/>
      <c r="AZ35">
        <v>18.100000000000001</v>
      </c>
    </row>
    <row r="36" spans="1:56">
      <c r="I36" s="64" t="e">
        <f>#REF!-#REF!</f>
        <v>#REF!</v>
      </c>
      <c r="J36" s="64" t="e">
        <f>#REF!-#REF!</f>
        <v>#REF!</v>
      </c>
      <c r="K36" s="64" t="e">
        <f>#REF!-#REF!</f>
        <v>#REF!</v>
      </c>
      <c r="L36" s="64">
        <f>L32-L33</f>
        <v>18.07</v>
      </c>
      <c r="AY36" t="e">
        <v>#REF!</v>
      </c>
      <c r="AZ36">
        <v>-62.749999999999993</v>
      </c>
    </row>
    <row r="37" spans="1:56">
      <c r="I37" s="218"/>
      <c r="J37" s="218"/>
      <c r="K37" s="218"/>
      <c r="L37" s="218"/>
      <c r="AZ37">
        <v>-0.52999999999999936</v>
      </c>
    </row>
    <row r="38" spans="1:56">
      <c r="I38" s="218"/>
      <c r="J38" s="218"/>
      <c r="K38" s="218"/>
      <c r="L38" s="218"/>
      <c r="AZ38" t="e">
        <v>#REF!</v>
      </c>
    </row>
    <row r="40" spans="1:56">
      <c r="H40" s="42">
        <v>-100</v>
      </c>
      <c r="I40" s="410">
        <v>4.71</v>
      </c>
      <c r="J40" s="408">
        <f>H40*I40</f>
        <v>-471</v>
      </c>
    </row>
    <row r="41" spans="1:56">
      <c r="H41" s="15">
        <v>100</v>
      </c>
      <c r="I41" s="411">
        <v>5.85</v>
      </c>
      <c r="J41" s="408">
        <f t="shared" ref="J41:J47" si="67">H41*I41</f>
        <v>585</v>
      </c>
    </row>
    <row r="42" spans="1:56">
      <c r="H42" s="42">
        <v>-150</v>
      </c>
      <c r="I42" s="410">
        <v>2.72</v>
      </c>
      <c r="J42" s="408">
        <f t="shared" si="67"/>
        <v>-408.00000000000006</v>
      </c>
    </row>
    <row r="43" spans="1:56">
      <c r="H43" s="405"/>
      <c r="I43" s="406"/>
      <c r="J43" s="408">
        <f t="shared" si="67"/>
        <v>0</v>
      </c>
    </row>
    <row r="44" spans="1:56">
      <c r="H44" s="405">
        <v>-50</v>
      </c>
      <c r="I44" s="412">
        <v>4.08</v>
      </c>
      <c r="J44" s="408">
        <f t="shared" si="67"/>
        <v>-204</v>
      </c>
    </row>
    <row r="45" spans="1:56">
      <c r="H45" s="405">
        <v>50</v>
      </c>
      <c r="I45" s="412">
        <v>6.05</v>
      </c>
      <c r="J45" s="408">
        <f t="shared" si="67"/>
        <v>302.5</v>
      </c>
    </row>
    <row r="46" spans="1:56">
      <c r="H46" s="405">
        <v>-75</v>
      </c>
      <c r="I46" s="412">
        <v>2.8</v>
      </c>
      <c r="J46" s="408">
        <f t="shared" si="67"/>
        <v>-210</v>
      </c>
    </row>
    <row r="47" spans="1:56">
      <c r="H47" s="349"/>
      <c r="I47" s="407"/>
      <c r="J47" s="408">
        <f t="shared" si="67"/>
        <v>0</v>
      </c>
    </row>
    <row r="49" spans="8:10">
      <c r="H49" s="349">
        <f>H40+H44</f>
        <v>-150</v>
      </c>
      <c r="I49" s="407">
        <f>J49/H49</f>
        <v>4.5</v>
      </c>
      <c r="J49" s="409">
        <f>J40+J44</f>
        <v>-675</v>
      </c>
    </row>
    <row r="50" spans="8:10">
      <c r="H50" s="349">
        <f>H41+H45</f>
        <v>150</v>
      </c>
      <c r="I50" s="407">
        <f>J50/H50</f>
        <v>5.916666666666667</v>
      </c>
      <c r="J50" s="409">
        <f>J41+J45</f>
        <v>887.5</v>
      </c>
    </row>
    <row r="51" spans="8:10">
      <c r="H51" s="349">
        <f>H42+H46</f>
        <v>-225</v>
      </c>
      <c r="I51" s="407">
        <f>J51/H51</f>
        <v>2.7466666666666666</v>
      </c>
      <c r="J51" s="409">
        <f>J42+J46</f>
        <v>-618</v>
      </c>
    </row>
    <row r="52" spans="8:10">
      <c r="H52" s="349">
        <f>H43+H47</f>
        <v>0</v>
      </c>
      <c r="I52" s="407" t="e">
        <f>J52/H52</f>
        <v>#DIV/0!</v>
      </c>
      <c r="J52" s="409">
        <f>J43+J47</f>
        <v>0</v>
      </c>
    </row>
  </sheetData>
  <autoFilter ref="A3:BD36" xr:uid="{0428720F-9028-4D6D-9843-ED7DFFC9E1CA}">
    <sortState xmlns:xlrd2="http://schemas.microsoft.com/office/spreadsheetml/2017/richdata2" ref="A4:BD36">
      <sortCondition ref="D3:D36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="90" zoomScaleNormal="90" workbookViewId="0">
      <pane xSplit="2" ySplit="3" topLeftCell="C43" activePane="bottomRight" state="frozen"/>
      <selection pane="topRight" activeCell="C1" sqref="C1"/>
      <selection pane="bottomLeft" activeCell="A4" sqref="A4"/>
      <selection pane="bottomRight" activeCell="B55" sqref="B55:B56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-12.144999999999996</v>
      </c>
      <c r="P5" s="267"/>
      <c r="Q5">
        <f>Q9/Q15-1</f>
        <v>-0.95704119605666904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2374</v>
      </c>
      <c r="C7" s="59" t="str" cm="1">
        <f t="array" ref="C7">_xll.BDP(B7&amp;" Equity","OPT_UNDL_TICKER")</f>
        <v>QQQ US</v>
      </c>
      <c r="D7" s="59" t="str" cm="1">
        <f t="array" ref="D7">_xll.BDP($B7&amp;" Index","mifid_Maturity_date")</f>
        <v>16/01/2026</v>
      </c>
      <c r="E7" s="59" cm="1">
        <f t="array" ref="E7">_xll.BDP($B7&amp;" Index","opt_days_expire")</f>
        <v>2</v>
      </c>
      <c r="F7" s="59" t="str" cm="1">
        <f t="array" ref="F7">_xll.BDP(B7&amp;" Equity","QUOTED_CURRENCY_REALTIME")</f>
        <v>USD</v>
      </c>
      <c r="G7" s="105" t="s">
        <v>247</v>
      </c>
      <c r="H7" s="96">
        <v>350</v>
      </c>
      <c r="I7" s="97">
        <f>IF(G7="Buy",L7,K7)</f>
        <v>1.26</v>
      </c>
      <c r="J7" s="19">
        <f>I7/S7</f>
        <v>2.0337341618916959E-3</v>
      </c>
      <c r="K7" s="36" cm="1">
        <f t="array" ref="K7">_xll.BDP($B7&amp;" Equity","bid")</f>
        <v>1.25</v>
      </c>
      <c r="L7" s="36" cm="1">
        <f t="array" ref="L7">_xll.BDP($B7&amp;" Equity","ask")</f>
        <v>1.26</v>
      </c>
      <c r="M7" s="40">
        <f>(L7/K7-1)</f>
        <v>8.0000000000000071E-3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44100</v>
      </c>
      <c r="Q7" s="58">
        <f>P7/'Master P&amp;L'!$AD$5*10000</f>
        <v>0.20921216675490581</v>
      </c>
      <c r="R7" s="37" t="e" cm="1">
        <f t="array" ref="R7">_xll.BDP($C7&amp;" Equity","EST_PE_NXT_YR")*(T7/S7)</f>
        <v>#VALUE!</v>
      </c>
      <c r="S7" s="36" cm="1">
        <f t="array" ref="S7">_xll.BDP(C7&amp;" Equity","LAST_PRICE")</f>
        <v>619.54999999999995</v>
      </c>
      <c r="T7" s="53" cm="1">
        <f t="array" ref="T7">_xll.BDP(B7&amp;" Equity","OPT_STRIKE_PX")</f>
        <v>625</v>
      </c>
      <c r="U7" s="40">
        <f>T7/S7-1</f>
        <v>8.796707287547445E-3</v>
      </c>
      <c r="V7" s="37" cm="1">
        <f t="array" ref="V7">_xll.BDP($B7&amp;" Equity","ivol_mid")</f>
        <v>15.27656</v>
      </c>
      <c r="W7" s="38" cm="1">
        <f t="array" ref="W7">_xll.BDP(B7&amp;" Equity","DELTA_MID_RT")</f>
        <v>0.25856572389602661</v>
      </c>
      <c r="X7" s="48">
        <f>Y7/'Master P&amp;L'!$AE$5</f>
        <v>2.6598901841979887E-3</v>
      </c>
      <c r="Y7" s="15">
        <f>IF(G7="Sell", S7*W7*-H7*O7/N7, S7*W7*H7*O7/N7)</f>
        <v>5606803.7983924141</v>
      </c>
      <c r="Z7" s="15" cm="1">
        <f t="array" ref="Z7">_xll.BDP($B7&amp;" Equity","opt_theta")*H7*O7/N7</f>
        <v>-13862.275</v>
      </c>
      <c r="AA7" s="19" cm="1">
        <f t="array" ref="AA7">_xll.BDP($B7&amp;" Equity","opt_theta")/I7</f>
        <v>-0.31433730158730161</v>
      </c>
      <c r="AB7" s="36" t="str" cm="1">
        <f t="array" ref="AB7">_xll.BDP($C7&amp;" Equity","EXPECTED_REPORT_DT")</f>
        <v>#N/A N/A</v>
      </c>
      <c r="AC7" s="15">
        <f>S7*H7*O7/N7</f>
        <v>21684249.999999996</v>
      </c>
      <c r="AD7" s="19">
        <f>AC7/'Master P&amp;L'!$AE$5</f>
        <v>1.0287095072460466E-2</v>
      </c>
      <c r="AE7" t="str">
        <f>B7  &amp; " - Buy to open " &amp;  "-" &amp; H7 &amp;"x"</f>
        <v>QQQ US 01/16/26 C625 - Buy to open -350x</v>
      </c>
      <c r="AF7">
        <f>H7*$AF$3</f>
        <v>87.5</v>
      </c>
      <c r="AK7" t="s">
        <v>1841</v>
      </c>
      <c r="AO7" t="s">
        <v>151</v>
      </c>
    </row>
    <row r="8" spans="1:41">
      <c r="A8" s="98" t="s">
        <v>246</v>
      </c>
      <c r="B8" s="73" t="s">
        <v>2373</v>
      </c>
      <c r="C8" s="59" t="str" cm="1">
        <f t="array" ref="C8">_xll.BDP(B8&amp;" Equity","OPT_UNDL_TICKER")</f>
        <v>QQQ US</v>
      </c>
      <c r="D8" s="59" t="str" cm="1">
        <f t="array" ref="D8">_xll.BDP($B8&amp;" Index","mifid_Maturity_date")</f>
        <v>16/01/2026</v>
      </c>
      <c r="E8" s="59" cm="1">
        <f t="array" ref="E8">_xll.BDP($B8&amp;" Index","opt_days_expire")</f>
        <v>2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350</v>
      </c>
      <c r="I8" s="97">
        <f>IF(G8="Buy",L8,K8)</f>
        <v>0.32</v>
      </c>
      <c r="J8" s="19">
        <f>I8/S8</f>
        <v>5.1650391413122435E-4</v>
      </c>
      <c r="K8" s="36" cm="1">
        <f t="array" ref="K8">_xll.BDP($B8&amp;" Equity","bid")</f>
        <v>0.32</v>
      </c>
      <c r="L8" s="36" cm="1">
        <f t="array" ref="L8">_xll.BDP($B8&amp;" Equity","ask")</f>
        <v>0.33</v>
      </c>
      <c r="M8" s="40">
        <f>(L8/K8-1)</f>
        <v>3.125E-2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-11200</v>
      </c>
      <c r="Q8" s="58">
        <f>P8/'Master P&amp;L'!$AD$5*10000</f>
        <v>-5.3133248699658624E-2</v>
      </c>
      <c r="R8" s="37" t="e" cm="1">
        <f t="array" ref="R8">_xll.BDP($C8&amp;" Equity","EST_PE_NXT_YR")*(T8/S8)</f>
        <v>#VALUE!</v>
      </c>
      <c r="S8" s="36" cm="1">
        <f t="array" ref="S8">_xll.BDP(C8&amp;" Equity","LAST_PRICE")</f>
        <v>619.54999999999995</v>
      </c>
      <c r="T8" s="53" cm="1">
        <f t="array" ref="T8">_xll.BDP(B8&amp;" Equity","OPT_STRIKE_PX")</f>
        <v>630</v>
      </c>
      <c r="U8" s="40">
        <f>T8/S8-1</f>
        <v>1.6867080945847768E-2</v>
      </c>
      <c r="V8" s="37" cm="1">
        <f t="array" ref="V8">_xll.BDP($B8&amp;" Equity","ivol_mid")</f>
        <v>14.93901</v>
      </c>
      <c r="W8" s="38" cm="1">
        <f t="array" ref="W8">_xll.BDP(B8&amp;" Equity","DELTA_MID_RT")</f>
        <v>9.1672211885452271E-2</v>
      </c>
      <c r="X8" s="48">
        <f>Y8/'Master P&amp;L'!$AE$5</f>
        <v>-9.4304075916838779E-4</v>
      </c>
      <c r="Y8" s="15">
        <f>IF(G8="Sell", S8*W8*-H8*O8/N8, S8*W8*H8*O8/N8)</f>
        <v>-1987843.1605771179</v>
      </c>
      <c r="Z8" s="15" cm="1">
        <f t="array" ref="Z8">_xll.BDP($B8&amp;" Equity","opt_theta")*H8*O8/N8</f>
        <v>-5443.3050000000003</v>
      </c>
      <c r="AA8" s="19" cm="1">
        <f t="array" ref="AA8">_xll.BDP($B8&amp;" Equity","opt_theta")/I8</f>
        <v>-0.48600937499999997</v>
      </c>
      <c r="AB8" s="36" t="str" cm="1">
        <f t="array" ref="AB8">_xll.BDP($C8&amp;" Equity","EXPECTED_REPORT_DT")</f>
        <v>#N/A N/A</v>
      </c>
      <c r="AC8" s="15">
        <f>S8*H8*O8/N8</f>
        <v>21684249.999999996</v>
      </c>
      <c r="AD8" s="19">
        <f>AC8/'Master P&amp;L'!$AE$5</f>
        <v>1.0287095072460466E-2</v>
      </c>
      <c r="AE8" t="str">
        <f>B8  &amp; " - Buy to open " &amp;  "-" &amp; H8 &amp;"x"</f>
        <v>QQQ US 01/16/26 C630 - Buy to open -350x</v>
      </c>
      <c r="AF8">
        <f>H8*$AF$3</f>
        <v>87.5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0.94</v>
      </c>
      <c r="J9" s="100" t="s">
        <v>249</v>
      </c>
      <c r="K9" s="101">
        <f>K8/L7</f>
        <v>0.25396825396825395</v>
      </c>
      <c r="P9" s="100" t="s">
        <v>250</v>
      </c>
      <c r="Q9" s="108">
        <f>Q7+Q8</f>
        <v>0.15607891805524718</v>
      </c>
      <c r="S9" s="100" t="s">
        <v>251</v>
      </c>
      <c r="T9" s="102">
        <f>T8-T7</f>
        <v>5</v>
      </c>
      <c r="W9" s="100" t="s">
        <v>252</v>
      </c>
      <c r="X9" s="122">
        <f>X7+X8</f>
        <v>1.7168494250296008E-3</v>
      </c>
      <c r="Y9" s="13">
        <f>Y7+Y8</f>
        <v>3618960.6378152962</v>
      </c>
      <c r="AC9" s="100" t="s">
        <v>229</v>
      </c>
      <c r="AD9" s="122">
        <f>AD7</f>
        <v>1.0287095072460466E-2</v>
      </c>
      <c r="AO9" t="s">
        <v>151</v>
      </c>
    </row>
    <row r="10" spans="1:41">
      <c r="H10" s="100" t="s">
        <v>253</v>
      </c>
      <c r="I10" s="102">
        <f>(T9-I9)/I9</f>
        <v>4.3191489361702136</v>
      </c>
      <c r="J10" s="100" t="s">
        <v>145</v>
      </c>
      <c r="K10" s="223">
        <f>AVERAGE(K7:L7)-AVERAGE(K8:L8)</f>
        <v>0.92999999999999994</v>
      </c>
      <c r="L10" s="18"/>
      <c r="P10" s="130">
        <f>P7+P8</f>
        <v>32900</v>
      </c>
      <c r="Q10" s="108"/>
      <c r="S10" s="100"/>
      <c r="T10" s="102"/>
      <c r="W10" s="100"/>
      <c r="X10" s="122"/>
      <c r="Y10" s="13">
        <f>Y9/S7</f>
        <v>5841.2729203701019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1.5172302477604715E-3</v>
      </c>
      <c r="K11" s="167">
        <f>K7-K8</f>
        <v>0.92999999999999994</v>
      </c>
      <c r="L11" s="167">
        <f>L7-L8</f>
        <v>0.92999999999999994</v>
      </c>
      <c r="P11" s="40">
        <f>P10/Y9</f>
        <v>9.0910079695868586E-3</v>
      </c>
      <c r="Q11" s="64">
        <f>Q9*I10</f>
        <v>0.67412809287691877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5.8012498536760143E-4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2342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155</v>
      </c>
      <c r="F13" s="59" t="str" cm="1">
        <f t="array" ref="F13">_xll.BDP(B13&amp;" Equity","QUOTED_CURRENCY_REALTIME")</f>
        <v>USD</v>
      </c>
      <c r="G13" s="105" t="s">
        <v>247</v>
      </c>
      <c r="H13" s="96">
        <v>530</v>
      </c>
      <c r="I13" s="97">
        <f>IF(G13="Buy",L13,K13)</f>
        <v>30.95</v>
      </c>
      <c r="J13" s="19">
        <f>I13/S13</f>
        <v>9.4616489865794379E-2</v>
      </c>
      <c r="K13" s="36" cm="1">
        <f t="array" ref="K13">_xll.BDP($B13&amp;" Equity","bid")</f>
        <v>29.4</v>
      </c>
      <c r="L13" s="36" cm="1">
        <f t="array" ref="L13">_xll.BDP($B13&amp;" Equity","ask")</f>
        <v>30.95</v>
      </c>
      <c r="M13" s="40">
        <f>(L13/K13-1)</f>
        <v>5.2721088435374153E-2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1640350</v>
      </c>
      <c r="Q13" s="58">
        <f>P13/'Master P&amp;L'!$AD$5*10000</f>
        <v>7.7818861164718758</v>
      </c>
      <c r="R13" s="37" cm="1">
        <f t="array" ref="R13">_xll.BDP($C13&amp;" Equity","EST_PE_NXT_YR")*(T13/S13)</f>
        <v>27.299669899507432</v>
      </c>
      <c r="S13" s="36" cm="1">
        <f t="array" ref="S13">_xll.BDP(C13&amp;" Equity","LAST_PRICE")</f>
        <v>327.11</v>
      </c>
      <c r="T13" s="53" cm="1">
        <f t="array" ref="T13">_xll.BDP(B13&amp;" Equity","OPT_STRIKE_PX")</f>
        <v>340</v>
      </c>
      <c r="U13" s="40">
        <f>T13/S13-1</f>
        <v>3.9405704503072236E-2</v>
      </c>
      <c r="V13" s="37" cm="1">
        <f t="array" ref="V13">_xll.BDP($B13&amp;" Equity","ivol_mid")</f>
        <v>40.014600000000002</v>
      </c>
      <c r="W13" s="38" cm="1">
        <f t="array" ref="W13">_xll.BDP(B13&amp;" Equity","DELTA_MID_RT")</f>
        <v>0.51445811986923218</v>
      </c>
      <c r="X13" s="48">
        <f>Y13/'Master P&amp;L'!$AE$5</f>
        <v>4.2312439472180479E-3</v>
      </c>
      <c r="Y13" s="15">
        <f>IF(G13="Sell", S13*W13*-H13*O13/N13, S13*W13*H13*O13/N13)</f>
        <v>8919072.9662925005</v>
      </c>
      <c r="Z13" s="15" cm="1">
        <f t="array" ref="Z13">_xll.BDP($B13&amp;" Equity","opt_theta")*H13*O13/N13</f>
        <v>-5678.3139999999994</v>
      </c>
      <c r="AA13" s="19" cm="1">
        <f t="array" ref="AA13">_xll.BDP($B13&amp;" Equity","opt_theta")/I13</f>
        <v>-3.4616478190630049E-3</v>
      </c>
      <c r="AB13" s="36" t="str" cm="1">
        <f t="array" ref="AB13">_xll.BDP($C13&amp;" Equity","EXPECTED_REPORT_DT")</f>
        <v>15/01/2026</v>
      </c>
      <c r="AC13" s="15">
        <f>S13*H13*O13/N13</f>
        <v>17336830</v>
      </c>
      <c r="AD13" s="19">
        <f>AC13/'Master P&amp;L'!$AE$5</f>
        <v>8.2246616076223442E-3</v>
      </c>
      <c r="AE13" t="str">
        <f>B13  &amp; " - Buy to open " &amp;  "-" &amp; H13 &amp;"x"</f>
        <v>TSM US 06/18/26 C340 - Buy to open -530x</v>
      </c>
      <c r="AF13">
        <f>H13*$AF$3</f>
        <v>132.5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2343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155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530</v>
      </c>
      <c r="I14" s="97">
        <f>IF(G14="Buy",L14,K14)</f>
        <v>16.5</v>
      </c>
      <c r="J14" s="19">
        <f>I14/S14</f>
        <v>5.0441747424413805E-2</v>
      </c>
      <c r="K14" s="36" cm="1">
        <f t="array" ref="K14">_xll.BDP($B14&amp;" Equity","bid")</f>
        <v>16.5</v>
      </c>
      <c r="L14" s="36" cm="1">
        <f t="array" ref="L14">_xll.BDP($B14&amp;" Equity","ask")</f>
        <v>17.7</v>
      </c>
      <c r="M14" s="40">
        <f>(L14/K14-1)</f>
        <v>7.2727272727272751E-2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-874500</v>
      </c>
      <c r="Q14" s="58">
        <f>P14/'Master P&amp;L'!$AD$5*10000</f>
        <v>-4.1486630346295943</v>
      </c>
      <c r="R14" s="37" cm="1">
        <f t="array" ref="R14">_xll.BDP($C14&amp;" Equity","EST_PE_NXT_YR")*(T14/S14)</f>
        <v>30.511395770037719</v>
      </c>
      <c r="S14" s="36" cm="1">
        <f t="array" ref="S14">_xll.BDP(C14&amp;" Equity","LAST_PRICE")</f>
        <v>327.11</v>
      </c>
      <c r="T14" s="53" cm="1">
        <f t="array" ref="T14">_xll.BDP(B14&amp;" Equity","OPT_STRIKE_PX")</f>
        <v>380</v>
      </c>
      <c r="U14" s="40">
        <f>T14/S14-1</f>
        <v>0.16168872856225724</v>
      </c>
      <c r="V14" s="37" cm="1">
        <f t="array" ref="V14">_xll.BDP($B14&amp;" Equity","ivol_mid")</f>
        <v>40.190170000000002</v>
      </c>
      <c r="W14" s="38" cm="1">
        <f t="array" ref="W14">_xll.BDP(B14&amp;" Equity","DELTA_MID_RT")</f>
        <v>0.34590211510658264</v>
      </c>
      <c r="X14" s="48">
        <f>Y14/'Master P&amp;L'!$AE$5</f>
        <v>-2.8449278461124754E-3</v>
      </c>
      <c r="Y14" s="15">
        <f>IF(G14="Sell", S14*W14*-H14*O14/N14, S14*W14*H14*O14/N14)</f>
        <v>-5996846.1662432561</v>
      </c>
      <c r="Z14" s="15" cm="1">
        <f t="array" ref="Z14">_xll.BDP($B14&amp;" Equity","opt_theta")*H14*O14/N14</f>
        <v>-5365.8789999999999</v>
      </c>
      <c r="AA14" s="19" cm="1">
        <f t="array" ref="AA14">_xll.BDP($B14&amp;" Equity","opt_theta")/I14</f>
        <v>-6.1359393939393941E-3</v>
      </c>
      <c r="AB14" s="36" t="str" cm="1">
        <f t="array" ref="AB14">_xll.BDP($C14&amp;" Equity","EXPECTED_REPORT_DT")</f>
        <v>15/01/2026</v>
      </c>
      <c r="AC14" s="15">
        <f>S14*H14*O14/N14</f>
        <v>17336830</v>
      </c>
      <c r="AD14" s="19">
        <f>AC14/'Master P&amp;L'!$AE$5</f>
        <v>8.2246616076223442E-3</v>
      </c>
      <c r="AE14" t="str">
        <f>B14  &amp; " - Buy to open " &amp;  "-" &amp; H14 &amp;"x"</f>
        <v>TSM US 06/18/26 C380 - Buy to open -530x</v>
      </c>
      <c r="AF14">
        <f>H14*$AF$3</f>
        <v>132.5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14.45</v>
      </c>
      <c r="J15" s="100" t="s">
        <v>249</v>
      </c>
      <c r="K15" s="101">
        <f>K14/L13</f>
        <v>0.53311793214862679</v>
      </c>
      <c r="P15" s="100" t="s">
        <v>250</v>
      </c>
      <c r="Q15" s="108">
        <f>Q13+Q14</f>
        <v>3.6332230818422815</v>
      </c>
      <c r="S15" s="100" t="s">
        <v>251</v>
      </c>
      <c r="T15" s="102">
        <f>T14-T13</f>
        <v>40</v>
      </c>
      <c r="W15" s="100" t="s">
        <v>252</v>
      </c>
      <c r="X15" s="122">
        <f>X13+X14</f>
        <v>1.3863161011055725E-3</v>
      </c>
      <c r="Y15" s="13">
        <f>Y13+Y14</f>
        <v>2922226.8000492444</v>
      </c>
      <c r="AC15" s="100" t="s">
        <v>229</v>
      </c>
      <c r="AD15" s="104">
        <f>AD13</f>
        <v>8.2246616076223442E-3</v>
      </c>
    </row>
    <row r="16" spans="1:41">
      <c r="H16" s="100" t="s">
        <v>253</v>
      </c>
      <c r="I16" s="102">
        <f>(T15-I15)/I15</f>
        <v>1.7681660899653981</v>
      </c>
      <c r="J16" s="100" t="s">
        <v>145</v>
      </c>
      <c r="K16" s="223">
        <f>AVERAGE(K13:L13)-AVERAGE(K14:L14)</f>
        <v>13.074999999999996</v>
      </c>
      <c r="P16" s="130">
        <f>P13+P14</f>
        <v>765850</v>
      </c>
      <c r="Q16" s="108"/>
      <c r="S16" s="100"/>
      <c r="T16" s="102"/>
      <c r="W16" s="108">
        <f>1/(W13-W14)</f>
        <v>5.9327462193241951</v>
      </c>
      <c r="X16" s="122"/>
      <c r="Y16" s="13">
        <f>Y15/S13</f>
        <v>8933.4682524204218</v>
      </c>
      <c r="AC16" s="100"/>
      <c r="AD16" s="104"/>
    </row>
    <row r="17" spans="1:38">
      <c r="I17" s="21"/>
      <c r="J17" s="43">
        <f>J13-J14</f>
        <v>4.4174742441380574E-2</v>
      </c>
      <c r="K17" s="167">
        <f>K13-K14</f>
        <v>12.899999999999999</v>
      </c>
      <c r="L17" s="167">
        <f>L13-L14</f>
        <v>13.25</v>
      </c>
      <c r="P17" s="40">
        <f>P16/Y15</f>
        <v>0.26207753620872076</v>
      </c>
      <c r="Q17" s="64">
        <f>Q15*I16</f>
        <v>6.4241418505931005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s="73" t="s">
        <v>2344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184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35.9</v>
      </c>
      <c r="J19" s="19">
        <f>I19/S19</f>
        <v>0.10974901409311852</v>
      </c>
      <c r="K19" s="36">
        <f>_xll.BDP($B19&amp;" Equity","bid")</f>
        <v>33.200000000000003</v>
      </c>
      <c r="L19" s="36">
        <f>_xll.BDP($B19&amp;" Equity","ask")</f>
        <v>35.9</v>
      </c>
      <c r="M19" s="40">
        <f>(L19/K19-1)</f>
        <v>8.1325301204819178E-2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1795000</v>
      </c>
      <c r="Q19" s="58">
        <f>P19/'Master P&amp;L'!$AD$5*10000</f>
        <v>8.5155519121327874</v>
      </c>
      <c r="R19" s="37" cm="1">
        <f t="array" ref="R19">_xll.BDP($C19&amp;" Equity","EST_PE_NXT_YR")*(T19/S19)</f>
        <v>27.299669899507432</v>
      </c>
      <c r="S19" s="36" cm="1">
        <f t="array" ref="S19">_xll.BDP(C19&amp;" Equity","LAST_PRICE")</f>
        <v>327.11</v>
      </c>
      <c r="T19" s="53">
        <f>_xll.BDP(B19&amp;" Equity","OPT_STRIKE_PX")</f>
        <v>340</v>
      </c>
      <c r="U19" s="40">
        <f>T19/S19-1</f>
        <v>3.9405704503072236E-2</v>
      </c>
      <c r="V19" s="37">
        <f>_xll.BDP($B19&amp;" Equity","ivol_mid")</f>
        <v>40.039259999999999</v>
      </c>
      <c r="W19" s="38">
        <f>_xll.BDP(B19&amp;" Equity","DELTA_MID_RT")</f>
        <v>0.52713203430175781</v>
      </c>
      <c r="X19" s="48">
        <f>Y19/'Master P&amp;L'!$AE$5</f>
        <v>4.0900779289335205E-3</v>
      </c>
      <c r="Y19" s="15">
        <f>IF(G19="Sell", S19*W19*-H19*O19/N19, S19*W19*H19*O19/N19)</f>
        <v>8621507.9870223999</v>
      </c>
      <c r="Z19" s="15" cm="1">
        <f t="array" ref="Z19">_xll.BDP($B19&amp;" Equity","opt_theta")*H19*O19/N19</f>
        <v>-4862.8</v>
      </c>
      <c r="AA19" s="19" cm="1">
        <f t="array" ref="AA19">_xll.BDP($B19&amp;" Equity","opt_theta")/I19</f>
        <v>-2.7090807799442897E-3</v>
      </c>
      <c r="AB19" s="36" t="str" cm="1">
        <f t="array" ref="AB19">_xll.BDP($C19&amp;" Equity","EXPECTED_REPORT_DT")</f>
        <v>15/01/2026</v>
      </c>
      <c r="AC19" s="15">
        <f>S19*H19*O19/N19</f>
        <v>16355500</v>
      </c>
      <c r="AD19" s="19">
        <f>AC19/'Master P&amp;L'!$AE$5</f>
        <v>7.7591147241720228E-3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2345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184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20.149999999999999</v>
      </c>
      <c r="J20" s="19">
        <f>I20/S20</f>
        <v>6.1600073369814427E-2</v>
      </c>
      <c r="K20" s="36" cm="1">
        <f t="array" ref="K20">_xll.BDP($B20&amp;" Equity","bid")</f>
        <v>20.149999999999999</v>
      </c>
      <c r="L20" s="36" cm="1">
        <f t="array" ref="L20">_xll.BDP($B20&amp;" Equity","ask")</f>
        <v>21.15</v>
      </c>
      <c r="M20" s="40">
        <f>(L20/K20-1)</f>
        <v>4.9627791563275458E-2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-1007500</v>
      </c>
      <c r="Q20" s="58">
        <f>P20/'Master P&amp;L'!$AD$5*10000</f>
        <v>-4.7796203629380409</v>
      </c>
      <c r="R20" s="37" cm="1">
        <f t="array" ref="R20">_xll.BDP($C20&amp;" Equity","EST_PE_NXT_YR")*(T20/S20)</f>
        <v>30.511395770037719</v>
      </c>
      <c r="S20" s="36" cm="1">
        <f t="array" ref="S20">_xll.BDP(C20&amp;" Equity","LAST_PRICE")</f>
        <v>327.11</v>
      </c>
      <c r="T20" s="53" cm="1">
        <f t="array" ref="T20">_xll.BDP(B20&amp;" Equity","OPT_STRIKE_PX")</f>
        <v>380</v>
      </c>
      <c r="U20" s="40">
        <f>T20/S20-1</f>
        <v>0.16168872856225724</v>
      </c>
      <c r="V20" s="37" cm="1">
        <f t="array" ref="V20">_xll.BDP($B20&amp;" Equity","ivol_mid")</f>
        <v>40.210320000000003</v>
      </c>
      <c r="W20" s="38" cm="1">
        <f t="array" ref="W20">_xll.BDP(B20&amp;" Equity","DELTA_MID_RT")</f>
        <v>0.37260469794273376</v>
      </c>
      <c r="X20" s="48">
        <f>Y20/'Master P&amp;L'!$AE$5</f>
        <v>-2.8910825981031344E-3</v>
      </c>
      <c r="Y20" s="15">
        <f>IF(G20="Sell", S20*W20*-H20*O20/N20, S20*W20*H20*O20/N20)</f>
        <v>-6094136.1372023821</v>
      </c>
      <c r="Z20" s="15" cm="1">
        <f t="array" ref="Z20">_xll.BDP($B20&amp;" Equity","opt_theta")*H20*O20/N20</f>
        <v>-4667.7999999999993</v>
      </c>
      <c r="AA20" s="19" cm="1">
        <f t="array" ref="AA20">_xll.BDP($B20&amp;" Equity","opt_theta")/I20</f>
        <v>-4.6330521091811419E-3</v>
      </c>
      <c r="AB20" s="36" t="str" cm="1">
        <f t="array" ref="AB20">_xll.BDP($C20&amp;" Equity","EXPECTED_REPORT_DT")</f>
        <v>15/01/2026</v>
      </c>
      <c r="AC20" s="15">
        <f>S20*H20*O20/N20</f>
        <v>16355500</v>
      </c>
      <c r="AD20" s="19">
        <f>AC20/'Master P&amp;L'!$AE$5</f>
        <v>7.7591147241720228E-3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15.75</v>
      </c>
      <c r="J21" s="100" t="s">
        <v>249</v>
      </c>
      <c r="K21" s="101">
        <f>K20/L19</f>
        <v>0.56128133704735372</v>
      </c>
      <c r="P21" s="100" t="s">
        <v>250</v>
      </c>
      <c r="Q21" s="108">
        <f>Q19+Q20</f>
        <v>3.7359315491947465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1.1989953308303861E-3</v>
      </c>
      <c r="Y21" s="13">
        <f>Y19+Y20</f>
        <v>2527371.8498200178</v>
      </c>
      <c r="AC21" s="100" t="s">
        <v>229</v>
      </c>
      <c r="AD21" s="104">
        <f>AD19</f>
        <v>7.7591147241720228E-3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1.5396825396825398</v>
      </c>
      <c r="J22" s="100" t="s">
        <v>145</v>
      </c>
      <c r="K22" s="223">
        <f>AVERAGE(K19:L19)-AVERAGE(K20:L20)</f>
        <v>13.899999999999999</v>
      </c>
      <c r="P22" s="130">
        <f>P19+P20</f>
        <v>787500</v>
      </c>
      <c r="Q22" s="108"/>
      <c r="S22" s="100"/>
      <c r="T22" s="102"/>
      <c r="W22" s="100"/>
      <c r="X22" s="122"/>
      <c r="Y22" s="3">
        <f>Y21/S19</f>
        <v>7726.3668179512024</v>
      </c>
      <c r="AC22" s="100"/>
      <c r="AD22" s="104"/>
    </row>
    <row r="23" spans="1:38">
      <c r="I23" s="64">
        <f>I20*2</f>
        <v>40.299999999999997</v>
      </c>
      <c r="K23" s="167">
        <f>K19-K20</f>
        <v>13.050000000000004</v>
      </c>
      <c r="L23" s="167">
        <f>L19-L20</f>
        <v>14.75</v>
      </c>
      <c r="P23" s="40">
        <f>P22/Y21</f>
        <v>0.31158849856465737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1.4388489208633093</v>
      </c>
      <c r="K25" s="238"/>
      <c r="L25" s="238"/>
      <c r="W25" s="50"/>
    </row>
    <row r="26" spans="1:38">
      <c r="A26" s="438">
        <f>A24-H26</f>
        <v>195</v>
      </c>
      <c r="B26" s="132" t="s">
        <v>2117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37</v>
      </c>
      <c r="F26" t="str" cm="1">
        <f t="array" ref="F26">_xll.BDP(B26&amp;" Equity","QUOTED_CURRENCY_REALTIME")</f>
        <v>USD</v>
      </c>
      <c r="G26" s="105" t="s">
        <v>248</v>
      </c>
      <c r="H26" s="96">
        <v>90</v>
      </c>
      <c r="I26" s="97">
        <f>IF(G26="Buy",L26,K26)</f>
        <v>20</v>
      </c>
      <c r="J26" s="19">
        <f>I26/S26</f>
        <v>6.0309993365900726E-2</v>
      </c>
      <c r="K26" s="36" cm="1">
        <f t="array" ref="K26">_xll.BDP($B26&amp;" Equity","bid")</f>
        <v>20</v>
      </c>
      <c r="L26" s="36" cm="1">
        <f t="array" ref="L26">_xll.BDP($B26&amp;" Equity","ask")</f>
        <v>23.2</v>
      </c>
      <c r="M26" s="40">
        <f>(L26/K26-1)</f>
        <v>0.15999999999999992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-180000</v>
      </c>
      <c r="Q26" s="58">
        <f>P26/'Master P&amp;L'!$AD$5*10000</f>
        <v>-0.85392721124451354</v>
      </c>
      <c r="R26" s="37" cm="1">
        <f t="array" ref="R26">_xll.BDP($C26&amp;" Equity","EST_PE_NXT_YR")*(T26/S26)</f>
        <v>46.209906284769104</v>
      </c>
      <c r="S26" s="36" cm="1">
        <f t="array" ref="S26">_xll.BDP(C26&amp;" Equity","LAST_PRICE")</f>
        <v>331.62</v>
      </c>
      <c r="T26" s="53" cm="1">
        <f t="array" ref="T26">_xll.BDP(B26&amp;" Equity","OPT_STRIKE_PX")</f>
        <v>400</v>
      </c>
      <c r="U26" s="40">
        <f>T26/S26-1</f>
        <v>0.20619986731801454</v>
      </c>
      <c r="V26" s="37" cm="1">
        <f t="array" ref="V26">_xll.BDP($B26&amp;" Equity","ivol_mid")</f>
        <v>105.0339</v>
      </c>
      <c r="W26" s="38" cm="1">
        <f t="array" ref="W26">_xll.BDP(B26&amp;" Equity","DELTA_MID_RT")</f>
        <v>0.34982267022132874</v>
      </c>
      <c r="X26" s="48">
        <f>Y26/'Master P&amp;L'!$AE$5</f>
        <v>-4.9531276748756268E-4</v>
      </c>
      <c r="Y26" s="15">
        <f>IF(G26="Sell", S26*W26*-H26*O26/N26, S26*W26*H26*O26/N26)</f>
        <v>-1044073.7450891733</v>
      </c>
      <c r="Z26" s="15" cm="1">
        <f t="array" ref="Z26">_xll.BDP($B26&amp;" Equity","opt_theta")*H26*O26/N26</f>
        <v>-5001.2190000000001</v>
      </c>
      <c r="AA26" s="19" cm="1">
        <f t="array" ref="AA26">_xll.BDP($B26&amp;" Equity","opt_theta")/I26</f>
        <v>-2.7784550000000002E-2</v>
      </c>
      <c r="AB26" s="36" t="str" cm="1">
        <f t="array" ref="AB26">_xll.BDP($C26&amp;" Equity","EXPECTED_REPORT_DT")</f>
        <v>03/02/2026</v>
      </c>
      <c r="AC26" s="15">
        <f>S26*H26*O26/N26</f>
        <v>2984580</v>
      </c>
      <c r="AD26" s="19">
        <f>AC26/'Master P&amp;L'!$AE$5</f>
        <v>1.415896708964528E-3</v>
      </c>
      <c r="AE26" t="str">
        <f>B26  &amp; " - Buy to open " &amp;  "-" &amp; H26 &amp;"x"</f>
        <v>LITE US 02/20/26 C400 - Buy to open -90x</v>
      </c>
    </row>
    <row r="27" spans="1:38">
      <c r="A27" s="438">
        <f>A25-H27</f>
        <v>240</v>
      </c>
      <c r="B27" s="132" t="s">
        <v>2118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37</v>
      </c>
      <c r="F27" t="str" cm="1">
        <f t="array" ref="F27">_xll.BDP(B27&amp;" Equity","QUOTED_CURRENCY_REALTIME")</f>
        <v>USD</v>
      </c>
      <c r="G27" s="105" t="s">
        <v>247</v>
      </c>
      <c r="H27" s="96">
        <f>H26/2</f>
        <v>45</v>
      </c>
      <c r="I27" s="97">
        <f>IF(G27="Buy",L27,K27)</f>
        <v>13.9</v>
      </c>
      <c r="J27" s="19">
        <f>I27/S27</f>
        <v>4.1915445389301011E-2</v>
      </c>
      <c r="K27" s="36" cm="1">
        <f t="array" ref="K27">_xll.BDP($B27&amp;" Equity","bid")</f>
        <v>11.2</v>
      </c>
      <c r="L27" s="36" cm="1">
        <f t="array" ref="L27">_xll.BDP($B27&amp;" Equity","ask")</f>
        <v>13.9</v>
      </c>
      <c r="M27" s="40">
        <f>(L27/K27-1)</f>
        <v>0.2410714285714286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62550</v>
      </c>
      <c r="Q27" s="58">
        <f>P27/'Master P&amp;L'!$AD$5*10000</f>
        <v>0.29673970590746845</v>
      </c>
      <c r="R27" s="37" cm="1">
        <f t="array" ref="R27">_xll.BDP($C27&amp;" Equity","EST_PE_NXT_YR")*(T27/S27)</f>
        <v>51.986144570365241</v>
      </c>
      <c r="S27" s="36" cm="1">
        <f t="array" ref="S27">_xll.BDP(C27&amp;" Equity","LAST_PRICE")</f>
        <v>331.62</v>
      </c>
      <c r="T27" s="53" cm="1">
        <f t="array" ref="T27">_xll.BDP(B27&amp;" Equity","OPT_STRIKE_PX")</f>
        <v>450</v>
      </c>
      <c r="U27" s="40">
        <f>T27/S27-1</f>
        <v>0.35697485073276636</v>
      </c>
      <c r="V27" s="37" cm="1">
        <f t="array" ref="V27">_xll.BDP($B27&amp;" Equity","ivol_mid")</f>
        <v>106.34780000000001</v>
      </c>
      <c r="W27" s="38" cm="1">
        <f t="array" ref="W27">_xll.BDP(B27&amp;" Equity","DELTA_MID_RT")</f>
        <v>0.22993560135364532</v>
      </c>
      <c r="X27" s="48">
        <f>Y27/'Master P&amp;L'!$AE$5</f>
        <v>1.6278253061520302E-4</v>
      </c>
      <c r="Y27" s="15">
        <f>IF(G27="Sell", S27*W27*-H27*O27/N27, S27*W27*H27*O27/N27)</f>
        <v>343130.59854403138</v>
      </c>
      <c r="Z27" s="15" cm="1">
        <f t="array" ref="Z27">_xll.BDP($B27&amp;" Equity","opt_theta")*H27*O27/N27</f>
        <v>-2085.4259999999999</v>
      </c>
      <c r="AA27" s="19" cm="1">
        <f t="array" ref="AA27">_xll.BDP($B27&amp;" Equity","opt_theta")/I27</f>
        <v>-3.3340143884892086E-2</v>
      </c>
      <c r="AB27" s="36" t="str" cm="1">
        <f t="array" ref="AB27">_xll.BDP($C27&amp;" Equity","EXPECTED_REPORT_DT")</f>
        <v>03/02/2026</v>
      </c>
      <c r="AC27" s="15">
        <f>S27*H27*O27/N27</f>
        <v>1492290</v>
      </c>
      <c r="AD27" s="19">
        <f>AC27/'Master P&amp;L'!$AE$5</f>
        <v>7.0794835448226398E-4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>
        <f>I26-I27</f>
        <v>6.1</v>
      </c>
      <c r="J28" s="100" t="s">
        <v>249</v>
      </c>
      <c r="K28" s="101">
        <f>K27/L26</f>
        <v>0.48275862068965514</v>
      </c>
      <c r="P28" s="100" t="s">
        <v>250</v>
      </c>
      <c r="Q28" s="103">
        <f>Q26+Q27</f>
        <v>-0.55718750533704509</v>
      </c>
      <c r="S28" s="100" t="s">
        <v>251</v>
      </c>
      <c r="T28" s="102">
        <f>T27-T26</f>
        <v>50</v>
      </c>
      <c r="W28" s="100" t="s">
        <v>252</v>
      </c>
      <c r="X28" s="122">
        <f>X26+X27</f>
        <v>-3.3253023687235966E-4</v>
      </c>
      <c r="Y28" s="13">
        <f>Y26+Y27</f>
        <v>-700943.14654514194</v>
      </c>
      <c r="AC28" s="100" t="s">
        <v>229</v>
      </c>
      <c r="AD28" s="104">
        <f>AD26</f>
        <v>1.415896708964528E-3</v>
      </c>
    </row>
    <row r="29" spans="1:38">
      <c r="A29" s="13">
        <f>A27-A26</f>
        <v>45</v>
      </c>
      <c r="H29" s="100" t="s">
        <v>253</v>
      </c>
      <c r="I29" s="102">
        <f>(T28-I28)/I28</f>
        <v>7.1967213114754101</v>
      </c>
      <c r="J29" s="100" t="s">
        <v>145</v>
      </c>
      <c r="K29" s="109">
        <f>AVERAGE(K26:L26)-AVERAGE(K27:L27)</f>
        <v>9.0500000000000007</v>
      </c>
      <c r="P29" s="130">
        <f>P26+P27</f>
        <v>-117450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1.8394547976599722E-2</v>
      </c>
      <c r="K30" s="167">
        <f>K26-K27</f>
        <v>8.8000000000000007</v>
      </c>
      <c r="L30" s="167">
        <f>L26-L27</f>
        <v>9.2999999999999989</v>
      </c>
      <c r="P30" s="40">
        <f>P29/Y28</f>
        <v>0.16755995201450483</v>
      </c>
      <c r="X30" s="3">
        <f>Y30/I28</f>
        <v>-346.50718457386142</v>
      </c>
      <c r="Y30" s="8">
        <f>Y28/S26</f>
        <v>-2113.6938259005547</v>
      </c>
      <c r="AG30" s="167"/>
      <c r="AH30" s="167"/>
    </row>
    <row r="31" spans="1:38">
      <c r="K31" s="64">
        <f>I27*2-I26</f>
        <v>7.8000000000000007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2340</v>
      </c>
      <c r="C33" t="str" cm="1">
        <f t="array" ref="C33">_xll.BDP(B33&amp;" Equity","OPT_UNDL_TICKER")</f>
        <v>ASHR US</v>
      </c>
      <c r="D33" t="str" cm="1">
        <f t="array" ref="D33">_xll.BDP($B33&amp;" Index","mifid_Maturity_date")</f>
        <v>20/02/2026</v>
      </c>
      <c r="E33" cm="1">
        <f t="array" ref="E33">_xll.BDP($B33&amp;" Index","opt_days_expire")</f>
        <v>37</v>
      </c>
      <c r="F33" t="str" cm="1">
        <f t="array" ref="F33">_xll.BDP(B33&amp;" Equity","QUOTED_CURRENCY_REALTIME")</f>
        <v>USD</v>
      </c>
      <c r="G33" s="105" t="s">
        <v>247</v>
      </c>
      <c r="H33" s="96">
        <v>750</v>
      </c>
      <c r="I33" s="97">
        <f>IF(G33="Buy",L33,K33)</f>
        <v>0.44</v>
      </c>
      <c r="J33" s="19">
        <f>I33/S33</f>
        <v>1.3064133016627079E-2</v>
      </c>
      <c r="K33" s="36" cm="1">
        <f t="array" ref="K33">_xll.BDP($B33&amp;" Equity","bid")</f>
        <v>0.28999999999999998</v>
      </c>
      <c r="L33" s="36" cm="1">
        <f t="array" ref="L33">_xll.BDP($B33&amp;" Equity","ask")</f>
        <v>0.44</v>
      </c>
      <c r="M33" s="40">
        <f>(L33/K33-1)</f>
        <v>0.51724137931034497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33000</v>
      </c>
      <c r="Q33" s="58">
        <f>P33/'Master P&amp;L'!$AD$5*10000</f>
        <v>0.15655332206149414</v>
      </c>
      <c r="R33" s="37" t="e" cm="1">
        <f t="array" ref="R33">_xll.BDP($C33&amp;" Equity","EST_PE_NXT_YR")*(T33/S33)</f>
        <v>#VALUE!</v>
      </c>
      <c r="S33" s="36">
        <f>_xll.BDP(C33&amp;" Equity","LAST_PRICE")</f>
        <v>33.68</v>
      </c>
      <c r="T33" s="53" cm="1">
        <f t="array" ref="T33">_xll.BDP(B33&amp;" Equity","OPT_STRIKE_PX")</f>
        <v>35</v>
      </c>
      <c r="U33" s="40">
        <f>T33/S33-1</f>
        <v>3.9192399049881255E-2</v>
      </c>
      <c r="V33" s="37" cm="1">
        <f t="array" ref="V33">_xll.BDP($B33&amp;" Equity","ivol_mid")</f>
        <v>20.292870000000001</v>
      </c>
      <c r="W33" s="38" cm="1">
        <f t="array" ref="W33">_xll.BDP(B33&amp;" Equity","DELTA_MID_RT")</f>
        <v>0.29355892539024353</v>
      </c>
      <c r="X33" s="48">
        <f>Y33/'Master P&amp;L'!$AE$5</f>
        <v>3.5178472947384575E-4</v>
      </c>
      <c r="Y33" s="15">
        <f>IF(G33="Sell", S33*W33*-H33*O33/N33, S33*W33*H33*O33/N33)</f>
        <v>741529.84553575527</v>
      </c>
      <c r="Z33" s="15" cm="1">
        <f t="array" ref="Z33">_xll.BDP($B33&amp;" Equity","opt_theta")*H33*O33/N33</f>
        <v>-726.75000000000011</v>
      </c>
      <c r="AA33" s="19" cm="1">
        <f t="array" ref="AA33">_xll.BDP($B33&amp;" Equity","opt_theta")/I33</f>
        <v>-2.2022727272727274E-2</v>
      </c>
      <c r="AB33" s="36" t="str" cm="1">
        <f t="array" ref="AB33">_xll.BDP($C33&amp;" Equity","EXPECTED_REPORT_DT")</f>
        <v>#N/A N/A</v>
      </c>
      <c r="AC33" s="15">
        <f>S33*H33*O33/N33</f>
        <v>2526000</v>
      </c>
      <c r="AD33" s="19">
        <f>AC33/'Master P&amp;L'!$AE$5</f>
        <v>1.1983445197798006E-3</v>
      </c>
      <c r="AE33" t="str">
        <f>B33  &amp; " - Buy to open " &amp;  "-" &amp; H33 &amp;"x"</f>
        <v>ASHR US 02/20/26 C35 - Buy to open -750x</v>
      </c>
    </row>
    <row r="34" spans="1:38">
      <c r="A34" s="98" t="s">
        <v>246</v>
      </c>
      <c r="B34" s="73" t="s">
        <v>2341</v>
      </c>
      <c r="C34" t="str" cm="1">
        <f t="array" ref="C34">_xll.BDP(B34&amp;" Equity","OPT_UNDL_TICKER")</f>
        <v>ASHR US</v>
      </c>
      <c r="D34" t="str" cm="1">
        <f t="array" ref="D34">_xll.BDP($B34&amp;" Index","mifid_Maturity_date")</f>
        <v>17/07/2026</v>
      </c>
      <c r="E34" cm="1">
        <f t="array" ref="E34">_xll.BDP($B34&amp;" Index","opt_days_expire")</f>
        <v>184</v>
      </c>
      <c r="F34" t="str" cm="1">
        <f t="array" ref="F34">_xll.BDP(B34&amp;" Equity","QUOTED_CURRENCY_REALTIME")</f>
        <v>USD</v>
      </c>
      <c r="G34" s="105" t="s">
        <v>247</v>
      </c>
      <c r="H34" s="96">
        <v>750</v>
      </c>
      <c r="I34" s="97">
        <f>IF(G34="Buy",L34,K34)</f>
        <v>3.65</v>
      </c>
      <c r="J34" s="19">
        <f>I34/S34</f>
        <v>0.1083729216152019</v>
      </c>
      <c r="K34" s="36" t="str" cm="1">
        <f t="array" ref="K34">_xll.BDP($B34&amp;" Equity","bid")</f>
        <v>#N/A N/A</v>
      </c>
      <c r="L34" s="36" cm="1">
        <f t="array" ref="L34">_xll.BDP($B34&amp;" Equity","ask")</f>
        <v>3.65</v>
      </c>
      <c r="M34" s="40" t="e">
        <f>(L34/K34-1)</f>
        <v>#VALUE!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273750</v>
      </c>
      <c r="Q34" s="58">
        <f>P34/'Master P&amp;L'!$AD$5*10000</f>
        <v>1.2986809671010309</v>
      </c>
      <c r="R34" s="37" t="e" cm="1">
        <f t="array" ref="R34">_xll.BDP($C34&amp;" Equity","EST_PE_NXT_YR")*(T34/S34)</f>
        <v>#VALUE!</v>
      </c>
      <c r="S34" s="36" cm="1">
        <f t="array" ref="S34">_xll.BDP(C34&amp;" Equity","LAST_PRICE")</f>
        <v>33.68</v>
      </c>
      <c r="T34" s="53" cm="1">
        <f t="array" ref="T34">_xll.BDP(B34&amp;" Equity","OPT_STRIKE_PX")</f>
        <v>35</v>
      </c>
      <c r="U34" s="40">
        <f>T34/S34-1</f>
        <v>3.9192399049881255E-2</v>
      </c>
      <c r="V34" s="37" cm="1">
        <f t="array" ref="V34">_xll.BDP($B34&amp;" Equity","ivol_mid")</f>
        <v>40.964689999999997</v>
      </c>
      <c r="W34" s="38" cm="1">
        <f t="array" ref="W34">_xll.BDP(B34&amp;" Equity","DELTA_MID_RT")</f>
        <v>0.5314975380897522</v>
      </c>
      <c r="X34" s="48">
        <f>Y34/'Master P&amp;L'!$AE$5</f>
        <v>6.3691716204631037E-4</v>
      </c>
      <c r="Y34" s="15">
        <f>IF(G34="Sell", S34*W34*-H34*O34/N34, S34*W34*H34*O34/N34)</f>
        <v>1342562.7812147141</v>
      </c>
      <c r="Z34" s="15" cm="1">
        <f t="array" ref="Z34">_xll.BDP($B34&amp;" Equity","opt_theta")*H34*O34/N34</f>
        <v>-389.02499999999998</v>
      </c>
      <c r="AA34" s="19" cm="1">
        <f t="array" ref="AA34">_xll.BDP($B34&amp;" Equity","opt_theta")/I34</f>
        <v>-1.421095890410959E-3</v>
      </c>
      <c r="AB34" s="36" t="str" cm="1">
        <f t="array" ref="AB34">_xll.BDP($C34&amp;" Equity","EXPECTED_REPORT_DT")</f>
        <v>#N/A N/A</v>
      </c>
      <c r="AC34" s="15">
        <f>S34*H34*O34/N34</f>
        <v>2526000</v>
      </c>
      <c r="AD34" s="19">
        <f>AC34/'Master P&amp;L'!$AE$5</f>
        <v>1.1983445197798006E-3</v>
      </c>
      <c r="AE34" t="str">
        <f>B34  &amp; " - Buy to open " &amp;  "-" &amp; H34 &amp;"x"</f>
        <v>ASHR US 07/17/26 C35 - Buy to open -750x</v>
      </c>
    </row>
    <row r="35" spans="1:38">
      <c r="H35" s="100" t="s">
        <v>116</v>
      </c>
      <c r="I35" s="222">
        <f>I33-I34</f>
        <v>-3.21</v>
      </c>
      <c r="J35" s="100" t="s">
        <v>249</v>
      </c>
      <c r="K35" s="101" t="e">
        <f>K34/L33</f>
        <v>#VALUE!</v>
      </c>
      <c r="P35" s="100" t="s">
        <v>250</v>
      </c>
      <c r="Q35" s="103">
        <f>Q33+Q34</f>
        <v>1.455234289162525</v>
      </c>
      <c r="S35" s="100" t="s">
        <v>251</v>
      </c>
      <c r="T35" s="102">
        <f>T34-T33</f>
        <v>0</v>
      </c>
      <c r="W35" s="100" t="s">
        <v>252</v>
      </c>
      <c r="X35" s="122">
        <f>X33+X34</f>
        <v>9.8870189152015613E-4</v>
      </c>
      <c r="Y35" s="13">
        <f>Y33+Y34</f>
        <v>2084092.6267504692</v>
      </c>
      <c r="AC35" s="100" t="s">
        <v>229</v>
      </c>
      <c r="AD35" s="104">
        <f>AD33</f>
        <v>1.1983445197798006E-3</v>
      </c>
    </row>
    <row r="36" spans="1:38">
      <c r="H36" s="100" t="s">
        <v>253</v>
      </c>
      <c r="I36" s="102">
        <f>(T35-I35)/I35</f>
        <v>-1</v>
      </c>
      <c r="J36" s="100" t="s">
        <v>145</v>
      </c>
      <c r="K36" s="109">
        <f>AVERAGE(K33:L33)-AVERAGE(K34:L34)</f>
        <v>-3.2850000000000001</v>
      </c>
      <c r="P36" s="130">
        <f>P33+P34</f>
        <v>306750</v>
      </c>
      <c r="Q36" s="108"/>
      <c r="S36" s="100"/>
      <c r="T36" s="102"/>
      <c r="W36" s="100"/>
      <c r="X36" s="122"/>
      <c r="Y36" s="13">
        <f>Y35/S33</f>
        <v>61879.23476099968</v>
      </c>
      <c r="AC36" s="100"/>
      <c r="AD36" s="104"/>
    </row>
    <row r="37" spans="1:38">
      <c r="I37" s="21">
        <f>I35/S33</f>
        <v>-9.530878859857482E-2</v>
      </c>
      <c r="K37" s="64">
        <f>(2*I33)-(I34*3)</f>
        <v>-10.069999999999999</v>
      </c>
      <c r="P37" s="267">
        <f>P36/I35/100</f>
        <v>-955.60747663551399</v>
      </c>
      <c r="W37" s="50">
        <f>W33-W34</f>
        <v>-0.23793861269950867</v>
      </c>
    </row>
    <row r="38" spans="1:38">
      <c r="H38">
        <v>1</v>
      </c>
      <c r="J38" s="43">
        <f>J39-J40</f>
        <v>-1.1013548207801302E-2</v>
      </c>
      <c r="P38" s="13"/>
    </row>
    <row r="39" spans="1:38">
      <c r="A39" s="281">
        <f>S39-T39</f>
        <v>-2.3299999999999983</v>
      </c>
      <c r="B39" s="73" t="s">
        <v>2347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121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2.5</v>
      </c>
      <c r="J39" s="19">
        <f>I39/S39</f>
        <v>0.11027790030877811</v>
      </c>
      <c r="K39" s="36" cm="1">
        <f t="array" ref="K39">_xll.BDP($B39&amp;" Equity","bid")</f>
        <v>2.37</v>
      </c>
      <c r="L39" s="36" cm="1">
        <f t="array" ref="L39">_xll.BDP($B39&amp;" Equity","ask")</f>
        <v>2.5</v>
      </c>
      <c r="M39" s="40">
        <f>(L39/K39-1)</f>
        <v>5.4852320675105481E-2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112500</v>
      </c>
      <c r="Q39" s="58">
        <f>P39/'Master P&amp;L'!$AD$5*10000</f>
        <v>0.53370450702782091</v>
      </c>
      <c r="R39" s="37" cm="1">
        <f t="array" ref="R39">_xll.BDP($C39&amp;" Equity","EST_PE_NXT_YR")*(T39/S39)</f>
        <v>30.604149483726008</v>
      </c>
      <c r="S39" s="36" cm="1">
        <f t="array" ref="S39">_xll.BDP(C39&amp;" Equity","LAST_PRICE")</f>
        <v>22.67</v>
      </c>
      <c r="T39" s="53" cm="1">
        <f t="array" ref="T39">_xll.BDP(B39&amp;" Equity","OPT_STRIKE_PX")</f>
        <v>25</v>
      </c>
      <c r="U39" s="40">
        <f>T39/S39-1</f>
        <v>0.1027790030877811</v>
      </c>
      <c r="V39" s="37" cm="1">
        <f t="array" ref="V39">_xll.BDP($B39&amp;" Equity","ivol_mid")</f>
        <v>62.953890000000001</v>
      </c>
      <c r="W39" s="38" cm="1">
        <f t="array" ref="W39">_xll.BDP(B39&amp;" Equity","DELTA_MID_RT")</f>
        <v>0.47635480761528015</v>
      </c>
      <c r="X39" s="48">
        <f>Y39/'Master P&amp;L'!$AE$5</f>
        <v>2.3053821940460781E-4</v>
      </c>
      <c r="Y39" s="15">
        <f>IF(G39="Sell", S39*W39*-H39*O39/N39, S39*W39*H39*O39/N39)</f>
        <v>485953.35698872805</v>
      </c>
      <c r="Z39" s="15" cm="1">
        <f t="array" ref="Z39">_xll.BDP($B39&amp;" Equity","opt_theta")*H39*O39/N39</f>
        <v>-585.81000000000006</v>
      </c>
      <c r="AA39" s="19" cm="1">
        <f t="array" ref="AA39">_xll.BDP($B39&amp;" Equity","opt_theta")/I39</f>
        <v>-5.2072000000000004E-3</v>
      </c>
      <c r="AB39" s="36" t="str" cm="1">
        <f t="array" ref="AB39">_xll.BDP($C39&amp;" Equity","EXPECTED_REPORT_DT")</f>
        <v>11/02/2026</v>
      </c>
      <c r="AC39" s="15">
        <f>S39*H39*O39/N39</f>
        <v>1020150</v>
      </c>
      <c r="AD39" s="19">
        <f>AC39/'Master P&amp;L'!$AE$5</f>
        <v>4.8396324697282805E-4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-10.400000000000006</v>
      </c>
      <c r="B40" s="73" t="s">
        <v>2346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121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13.9</v>
      </c>
      <c r="J40" s="19">
        <f>I40/S40</f>
        <v>0.12129144851657941</v>
      </c>
      <c r="K40" s="36" cm="1">
        <f t="array" ref="K40">_xll.BDP($B40&amp;" Equity","bid")</f>
        <v>12.65</v>
      </c>
      <c r="L40" s="36" cm="1">
        <f t="array" ref="L40">_xll.BDP($B40&amp;" Equity","ask")</f>
        <v>13.9</v>
      </c>
      <c r="M40" s="40">
        <f>(L40/K40-1)</f>
        <v>9.8814229249011953E-2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139000</v>
      </c>
      <c r="Q40" s="58">
        <f>P40/'Master P&amp;L'!$AD$5*10000</f>
        <v>0.65942156868326329</v>
      </c>
      <c r="R40" s="37" cm="1">
        <f t="array" ref="R40">_xll.BDP($C40&amp;" Equity","EST_PE_NXT_YR")*(T40/S40)</f>
        <v>43.3972376697578</v>
      </c>
      <c r="S40" s="36" cm="1">
        <f t="array" ref="S40">_xll.BDP(C40&amp;" Equity","LAST_PRICE")</f>
        <v>114.6</v>
      </c>
      <c r="T40" s="53" cm="1">
        <f t="array" ref="T40">_xll.BDP(B40&amp;" Equity","OPT_STRIKE_PX")</f>
        <v>125</v>
      </c>
      <c r="U40" s="40">
        <f>T40/S40-1</f>
        <v>9.0750436300174542E-2</v>
      </c>
      <c r="V40" s="37" cm="1">
        <f t="array" ref="V40">_xll.BDP($B40&amp;" Equity","ivol_mid")</f>
        <v>62.442039999999999</v>
      </c>
      <c r="W40" s="38" cm="1">
        <f t="array" ref="W40">_xll.BDP(B40&amp;" Equity","DELTA_MID_RT")</f>
        <v>0.49806195497512817</v>
      </c>
      <c r="X40" s="48">
        <f>Y40/'Master P&amp;L'!$AE$5</f>
        <v>2.7077984447210072E-4</v>
      </c>
      <c r="Y40" s="15">
        <f>IF(G40="Sell", S40*W40*-H40*O40/N40, S40*W40*H40*O40/N40)</f>
        <v>570779.00040149689</v>
      </c>
      <c r="Z40" s="15" cm="1">
        <f t="array" ref="Z40">_xll.BDP($B40&amp;" Equity","opt_theta")*H40*O40/N40</f>
        <v>-689.01</v>
      </c>
      <c r="AA40" s="19" cm="1">
        <f t="array" ref="AA40">_xll.BDP($B40&amp;" Equity","opt_theta")/I40</f>
        <v>-4.9569064748201438E-3</v>
      </c>
      <c r="AB40" s="36" t="str" cm="1">
        <f t="array" ref="AB40">_xll.BDP($C40&amp;" Equity","EXPECTED_REPORT_DT")</f>
        <v>20/02/2026</v>
      </c>
      <c r="AC40" s="15">
        <f>S40*H40*O40/N40</f>
        <v>1146000</v>
      </c>
      <c r="AD40" s="19">
        <f>AC40/'Master P&amp;L'!$AE$5</f>
        <v>5.4366699115900691E-4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-11.4</v>
      </c>
      <c r="J41" s="100" t="s">
        <v>249</v>
      </c>
      <c r="K41" s="101">
        <f>K40/L39</f>
        <v>5.0600000000000005</v>
      </c>
      <c r="P41" s="100" t="s">
        <v>250</v>
      </c>
      <c r="Q41" s="108">
        <f>Q39+Q40</f>
        <v>1.1931260757110842</v>
      </c>
      <c r="S41" s="100" t="s">
        <v>251</v>
      </c>
      <c r="T41" s="102">
        <f>T40-T39</f>
        <v>100</v>
      </c>
      <c r="W41" s="100" t="s">
        <v>252</v>
      </c>
      <c r="X41" s="122">
        <f>X39+X40</f>
        <v>5.0131806387670856E-4</v>
      </c>
      <c r="Y41" s="13">
        <f>Y39+Y40</f>
        <v>1056732.3573902249</v>
      </c>
      <c r="AC41" s="100" t="s">
        <v>229</v>
      </c>
      <c r="AD41" s="122">
        <f>AD39</f>
        <v>4.8396324697282805E-4</v>
      </c>
    </row>
    <row r="42" spans="1:38">
      <c r="B42" s="73"/>
      <c r="H42" s="100" t="s">
        <v>253</v>
      </c>
      <c r="I42" s="102">
        <f>(T41-K42)/I41</f>
        <v>-9.7228070175438592</v>
      </c>
      <c r="J42" s="100" t="s">
        <v>145</v>
      </c>
      <c r="K42" s="223">
        <f>AVERAGE(K39:L39)-AVERAGE(K40:L40)</f>
        <v>-10.84</v>
      </c>
      <c r="P42" s="130">
        <f>P39+P40</f>
        <v>251500</v>
      </c>
      <c r="Q42" s="108"/>
      <c r="S42" s="100"/>
      <c r="T42" s="102"/>
      <c r="W42" s="100"/>
      <c r="X42" s="122"/>
      <c r="Y42" s="13">
        <f>Y41/S39</f>
        <v>46613.690224535727</v>
      </c>
      <c r="AC42" s="100"/>
      <c r="AD42" s="104"/>
    </row>
    <row r="43" spans="1:38">
      <c r="I43" s="278"/>
      <c r="K43" s="278">
        <f>K36-K42</f>
        <v>7.5549999999999997</v>
      </c>
      <c r="L43" s="278"/>
      <c r="P43" s="5">
        <f>P42/Y41</f>
        <v>0.23799782247713203</v>
      </c>
      <c r="W43" s="50">
        <f>W39-W40</f>
        <v>-2.1707147359848022E-2</v>
      </c>
      <c r="Y43" s="13">
        <f>Y42+Y36</f>
        <v>108492.92498553541</v>
      </c>
    </row>
    <row r="44" spans="1:38">
      <c r="K44" s="338">
        <f>K36/K42</f>
        <v>0.30304428044280446</v>
      </c>
      <c r="L44" s="278">
        <f>K36-(K42*2)</f>
        <v>18.395</v>
      </c>
      <c r="P44" s="13">
        <f>P36+P42</f>
        <v>558250</v>
      </c>
    </row>
    <row r="45" spans="1:38" s="59" customFormat="1">
      <c r="O45" s="163"/>
      <c r="X45" s="127"/>
      <c r="AL45" s="14"/>
    </row>
    <row r="46" spans="1:38">
      <c r="K46" s="64">
        <f>K49*2+K50</f>
        <v>18.7</v>
      </c>
      <c r="L46" s="64">
        <f>L49*2+L50</f>
        <v>25.5</v>
      </c>
    </row>
    <row r="47" spans="1:38">
      <c r="A47" s="99" t="s">
        <v>255</v>
      </c>
      <c r="B47" s="99"/>
      <c r="K47" s="64"/>
      <c r="L47" s="64"/>
      <c r="P47" s="3">
        <f>P49+P50</f>
        <v>45450.000000000007</v>
      </c>
      <c r="Q47" s="58"/>
    </row>
    <row r="48" spans="1:38">
      <c r="H48">
        <v>1</v>
      </c>
      <c r="I48" s="64">
        <f>I49-I50</f>
        <v>10.100000000000001</v>
      </c>
    </row>
    <row r="49" spans="1:36">
      <c r="A49" s="281">
        <v>4.3</v>
      </c>
      <c r="B49" s="73" t="s">
        <v>2375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10.8</v>
      </c>
      <c r="J49" s="19">
        <f>I49/S49</f>
        <v>8.5461969423606503E-3</v>
      </c>
      <c r="K49" s="36" cm="1">
        <f t="array" ref="K49">_xll.BDP($B49&amp;" Equity","bid")</f>
        <v>9</v>
      </c>
      <c r="L49" s="36" cm="1">
        <f t="array" ref="L49">_xll.BDP($B49&amp;" Equity","ask")</f>
        <v>10.8</v>
      </c>
      <c r="M49" s="40">
        <f>(L49/K49-1)</f>
        <v>0.20000000000000018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48600.000000000007</v>
      </c>
      <c r="Q49" s="58">
        <f>P49/'Master P&amp;L'!$AD$5*10000</f>
        <v>0.23056034703601866</v>
      </c>
      <c r="R49" s="37" cm="1">
        <f t="array" ref="R49">_xll.BDP($C49&amp;" Equity","EST_PE_NXT_YR")*(T49/S49)</f>
        <v>38.359564313664919</v>
      </c>
      <c r="S49" s="36" cm="1">
        <f t="array" ref="S49">_xll.BDP(C49&amp;" Equity","LAST_PRICE")</f>
        <v>1263.72</v>
      </c>
      <c r="T49" s="53" cm="1">
        <f t="array" ref="T49">_xll.BDP(B49&amp;" Equity","OPT_STRIKE_PX")</f>
        <v>1200</v>
      </c>
      <c r="U49" s="40">
        <f>T49/S49-1</f>
        <v>-5.0422561959927892E-2</v>
      </c>
      <c r="V49" s="37" cm="1">
        <f t="array" ref="V49">_xll.BDP($B49&amp;" Equity","ivol_mid")</f>
        <v>42.914360000000002</v>
      </c>
      <c r="W49" s="38" cm="1">
        <f t="array" ref="W49">_xll.BDP(B49&amp;" Equity","DELTA_MID_RT")</f>
        <v>-0.20384888350963593</v>
      </c>
      <c r="X49" s="358">
        <f>Y49/'Master P&amp;L'!$AE$5</f>
        <v>-5.4994601273375637E-4</v>
      </c>
      <c r="Y49" s="15">
        <f>IF(G49="Sell", S49*W49*-H49*O49/N49, S49*W49*H49*O49/N49)</f>
        <v>-1159235.599809587</v>
      </c>
      <c r="Z49" s="15" cm="1">
        <f t="array" ref="Z49">_xll.BDP($B49&amp;" Equity","opt_theta")*H49*O49/N49</f>
        <v>-6640.0874999999996</v>
      </c>
      <c r="AA49" s="19" cm="1">
        <f t="array" ref="AA49">_xll.BDP($B49&amp;" Equity","opt_theta")/I49</f>
        <v>-0.13662731481481483</v>
      </c>
      <c r="AB49" s="36" t="str" cm="1">
        <f t="array" ref="AB49">_xll.BDP($C49&amp;" Equity","EXPECTED_REPORT_DT")</f>
        <v>28/01/2026</v>
      </c>
      <c r="AC49" s="15">
        <f>S49*H49*O49/N49</f>
        <v>5686740</v>
      </c>
      <c r="AD49" s="48">
        <f>AC49/'Master P&amp;L'!$AE$5</f>
        <v>2.6978122384847918E-3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2376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0.7</v>
      </c>
      <c r="J50" s="19">
        <f>I50/S50</f>
        <v>5.5392017219004202E-4</v>
      </c>
      <c r="K50" s="36" cm="1">
        <f t="array" ref="K50">_xll.BDP($B50&amp;" Equity","bid")</f>
        <v>0.7</v>
      </c>
      <c r="L50" s="36" cm="1">
        <f t="array" ref="L50">_xll.BDP($B50&amp;" Equity","ask")</f>
        <v>3.9</v>
      </c>
      <c r="M50" s="40">
        <f>(L50/K50-1)</f>
        <v>4.5714285714285721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-3149.9999999999995</v>
      </c>
      <c r="Q50" s="58">
        <f>P50/'Master P&amp;L'!$AD$5*10000</f>
        <v>-1.4943726196778985E-2</v>
      </c>
      <c r="R50" s="37" cm="1">
        <f t="array" ref="R50">_xll.BDP($C50&amp;" Equity","EST_PE_NXT_YR")*(T50/S50)</f>
        <v>35.162933954192845</v>
      </c>
      <c r="S50" s="36" cm="1">
        <f t="array" ref="S50">_xll.BDP(C50&amp;" Equity","LAST_PRICE")</f>
        <v>1263.72</v>
      </c>
      <c r="T50" s="53" cm="1">
        <f t="array" ref="T50">_xll.BDP(B50&amp;" Equity","OPT_STRIKE_PX")</f>
        <v>1100</v>
      </c>
      <c r="U50" s="40">
        <f>T50/S50-1</f>
        <v>-0.12955401512993392</v>
      </c>
      <c r="V50" s="37" cm="1">
        <f t="array" ref="V50">_xll.BDP(B50&amp;" Equity","ivol_mid")</f>
        <v>50.105989999999998</v>
      </c>
      <c r="W50" s="38" cm="1">
        <f t="array" ref="W50">_xll.BDP(B50&amp;" Equity","DELTA_MID_RT")</f>
        <v>-4.9063656479120255E-2</v>
      </c>
      <c r="X50" s="358">
        <f>Y50/'Master P&amp;L'!$AE$5</f>
        <v>1.3236453291418427E-4</v>
      </c>
      <c r="Y50" s="15">
        <f>IF(G50="Sell", S50*W50*-H50*O50/N50, S50*W50*H50*O50/N50)</f>
        <v>279012.25784607232</v>
      </c>
      <c r="Z50" s="15" cm="1">
        <f t="array" ref="Z50">_xll.BDP($B50&amp;" Equity","opt_theta")*H50*O50/N50</f>
        <v>-1961.6534999999999</v>
      </c>
      <c r="AA50" s="19" cm="1">
        <f t="array" ref="AA50">_xll.BDP($B50&amp;" Equity","opt_theta")/I50</f>
        <v>-0.62274714285714294</v>
      </c>
      <c r="AB50" s="36" t="str" cm="1">
        <f t="array" ref="AB50">_xll.BDP($C50&amp;" Equity","EXPECTED_REPORT_DT")</f>
        <v>28/01/2026</v>
      </c>
      <c r="AC50" s="15">
        <f>S50*H50*O50/N50</f>
        <v>5686740</v>
      </c>
      <c r="AD50" s="19">
        <f>AC50/'Master P&amp;L'!$AE$5</f>
        <v>2.6978122384847918E-3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6.4814814814814811E-2</v>
      </c>
      <c r="L51" s="64"/>
      <c r="P51" s="100" t="s">
        <v>250</v>
      </c>
      <c r="Q51" s="108">
        <f>Q49+Q50</f>
        <v>0.21561662083923969</v>
      </c>
      <c r="S51" s="100" t="s">
        <v>251</v>
      </c>
      <c r="T51" s="102">
        <f>T49-T50</f>
        <v>100</v>
      </c>
      <c r="W51" s="100" t="s">
        <v>252</v>
      </c>
      <c r="X51" s="418">
        <f>X49+X50</f>
        <v>-4.1758147981957208E-4</v>
      </c>
      <c r="Y51" s="13">
        <f>Y49+Y50</f>
        <v>-880223.34196351469</v>
      </c>
      <c r="AC51" s="100" t="s">
        <v>229</v>
      </c>
      <c r="AD51" s="122">
        <f>AD49</f>
        <v>2.6978122384847918E-3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7.6000000000000005</v>
      </c>
      <c r="L52" s="64"/>
      <c r="P52" s="100"/>
      <c r="Q52" s="108"/>
      <c r="S52" s="100"/>
      <c r="T52" s="102"/>
      <c r="W52" s="100"/>
      <c r="X52" s="122"/>
      <c r="Z52" s="3">
        <f>Y51/S49</f>
        <v>-696.53352163732052</v>
      </c>
      <c r="AC52" s="100"/>
      <c r="AD52" s="104"/>
    </row>
    <row r="54" spans="1:36">
      <c r="H54">
        <v>1</v>
      </c>
      <c r="I54" s="64"/>
      <c r="J54" s="43">
        <f>J55-J56</f>
        <v>8.380535956805461E-3</v>
      </c>
      <c r="L54" s="64"/>
      <c r="P54" s="13">
        <f>P55+P56</f>
        <v>25300</v>
      </c>
    </row>
    <row r="55" spans="1:36">
      <c r="A55" s="98" t="s">
        <v>256</v>
      </c>
      <c r="B55" s="59" t="s">
        <v>2378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cm="1">
        <f t="array" ref="E55">_xll.BDP($B55&amp;" Index","opt_days_expire")</f>
        <v>9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3.7</v>
      </c>
      <c r="J55" s="19">
        <f>I55/S55</f>
        <v>1.2256119778727353E-2</v>
      </c>
      <c r="K55" s="36" cm="1">
        <f t="array" ref="K55">_xll.BDP($B55&amp;" Equity","bid")</f>
        <v>3.35</v>
      </c>
      <c r="L55" s="36" cm="1">
        <f t="array" ref="L55">_xll.BDP($B55&amp;" Equity","ask")</f>
        <v>3.7</v>
      </c>
      <c r="M55" s="40">
        <f>(L55/K55-1)</f>
        <v>0.10447761194029859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37000</v>
      </c>
      <c r="Q55" s="58">
        <f>P55/'Master P&amp;L'!$AD$5*10000</f>
        <v>0.17552948231137222</v>
      </c>
      <c r="R55" s="37" cm="1">
        <f t="array" ref="R55">_xll.BDP($C55&amp;" Equity","EST_PE_NXT_YR")*(T55/S55)</f>
        <v>25.202278461363225</v>
      </c>
      <c r="S55" s="36" cm="1">
        <f t="array" ref="S55">_xll.BDP(C55&amp;" Equity","LAST_PRICE")</f>
        <v>301.89</v>
      </c>
      <c r="T55" s="53" cm="1">
        <f t="array" ref="T55">_xll.BDP(B55&amp;" Equity","OPT_STRIKE_PX")</f>
        <v>290</v>
      </c>
      <c r="U55" s="40">
        <f>T55/S55-1</f>
        <v>-3.9385206532180583E-2</v>
      </c>
      <c r="V55" s="37" cm="1">
        <f t="array" ref="V55">_xll.BDP($B55&amp;" Equity","ivol_mid")</f>
        <v>44.426749999999998</v>
      </c>
      <c r="W55" s="38" cm="1">
        <f t="array" ref="W55">_xll.BDP(B55&amp;" Equity","DELTA_MID_RT")</f>
        <v>-0.26590275764465332</v>
      </c>
      <c r="X55" s="48">
        <f>Y55/'Master P&amp;L'!$AE$5</f>
        <v>-3.8082014729933362E-4</v>
      </c>
      <c r="Y55" s="15">
        <f>IF(G55="Sell", S55*W55*-H55*O55/N55, S55*W55*H55*O55/N55)</f>
        <v>-802733.83505344379</v>
      </c>
      <c r="Z55" s="15" cm="1">
        <f t="array" ref="Z55">_xll.BDP($B55&amp;" Equity","opt_theta")*H55*O55/N55</f>
        <v>-4121.6099999999997</v>
      </c>
      <c r="AA55" s="19" cm="1">
        <f t="array" ref="AA55">_xll.BDP($B55&amp;" Equity","opt_theta")/I55</f>
        <v>-0.11139486486486486</v>
      </c>
      <c r="AB55" s="36" t="str" cm="1">
        <f t="array" ref="AB55">_xll.BDP($C55&amp;" Equity","EXPECTED_REPORT_DT")</f>
        <v>12/02/2026</v>
      </c>
      <c r="AC55" s="15">
        <f>S55*H55*O55/N55</f>
        <v>3018900</v>
      </c>
      <c r="AD55" s="48">
        <f>AC55/'Master P&amp;L'!$AE$5</f>
        <v>1.4321782544589232E-3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2377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cm="1">
        <f t="array" ref="E56">_xll.BDP($B56&amp;" Index","opt_days_expire")</f>
        <v>9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>
        <f>IF(G56="Buy",L56,K56)</f>
        <v>1.17</v>
      </c>
      <c r="J56" s="19">
        <f>I56/S56</f>
        <v>3.8755838219218918E-3</v>
      </c>
      <c r="K56" s="36" cm="1">
        <f t="array" ref="K56">_xll.BDP($B56&amp;" Equity","bid")</f>
        <v>1.17</v>
      </c>
      <c r="L56" s="36" cm="1">
        <f t="array" ref="L56">_xll.BDP($B56&amp;" Equity","ask")</f>
        <v>2.4700000000000002</v>
      </c>
      <c r="M56" s="40">
        <f>(L56/K56-1)</f>
        <v>1.1111111111111116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-11700</v>
      </c>
      <c r="Q56" s="58">
        <f>P56/'Master P&amp;L'!$AD$5*10000</f>
        <v>-5.5505268730893384E-2</v>
      </c>
      <c r="R56" s="37" cm="1">
        <f t="array" ref="R56">_xll.BDP($C56&amp;" Equity","EST_PE_NXT_YR")*(T56/S56)</f>
        <v>24.333234376488633</v>
      </c>
      <c r="S56" s="36" cm="1">
        <f t="array" ref="S56">_xll.BDP(C56&amp;" Equity","LAST_PRICE")</f>
        <v>301.89</v>
      </c>
      <c r="T56" s="53" cm="1">
        <f t="array" ref="T56">_xll.BDP(B56&amp;" Equity","OPT_STRIKE_PX")</f>
        <v>280</v>
      </c>
      <c r="U56" s="40">
        <f>T56/S56-1</f>
        <v>-7.2509854582795019E-2</v>
      </c>
      <c r="V56" s="37" cm="1">
        <f t="array" ref="V56">_xll.BDP(B56&amp;" Equity","ivol_mid")</f>
        <v>48.281999999999996</v>
      </c>
      <c r="W56" s="38" cm="1">
        <f t="array" ref="W56">_xll.BDP(B56&amp;" Equity","DELTA_MID_RT")</f>
        <v>-0.14861464500427246</v>
      </c>
      <c r="X56" s="48">
        <f>Y56/'Master P&amp;L'!$AE$5</f>
        <v>2.1284266286925147E-4</v>
      </c>
      <c r="Y56" s="15">
        <f>IF(G56="Sell", S56*W56*-H56*O56/N56, S56*W56*H56*O56/N56)</f>
        <v>448652.75180339813</v>
      </c>
      <c r="Z56" s="15" cm="1">
        <f t="array" ref="Z56">_xll.BDP($B56&amp;" Equity","opt_theta")*H56*O56/N56</f>
        <v>-2922.57</v>
      </c>
      <c r="AA56" s="19" cm="1">
        <f t="array" ref="AA56">_xll.BDP($B56&amp;" Equity","opt_theta")/I56</f>
        <v>-0.2497923076923077</v>
      </c>
      <c r="AB56" s="36" t="str" cm="1">
        <f t="array" ref="AB56">_xll.BDP($C56&amp;" Equity","EXPECTED_REPORT_DT")</f>
        <v>12/02/2026</v>
      </c>
      <c r="AC56" s="15">
        <f>S56*H56*O56/N56</f>
        <v>3018900</v>
      </c>
      <c r="AD56" s="19">
        <f>AC56/'Master P&amp;L'!$AE$5</f>
        <v>1.4321782544589232E-3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>
        <f>I57/K58</f>
        <v>1.4838709677419353</v>
      </c>
      <c r="H57" s="100" t="s">
        <v>116</v>
      </c>
      <c r="I57" s="102">
        <f>I55-I56</f>
        <v>2.5300000000000002</v>
      </c>
      <c r="J57" s="100" t="s">
        <v>249</v>
      </c>
      <c r="K57" s="101">
        <f>K56/L55</f>
        <v>0.31621621621621621</v>
      </c>
      <c r="L57" s="64"/>
      <c r="P57" s="100" t="s">
        <v>250</v>
      </c>
      <c r="Q57" s="108">
        <f>Q55+Q56</f>
        <v>0.12002421358047884</v>
      </c>
      <c r="S57" s="100" t="s">
        <v>251</v>
      </c>
      <c r="T57" s="102">
        <f>T55-T56</f>
        <v>10</v>
      </c>
      <c r="W57" s="100" t="s">
        <v>252</v>
      </c>
      <c r="X57" s="122">
        <f>X55+X56</f>
        <v>-1.6797748443008216E-4</v>
      </c>
      <c r="Y57" s="13"/>
      <c r="AC57" s="100" t="s">
        <v>229</v>
      </c>
      <c r="AD57" s="122">
        <f>AD55</f>
        <v>1.4321782544589232E-3</v>
      </c>
    </row>
    <row r="58" spans="1:36">
      <c r="H58" s="100" t="s">
        <v>253</v>
      </c>
      <c r="I58" s="102">
        <f>(T57-I57)/I57</f>
        <v>2.9525691699604741</v>
      </c>
      <c r="J58" s="100" t="s">
        <v>145</v>
      </c>
      <c r="K58" s="109">
        <f>AVERAGE(K55:L55)-AVERAGE(K56:L56)</f>
        <v>1.7050000000000003</v>
      </c>
      <c r="L58" s="64"/>
      <c r="P58" s="100"/>
      <c r="Q58" s="108"/>
      <c r="S58" s="100"/>
      <c r="T58" s="102"/>
      <c r="W58" s="100"/>
      <c r="X58" s="122"/>
      <c r="Y58" s="13">
        <f>Y55+Y56</f>
        <v>-354081.08325004566</v>
      </c>
      <c r="Z58" s="3"/>
      <c r="AC58" s="100"/>
      <c r="AD58" s="104"/>
    </row>
    <row r="59" spans="1:36">
      <c r="K59" s="64">
        <f>K58-K52</f>
        <v>-5.8950000000000005</v>
      </c>
      <c r="Y59" s="64">
        <f>Y58/S55</f>
        <v>-1172.8811264038084</v>
      </c>
    </row>
    <row r="60" spans="1:36">
      <c r="I60" s="64">
        <f>I51-I57</f>
        <v>-0.7300000000000002</v>
      </c>
      <c r="K60" s="64">
        <f>K52-K58</f>
        <v>5.8950000000000005</v>
      </c>
      <c r="Y60" s="64"/>
    </row>
    <row r="61" spans="1:36">
      <c r="H61">
        <v>1</v>
      </c>
      <c r="I61" s="64"/>
      <c r="L61" s="64">
        <f>AVERAGE(K62:L62)</f>
        <v>1.5449999999999999</v>
      </c>
      <c r="T61" s="64">
        <f>T62-S62</f>
        <v>-11.889999999999986</v>
      </c>
    </row>
    <row r="62" spans="1:36">
      <c r="A62" s="98" t="s">
        <v>256</v>
      </c>
      <c r="B62" s="59" t="s">
        <v>2379</v>
      </c>
      <c r="C62" t="str" cm="1">
        <f t="array" ref="C62">_xll.BDP(B62&amp;" Equity","OPT_UNDL_TICKER")</f>
        <v>AMAT US</v>
      </c>
      <c r="D62" t="str" cm="1">
        <f t="array" ref="D62">_xll.BDP($B62&amp;" Index","mifid_Maturity_date")</f>
        <v>16/01/2026</v>
      </c>
      <c r="E62" cm="1">
        <f t="array" ref="E62">_xll.BDP($B62&amp;" Index","opt_days_expire")</f>
        <v>2</v>
      </c>
      <c r="F62" t="str" cm="1">
        <f t="array" ref="F62">_xll.BDP(B62&amp;" Equity","QUOTED_CURRENCY_REALTIME")</f>
        <v>USD</v>
      </c>
      <c r="G62" s="105" t="s">
        <v>247</v>
      </c>
      <c r="H62" s="96">
        <v>100</v>
      </c>
      <c r="I62" s="97">
        <f>IF(G62="Buy",L62,K62)</f>
        <v>1.79</v>
      </c>
      <c r="J62" s="19">
        <f>I62/S62</f>
        <v>5.9293120010599889E-3</v>
      </c>
      <c r="K62" s="36" cm="1">
        <f t="array" ref="K62">_xll.BDP($B62&amp;" Equity","bid")</f>
        <v>1.3</v>
      </c>
      <c r="L62" s="36" cm="1">
        <f t="array" ref="L62">_xll.BDP($B62&amp;" Equity","ask")</f>
        <v>1.79</v>
      </c>
      <c r="M62" s="40">
        <f>(L62/K62-1)</f>
        <v>0.37692307692307692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17900</v>
      </c>
      <c r="Q62" s="58">
        <f>P62/'Master P&amp;L'!$AD$5*10000</f>
        <v>8.4918317118204398E-2</v>
      </c>
      <c r="R62" s="37" cm="1">
        <f t="array" ref="R62">_xll.BDP($C62&amp;" Equity","EST_PE_NXT_YR")*(T62/S62)</f>
        <v>25.202278461363225</v>
      </c>
      <c r="S62" s="36" cm="1">
        <f t="array" ref="S62">_xll.BDP(C62&amp;" Equity","LAST_PRICE")</f>
        <v>301.89</v>
      </c>
      <c r="T62" s="53" cm="1">
        <f t="array" ref="T62">_xll.BDP(B62&amp;" Equity","OPT_STRIKE_PX")</f>
        <v>290</v>
      </c>
      <c r="U62" s="40">
        <f>T62/S62-1</f>
        <v>-3.9385206532180583E-2</v>
      </c>
      <c r="V62" s="37" cm="1">
        <f t="array" ref="V62">_xll.BDP($B62&amp;" Equity","ivol_mid")</f>
        <v>48.941630000000004</v>
      </c>
      <c r="W62" s="38" cm="1">
        <f t="array" ref="W62">_xll.BDP(B62&amp;" Equity","DELTA_MID_RT")</f>
        <v>-0.19109269976615906</v>
      </c>
      <c r="X62" s="48">
        <f>Y62/'Master P&amp;L'!$AE$5</f>
        <v>-2.7367880919094078E-4</v>
      </c>
      <c r="Y62" s="15">
        <f>IF(G62="Sell", S62*W62*-H62*O62/N62, S62*W62*H62*O62/N62)</f>
        <v>-576889.75132405758</v>
      </c>
      <c r="Z62" s="15" cm="1">
        <f t="array" ref="Z62">_xll.BDP($B62&amp;" Equity","opt_theta")*H62*O62/N62</f>
        <v>-6123.04</v>
      </c>
      <c r="AA62" s="19" cm="1">
        <f t="array" ref="AA62">_xll.BDP($B62&amp;" Equity","opt_theta")/I62</f>
        <v>-0.34206927374301671</v>
      </c>
      <c r="AB62" s="36" t="str" cm="1">
        <f t="array" ref="AB62">_xll.BDP($C62&amp;" Equity","EXPECTED_REPORT_DT")</f>
        <v>12/02/2026</v>
      </c>
      <c r="AC62" s="15">
        <f>S62*H62*O62/N62</f>
        <v>3018900</v>
      </c>
      <c r="AD62" s="48">
        <f>AC62/'Master P&amp;L'!$AE$5</f>
        <v>1.4321782544589232E-3</v>
      </c>
      <c r="AE62" t="str">
        <f>B62&amp;" -&gt; Buy to open "&amp;H62&amp;"x"</f>
        <v>AMAT US 01/16/26 P290 -&gt; Buy to open 100x</v>
      </c>
      <c r="AJ62" t="s">
        <v>257</v>
      </c>
    </row>
    <row r="63" spans="1:36">
      <c r="A63" s="98" t="s">
        <v>256</v>
      </c>
      <c r="B63" s="59" t="s">
        <v>2380</v>
      </c>
      <c r="C63" t="str" cm="1">
        <f t="array" ref="C63">_xll.BDP(B63&amp;" Equity","OPT_UNDL_TICKER")</f>
        <v>AMAT US</v>
      </c>
      <c r="D63" t="str" cm="1">
        <f t="array" ref="D63">_xll.BDP($B63&amp;" Index","mifid_Maturity_date")</f>
        <v>16/01/2026</v>
      </c>
      <c r="E63" cm="1">
        <f t="array" ref="E63">_xll.BDP($B63&amp;" Index","opt_days_expire")</f>
        <v>2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100</v>
      </c>
      <c r="I63" s="97">
        <f>IF(G63="Buy",L63,K63)</f>
        <v>0.22</v>
      </c>
      <c r="J63" s="19">
        <f>I63/S63</f>
        <v>7.2874225711351819E-4</v>
      </c>
      <c r="K63" s="36" cm="1">
        <f t="array" ref="K63">_xll.BDP($B63&amp;" Equity","bid")</f>
        <v>0.22</v>
      </c>
      <c r="L63" s="36" cm="1">
        <f t="array" ref="L63">_xll.BDP($B63&amp;" Equity","ask")</f>
        <v>0.73</v>
      </c>
      <c r="M63" s="40">
        <f>(L63/K63-1)</f>
        <v>2.3181818181818179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-2200</v>
      </c>
      <c r="Q63" s="58">
        <f>P63/'Master P&amp;L'!$AD$5*10000</f>
        <v>-1.0436888137432944E-2</v>
      </c>
      <c r="R63" s="37" cm="1">
        <f t="array" ref="R63">_xll.BDP($C63&amp;" Equity","EST_PE_NXT_YR")*(T63/S63)</f>
        <v>24.333234376488633</v>
      </c>
      <c r="S63" s="36" cm="1">
        <f t="array" ref="S63">_xll.BDP(C63&amp;" Equity","LAST_PRICE")</f>
        <v>301.89</v>
      </c>
      <c r="T63" s="53" cm="1">
        <f t="array" ref="T63">_xll.BDP(B63&amp;" Equity","OPT_STRIKE_PX")</f>
        <v>280</v>
      </c>
      <c r="U63" s="40">
        <f>T63/S63-1</f>
        <v>-7.2509854582795019E-2</v>
      </c>
      <c r="V63" s="37" cm="1">
        <f t="array" ref="V63">_xll.BDP($B63&amp;" Equity","ivol_mid")</f>
        <v>54.946129999999997</v>
      </c>
      <c r="W63" s="38" cm="1">
        <f t="array" ref="W63">_xll.BDP(B63&amp;" Equity","DELTA_MID_RT")</f>
        <v>-6.8007394671440125E-2</v>
      </c>
      <c r="X63" s="48">
        <f>Y63/'Master P&amp;L'!$AE$5</f>
        <v>9.7398711790842201E-5</v>
      </c>
      <c r="Y63" s="15">
        <f>IF(G63="Sell", S63*W63*-H63*O63/N63, S63*W63*H63*O63/N63)</f>
        <v>205307.52377361059</v>
      </c>
      <c r="Z63" s="15" cm="1">
        <f t="array" ref="Z63">_xll.BDP($B63&amp;" Equity","opt_theta")*H63*O63/N63</f>
        <v>-2803.32</v>
      </c>
      <c r="AA63" s="19" cm="1">
        <f t="array" ref="AA63">_xll.BDP($B63&amp;" Equity","opt_theta")/I63</f>
        <v>-1.2742363636363638</v>
      </c>
      <c r="AB63" s="36" t="str" cm="1">
        <f t="array" ref="AB63">_xll.BDP($C63&amp;" Equity","EXPECTED_REPORT_DT")</f>
        <v>12/02/2026</v>
      </c>
      <c r="AC63" s="15">
        <f>S63*H63*O63/N63</f>
        <v>3018900</v>
      </c>
      <c r="AD63" s="48">
        <f>AC63/'Master P&amp;L'!$AE$5</f>
        <v>1.4321782544589232E-3</v>
      </c>
      <c r="AE63" t="str">
        <f>B63&amp;" -&gt; Buy to open "&amp;H63&amp;"x"</f>
        <v>AMAT US 01/16/26 P280 -&gt; Buy to open 100x</v>
      </c>
      <c r="AJ63" t="s">
        <v>257</v>
      </c>
    </row>
    <row r="64" spans="1:36">
      <c r="H64" s="100" t="s">
        <v>116</v>
      </c>
      <c r="I64" s="102">
        <f>I62-I63</f>
        <v>1.57</v>
      </c>
      <c r="J64" s="100" t="s">
        <v>249</v>
      </c>
      <c r="K64" s="101">
        <f>K63/L62</f>
        <v>0.12290502793296089</v>
      </c>
      <c r="L64" s="64"/>
      <c r="P64" s="100" t="s">
        <v>250</v>
      </c>
      <c r="Q64" s="108">
        <f>Q62+Q63</f>
        <v>7.4481428980771452E-2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-1.7628009740009858E-4</v>
      </c>
      <c r="Y64" s="13">
        <f>Y62+Y63</f>
        <v>-371582.22755044699</v>
      </c>
      <c r="AC64" s="100" t="s">
        <v>229</v>
      </c>
      <c r="AD64" s="122">
        <f>AD62</f>
        <v>1.4321782544589232E-3</v>
      </c>
    </row>
    <row r="65" spans="1:31">
      <c r="H65" s="100" t="s">
        <v>253</v>
      </c>
      <c r="I65" s="102">
        <f>(T64-I64)/I64</f>
        <v>5.3694267515923562</v>
      </c>
      <c r="J65" s="100" t="s">
        <v>145</v>
      </c>
      <c r="K65" s="109">
        <f>AVERAGE(K62:L62)-AVERAGE(K63:L63)</f>
        <v>1.0699999999999998</v>
      </c>
      <c r="P65" s="100"/>
      <c r="Q65" s="108"/>
      <c r="S65" s="100"/>
      <c r="T65" s="102"/>
      <c r="W65" s="100"/>
      <c r="X65" s="122"/>
      <c r="Z65" s="3">
        <f>Y64/S62</f>
        <v>-1230.8530509471893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2356</v>
      </c>
      <c r="C68" t="str" cm="1">
        <f t="array" ref="C68">_xll.BDP(B68&amp;" Equity","OPT_UNDL_TICKER")</f>
        <v>QQQ US</v>
      </c>
      <c r="D68" t="str">
        <f>_xll.BDP($B68&amp;" Index","mifid_Maturity_date")</f>
        <v>13/01/2026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0.01</v>
      </c>
      <c r="J68" s="19">
        <f>I68/S68</f>
        <v>1.6140747316600761E-5</v>
      </c>
      <c r="K68" s="36" t="str" cm="1">
        <f t="array" ref="K68">_xll.BDP($B68&amp;" Equity","bid")</f>
        <v>#N/A N/A</v>
      </c>
      <c r="L68" s="36" cm="1">
        <f t="array" ref="L68">_xll.BDP($B68&amp;" Equity","ask")</f>
        <v>0.01</v>
      </c>
      <c r="M68" s="40" t="e">
        <f>(L68/K68-1)</f>
        <v>#VALUE!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500</v>
      </c>
      <c r="Q68" s="58">
        <f>P68/'Master P&amp;L'!$AD$5*10000</f>
        <v>2.3720200312347599E-3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619.54999999999995</v>
      </c>
      <c r="T68" s="53" cm="1">
        <f t="array" ref="T68">_xll.BDP(B68&amp;" Equity","OPT_STRIKE_PX")</f>
        <v>623</v>
      </c>
      <c r="U68" s="40">
        <f>T68/S68-1</f>
        <v>5.5685578242272715E-3</v>
      </c>
      <c r="V68" s="37" cm="1">
        <f t="array" ref="V68">_xll.BDP($B68&amp;" Equity","ivol_mid")</f>
        <v>107.3395</v>
      </c>
      <c r="W68" s="38" cm="1">
        <f t="array" ref="W68">_xll.BDP(B68&amp;" Equity","DELTA_MID_RT")</f>
        <v>-7.6261195354163647E-3</v>
      </c>
      <c r="X68" s="48">
        <f>Y68/'Master P&amp;L'!$AE$5</f>
        <v>-1.1207230956396597E-4</v>
      </c>
      <c r="Y68" s="15">
        <f>IF(G68="Sell", S68*W68*-H68*O68/N68, S68*W68*H68*O68/N68)</f>
        <v>-236238.11790836038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30977500</v>
      </c>
      <c r="AD68" s="48">
        <f>AC68/'Master P&amp;L'!$AE$5</f>
        <v>1.4695850103514953E-2</v>
      </c>
      <c r="AE68" t="str">
        <f>B68&amp;" -&gt; Buy to open "&amp;H68&amp;"x"</f>
        <v>QQQ US 01/13/26 P623 -&gt; Buy to open 500x</v>
      </c>
    </row>
    <row r="69" spans="1:31">
      <c r="A69" s="98" t="s">
        <v>256</v>
      </c>
      <c r="B69" s="59" t="s">
        <v>2357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13/01/2026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 t="str">
        <f>IF(G69="Buy",L69,K69)</f>
        <v>#N/A N/A</v>
      </c>
      <c r="J69" s="19" t="e">
        <f>I69/S69</f>
        <v>#VALUE!</v>
      </c>
      <c r="K69" s="36" t="str" cm="1">
        <f t="array" ref="K69">_xll.BDP($B69&amp;" Equity","bid")</f>
        <v>#N/A N/A</v>
      </c>
      <c r="L69" s="36" cm="1">
        <f t="array" ref="L69">_xll.BDP($B69&amp;" Equity","ask")</f>
        <v>0.01</v>
      </c>
      <c r="M69" s="40" t="e">
        <f>(L69/K69-1)</f>
        <v>#VALUE!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619.54999999999995</v>
      </c>
      <c r="T69" s="53" cm="1">
        <f t="array" ref="T69">_xll.BDP(B69&amp;" Equity","OPT_STRIKE_PX")</f>
        <v>622</v>
      </c>
      <c r="U69" s="40">
        <f>T69/S69-1</f>
        <v>3.9544830925672958E-3</v>
      </c>
      <c r="V69" s="37" cm="1">
        <f t="array" ref="V69">_xll.BDP($B69&amp;" Equity","ivol_mid")</f>
        <v>134.70240000000001</v>
      </c>
      <c r="W69" s="38" cm="1">
        <f t="array" ref="W69">_xll.BDP(B69&amp;" Equity","DELTA_MID_RT")</f>
        <v>-9.0979998931288719E-3</v>
      </c>
      <c r="X69" s="48">
        <f>Y69/'Master P&amp;L'!$AE$5</f>
        <v>1.3370284267121699E-4</v>
      </c>
      <c r="Y69" s="15">
        <f>IF(G69="Sell", S69*W69*-H69*O69/N69, S69*W69*H69*O69/N69)</f>
        <v>281833.29168939963</v>
      </c>
      <c r="Z69" s="15" cm="1">
        <f t="array" ref="Z69">_xll.BDP($B69&amp;" Equity","opt_theta")*H69*O69/N69</f>
        <v>0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>
        <f>S69*H69*O69/N69</f>
        <v>30977500</v>
      </c>
      <c r="AD69" s="48">
        <f>AC69/'Master P&amp;L'!$AE$5</f>
        <v>1.4695850103514953E-2</v>
      </c>
      <c r="AE69" t="str">
        <f>B69&amp;" -&gt; Buy to open "&amp;H69&amp;"x"</f>
        <v>QQQ US 01/13/26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>
        <f>X68+X69</f>
        <v>2.163053310725102E-5</v>
      </c>
      <c r="AC70" s="100" t="s">
        <v>229</v>
      </c>
      <c r="AD70" s="122">
        <f>AD68</f>
        <v>1.4695850103514953E-2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>
        <f>AVERAGE(K68:L68)-AVERAGE(K69:L69)</f>
        <v>0</v>
      </c>
      <c r="P71" s="100"/>
      <c r="Q71" s="108"/>
      <c r="S71" s="100"/>
      <c r="T71" s="102"/>
      <c r="W71" s="100"/>
      <c r="X71" s="122"/>
      <c r="Y71" s="13">
        <f>Y68+Y69</f>
        <v>45595.173781039251</v>
      </c>
      <c r="AC71" s="100"/>
      <c r="AD71" s="104"/>
    </row>
    <row r="72" spans="1:31">
      <c r="K72" s="64">
        <f>K62-K71</f>
        <v>1.3</v>
      </c>
      <c r="L72" s="64">
        <f>L68-L69</f>
        <v>0</v>
      </c>
      <c r="P72" s="13">
        <f>-P62-P67</f>
        <v>-17900</v>
      </c>
      <c r="Y72" s="64">
        <f>Y71/S68</f>
        <v>73.594017885625462</v>
      </c>
    </row>
    <row r="73" spans="1:31">
      <c r="I73" s="3"/>
      <c r="K73" s="64">
        <f>K71-K65</f>
        <v>-1.0699999999999998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2123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Real Time</v>
      </c>
      <c r="G75" s="105" t="s">
        <v>248</v>
      </c>
      <c r="H75" s="96">
        <v>100</v>
      </c>
      <c r="I75" s="97" t="str">
        <f>IF(G75="Buy",L75,K75)</f>
        <v>#N/A Real Time</v>
      </c>
      <c r="J75" s="19" t="e">
        <f>I75/S75</f>
        <v>#VALUE!</v>
      </c>
      <c r="K75" s="36" t="str" cm="1">
        <f t="array" ref="K75">_xll.BDP($B75&amp;" Equity","bid")</f>
        <v>#N/A Real Time</v>
      </c>
      <c r="L75" s="36" t="str" cm="1">
        <f t="array" ref="L75">_xll.BDP($B75&amp;" Equity","ask")</f>
        <v>#N/A Real Time</v>
      </c>
      <c r="M75" s="40" t="e">
        <f>(L75/K75-1)</f>
        <v>#VALUE!</v>
      </c>
      <c r="N75" s="36" t="str" cm="1">
        <f t="array" ref="N75">_xll.BDP(F75&amp;" Curncy","PX_LAST")</f>
        <v>#N/A Real Time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388.35</v>
      </c>
      <c r="T75" s="53" cm="1">
        <f t="array" ref="T75">_xll.BDP(B75&amp;" Equity","OPT_STRIKE_PX")</f>
        <v>355</v>
      </c>
      <c r="U75" s="19">
        <f>T75/S75-1</f>
        <v>-8.5876142654821686E-2</v>
      </c>
      <c r="V75" s="37" t="str" cm="1">
        <f t="array" ref="V75">_xll.BDP($B75&amp;" Equity","ivol_mid")</f>
        <v>#N/A N/A</v>
      </c>
      <c r="W75" s="38" t="str" cm="1">
        <f t="array" ref="W75">_xll.BDP(B75&amp;" Equity","DELTA_MID_RT")</f>
        <v>#N/A Real Time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2179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t="str" cm="1">
        <f t="array" ref="E76">_xll.BDP($B76&amp;" Equity","opt_days_expire")</f>
        <v>#N/A N/A</v>
      </c>
      <c r="F76" t="s">
        <v>194</v>
      </c>
      <c r="G76" s="105" t="s">
        <v>247</v>
      </c>
      <c r="H76" s="96">
        <v>25</v>
      </c>
      <c r="I76" s="97">
        <f>IF(G76="Buy",L76,K76)</f>
        <v>0.5</v>
      </c>
      <c r="J76" s="19">
        <f>I76/S76</f>
        <v>1.2874983906270116E-3</v>
      </c>
      <c r="K76" s="36" t="str" cm="1">
        <f t="array" ref="K76">_xll.BDP($B76&amp;" Equity","bid")</f>
        <v>#N/A N/A</v>
      </c>
      <c r="L76" s="36" cm="1">
        <f t="array" ref="L76">_xll.BDP($B76&amp;" Equity","ask")</f>
        <v>0.5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1250</v>
      </c>
      <c r="Q76" s="58">
        <f>P76/'Master P&amp;L'!$AD$5*10000</f>
        <v>5.930050078086899E-3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388.35</v>
      </c>
      <c r="T76" s="53" cm="1">
        <f t="array" ref="T76">_xll.BDP(B76&amp;" Equity","OPT_STRIKE_PX")</f>
        <v>355</v>
      </c>
      <c r="U76" s="19">
        <f>T76/S76-1</f>
        <v>-8.5876142654821686E-2</v>
      </c>
      <c r="V76" s="37" cm="1">
        <f t="array" ref="V76">_xll.BDP($B76&amp;" Equity","ivol_mid")</f>
        <v>2293.0790000000002</v>
      </c>
      <c r="W76" s="38" cm="1">
        <f t="array" ref="W76">_xll.BDP(B76&amp;" Equity","DELTA_MID_RT")</f>
        <v>-1.5084000304341316E-2</v>
      </c>
      <c r="X76" s="48">
        <f>Y76/'Master P&amp;L'!$AE$5</f>
        <v>-6.9474942907742553E-6</v>
      </c>
      <c r="Y76" s="15">
        <f>IF(G76="Sell", S76*W76*-H76*O76/N76, S76*W76*H76*O76/N76)</f>
        <v>-14644.678795477379</v>
      </c>
      <c r="Z76" s="15" cm="1">
        <f t="array" ref="Z76">_xll.BDP($B76&amp;" Equity","opt_theta")*H76*O76/N76</f>
        <v>0</v>
      </c>
      <c r="AA76" s="19" cm="1">
        <f t="array" ref="AA76">_xll.BDP($B76&amp;" Equity","opt_theta")/I76</f>
        <v>0</v>
      </c>
      <c r="AB76" s="36" t="str" cm="1">
        <f t="array" ref="AB76">_xll.BDP($C76&amp;" Equity","EXPECTED_REPORT_DT")</f>
        <v>#N/A N/A</v>
      </c>
      <c r="AC76" s="15">
        <f>S76*H76*O76/N76</f>
        <v>970875</v>
      </c>
      <c r="AD76" s="48">
        <f>AC76/'Master P&amp;L'!$AE$5</f>
        <v>4.605869895650095E-4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2162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65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45.15</v>
      </c>
      <c r="J81" s="19">
        <f>I81/S81</f>
        <v>0.13544322783860804</v>
      </c>
      <c r="K81" s="36">
        <f>_xll.BDP($B81&amp;" Equity","bid")</f>
        <v>44.05</v>
      </c>
      <c r="L81" s="36">
        <f>_xll.BDP($B81&amp;" Equity","ask")</f>
        <v>45.15</v>
      </c>
      <c r="M81" s="40">
        <f>(L81/K81-1)</f>
        <v>2.4971623155505052E-2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451500</v>
      </c>
      <c r="Q81" s="58">
        <f>P81/'Master P&amp;L'!$AD$5*10000</f>
        <v>2.1419340882049882</v>
      </c>
      <c r="R81" s="37" cm="1">
        <f t="array" ref="R81">_xll.BDP($C81&amp;" Equity","EST_PE_NXT_YR")*(T81/S81)</f>
        <v>8.8414306974605346</v>
      </c>
      <c r="S81" s="36" cm="1">
        <f t="array" ref="S81">_xll.BDP(C81&amp;" Equity","LAST_PRICE")</f>
        <v>333.35</v>
      </c>
      <c r="T81" s="53" cm="1">
        <f t="array" ref="T81">_xll.BDP(B81&amp;" Equity","OPT_STRIKE_PX")</f>
        <v>350</v>
      </c>
      <c r="U81" s="19">
        <f>T81/S81-1</f>
        <v>4.9947502624868578E-2</v>
      </c>
      <c r="V81" s="37" cm="1">
        <f t="array" ref="V81">_xll.BDP($B81&amp;" Equity","ivol_mid")</f>
        <v>64.192160000000001</v>
      </c>
      <c r="W81" s="38">
        <f>_xll.BDP(B81&amp;" Equity","DELTA_MID_RT")</f>
        <v>-0.51075559854507446</v>
      </c>
      <c r="X81" s="48">
        <f>Y81/'Master P&amp;L'!$AE$5</f>
        <v>-8.0772205795983775E-4</v>
      </c>
      <c r="Y81" s="15">
        <f>IF(G81="Sell", S81*W81*-H81*O81/N81, S81*W81*H81*O81/N81)</f>
        <v>-1702603.7877500057</v>
      </c>
      <c r="Z81" s="15" cm="1">
        <f t="array" ref="Z81">_xll.BDP($B81&amp;" Equity","opt_theta")*H81*O81/N81</f>
        <v>-2698.99</v>
      </c>
      <c r="AA81" s="19" cm="1">
        <f t="array" ref="AA81">_xll.BDP($B81&amp;" Equity","opt_theta")/I81</f>
        <v>-5.9778294573643413E-3</v>
      </c>
      <c r="AB81" s="36" t="str" cm="1">
        <f t="array" ref="AB81">_xll.BDP($C81&amp;" Equity","EXPECTED_REPORT_DT")</f>
        <v>20/03/2026</v>
      </c>
      <c r="AC81" s="15">
        <f>S81*H81*O81/N81</f>
        <v>3333500</v>
      </c>
      <c r="AD81" s="48">
        <f>AC81/'Master P&amp;L'!$AE$5</f>
        <v>1.5814257548242144E-3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1.5814257548242144E-3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-232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-232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-289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-289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-289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-289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-418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-362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-236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-236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-391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-391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-387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-201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-201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-201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-117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-117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2057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-19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25623</v>
      </c>
      <c r="T153" s="53" cm="1">
        <f t="array" ref="T153">_xll.BDP(B153&amp;" Index","OPT_STRIKE_PX")</f>
        <v>25750</v>
      </c>
      <c r="U153" s="40">
        <f>T153/S153-1</f>
        <v>4.9564844085392412E-3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2057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-19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25623</v>
      </c>
      <c r="T154" s="53" cm="1">
        <f t="array" ref="T154">_xll.BDP(B154&amp;" Index","OPT_STRIKE_PX")</f>
        <v>25750</v>
      </c>
      <c r="U154" s="40">
        <f>T154/S154-1</f>
        <v>4.9564844085392412E-3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2182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6926.6</v>
      </c>
      <c r="T160" s="53" cm="1">
        <f t="array" ref="T160">_xll.BDP(B160&amp;" Index","OPT_STRIKE_PX")</f>
        <v>6950</v>
      </c>
      <c r="U160" s="40">
        <f>T160/S160-1</f>
        <v>3.3782808304219092E-3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69266000</v>
      </c>
      <c r="AD160" s="48">
        <f>AC160/'Master P&amp;L'!$AE$5</f>
        <v>3.2860067896701373E-2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3.2860067896701373E-2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-9</v>
      </c>
    </row>
    <row r="168" spans="1:37">
      <c r="A168">
        <v>300</v>
      </c>
      <c r="H168" s="276">
        <v>1</v>
      </c>
      <c r="I168" s="64">
        <f>I170-I171</f>
        <v>-9</v>
      </c>
      <c r="K168" s="129"/>
    </row>
    <row r="169" spans="1:37">
      <c r="A169" s="237">
        <v>1</v>
      </c>
      <c r="B169" s="385" t="s">
        <v>2110</v>
      </c>
      <c r="C169" t="str" cm="1">
        <f t="array" ref="C169">_xll.BDP(B169&amp;" Equity","OPT_UNDL_TICKER")</f>
        <v>META US</v>
      </c>
      <c r="D169" s="64">
        <f>A169*AVERAGE(K169:L169)</f>
        <v>7.9750000000000005</v>
      </c>
      <c r="E169" cm="1">
        <f t="array" ref="E169">_xll.BDP($B169&amp;" Index","opt_days_expire")</f>
        <v>93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7.9</v>
      </c>
      <c r="J169" s="19">
        <f>I169/S169</f>
        <v>1.2834676371198337E-2</v>
      </c>
      <c r="K169" s="36" cm="1">
        <f t="array" ref="K169">_xll.BDP($B169&amp;" Equity","bid")</f>
        <v>7.9</v>
      </c>
      <c r="L169" s="36" cm="1">
        <f t="array" ref="L169">_xll.BDP($B169&amp;" Equity","ask")</f>
        <v>8.0500000000000007</v>
      </c>
      <c r="M169" s="40">
        <f>(L169/K169-1)</f>
        <v>1.8987341772152E-2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-31600</v>
      </c>
      <c r="Q169" s="58">
        <f>P169/'Master P&amp;L'!$AD$5*10000</f>
        <v>-0.14991166597403682</v>
      </c>
      <c r="R169" s="37" cm="1">
        <f t="array" ref="R169">_xll.BDP($C169&amp;" Equity","EST_PE_NXT_YR")*(T169/S169)</f>
        <v>22.315376737608222</v>
      </c>
      <c r="S169" s="36" cm="1">
        <f t="array" ref="S169">_xll.BDP(C169&amp;" Equity","LAST_PRICE")</f>
        <v>615.52</v>
      </c>
      <c r="T169" s="53" cm="1">
        <f t="array" ref="T169">_xll.BDP(B169&amp;" Equity","OPT_STRIKE_PX")</f>
        <v>750</v>
      </c>
      <c r="U169" s="40">
        <f>T169/S169-1</f>
        <v>0.21848193397452564</v>
      </c>
      <c r="V169" s="37" cm="1">
        <f t="array" ref="V169">_xll.BDP($B169&amp;" Equity","ivol_mid")</f>
        <v>34.005870000000002</v>
      </c>
      <c r="W169" s="38" cm="1">
        <f t="array" ref="W169">_xll.BDP(B169&amp;" Equity","DELTA_MID_RT")</f>
        <v>0.15584051609039307</v>
      </c>
      <c r="X169" s="48">
        <f>Y169/'Master P&amp;L'!$AE$5</f>
        <v>-1.8202493555498386E-4</v>
      </c>
      <c r="Y169" s="15">
        <f>IF(G169="Sell", S169*W169*-H169*O169/N169, S169*W169*H169*O169/N169)</f>
        <v>-383691.8178558349</v>
      </c>
      <c r="Z169" s="15" cm="1">
        <f t="array" ref="Z169">_xll.BDP($B169&amp;" Equity","opt_theta")*H169*O169/N169</f>
        <v>-553.93200000000002</v>
      </c>
      <c r="AA169" s="19" cm="1">
        <f t="array" ref="AA169">_xll.BDP($B169&amp;" Equity","opt_theta")/I169</f>
        <v>-1.7529493670886076E-2</v>
      </c>
      <c r="AB169" s="36" t="str" cm="1">
        <f t="array" ref="AB169">_xll.BDP($C169&amp;" Equity","EXPECTED_REPORT_DT")</f>
        <v>29/01/2026</v>
      </c>
      <c r="AC169" s="15">
        <f>S169*H169*O169/N169</f>
        <v>2462080</v>
      </c>
      <c r="AD169" s="19">
        <f>AC169/'Master P&amp;L'!$AE$5</f>
        <v>1.1680206157004954E-3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2111</v>
      </c>
      <c r="C170" t="str" cm="1">
        <f t="array" ref="C170">_xll.BDP(B170&amp;" Equity","OPT_UNDL_TICKER")</f>
        <v>META US</v>
      </c>
      <c r="D170" s="64">
        <f>A170*AVERAGE(K170:L170)</f>
        <v>36.450000000000003</v>
      </c>
      <c r="E170" cm="1">
        <f t="array" ref="E170">_xll.BDP($B170&amp;" Index","opt_days_expire")</f>
        <v>93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18.45</v>
      </c>
      <c r="J170" s="19">
        <f>I170/S170</f>
        <v>2.9974655575773331E-2</v>
      </c>
      <c r="K170" s="36" cm="1">
        <f t="array" ref="K170">_xll.BDP($B170&amp;" Equity","bid")</f>
        <v>18</v>
      </c>
      <c r="L170" s="36" cm="1">
        <f t="array" ref="L170">_xll.BDP($B170&amp;" Equity","ask")</f>
        <v>18.45</v>
      </c>
      <c r="M170" s="40">
        <f>(L170/K170-1)</f>
        <v>2.4999999999999911E-2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73800</v>
      </c>
      <c r="Q170" s="58">
        <f>P170/'Master P&amp;L'!$AD$5*10000</f>
        <v>0.35011015661025058</v>
      </c>
      <c r="R170" s="37" cm="1">
        <f t="array" ref="R170">_xll.BDP($C170&amp;" Equity","EST_PE_NXT_YR")*(T170/S170)</f>
        <v>20.530146598599565</v>
      </c>
      <c r="S170" s="36" cm="1">
        <f t="array" ref="S170">_xll.BDP(C170&amp;" Equity","LAST_PRICE")</f>
        <v>615.52</v>
      </c>
      <c r="T170" s="53" cm="1">
        <f t="array" ref="T170">_xll.BDP(B170&amp;" Equity","OPT_STRIKE_PX")</f>
        <v>690</v>
      </c>
      <c r="U170" s="40">
        <f>T170/S170-1</f>
        <v>0.12100337925656368</v>
      </c>
      <c r="V170" s="37" cm="1">
        <f t="array" ref="V170">_xll.BDP($B170&amp;" Equity","ivol_mid")</f>
        <v>33.763010000000001</v>
      </c>
      <c r="W170" s="38" cm="1">
        <f t="array" ref="W170">_xll.BDP(B170&amp;" Equity","DELTA_MID_RT")</f>
        <v>0.29866752028465271</v>
      </c>
      <c r="X170" s="48">
        <f>Y170/'Master P&amp;L'!$AE$5</f>
        <v>3.4884982093262026E-4</v>
      </c>
      <c r="Y170" s="15">
        <f>IF(G170="Sell", S170*W170*-H170*O170/N170, S170*W170*H170*O170/N170)</f>
        <v>735343.32834243774</v>
      </c>
      <c r="Z170" s="15" cm="1">
        <f t="array" ref="Z170">_xll.BDP($B170&amp;" Equity","opt_theta")*H170*O170/N170</f>
        <v>-784.80399999999997</v>
      </c>
      <c r="AA170" s="19" cm="1">
        <f t="array" ref="AA170">_xll.BDP($B170&amp;" Equity","opt_theta")/I170</f>
        <v>-1.063420054200542E-2</v>
      </c>
      <c r="AB170" s="36" t="str" cm="1">
        <f t="array" ref="AB170">_xll.BDP($C170&amp;" Equity","EXPECTED_REPORT_DT")</f>
        <v>29/01/2026</v>
      </c>
      <c r="AC170" s="15">
        <f>S170*H170*O170/N170</f>
        <v>2462080</v>
      </c>
      <c r="AD170" s="48">
        <f>AC170/'Master P&amp;L'!$AE$5</f>
        <v>1.1680206157004954E-3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2112</v>
      </c>
      <c r="C171" t="str" cm="1">
        <f t="array" ref="C171">_xll.BDP(B171&amp;" Equity","OPT_UNDL_TICKER")</f>
        <v>META US</v>
      </c>
      <c r="D171" s="64">
        <f>A171*AVERAGE(K171:L171)</f>
        <v>55.55</v>
      </c>
      <c r="E171" cm="1">
        <f t="array" ref="E171">_xll.BDP($B171&amp;" Index","opt_days_expire")</f>
        <v>93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27.45</v>
      </c>
      <c r="J171" s="19">
        <f>I171/S171</f>
        <v>4.459643878346764E-2</v>
      </c>
      <c r="K171" s="36" cm="1">
        <f t="array" ref="K171">_xll.BDP($B171&amp;" Equity","bid")</f>
        <v>27.45</v>
      </c>
      <c r="L171" s="36" cm="1">
        <f t="array" ref="L171">_xll.BDP($B171&amp;" Equity","ask")</f>
        <v>28.1</v>
      </c>
      <c r="M171" s="40">
        <f>(L171/K171-1)</f>
        <v>2.3679417122040247E-2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-109800</v>
      </c>
      <c r="Q171" s="58">
        <f>P171/'Master P&amp;L'!$AD$5*10000</f>
        <v>-0.52089559885915326</v>
      </c>
      <c r="R171" s="37" cm="1">
        <f t="array" ref="R171">_xll.BDP($C171&amp;" Equity","EST_PE_NXT_YR")*(T171/S171)</f>
        <v>17.554763033585136</v>
      </c>
      <c r="S171" s="36" cm="1">
        <f t="array" ref="S171">_xll.BDP(C171&amp;" Equity","LAST_PRICE")</f>
        <v>615.52</v>
      </c>
      <c r="T171" s="53" cm="1">
        <f t="array" ref="T171">_xll.BDP(B171&amp;" Equity","OPT_STRIKE_PX")</f>
        <v>590</v>
      </c>
      <c r="U171" s="40">
        <f>T171/S171-1</f>
        <v>-4.1460878606706442E-2</v>
      </c>
      <c r="V171" s="37" cm="1">
        <f t="array" ref="V171">_xll.BDP(B171&amp;" Equity","ivol_mid")</f>
        <v>34.517290000000003</v>
      </c>
      <c r="W171" s="38" cm="1">
        <f t="array" ref="W171">_xll.BDP(B171&amp;" Equity","DELTA_MID_RT")</f>
        <v>-0.35384657979011536</v>
      </c>
      <c r="X171" s="48">
        <f>Y171/'Master P&amp;L'!$AE$5</f>
        <v>4.1330009998996506E-4</v>
      </c>
      <c r="Y171" s="15">
        <f>IF(G171="Sell", S171*W171*-H171*O171/N171, S171*W171*H171*O171/N171)</f>
        <v>871198.58716964722</v>
      </c>
      <c r="Z171" s="15" cm="1">
        <f t="array" ref="Z171">_xll.BDP($B171&amp;" Equity","opt_theta")*H171*O171/N171</f>
        <v>-858.96799999999996</v>
      </c>
      <c r="AA171" s="19" cm="1">
        <f t="array" ref="AA171">_xll.BDP($B171&amp;" Equity","opt_theta")/I171</f>
        <v>-7.8230236794171217E-3</v>
      </c>
      <c r="AB171" s="36" t="str" cm="1">
        <f t="array" ref="AB171">_xll.BDP($C171&amp;" Equity","EXPECTED_REPORT_DT")</f>
        <v>29/01/2026</v>
      </c>
      <c r="AC171" s="15">
        <f>S171*H171*O171/N171</f>
        <v>2462080</v>
      </c>
      <c r="AD171" s="19">
        <f>AC171/'Master P&amp;L'!$AE$5</f>
        <v>1.1680206157004954E-3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-16.899999999999999</v>
      </c>
      <c r="J172" s="100" t="s">
        <v>249</v>
      </c>
      <c r="K172" s="101">
        <f>K171/L170</f>
        <v>1.4878048780487805</v>
      </c>
      <c r="P172" s="130">
        <f>P170+P171+P169</f>
        <v>-67600</v>
      </c>
      <c r="Q172" s="58">
        <f>P172/'Master P&amp;L'!$AD$5*10000</f>
        <v>-0.32069710822293951</v>
      </c>
      <c r="S172" s="100" t="s">
        <v>251</v>
      </c>
      <c r="T172" s="102"/>
      <c r="W172" s="100" t="s">
        <v>252</v>
      </c>
      <c r="X172" s="122">
        <f>X170+X171+X169</f>
        <v>5.8012498536760143E-4</v>
      </c>
      <c r="AC172" s="100" t="s">
        <v>229</v>
      </c>
      <c r="AD172" s="122">
        <f>AD170</f>
        <v>1.1680206157004954E-3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-17.524999999999999</v>
      </c>
      <c r="P173" s="100"/>
      <c r="Q173" s="108"/>
      <c r="S173" s="100"/>
      <c r="T173" s="102"/>
      <c r="W173" s="100"/>
      <c r="X173" s="122"/>
      <c r="Y173" s="13">
        <f>(Y169+Y170+Y171)/S170</f>
        <v>1986.6943359375</v>
      </c>
      <c r="AC173" s="100"/>
      <c r="AD173" s="104"/>
    </row>
    <row r="174" spans="1:37">
      <c r="D174" s="64"/>
      <c r="H174" s="96"/>
      <c r="I174" s="64">
        <f>(I170*A170)-(I171*A171)-(I169*A169)</f>
        <v>-25.9</v>
      </c>
      <c r="K174" s="64"/>
      <c r="N174" s="36"/>
      <c r="O174" s="162"/>
      <c r="P174" s="15"/>
      <c r="Q174" s="58"/>
    </row>
    <row r="175" spans="1:37">
      <c r="I175" s="21">
        <f>I171/I170</f>
        <v>1.4878048780487805</v>
      </c>
    </row>
    <row r="176" spans="1:37">
      <c r="I176" s="21"/>
    </row>
    <row r="177" spans="1:37">
      <c r="H177" s="276">
        <v>1</v>
      </c>
      <c r="I177" s="64">
        <f>I179-I178</f>
        <v>10.549999999999999</v>
      </c>
      <c r="J177" s="18">
        <f>T178-T179</f>
        <v>60</v>
      </c>
      <c r="K177" s="276">
        <f>(J177-I177)/I177</f>
        <v>4.6872037914691953</v>
      </c>
      <c r="Q177" s="276">
        <f>Q179+Q178</f>
        <v>0.10009924531810688</v>
      </c>
    </row>
    <row r="178" spans="1:37">
      <c r="A178" s="237"/>
      <c r="B178" t="s">
        <v>2110</v>
      </c>
      <c r="C178" t="str" cm="1">
        <f t="array" ref="C178">_xll.BDP(B178&amp;" Equity","OPT_UNDL_TICKER")</f>
        <v>META US</v>
      </c>
      <c r="D178" s="64">
        <f>A178*AVERAGE(K178:L178)</f>
        <v>0</v>
      </c>
      <c r="E178" cm="1">
        <f t="array" ref="E178">_xll.BDP($B178&amp;" Index","opt_days_expire")</f>
        <v>93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7.9</v>
      </c>
      <c r="J178" s="19">
        <f>I178/S178</f>
        <v>1.2834676371198337E-2</v>
      </c>
      <c r="K178" s="36" cm="1">
        <f t="array" ref="K178">_xll.BDP($B178&amp;" Equity","bid")</f>
        <v>7.9</v>
      </c>
      <c r="L178" s="36" cm="1">
        <f t="array" ref="L178">_xll.BDP($B178&amp;" Equity","ask")</f>
        <v>8.0500000000000007</v>
      </c>
      <c r="M178" s="40">
        <f>(L178/K178-1)</f>
        <v>1.8987341772152E-2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-15800</v>
      </c>
      <c r="Q178" s="58">
        <f>P178/'Master P&amp;L'!$AD$5*10000</f>
        <v>-7.4955832987018411E-2</v>
      </c>
      <c r="R178" s="37" cm="1">
        <f t="array" ref="R178">_xll.BDP($C178&amp;" Equity","EST_PE_NXT_YR")*(T178/S178)</f>
        <v>22.315376737608222</v>
      </c>
      <c r="S178" s="36" cm="1">
        <f t="array" ref="S178">_xll.BDP(C178&amp;" Equity","LAST_PRICE")</f>
        <v>615.52</v>
      </c>
      <c r="T178" s="53" cm="1">
        <f t="array" ref="T178">_xll.BDP(B178&amp;" Equity","OPT_STRIKE_PX")</f>
        <v>750</v>
      </c>
      <c r="U178" s="40">
        <f>T178/S178-1</f>
        <v>0.21848193397452564</v>
      </c>
      <c r="V178" s="37" cm="1">
        <f t="array" ref="V178">_xll.BDP($B178&amp;" Equity","ivol_mid")</f>
        <v>34.005870000000002</v>
      </c>
      <c r="W178" s="38" cm="1">
        <f t="array" ref="W178">_xll.BDP(B178&amp;" Equity","DELTA_MID_RT")</f>
        <v>0.15584051609039307</v>
      </c>
      <c r="X178" s="48">
        <f>Y178/'Master P&amp;L'!$AE$5</f>
        <v>-9.1012467777491928E-5</v>
      </c>
      <c r="Y178" s="15">
        <f>IF(G178="Sell", S178*W178*-H178*O178/N178, S178*W178*H178*O178/N178)</f>
        <v>-191845.90892791745</v>
      </c>
      <c r="Z178" s="15" cm="1">
        <f t="array" ref="Z178">_xll.BDP($B178&amp;" Equity","opt_theta")*H178*O178/N178</f>
        <v>-276.96600000000001</v>
      </c>
      <c r="AA178" s="19" cm="1">
        <f t="array" ref="AA178">_xll.BDP($B178&amp;" Equity","opt_theta")/I178</f>
        <v>-1.7529493670886076E-2</v>
      </c>
      <c r="AB178" s="36" t="str" cm="1">
        <f t="array" ref="AB178">_xll.BDP($C178&amp;" Equity","EXPECTED_REPORT_DT")</f>
        <v>29/01/2026</v>
      </c>
      <c r="AC178" s="15">
        <f>S178*H178*O178/N178</f>
        <v>1231040</v>
      </c>
      <c r="AD178" s="19">
        <f>AC178/'Master P&amp;L'!$AE$5</f>
        <v>5.8401030785024772E-4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2111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93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18.45</v>
      </c>
      <c r="J179" s="19">
        <f>I179/S179</f>
        <v>2.9974655575773331E-2</v>
      </c>
      <c r="K179" s="36" cm="1">
        <f t="array" ref="K179">_xll.BDP($B179&amp;" Equity","bid")</f>
        <v>18</v>
      </c>
      <c r="L179" s="36" cm="1">
        <f t="array" ref="L179">_xll.BDP($B179&amp;" Equity","ask")</f>
        <v>18.45</v>
      </c>
      <c r="M179" s="40">
        <f>(L179/K179-1)</f>
        <v>2.4999999999999911E-2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36900</v>
      </c>
      <c r="Q179" s="58">
        <f>P179/'Master P&amp;L'!$AD$5*10000</f>
        <v>0.17505507830512529</v>
      </c>
      <c r="R179" s="37" cm="1">
        <f t="array" ref="R179">_xll.BDP($C179&amp;" Equity","EST_PE_NXT_YR")*(T179/S179)</f>
        <v>20.530146598599565</v>
      </c>
      <c r="S179" s="36" cm="1">
        <f t="array" ref="S179">_xll.BDP(C179&amp;" Equity","LAST_PRICE")</f>
        <v>615.52</v>
      </c>
      <c r="T179" s="53" cm="1">
        <f t="array" ref="T179">_xll.BDP(B179&amp;" Equity","OPT_STRIKE_PX")</f>
        <v>690</v>
      </c>
      <c r="U179" s="40">
        <f>T179/S179-1</f>
        <v>0.12100337925656368</v>
      </c>
      <c r="V179" s="37" cm="1">
        <f t="array" ref="V179">_xll.BDP($B179&amp;" Equity","ivol_mid")</f>
        <v>33.763010000000001</v>
      </c>
      <c r="W179" s="38" cm="1">
        <f t="array" ref="W179">_xll.BDP(B179&amp;" Equity","DELTA_MID_RT")</f>
        <v>0.29866752028465271</v>
      </c>
      <c r="X179" s="48">
        <f>Y179/'Master P&amp;L'!$AE$5</f>
        <v>1.7442491046631013E-4</v>
      </c>
      <c r="Y179" s="15">
        <f>IF(G179="Sell", S179*W179*-H179*O179/N179, S179*W179*H179*O179/N179)</f>
        <v>367671.66417121887</v>
      </c>
      <c r="Z179" s="15" cm="1">
        <f t="array" ref="Z179">_xll.BDP($B179&amp;" Equity","opt_theta")*H179*O179/N179</f>
        <v>-392.40199999999999</v>
      </c>
      <c r="AA179" s="19" cm="1">
        <f t="array" ref="AA179">_xll.BDP($B179&amp;" Equity","opt_theta")/I179</f>
        <v>-1.063420054200542E-2</v>
      </c>
      <c r="AB179" s="36" t="str" cm="1">
        <f t="array" ref="AB179">_xll.BDP($C179&amp;" Equity","EXPECTED_REPORT_DT")</f>
        <v>29/01/2026</v>
      </c>
      <c r="AC179" s="15">
        <f>S179*H179*O179/N179</f>
        <v>1231040</v>
      </c>
      <c r="AD179" s="48">
        <f>AC179/'Master P&amp;L'!$AE$5</f>
        <v>5.8401030785024772E-4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2160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93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31.95</v>
      </c>
      <c r="J180" s="19">
        <f>I180/S180</f>
        <v>5.1907330387314793E-2</v>
      </c>
      <c r="K180" s="36" cm="1">
        <f t="array" ref="K180">_xll.BDP($B180&amp;" Equity","bid")</f>
        <v>31.95</v>
      </c>
      <c r="L180" s="36" cm="1">
        <f t="array" ref="L180">_xll.BDP($B180&amp;" Equity","ask")</f>
        <v>32.299999999999997</v>
      </c>
      <c r="M180" s="40">
        <f>(L180/K180-1)</f>
        <v>1.0954616588419341E-2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-63900</v>
      </c>
      <c r="Q180" s="58">
        <f>P180/'Master P&amp;L'!$AD$5*10000</f>
        <v>-0.30314415999180233</v>
      </c>
      <c r="R180" s="37" cm="1">
        <f t="array" ref="R180">_xll.BDP($C180&amp;" Equity","EST_PE_NXT_YR")*(T180/S180)</f>
        <v>17.852301390086577</v>
      </c>
      <c r="S180" s="36" cm="1">
        <f t="array" ref="S180">_xll.BDP(C180&amp;" Equity","LAST_PRICE")</f>
        <v>615.52</v>
      </c>
      <c r="T180" s="53" cm="1">
        <f t="array" ref="T180">_xll.BDP(B180&amp;" Equity","OPT_STRIKE_PX")</f>
        <v>600</v>
      </c>
      <c r="U180" s="40">
        <f>T180/S180-1</f>
        <v>-2.5214452820379485E-2</v>
      </c>
      <c r="V180" s="37" cm="1">
        <f t="array" ref="V180">_xll.BDP(B180&amp;" Equity","ivol_mid")</f>
        <v>34.267940000000003</v>
      </c>
      <c r="W180" s="38" cm="1">
        <f t="array" ref="W180">_xll.BDP(B180&amp;" Equity","DELTA_MID_RT")</f>
        <v>-0.39143440127372742</v>
      </c>
      <c r="X180" s="48">
        <f>Y180/'Master P&amp;L'!$AE$5</f>
        <v>2.2860172519104693E-4</v>
      </c>
      <c r="Y180" s="15">
        <f>IF(G180="Sell", S180*W180*-H180*O180/N180, S180*W180*H180*O180/N180)</f>
        <v>481871.40534400934</v>
      </c>
      <c r="Z180" s="15" cm="1">
        <f t="array" ref="Z180">_xll.BDP($B180&amp;" Equity","opt_theta")*H180*O180/N180</f>
        <v>-444.86799999999994</v>
      </c>
      <c r="AA180" s="19" cm="1">
        <f t="array" ref="AA180">_xll.BDP($B180&amp;" Equity","opt_theta")/I180</f>
        <v>-6.961940532081377E-3</v>
      </c>
      <c r="AB180" s="36" t="str" cm="1">
        <f t="array" ref="AB180">_xll.BDP($C180&amp;" Equity","EXPECTED_REPORT_DT")</f>
        <v>29/01/2026</v>
      </c>
      <c r="AC180" s="15">
        <f>S180*H180*O180/N180</f>
        <v>1231040</v>
      </c>
      <c r="AD180" s="19">
        <f>AC180/'Master P&amp;L'!$AE$5</f>
        <v>5.8401030785024772E-4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-21.4</v>
      </c>
      <c r="J181" s="100" t="s">
        <v>249</v>
      </c>
      <c r="K181" s="101">
        <f>K180/L179</f>
        <v>1.7317073170731707</v>
      </c>
      <c r="P181" s="130">
        <f>P179+P180+P178</f>
        <v>-42800</v>
      </c>
      <c r="Q181" s="58">
        <f>P181/'Master P&amp;L'!$AD$5*10000</f>
        <v>-0.20304491467369545</v>
      </c>
      <c r="S181" s="100" t="s">
        <v>251</v>
      </c>
      <c r="T181" s="102"/>
      <c r="W181" s="100" t="s">
        <v>252</v>
      </c>
      <c r="X181" s="122">
        <f>X179+X180+X178</f>
        <v>3.1201416787986512E-4</v>
      </c>
      <c r="AC181" s="100" t="s">
        <v>229</v>
      </c>
      <c r="AD181" s="122">
        <f>AD179</f>
        <v>5.8401030785024772E-4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-21.875</v>
      </c>
      <c r="P182" s="100"/>
      <c r="Q182" s="108"/>
      <c r="S182" s="100"/>
      <c r="T182" s="102"/>
      <c r="W182" s="100"/>
      <c r="X182" s="122"/>
      <c r="Y182" s="13">
        <f>(Y178+Y179+Y180)/S179</f>
        <v>1068.5228109359741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5.12</v>
      </c>
      <c r="J185" s="18">
        <f>T186-T187</f>
        <v>15</v>
      </c>
      <c r="K185" s="276">
        <f>(J185-I185)/I185</f>
        <v>1.9296874999999998</v>
      </c>
      <c r="Q185" s="276">
        <f>Q187+Q186</f>
        <v>4.857897023968788E-2</v>
      </c>
    </row>
    <row r="186" spans="1:37">
      <c r="A186" s="237">
        <v>1</v>
      </c>
      <c r="B186" s="132" t="s">
        <v>2136</v>
      </c>
      <c r="C186" t="str" cm="1">
        <f t="array" ref="C186">_xll.BDP(B186&amp;" Equity","OPT_UNDL_TICKER")</f>
        <v>NFLX US</v>
      </c>
      <c r="D186" s="64">
        <f>A186*AVERAGE(K186:L186)</f>
        <v>1.615</v>
      </c>
      <c r="E186" cm="1">
        <f t="array" ref="E186">_xll.BDP($B186&amp;" Index","opt_days_expire")</f>
        <v>65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1.58</v>
      </c>
      <c r="J186" s="19">
        <f>I186/S186</f>
        <v>1.7843026538678714E-2</v>
      </c>
      <c r="K186" s="36" cm="1">
        <f t="array" ref="K186">_xll.BDP($B186&amp;" Equity","bid")</f>
        <v>1.58</v>
      </c>
      <c r="L186" s="36" cm="1">
        <f t="array" ref="L186">_xll.BDP($B186&amp;" Equity","ask")</f>
        <v>1.65</v>
      </c>
      <c r="M186" s="40">
        <f>(L186/K186-1)</f>
        <v>4.4303797468354222E-2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-3160</v>
      </c>
      <c r="Q186" s="58">
        <f>P186/'Master P&amp;L'!$AD$5*10000</f>
        <v>-1.4991166597403682E-2</v>
      </c>
      <c r="R186" s="37" cm="1">
        <f t="array" ref="R186">_xll.BDP($C186&amp;" Equity","EST_PE_NXT_YR")*(T186/S186)</f>
        <v>33.902675664052104</v>
      </c>
      <c r="S186" s="36" cm="1">
        <f t="array" ref="S186">_xll.BDP(C186&amp;" Equity","LAST_PRICE")</f>
        <v>88.55</v>
      </c>
      <c r="T186" s="53" cm="1">
        <f t="array" ref="T186">_xll.BDP(B186&amp;" Equity","OPT_STRIKE_PX")</f>
        <v>105</v>
      </c>
      <c r="U186" s="40">
        <f>T186/S186-1</f>
        <v>0.18577075098814233</v>
      </c>
      <c r="V186" s="37" cm="1">
        <f t="array" ref="V186">_xll.BDP($B186&amp;" Equity","ivol_mid")</f>
        <v>41.055529999999997</v>
      </c>
      <c r="W186" s="38" cm="1">
        <f t="array" ref="W186">_xll.BDP(B186&amp;" Equity","DELTA_MID_RT")</f>
        <v>0.20097906887531281</v>
      </c>
      <c r="X186" s="48">
        <f>Y186/'Master P&amp;L'!$AE$5</f>
        <v>-1.688564828152742E-5</v>
      </c>
      <c r="Y186" s="15">
        <f>IF(G186="Sell", S186*W186*-H186*O186/N186, S186*W186*H186*O186/N186)</f>
        <v>-35593.393097817898</v>
      </c>
      <c r="Z186" s="15" cm="1">
        <f t="array" ref="Z186">_xll.BDP($B186&amp;" Equity","opt_theta")*H186*O186/N186</f>
        <v>-65.348000000000013</v>
      </c>
      <c r="AA186" s="19" cm="1">
        <f t="array" ref="AA186">_xll.BDP($B186&amp;" Equity","opt_theta")/I186</f>
        <v>-2.0679746835443037E-2</v>
      </c>
      <c r="AB186" s="36" t="str" cm="1">
        <f t="array" ref="AB186">_xll.BDP($C186&amp;" Equity","EXPECTED_REPORT_DT")</f>
        <v>20/01/2026</v>
      </c>
      <c r="AC186" s="15">
        <f>S186*H186*O186/N186</f>
        <v>177100</v>
      </c>
      <c r="AD186" s="19">
        <f>AC186/'Master P&amp;L'!$AE$5</f>
        <v>8.4016949506335187E-5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2134</v>
      </c>
      <c r="C187" t="str" cm="1">
        <f t="array" ref="C187">_xll.BDP(B187&amp;" Equity","OPT_UNDL_TICKER")</f>
        <v>NFLX US</v>
      </c>
      <c r="D187" s="64">
        <f>A187*AVERAGE(K187:L187)</f>
        <v>13.25</v>
      </c>
      <c r="E187" cm="1">
        <f t="array" ref="E187">_xll.BDP($B187&amp;" Index","opt_days_expire")</f>
        <v>65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6.7</v>
      </c>
      <c r="J187" s="19">
        <f>I187/S187</f>
        <v>7.5663466967814799E-2</v>
      </c>
      <c r="K187" s="36" cm="1">
        <f t="array" ref="K187">_xll.BDP($B187&amp;" Equity","bid")</f>
        <v>6.55</v>
      </c>
      <c r="L187" s="36" cm="1">
        <f t="array" ref="L187">_xll.BDP($B187&amp;" Equity","ask")</f>
        <v>6.7</v>
      </c>
      <c r="M187" s="40">
        <f>(L187/K187-1)</f>
        <v>2.2900763358778775E-2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13400</v>
      </c>
      <c r="Q187" s="58">
        <f>P187/'Master P&amp;L'!$AD$5*10000</f>
        <v>6.3570136837091562E-2</v>
      </c>
      <c r="R187" s="37" cm="1">
        <f t="array" ref="R187">_xll.BDP($C187&amp;" Equity","EST_PE_NXT_YR")*(T187/S187)</f>
        <v>29.059436283473229</v>
      </c>
      <c r="S187" s="36" cm="1">
        <f t="array" ref="S187">_xll.BDP(C187&amp;" Equity","LAST_PRICE")</f>
        <v>88.55</v>
      </c>
      <c r="T187" s="53" cm="1">
        <f t="array" ref="T187">_xll.BDP(B187&amp;" Equity","OPT_STRIKE_PX")</f>
        <v>90</v>
      </c>
      <c r="U187" s="40">
        <f>T187/S187-1</f>
        <v>1.637492941840768E-2</v>
      </c>
      <c r="V187" s="37" cm="1">
        <f t="array" ref="V187">_xll.BDP($B187&amp;" Equity","ivol_mid")</f>
        <v>41.397460000000002</v>
      </c>
      <c r="W187" s="38" cm="1">
        <f t="array" ref="W187">_xll.BDP(B187&amp;" Equity","DELTA_MID_RT")</f>
        <v>-0.49155625700950623</v>
      </c>
      <c r="X187" s="48">
        <f>Y187/'Master P&amp;L'!$AE$5</f>
        <v>-4.1299057224690805E-5</v>
      </c>
      <c r="Y187" s="15">
        <f>IF(G187="Sell", S187*W187*-H187*O187/N187, S187*W187*H187*O187/N187)</f>
        <v>-87054.613116383553</v>
      </c>
      <c r="Z187" s="15" cm="1">
        <f t="array" ref="Z187">_xll.BDP($B187&amp;" Equity","opt_theta")*H187*O187/N187</f>
        <v>-95.11999999999999</v>
      </c>
      <c r="AA187" s="19" cm="1">
        <f t="array" ref="AA187">_xll.BDP($B187&amp;" Equity","opt_theta")/I187</f>
        <v>-7.0985074626865666E-3</v>
      </c>
      <c r="AB187" s="36" t="str" cm="1">
        <f t="array" ref="AB187">_xll.BDP($C187&amp;" Equity","EXPECTED_REPORT_DT")</f>
        <v>20/01/2026</v>
      </c>
      <c r="AC187" s="15">
        <f>S187*H187*O187/N187</f>
        <v>177100</v>
      </c>
      <c r="AD187" s="48">
        <f>AC187/'Master P&amp;L'!$AE$5</f>
        <v>8.4016949506335187E-5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2135</v>
      </c>
      <c r="C188" t="str" cm="1">
        <f t="array" ref="C188">_xll.BDP(B188&amp;" Equity","OPT_UNDL_TICKER")</f>
        <v>NFLX US</v>
      </c>
      <c r="D188" s="64">
        <f>A188*AVERAGE(K188:L188)</f>
        <v>4.8499999999999996</v>
      </c>
      <c r="E188" cm="1">
        <f t="array" ref="E188">_xll.BDP($B188&amp;" Index","opt_days_expire")</f>
        <v>65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2.4</v>
      </c>
      <c r="J188" s="19">
        <f>I188/S188</f>
        <v>2.7103331451157536E-2</v>
      </c>
      <c r="K188" s="36" cm="1">
        <f t="array" ref="K188">_xll.BDP($B188&amp;" Equity","bid")</f>
        <v>2.4</v>
      </c>
      <c r="L188" s="36" cm="1">
        <f t="array" ref="L188">_xll.BDP($B188&amp;" Equity","ask")</f>
        <v>2.4500000000000002</v>
      </c>
      <c r="M188" s="40">
        <f>(L188/K188-1)</f>
        <v>2.0833333333333481E-2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-7200</v>
      </c>
      <c r="Q188" s="58">
        <f>P188/'Master P&amp;L'!$AD$5*10000</f>
        <v>-3.4157088449780541E-2</v>
      </c>
      <c r="R188" s="37" cm="1">
        <f t="array" ref="R188">_xll.BDP($C188&amp;" Equity","EST_PE_NXT_YR")*(T188/S188)</f>
        <v>25.830610029753984</v>
      </c>
      <c r="S188" s="36" cm="1">
        <f t="array" ref="S188">_xll.BDP(C188&amp;" Equity","LAST_PRICE")</f>
        <v>88.55</v>
      </c>
      <c r="T188" s="53" cm="1">
        <f t="array" ref="T188">_xll.BDP(B188&amp;" Equity","OPT_STRIKE_PX")</f>
        <v>80</v>
      </c>
      <c r="U188" s="40">
        <f>T188/S188-1</f>
        <v>-9.655561829474868E-2</v>
      </c>
      <c r="V188" s="37" cm="1">
        <f t="array" ref="V188">_xll.BDP(B188&amp;" Equity","ivol_mid")</f>
        <v>41.798940000000002</v>
      </c>
      <c r="W188" s="38" cm="1">
        <f t="array" ref="W188">_xll.BDP(B188&amp;" Equity","DELTA_MID_RT")</f>
        <v>-0.24221529066562653</v>
      </c>
      <c r="X188" s="48">
        <f>Y188/'Master P&amp;L'!$AE$5</f>
        <v>3.052528476827436E-5</v>
      </c>
      <c r="Y188" s="15">
        <f>IF(G188="Sell", S188*W188*-H188*O188/N188, S188*W188*H188*O188/N188)</f>
        <v>64344.491965323672</v>
      </c>
      <c r="Z188" s="15" cm="1">
        <f t="array" ref="Z188">_xll.BDP($B188&amp;" Equity","opt_theta")*H188*O188/N188</f>
        <v>-113.313</v>
      </c>
      <c r="AA188" s="19" cm="1">
        <f t="array" ref="AA188">_xll.BDP($B188&amp;" Equity","opt_theta")/I188</f>
        <v>-1.5737916666666667E-2</v>
      </c>
      <c r="AB188" s="36" t="str" cm="1">
        <f t="array" ref="AB188">_xll.BDP($C188&amp;" Equity","EXPECTED_REPORT_DT")</f>
        <v>20/01/2026</v>
      </c>
      <c r="AC188" s="15">
        <f>S188*H188*O188/N188</f>
        <v>265650</v>
      </c>
      <c r="AD188" s="19">
        <f>AC188/'Master P&amp;L'!$AE$5</f>
        <v>1.2602542425950279E-4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2.72</v>
      </c>
      <c r="J189" s="100" t="s">
        <v>249</v>
      </c>
      <c r="K189" s="101">
        <f>K188/L187</f>
        <v>0.35820895522388058</v>
      </c>
      <c r="P189" s="130">
        <f>P187+P188+P186</f>
        <v>3040</v>
      </c>
      <c r="Q189" s="58">
        <f>P189/'Master P&amp;L'!$AD$5*10000</f>
        <v>1.442188178990734E-2</v>
      </c>
      <c r="S189" s="100" t="s">
        <v>251</v>
      </c>
      <c r="T189" s="102"/>
      <c r="W189" s="100" t="s">
        <v>252</v>
      </c>
      <c r="X189" s="122">
        <f>X187+X188+X186</f>
        <v>-2.7659420737943865E-5</v>
      </c>
      <c r="AC189" s="100" t="s">
        <v>229</v>
      </c>
      <c r="AD189" s="122">
        <f>AD187</f>
        <v>8.4016949506335187E-5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2.585</v>
      </c>
      <c r="P190" s="100"/>
      <c r="Q190" s="108"/>
      <c r="S190" s="100"/>
      <c r="T190" s="102"/>
      <c r="W190" s="100"/>
      <c r="X190" s="122"/>
      <c r="Y190" s="13">
        <f>(Y186+Y187+Y188)/S187</f>
        <v>-658.42477977275871</v>
      </c>
      <c r="AC190" s="100"/>
      <c r="AD190" s="104"/>
    </row>
    <row r="191" spans="1:37">
      <c r="D191" s="64"/>
      <c r="H191" s="96"/>
      <c r="I191" s="64">
        <f>I187-I186</f>
        <v>5.12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3.6500000000000004</v>
      </c>
      <c r="Q193" s="64">
        <f>Q196+Q197</f>
        <v>0.17315746228013748</v>
      </c>
    </row>
    <row r="194" spans="1:37">
      <c r="A194">
        <v>300</v>
      </c>
      <c r="H194" s="276">
        <v>1</v>
      </c>
      <c r="I194" s="129">
        <f>(I196-I195)/I197</f>
        <v>1.0500000000000003</v>
      </c>
      <c r="K194" s="129"/>
      <c r="Q194" s="129">
        <f>(Q196+Q195)/Q197</f>
        <v>-1.0500000000000003</v>
      </c>
    </row>
    <row r="195" spans="1:37">
      <c r="A195" s="237">
        <v>1</v>
      </c>
      <c r="B195" s="132" t="s">
        <v>2371</v>
      </c>
      <c r="C195" t="str" cm="1">
        <f t="array" ref="C195">_xll.BDP(B195&amp;" Equity","OPT_UNDL_TICKER")</f>
        <v>TSM US</v>
      </c>
      <c r="D195" t="str" cm="1">
        <f t="array" ref="D195">_xll.BDP($B195&amp;" Index","mifid_Maturity_date")</f>
        <v>16/01/2026</v>
      </c>
      <c r="E195" cm="1">
        <f t="array" ref="E195">_xll.BDP($B195&amp;" Index","opt_days_expire")</f>
        <v>2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100</v>
      </c>
      <c r="I195" s="97">
        <f>IF(G195="Buy",L195,K195)</f>
        <v>3.55</v>
      </c>
      <c r="J195" s="19">
        <f>I195/S195</f>
        <v>1.0852618385252666E-2</v>
      </c>
      <c r="K195" s="36" cm="1">
        <f t="array" ref="K195">_xll.BDP($B195&amp;" Equity","bid")</f>
        <v>3.55</v>
      </c>
      <c r="L195" s="36" cm="1">
        <f t="array" ref="L195">_xll.BDP($B195&amp;" Equity","ask")</f>
        <v>3.75</v>
      </c>
      <c r="M195" s="40">
        <f>(L195/K195-1)</f>
        <v>5.6338028169014231E-2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-35500</v>
      </c>
      <c r="Q195" s="58">
        <f>P195/'Master P&amp;L'!$AD$5*10000</f>
        <v>-0.16841342221766795</v>
      </c>
      <c r="R195" s="37" cm="1">
        <f t="array" ref="R195">_xll.BDP($C195&amp;" Equity","EST_PE_NXT_YR")*(T195/S195)</f>
        <v>26.898204165691148</v>
      </c>
      <c r="S195" s="36" cm="1">
        <f t="array" ref="S195">_xll.BDP(C195&amp;" Equity","LAST_PRICE")</f>
        <v>327.11</v>
      </c>
      <c r="T195" s="53" cm="1">
        <f t="array" ref="T195">_xll.BDP(B195&amp;" Equity","OPT_STRIKE_PX")</f>
        <v>335</v>
      </c>
      <c r="U195" s="40">
        <f>T195/S195-1</f>
        <v>2.4120326495674194E-2</v>
      </c>
      <c r="V195" s="37" cm="1">
        <f t="array" ref="V195">_xll.BDP($B195&amp;" Equity","ivol_mid")</f>
        <v>60.854480000000002</v>
      </c>
      <c r="W195" s="38" cm="1">
        <f t="array" ref="W195">_xll.BDP(B195&amp;" Equity","DELTA_MID_RT")</f>
        <v>0.33410555124282837</v>
      </c>
      <c r="X195" s="48">
        <f>Y195/'Master P&amp;L'!$AE$5</f>
        <v>-5.1847266041516794E-4</v>
      </c>
      <c r="Y195" s="15">
        <f>IF(G195="Sell", S195*W195*-H195*O195/N195, S195*W195*H195*O195/N195)</f>
        <v>-1092892.6686704159</v>
      </c>
      <c r="Z195" s="15" cm="1">
        <f t="array" ref="Z195">_xll.BDP($B195&amp;" Equity","opt_theta")*H195*O195/N195</f>
        <v>-11488.62</v>
      </c>
      <c r="AA195" s="19" cm="1">
        <f t="array" ref="AA195">_xll.BDP($B195&amp;" Equity","opt_theta")/I195</f>
        <v>-0.32362309859154931</v>
      </c>
      <c r="AB195" s="36" t="str" cm="1">
        <f t="array" ref="AB195">_xll.BDP($C195&amp;" Equity","EXPECTED_REPORT_DT")</f>
        <v>15/01/2026</v>
      </c>
      <c r="AC195" s="15">
        <f>S195*H195*O195/N195</f>
        <v>3271100</v>
      </c>
      <c r="AD195" s="19">
        <f>AC195/'Master P&amp;L'!$AE$5</f>
        <v>1.5518229448344045E-3</v>
      </c>
      <c r="AE195" t="str">
        <f>B195  &amp; " - Buy to open " &amp;  "-" &amp; H195 &amp;"x"</f>
        <v>TSM US 01/16/26 C335 - Buy to open -100x</v>
      </c>
      <c r="AK195" s="59" t="s">
        <v>1813</v>
      </c>
    </row>
    <row r="196" spans="1:37">
      <c r="A196" s="237">
        <v>2</v>
      </c>
      <c r="B196" s="132" t="s">
        <v>2370</v>
      </c>
      <c r="C196" t="str" cm="1">
        <f t="array" ref="C196">_xll.BDP(B196&amp;" Equity","OPT_UNDL_TICKER")</f>
        <v>TSM US</v>
      </c>
      <c r="D196" t="str" cm="1">
        <f t="array" ref="D196">_xll.BDP($B196&amp;" Index","mifid_Maturity_date")</f>
        <v>16/01/2026</v>
      </c>
      <c r="E196" cm="1">
        <f t="array" ref="E196">_xll.BDP($B196&amp;" Index","opt_days_expire")</f>
        <v>2</v>
      </c>
      <c r="F196" t="str" cm="1">
        <f t="array" ref="F196">_xll.BDP(B196&amp;" Equity","QUOTED_CURRENCY_REALTIME")</f>
        <v>USD</v>
      </c>
      <c r="G196" s="105" t="s">
        <v>247</v>
      </c>
      <c r="H196" s="131">
        <v>100</v>
      </c>
      <c r="I196" s="97">
        <f>IF(G196="Buy",L196,K196)</f>
        <v>5.65</v>
      </c>
      <c r="J196" s="19">
        <f>I196/S196</f>
        <v>1.7272477148359878E-2</v>
      </c>
      <c r="K196" s="36" cm="1">
        <f t="array" ref="K196">_xll.BDP($B196&amp;" Equity","bid")</f>
        <v>5.55</v>
      </c>
      <c r="L196" s="36" cm="1">
        <f t="array" ref="L196">_xll.BDP($B196&amp;" Equity","ask")</f>
        <v>5.65</v>
      </c>
      <c r="M196" s="40">
        <f>(L196/K196-1)</f>
        <v>1.8018018018018056E-2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56500</v>
      </c>
      <c r="Q196" s="58">
        <f>P196/'Master P&amp;L'!$AD$5*10000</f>
        <v>0.26803826352952786</v>
      </c>
      <c r="R196" s="37" cm="1">
        <f t="array" ref="R196">_xll.BDP($C196&amp;" Equity","EST_PE_NXT_YR")*(T196/S196)</f>
        <v>26.095272698058576</v>
      </c>
      <c r="S196" s="36">
        <f>_xll.BDP(C196&amp;" Equity","LAST_PRICE")</f>
        <v>327.11</v>
      </c>
      <c r="T196" s="53" cm="1">
        <f t="array" ref="T196">_xll.BDP(B196&amp;" Equity","OPT_STRIKE_PX")</f>
        <v>325</v>
      </c>
      <c r="U196" s="40">
        <f>T196/S196-1</f>
        <v>-6.4504295191220029E-3</v>
      </c>
      <c r="V196" s="37" cm="1">
        <f t="array" ref="V196">_xll.BDP($B196&amp;" Equity","ivol_mid")</f>
        <v>58.31606</v>
      </c>
      <c r="W196" s="38" cm="1">
        <f t="array" ref="W196">_xll.BDP(B196&amp;" Equity","DELTA_MID_RT")</f>
        <v>-0.43641209602355957</v>
      </c>
      <c r="X196" s="48">
        <f>Y196/'Master P&amp;L'!$AE$5</f>
        <v>-6.7723430401263524E-4</v>
      </c>
      <c r="Y196" s="15">
        <f>IF(G196="Sell", S196*W196*-H196*O196/N196, S196*W196*H196*O196/N196)</f>
        <v>-1427547.6073026659</v>
      </c>
      <c r="Z196" s="15" cm="1">
        <f t="array" ref="Z196">_xll.BDP($B196&amp;" Equity","opt_theta")*H196*O196/N196</f>
        <v>-12694.94</v>
      </c>
      <c r="AA196" s="19" cm="1">
        <f t="array" ref="AA196">_xll.BDP($B196&amp;" Equity","opt_theta")/I196</f>
        <v>-0.22468920353982297</v>
      </c>
      <c r="AB196" s="36" t="str" cm="1">
        <f t="array" ref="AB196">_xll.BDP($C196&amp;" Equity","EXPECTED_REPORT_DT")</f>
        <v>15/01/2026</v>
      </c>
      <c r="AC196" s="15">
        <f>S196*H196*O196/N196</f>
        <v>3271100</v>
      </c>
      <c r="AD196" s="19">
        <f>AC196/'Master P&amp;L'!$AE$5</f>
        <v>1.5518229448344045E-3</v>
      </c>
      <c r="AE196" t="str">
        <f>B196  &amp; " - Buy to open " &amp;  "-" &amp; H196 &amp;"x"</f>
        <v>TSM US 01/16/26 P325 - Buy to open -100x</v>
      </c>
      <c r="AK196" s="59" t="s">
        <v>1813</v>
      </c>
    </row>
    <row r="197" spans="1:37">
      <c r="A197" s="237">
        <v>2</v>
      </c>
      <c r="B197" s="132" t="s">
        <v>2372</v>
      </c>
      <c r="C197" t="str" cm="1">
        <f t="array" ref="C197">_xll.BDP(B197&amp;" Equity","OPT_UNDL_TICKER")</f>
        <v>TSM US</v>
      </c>
      <c r="D197" t="str" cm="1">
        <f t="array" ref="D197">_xll.BDP($B197&amp;" Index","mifid_Maturity_date")</f>
        <v>16/01/2026</v>
      </c>
      <c r="E197" cm="1">
        <f t="array" ref="E197">_xll.BDP($B197&amp;" Index","opt_days_expire")</f>
        <v>2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100</v>
      </c>
      <c r="I197" s="97">
        <f>IF(G197="Buy",L197,K197)</f>
        <v>2</v>
      </c>
      <c r="J197" s="19">
        <f>I197/S197</f>
        <v>6.1141512029592492E-3</v>
      </c>
      <c r="K197" s="36" cm="1">
        <f t="array" ref="K197">_xll.BDP($B197&amp;" Equity","bid")</f>
        <v>2</v>
      </c>
      <c r="L197" s="36" cm="1">
        <f t="array" ref="L197">_xll.BDP($B197&amp;" Equity","ask")</f>
        <v>2.12</v>
      </c>
      <c r="M197" s="40">
        <f>(L197/K197-1)</f>
        <v>6.0000000000000053E-2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-20000</v>
      </c>
      <c r="Q197" s="58">
        <f>P197/'Master P&amp;L'!$AD$5*10000</f>
        <v>-9.4880801249390384E-2</v>
      </c>
      <c r="R197" s="37" cm="1">
        <f t="array" ref="R197">_xll.BDP($C197&amp;" Equity","EST_PE_NXT_YR")*(T197/S197)</f>
        <v>25.292341230426004</v>
      </c>
      <c r="S197" s="36" cm="1">
        <f t="array" ref="S197">_xll.BDP(C197&amp;" Equity","LAST_PRICE")</f>
        <v>327.11</v>
      </c>
      <c r="T197" s="53" cm="1">
        <f t="array" ref="T197">_xll.BDP(B197&amp;" Equity","OPT_STRIKE_PX")</f>
        <v>315</v>
      </c>
      <c r="U197" s="40">
        <f>T197/S197-1</f>
        <v>-3.702118553391831E-2</v>
      </c>
      <c r="V197" s="37" cm="1">
        <f t="array" ref="V197">_xll.BDP($B197&amp;" Equity","ivol_mid")</f>
        <v>56.064360000000001</v>
      </c>
      <c r="W197" s="38" cm="1">
        <f t="array" ref="W197">_xll.BDP(B197&amp;" Equity","DELTA_MID_RT")</f>
        <v>-0.21603673696517944</v>
      </c>
      <c r="X197" s="48">
        <f>Y197/'Master P&amp;L'!$AE$5</f>
        <v>3.3525076534972044E-4</v>
      </c>
      <c r="Y197" s="15">
        <f>IF(G197="Sell", S197*W197*-H197*O197/N197, S197*W197*H197*O197/N197)</f>
        <v>706677.77028679848</v>
      </c>
      <c r="Z197" s="15" cm="1">
        <f t="array" ref="Z197">_xll.BDP($B197&amp;" Equity","opt_theta")*H197*O197/N197</f>
        <v>-9148.6</v>
      </c>
      <c r="AA197" s="19" cm="1">
        <f t="array" ref="AA197">_xll.BDP($B197&amp;" Equity","opt_theta")/I197</f>
        <v>-0.45743</v>
      </c>
      <c r="AB197" s="36" t="str" cm="1">
        <f t="array" ref="AB197">_xll.BDP($C197&amp;" Equity","EXPECTED_REPORT_DT")</f>
        <v>15/01/2026</v>
      </c>
      <c r="AC197" s="15">
        <f>S197*H197*O197/N197</f>
        <v>3271100</v>
      </c>
      <c r="AD197" s="19">
        <f>AC197/'Master P&amp;L'!$AE$5</f>
        <v>1.5518229448344045E-3</v>
      </c>
      <c r="AE197" t="str">
        <f>B197  &amp; " - Buy to open " &amp;  "-" &amp; H197 &amp;"x"</f>
        <v>TSM US 01/16/26 P315 - Buy to open -100x</v>
      </c>
      <c r="AK197" s="59" t="s">
        <v>1813</v>
      </c>
    </row>
    <row r="198" spans="1:37">
      <c r="H198" s="100" t="s">
        <v>116</v>
      </c>
      <c r="I198" s="102">
        <f>I196-I195-I197</f>
        <v>0.10000000000000053</v>
      </c>
      <c r="J198" s="100" t="s">
        <v>249</v>
      </c>
      <c r="K198" s="101">
        <f>K197/L196</f>
        <v>0.35398230088495575</v>
      </c>
      <c r="P198" s="130">
        <f>P196+P197+P195</f>
        <v>1000</v>
      </c>
      <c r="Q198" s="58">
        <f>P198/'Master P&amp;L'!$AD$5*10000</f>
        <v>4.7440400624695197E-3</v>
      </c>
      <c r="S198" s="100" t="s">
        <v>251</v>
      </c>
      <c r="T198" s="102"/>
      <c r="W198" s="100" t="s">
        <v>252</v>
      </c>
      <c r="X198" s="122">
        <f>X196+X197+X195</f>
        <v>-8.6045619907808269E-4</v>
      </c>
      <c r="AC198" s="100" t="s">
        <v>229</v>
      </c>
      <c r="AD198" s="122">
        <f>AD196</f>
        <v>1.5518229448344045E-3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-0.11000000000000032</v>
      </c>
      <c r="P199" s="100"/>
      <c r="Q199" s="108"/>
      <c r="S199" s="100"/>
      <c r="T199" s="102"/>
      <c r="W199" s="100"/>
      <c r="X199" s="122"/>
      <c r="Y199" s="13">
        <f>(Y195+Y196+Y197)/S196</f>
        <v>-5544.809103012085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3.7500000000000009</v>
      </c>
      <c r="K200" s="64"/>
      <c r="N200" s="36"/>
      <c r="O200" s="162"/>
      <c r="P200" s="15"/>
      <c r="Q200" s="58"/>
      <c r="X200" s="71">
        <f>AD198+X198</f>
        <v>6.9136674575632183E-4</v>
      </c>
    </row>
    <row r="201" spans="1:37">
      <c r="I201" s="64"/>
      <c r="K201" s="64"/>
    </row>
    <row r="202" spans="1:37">
      <c r="H202" s="276">
        <v>1</v>
      </c>
      <c r="I202" s="64">
        <f>I204-I205</f>
        <v>4.6000000000000005</v>
      </c>
      <c r="K202" s="64"/>
      <c r="Q202" s="129">
        <f>(Q204+Q203)/Q205</f>
        <v>-1.2585858585858587</v>
      </c>
    </row>
    <row r="203" spans="1:37">
      <c r="A203" s="237"/>
      <c r="B203" s="73" t="s">
        <v>2138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65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50</v>
      </c>
      <c r="I203" s="97">
        <f>IF(G203="Buy",L203,K203)</f>
        <v>1.67</v>
      </c>
      <c r="J203" s="19">
        <f>I203/S203</f>
        <v>1.8859401468097121E-2</v>
      </c>
      <c r="K203" s="36" cm="1">
        <f t="array" ref="K203">_xll.BDP($B203&amp;" Equity","bid")</f>
        <v>1.67</v>
      </c>
      <c r="L203" s="36" cm="1">
        <f t="array" ref="L203">_xll.BDP($B203&amp;" Equity","ask")</f>
        <v>1.82</v>
      </c>
      <c r="M203" s="40">
        <f>(L203/K203-1)</f>
        <v>8.9820359281437279E-2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-8350</v>
      </c>
      <c r="Q203" s="58">
        <f>P203/'Master P&amp;L'!$AD$5*10000</f>
        <v>-3.9612734521620487E-2</v>
      </c>
      <c r="R203" s="37" cm="1">
        <f t="array" ref="R203">_xll.BDP($C203&amp;" Equity","EST_PE_NXT_YR")*(T203/S203)</f>
        <v>33.579793038680172</v>
      </c>
      <c r="S203" s="36" cm="1">
        <f t="array" ref="S203">_xll.BDP(C203&amp;" Equity","LAST_PRICE")</f>
        <v>88.55</v>
      </c>
      <c r="T203" s="53" cm="1">
        <f t="array" ref="T203">_xll.BDP(B203&amp;" Equity","OPT_STRIKE_PX")</f>
        <v>104</v>
      </c>
      <c r="U203" s="40">
        <f>T203/S203-1</f>
        <v>0.17447769621682663</v>
      </c>
      <c r="V203" s="37" cm="1">
        <f t="array" ref="V203">_xll.BDP($B203&amp;" Equity","ivol_mid")</f>
        <v>41.204219999999999</v>
      </c>
      <c r="W203" s="38" cm="1">
        <f t="array" ref="W203">_xll.BDP(B203&amp;" Equity","DELTA_MID_RT")</f>
        <v>0.21468795835971832</v>
      </c>
      <c r="X203" s="48">
        <f>Y203/'Master P&amp;L'!$AE$5</f>
        <v>-4.5093568392816615E-5</v>
      </c>
      <c r="Y203" s="15">
        <f>IF(G203="Sell", S203*W203*-H203*O203/N203, S203*W203*H203*O203/N203)</f>
        <v>-95053.093563765287</v>
      </c>
      <c r="Z203" s="15" cm="1">
        <f t="array" ref="Z203">_xll.BDP($B203&amp;" Equity","opt_theta")*H203*O203/N203</f>
        <v>-168.03</v>
      </c>
      <c r="AA203" s="19" cm="1">
        <f t="array" ref="AA203">_xll.BDP($B203&amp;" Equity","opt_theta")/I203</f>
        <v>-2.0123353293413172E-2</v>
      </c>
      <c r="AB203" s="36" t="str" cm="1">
        <f t="array" ref="AB203">_xll.BDP($C203&amp;" Equity","EXPECTED_REPORT_DT")</f>
        <v>20/01/2026</v>
      </c>
      <c r="AC203" s="15">
        <f>S203*H203*O203/N203</f>
        <v>442750</v>
      </c>
      <c r="AD203" s="19">
        <f>AC203/'Master P&amp;L'!$AE$5</f>
        <v>2.1004237376583799E-4</v>
      </c>
      <c r="AE203" t="str">
        <f>B203  &amp; " - Buy to open " &amp;  "-" &amp; H203 &amp;"x"</f>
        <v>NFLX US 03/20/26 C104 - Buy to open -50x</v>
      </c>
      <c r="AK203" s="59" t="s">
        <v>1813</v>
      </c>
    </row>
    <row r="204" spans="1:37">
      <c r="A204" s="237"/>
      <c r="B204" t="s">
        <v>2137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65</v>
      </c>
      <c r="F204" t="str" cm="1">
        <f t="array" ref="F204">_xll.BDP(B204&amp;" Equity","QUOTED_CURRENCY_REALTIME")</f>
        <v>USD</v>
      </c>
      <c r="G204" s="105" t="s">
        <v>247</v>
      </c>
      <c r="H204" s="131">
        <v>50</v>
      </c>
      <c r="I204" s="97">
        <f>IF(G204="Buy",L204,K204)</f>
        <v>7.9</v>
      </c>
      <c r="J204" s="19">
        <f>I204/S204</f>
        <v>8.9215132693393567E-2</v>
      </c>
      <c r="K204" s="36" cm="1">
        <f t="array" ref="K204">_xll.BDP($B204&amp;" Equity","bid")</f>
        <v>7.7</v>
      </c>
      <c r="L204" s="36" cm="1">
        <f t="array" ref="L204">_xll.BDP($B204&amp;" Equity","ask")</f>
        <v>7.9</v>
      </c>
      <c r="M204" s="40">
        <f>(L204/K204-1)</f>
        <v>2.5974025974025983E-2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39500</v>
      </c>
      <c r="Q204" s="58">
        <f>P204/'Master P&amp;L'!$AD$5*10000</f>
        <v>0.18738958246754603</v>
      </c>
      <c r="R204" s="37" cm="1">
        <f t="array" ref="R204">_xll.BDP($C204&amp;" Equity","EST_PE_NXT_YR")*(T204/S204)</f>
        <v>29.705201534217082</v>
      </c>
      <c r="S204" s="36">
        <f>_xll.BDP(C204&amp;" Equity","LAST_PRICE")</f>
        <v>88.55</v>
      </c>
      <c r="T204" s="53" cm="1">
        <f t="array" ref="T204">_xll.BDP(B204&amp;" Equity","OPT_STRIKE_PX")</f>
        <v>92</v>
      </c>
      <c r="U204" s="40">
        <f>T204/S204-1</f>
        <v>3.8961038961039085E-2</v>
      </c>
      <c r="V204" s="37" cm="1">
        <f t="array" ref="V204">_xll.BDP($B204&amp;" Equity","ivol_mid")</f>
        <v>41.255470000000003</v>
      </c>
      <c r="W204" s="38" cm="1">
        <f t="array" ref="W204">_xll.BDP(B204&amp;" Equity","DELTA_MID_RT")</f>
        <v>-0.54339867830276489</v>
      </c>
      <c r="X204" s="48">
        <f>Y204/'Master P&amp;L'!$AE$5</f>
        <v>-1.1413674829193169E-4</v>
      </c>
      <c r="Y204" s="15">
        <f>IF(G204="Sell", S204*W204*-H204*O204/N204, S204*W204*H204*O204/N204)</f>
        <v>-240589.76481854916</v>
      </c>
      <c r="Z204" s="15" cm="1">
        <f t="array" ref="Z204">_xll.BDP($B204&amp;" Equity","opt_theta")*H204*O204/N204</f>
        <v>-237.90999999999997</v>
      </c>
      <c r="AA204" s="19" cm="1">
        <f t="array" ref="AA204">_xll.BDP($B204&amp;" Equity","opt_theta")/I204</f>
        <v>-6.0230379746835441E-3</v>
      </c>
      <c r="AB204" s="36" t="str" cm="1">
        <f t="array" ref="AB204">_xll.BDP($C204&amp;" Equity","EXPECTED_REPORT_DT")</f>
        <v>20/01/2026</v>
      </c>
      <c r="AC204" s="15">
        <f>S204*H204*O204/N204</f>
        <v>442750</v>
      </c>
      <c r="AD204" s="19">
        <f>AC204/'Master P&amp;L'!$AE$5</f>
        <v>2.1004237376583799E-4</v>
      </c>
      <c r="AE204" t="str">
        <f>B204  &amp; " - Buy to open " &amp;  "-" &amp; H204 &amp;"x"</f>
        <v>NFLX US 03/20/26 P92 - Buy to open -50x</v>
      </c>
      <c r="AK204" s="59" t="s">
        <v>1813</v>
      </c>
    </row>
    <row r="205" spans="1:37">
      <c r="A205" s="237"/>
      <c r="B205" s="73" t="s">
        <v>2139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65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75</v>
      </c>
      <c r="I205" s="97">
        <f>IF(G205="Buy",L205,K205)</f>
        <v>3.3</v>
      </c>
      <c r="J205" s="19">
        <f>I205/S205</f>
        <v>3.7267080745341616E-2</v>
      </c>
      <c r="K205" s="36" cm="1">
        <f t="array" ref="K205">_xll.BDP($B205&amp;" Equity","bid")</f>
        <v>3.3</v>
      </c>
      <c r="L205" s="36" cm="1">
        <f t="array" ref="L205">_xll.BDP($B205&amp;" Equity","ask")</f>
        <v>3.5</v>
      </c>
      <c r="M205" s="40">
        <f>(L205/K205-1)</f>
        <v>6.0606060606060552E-2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-24750</v>
      </c>
      <c r="Q205" s="58">
        <f>P205/'Master P&amp;L'!$AD$5*10000</f>
        <v>-0.11741499154612062</v>
      </c>
      <c r="R205" s="37" cm="1">
        <f t="array" ref="R205">_xll.BDP($C205&amp;" Equity","EST_PE_NXT_YR")*(T205/S205)</f>
        <v>26.799257905869755</v>
      </c>
      <c r="S205" s="36" cm="1">
        <f t="array" ref="S205">_xll.BDP(C205&amp;" Equity","LAST_PRICE")</f>
        <v>88.55</v>
      </c>
      <c r="T205" s="53" cm="1">
        <f t="array" ref="T205">_xll.BDP(B205&amp;" Equity","OPT_STRIKE_PX")</f>
        <v>83</v>
      </c>
      <c r="U205" s="40">
        <f>T205/S205-1</f>
        <v>-6.2676453980801794E-2</v>
      </c>
      <c r="V205" s="37" cm="1">
        <f t="array" ref="V205">_xll.BDP($B205&amp;" Equity","ivol_mid")</f>
        <v>41.373359999999998</v>
      </c>
      <c r="W205" s="38" cm="1">
        <f t="array" ref="W205">_xll.BDP(B205&amp;" Equity","DELTA_MID_RT")</f>
        <v>-0.31203398108482361</v>
      </c>
      <c r="X205" s="48">
        <f>Y205/'Master P&amp;L'!$AE$5</f>
        <v>9.8310537123991401E-5</v>
      </c>
      <c r="Y205" s="15">
        <f>IF(G205="Sell", S205*W205*-H205*O205/N205, S205*W205*H205*O205/N205)</f>
        <v>207229.56768795848</v>
      </c>
      <c r="Z205" s="15" cm="1">
        <f t="array" ref="Z205">_xll.BDP($B205&amp;" Equity","opt_theta")*H205*O205/N205</f>
        <v>-318.27</v>
      </c>
      <c r="AA205" s="19" cm="1">
        <f t="array" ref="AA205">_xll.BDP($B205&amp;" Equity","opt_theta")/I205</f>
        <v>-1.2859393939393941E-2</v>
      </c>
      <c r="AB205" s="36" t="str" cm="1">
        <f t="array" ref="AB205">_xll.BDP($C205&amp;" Equity","EXPECTED_REPORT_DT")</f>
        <v>20/01/2026</v>
      </c>
      <c r="AC205" s="15">
        <f>S205*H205*O205/N205</f>
        <v>664125</v>
      </c>
      <c r="AD205" s="19">
        <f>AC205/'Master P&amp;L'!$AE$5</f>
        <v>3.1506356064875694E-4</v>
      </c>
      <c r="AE205" t="str">
        <f>B205  &amp; " - Buy to open " &amp;  "-" &amp; H205 &amp;"x"</f>
        <v>NFLX US 03/20/26 P83 - Buy to open -75x</v>
      </c>
      <c r="AK205" s="59" t="s">
        <v>1813</v>
      </c>
    </row>
    <row r="206" spans="1:37">
      <c r="H206" s="100" t="s">
        <v>116</v>
      </c>
      <c r="I206" s="102">
        <f>I204-I203-I205</f>
        <v>2.9300000000000006</v>
      </c>
      <c r="J206" s="100" t="s">
        <v>249</v>
      </c>
      <c r="K206" s="101">
        <f>K205/L204</f>
        <v>0.41772151898734172</v>
      </c>
      <c r="P206" s="130">
        <f>P204+P205+P203</f>
        <v>6400</v>
      </c>
      <c r="Q206" s="58">
        <f>P206/'Master P&amp;L'!$AD$5*10000</f>
        <v>3.0361856399804928E-2</v>
      </c>
      <c r="S206" s="100" t="s">
        <v>251</v>
      </c>
      <c r="T206" s="102"/>
      <c r="W206" s="100" t="s">
        <v>252</v>
      </c>
      <c r="X206" s="122">
        <f>X204+X205+X203</f>
        <v>-6.0919779560756907E-5</v>
      </c>
      <c r="AC206" s="100" t="s">
        <v>229</v>
      </c>
      <c r="AD206" s="122">
        <f>AD204</f>
        <v>2.1004237376583799E-4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2.6550000000000007</v>
      </c>
      <c r="P207" s="100"/>
      <c r="Q207" s="108"/>
      <c r="S207" s="100"/>
      <c r="T207" s="102"/>
      <c r="W207" s="100"/>
      <c r="X207" s="122"/>
      <c r="Y207" s="13">
        <f>(Y203+Y204+Y205)/S204</f>
        <v>-1450.178325176239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1.4912259420508109E-4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-5.2000000000000011</v>
      </c>
      <c r="K210" s="129"/>
      <c r="W210" s="50">
        <f>W212-W211+W214-W213</f>
        <v>0.49187345057725906</v>
      </c>
    </row>
    <row r="211" spans="1:37">
      <c r="A211" s="237">
        <v>9</v>
      </c>
      <c r="B211" t="s">
        <v>2033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155</v>
      </c>
      <c r="F211" t="str" cm="1">
        <f t="array" ref="F211">_xll.BDP(B211&amp;" Equity","QUOTED_CURRENCY_REALTIME")</f>
        <v>USD</v>
      </c>
      <c r="G211" s="105" t="s">
        <v>248</v>
      </c>
      <c r="H211" s="131">
        <f>H212</f>
        <v>50</v>
      </c>
      <c r="I211" s="97">
        <f>IF(G211="Buy",L211,K211)</f>
        <v>3.65</v>
      </c>
      <c r="J211" s="19">
        <f>I211/S211</f>
        <v>7.9454917497496624E-3</v>
      </c>
      <c r="K211" s="36" cm="1">
        <f t="array" ref="K211">_xll.BDP($B211&amp;" Equity","bid")</f>
        <v>3.65</v>
      </c>
      <c r="L211" s="36" cm="1">
        <f t="array" ref="L211">_xll.BDP($B211&amp;" Equity","ask")</f>
        <v>3.8</v>
      </c>
      <c r="M211" s="40">
        <f>(L211/K211-1)</f>
        <v>4.1095890410958846E-2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-18250</v>
      </c>
      <c r="Q211" s="58">
        <f>P211/'Master P&amp;L'!$AD$5*10000</f>
        <v>-8.657873114006874E-2</v>
      </c>
      <c r="R211" s="37" cm="1">
        <f t="array" ref="R211">_xll.BDP($C211&amp;" Equity","EST_PE_NXT_YR")*(T211/S211)</f>
        <v>31.001812505754224</v>
      </c>
      <c r="S211" s="36" cm="1">
        <f t="array" ref="S211">_xll.BDP(C211&amp;" Equity","LAST_PRICE")</f>
        <v>459.38</v>
      </c>
      <c r="T211" s="53" cm="1">
        <f t="array" ref="T211">_xll.BDP(B211&amp;" Equity","OPT_STRIKE_PX")</f>
        <v>585</v>
      </c>
      <c r="U211" s="40">
        <f>T211/S211-1</f>
        <v>0.27345552701467191</v>
      </c>
      <c r="V211" s="37" cm="1">
        <f t="array" ref="V211">_xll.BDP($B211&amp;" Equity","ivol_mid")</f>
        <v>26.134869999999999</v>
      </c>
      <c r="W211" s="38" cm="1">
        <f t="array" ref="W211">_xll.BDP(B211&amp;" Equity","DELTA_MID_RT")</f>
        <v>0.10636004060506821</v>
      </c>
      <c r="X211" s="48">
        <f>Y211/'Master P&amp;L'!$AE$5</f>
        <v>-1.1589612889451587E-4</v>
      </c>
      <c r="Y211" s="15">
        <f>IF(G211="Sell", S211*W211*-H211*O211/N211, S211*W211*H211*O211/N211)</f>
        <v>-244298.37726578116</v>
      </c>
      <c r="Z211" s="15" cm="1">
        <f t="array" ref="Z211">_xll.BDP($B211&amp;" Equity","opt_theta")*H211*O211/N211</f>
        <v>-224.71</v>
      </c>
      <c r="AA211" s="19" cm="1">
        <f t="array" ref="AA211">_xll.BDP($B211&amp;" Equity","opt_theta")/I211</f>
        <v>-1.2312876712328768E-2</v>
      </c>
      <c r="AB211" s="36" t="str" cm="1">
        <f t="array" ref="AB211">_xll.BDP($C211&amp;" Equity","EXPECTED_REPORT_DT")</f>
        <v>28/01/2026</v>
      </c>
      <c r="AC211" s="15">
        <f>S211*H211*O211/N211</f>
        <v>2296900</v>
      </c>
      <c r="AD211" s="19">
        <f>AC211/'Master P&amp;L'!$AE$5</f>
        <v>1.089658561948624E-3</v>
      </c>
      <c r="AE211" t="s">
        <v>1878</v>
      </c>
      <c r="AK211" t="s">
        <v>1791</v>
      </c>
    </row>
    <row r="212" spans="1:37">
      <c r="A212" s="237">
        <v>3</v>
      </c>
      <c r="B212" s="73" t="s">
        <v>2034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155</v>
      </c>
      <c r="F212" t="str" cm="1">
        <f t="array" ref="F212">_xll.BDP(B212&amp;" Equity","QUOTED_CURRENCY_REALTIME")</f>
        <v>USD</v>
      </c>
      <c r="G212" s="105" t="s">
        <v>247</v>
      </c>
      <c r="H212" s="131">
        <v>50</v>
      </c>
      <c r="I212" s="97">
        <f>IF(G212="Buy",L212,K212)</f>
        <v>14.95</v>
      </c>
      <c r="J212" s="19">
        <f>I212/S212</f>
        <v>3.2543863468152724E-2</v>
      </c>
      <c r="K212" s="36" cm="1">
        <f t="array" ref="K212">_xll.BDP($B212&amp;" Equity","bid")</f>
        <v>14.75</v>
      </c>
      <c r="L212" s="36" cm="1">
        <f t="array" ref="L212">_xll.BDP($B212&amp;" Equity","ask")</f>
        <v>14.95</v>
      </c>
      <c r="M212" s="40">
        <f>(L212/K212-1)</f>
        <v>1.3559322033898313E-2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74750</v>
      </c>
      <c r="Q212" s="58">
        <f>P212/'Master P&amp;L'!$AD$5*10000</f>
        <v>0.35461699466959656</v>
      </c>
      <c r="R212" s="37" cm="1">
        <f t="array" ref="R212">_xll.BDP($C212&amp;" Equity","EST_PE_NXT_YR")*(T212/S212)</f>
        <v>27.292193915322095</v>
      </c>
      <c r="S212" s="36" cm="1">
        <f t="array" ref="S212">_xll.BDP(C212&amp;" Equity","LAST_PRICE")</f>
        <v>459.38</v>
      </c>
      <c r="T212" s="53" cm="1">
        <f t="array" ref="T212">_xll.BDP(B212&amp;" Equity","OPT_STRIKE_PX")</f>
        <v>515</v>
      </c>
      <c r="U212" s="40">
        <f>T212/S212-1</f>
        <v>0.12107623318385641</v>
      </c>
      <c r="V212" s="37" cm="1">
        <f t="array" ref="V212">_xll.BDP($B212&amp;" Equity","ivol_mid")</f>
        <v>26.648219999999998</v>
      </c>
      <c r="W212" s="38" cm="1">
        <f t="array" ref="W212">_xll.BDP(B212&amp;" Equity","DELTA_MID_RT")</f>
        <v>0.31432250142097473</v>
      </c>
      <c r="X212" s="48">
        <f>Y212/'Master P&amp;L'!$AE$5</f>
        <v>3.425042048864736E-4</v>
      </c>
      <c r="Y212" s="15">
        <f>IF(G212="Sell", S212*W212*-H212*O212/N212, S212*W212*H212*O212/N212)</f>
        <v>721967.35351383674</v>
      </c>
      <c r="Z212" s="15" cm="1">
        <f t="array" ref="Z212">_xll.BDP($B212&amp;" Equity","opt_theta")*H212*O212/N212</f>
        <v>-446.99500000000006</v>
      </c>
      <c r="AA212" s="19" cm="1">
        <f t="array" ref="AA212">_xll.BDP($B212&amp;" Equity","opt_theta")/I212</f>
        <v>-5.9798662207357868E-3</v>
      </c>
      <c r="AB212" s="36" t="str" cm="1">
        <f t="array" ref="AB212">_xll.BDP($C212&amp;" Equity","EXPECTED_REPORT_DT")</f>
        <v>28/01/2026</v>
      </c>
      <c r="AC212" s="15">
        <f>S212*H212*O212/N212</f>
        <v>2296900</v>
      </c>
      <c r="AD212" s="48">
        <f>AC212/'Master P&amp;L'!$AE$5</f>
        <v>1.089658561948624E-3</v>
      </c>
      <c r="AE212" t="s">
        <v>1879</v>
      </c>
      <c r="AK212" t="s">
        <v>1792</v>
      </c>
    </row>
    <row r="213" spans="1:37">
      <c r="A213" s="237">
        <v>20</v>
      </c>
      <c r="B213" t="s">
        <v>2035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155</v>
      </c>
      <c r="F213" t="str" cm="1">
        <f t="array" ref="F213">_xll.BDP(B213&amp;" Equity","QUOTED_CURRENCY_REALTIME")</f>
        <v>USD</v>
      </c>
      <c r="G213" s="105" t="s">
        <v>248</v>
      </c>
      <c r="H213" s="131">
        <f>H212</f>
        <v>50</v>
      </c>
      <c r="I213" s="97">
        <f>IF(G213="Buy",L213,K213)</f>
        <v>16.5</v>
      </c>
      <c r="J213" s="19">
        <f>I213/S213</f>
        <v>3.5917976402977926E-2</v>
      </c>
      <c r="K213" s="36" cm="1">
        <f t="array" ref="K213">_xll.BDP($B213&amp;" Equity","bid")</f>
        <v>16.5</v>
      </c>
      <c r="L213" s="36" cm="1">
        <f t="array" ref="L213">_xll.BDP($B213&amp;" Equity","ask")</f>
        <v>17</v>
      </c>
      <c r="M213" s="40">
        <f>(L213/K213-1)</f>
        <v>3.0303030303030276E-2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-82500</v>
      </c>
      <c r="Q213" s="58">
        <f>P213/'Master P&amp;L'!$AD$5*10000</f>
        <v>-0.39138330515373537</v>
      </c>
      <c r="R213" s="37" cm="1">
        <f t="array" ref="R213">_xll.BDP($C213&amp;" Equity","EST_PE_NXT_YR")*(T213/S213)</f>
        <v>22.522684299052216</v>
      </c>
      <c r="S213" s="36" cm="1">
        <f t="array" ref="S213">_xll.BDP(C213&amp;" Equity","LAST_PRICE")</f>
        <v>459.38</v>
      </c>
      <c r="T213" s="53" cm="1">
        <f t="array" ref="T213">_xll.BDP(B213&amp;" Equity","OPT_STRIKE_PX")</f>
        <v>425</v>
      </c>
      <c r="U213" s="40">
        <f>T213/S213-1</f>
        <v>-7.4840001741477646E-2</v>
      </c>
      <c r="V213" s="37" cm="1">
        <f t="array" ref="V213">_xll.BDP(B213&amp;" Equity","ivol_mid")</f>
        <v>29.078600000000002</v>
      </c>
      <c r="W213" s="38" cm="1">
        <f t="array" ref="W213">_xll.BDP(B213&amp;" Equity","DELTA_MID_RT")</f>
        <v>-0.28391098976135254</v>
      </c>
      <c r="X213" s="48">
        <f>Y213/'Master P&amp;L'!$AE$5</f>
        <v>3.0936604082476587E-4</v>
      </c>
      <c r="Y213" s="15">
        <f>IF(G213="Sell", S213*W213*-H213*O213/N213, S213*W213*H213*O213/N213)</f>
        <v>652115.15238285053</v>
      </c>
      <c r="Z213" s="15" cm="1">
        <f t="array" ref="Z213">_xll.BDP($B213&amp;" Equity","opt_theta")*H213*O213/N213</f>
        <v>-480.34</v>
      </c>
      <c r="AA213" s="19" cm="1">
        <f t="array" ref="AA213">_xll.BDP($B213&amp;" Equity","opt_theta")/I213</f>
        <v>-5.8223030303030301E-3</v>
      </c>
      <c r="AB213" s="36" t="str" cm="1">
        <f t="array" ref="AB213">_xll.BDP($C213&amp;" Equity","EXPECTED_REPORT_DT")</f>
        <v>28/01/2026</v>
      </c>
      <c r="AC213" s="15">
        <f>S213*H213*O213/N213</f>
        <v>2296900</v>
      </c>
      <c r="AD213" s="19">
        <f>AC213/'Master P&amp;L'!$AE$5</f>
        <v>1.089658561948624E-3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-5.2000000000000011</v>
      </c>
      <c r="J215" s="100" t="s">
        <v>249</v>
      </c>
      <c r="K215" s="101">
        <f>K214/L212</f>
        <v>0</v>
      </c>
      <c r="P215" s="130">
        <f>P212+P214+P211+P213</f>
        <v>-26000</v>
      </c>
      <c r="Q215" s="58">
        <f>P215/'Master P&amp;L'!$AD$5*10000</f>
        <v>-0.12334504162420751</v>
      </c>
      <c r="S215" s="100" t="s">
        <v>251</v>
      </c>
      <c r="T215" s="102"/>
      <c r="W215" s="100" t="s">
        <v>252</v>
      </c>
      <c r="X215" s="122">
        <f>X212+X214+X211+X213</f>
        <v>5.3597411681672365E-4</v>
      </c>
      <c r="AC215" s="100" t="s">
        <v>229</v>
      </c>
      <c r="AD215" s="122">
        <f>AD212</f>
        <v>1.089658561948624E-3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1039.8123040795324</v>
      </c>
      <c r="AC216" s="100"/>
      <c r="AD216" s="104"/>
    </row>
    <row r="217" spans="1:37">
      <c r="D217" s="64"/>
      <c r="H217" s="96"/>
      <c r="I217" s="64">
        <f>I212-I211</f>
        <v>11.299999999999999</v>
      </c>
      <c r="K217" s="64">
        <f>(I211/25*A211)+(I212/25*A212)-(I214/25*A214)</f>
        <v>3.1079999999999997</v>
      </c>
      <c r="N217" s="36"/>
      <c r="O217" s="162"/>
      <c r="P217" s="15"/>
      <c r="Q217" s="58"/>
    </row>
    <row r="218" spans="1:37">
      <c r="I218" s="64">
        <f>I213-I214</f>
        <v>16.5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1.4601769911504425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20.5</v>
      </c>
      <c r="J221" s="64">
        <f>I224-I225</f>
        <v>8.7999999999999989</v>
      </c>
      <c r="K221" s="129"/>
      <c r="W221" s="50">
        <f>W223-W222+W225-W224</f>
        <v>0.288069948554039</v>
      </c>
    </row>
    <row r="222" spans="1:37">
      <c r="A222" s="237">
        <v>9</v>
      </c>
      <c r="B222" s="59" t="s">
        <v>2159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155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21.6</v>
      </c>
      <c r="J222" s="19">
        <f>I222/S222</f>
        <v>6.3549972049780815E-2</v>
      </c>
      <c r="K222" s="36" cm="1">
        <f t="array" ref="K222">_xll.BDP($B222&amp;" Equity","bid")</f>
        <v>21.6</v>
      </c>
      <c r="L222" s="36" cm="1">
        <f t="array" ref="L222">_xll.BDP($B222&amp;" Equity","ask")</f>
        <v>22.1</v>
      </c>
      <c r="M222" s="40">
        <f>(L222/K222-1)</f>
        <v>2.314814814814814E-2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-108000</v>
      </c>
      <c r="Q222" s="58">
        <f>P222/'Master P&amp;L'!$AD$5*10000</f>
        <v>-0.51235632674670806</v>
      </c>
      <c r="R222" s="37" cm="1">
        <f t="array" ref="R222">_xll.BDP($C222&amp;" Equity","EST_PE_NXT_YR")*(T222/S222)</f>
        <v>29.207678222005487</v>
      </c>
      <c r="S222" s="36" cm="1">
        <f t="array" ref="S222">_xll.BDP(C222&amp;" Equity","LAST_PRICE")</f>
        <v>339.89</v>
      </c>
      <c r="T222" s="53" cm="1">
        <f t="array" ref="T222">_xll.BDP(B222&amp;" Equity","OPT_STRIKE_PX")</f>
        <v>410</v>
      </c>
      <c r="U222" s="40">
        <f>T222/S222-1</f>
        <v>0.20627261761158033</v>
      </c>
      <c r="V222" s="37" cm="1">
        <f t="array" ref="V222">_xll.BDP($B222&amp;" Equity","ivol_mid")</f>
        <v>48.967109999999998</v>
      </c>
      <c r="W222" s="38" cm="1">
        <f t="array" ref="W222">_xll.BDP(B222&amp;" Equity","DELTA_MID_RT")</f>
        <v>0.35136020183563232</v>
      </c>
      <c r="X222" s="48">
        <f>Y222/'Master P&amp;L'!$AE$5</f>
        <v>-2.832756908790921E-4</v>
      </c>
      <c r="Y222" s="15">
        <f>IF(G222="Sell", S222*W222*-H222*O222/N222, S222*W222*H222*O222/N222)</f>
        <v>-597119.09500956524</v>
      </c>
      <c r="Z222" s="15" cm="1">
        <f t="array" ref="Z222">_xll.BDP($B222&amp;" Equity","opt_theta")*H222*O222/N222</f>
        <v>-628.67000000000007</v>
      </c>
      <c r="AA222" s="19" cm="1">
        <f t="array" ref="AA222">_xll.BDP($B222&amp;" Equity","opt_theta")/I222</f>
        <v>-5.8210185185185188E-3</v>
      </c>
      <c r="AB222" s="36" t="str" cm="1">
        <f t="array" ref="AB222">_xll.BDP($C222&amp;" Equity","EXPECTED_REPORT_DT")</f>
        <v>06/03/2026</v>
      </c>
      <c r="AC222" s="15">
        <f>S222*H222*O222/N222</f>
        <v>1699450</v>
      </c>
      <c r="AD222" s="19">
        <f>AC222/'Master P&amp;L'!$AE$5</f>
        <v>8.0622588841638249E-4</v>
      </c>
      <c r="AE222" t="s">
        <v>1878</v>
      </c>
      <c r="AK222" t="s">
        <v>1791</v>
      </c>
    </row>
    <row r="223" spans="1:37">
      <c r="A223" s="237">
        <v>3</v>
      </c>
      <c r="B223" s="59" t="s">
        <v>2157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155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42.1</v>
      </c>
      <c r="J223" s="19">
        <f>I223/S223</f>
        <v>0.12386360293035983</v>
      </c>
      <c r="K223" s="36" cm="1">
        <f t="array" ref="K223">_xll.BDP($B223&amp;" Equity","bid")</f>
        <v>41.3</v>
      </c>
      <c r="L223" s="36" cm="1">
        <f t="array" ref="L223">_xll.BDP($B223&amp;" Equity","ask")</f>
        <v>42.1</v>
      </c>
      <c r="M223" s="40">
        <f>(L223/K223-1)</f>
        <v>1.9370460048426352E-2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210500</v>
      </c>
      <c r="Q223" s="58">
        <f>P223/'Master P&amp;L'!$AD$5*10000</f>
        <v>0.99862043314983384</v>
      </c>
      <c r="R223" s="37" cm="1">
        <f t="array" ref="R223">_xll.BDP($C223&amp;" Equity","EST_PE_NXT_YR")*(T223/S223)</f>
        <v>24.933383848053463</v>
      </c>
      <c r="S223" s="36" cm="1">
        <f t="array" ref="S223">_xll.BDP(C223&amp;" Equity","LAST_PRICE")</f>
        <v>339.89</v>
      </c>
      <c r="T223" s="53" cm="1">
        <f t="array" ref="T223">_xll.BDP(B223&amp;" Equity","OPT_STRIKE_PX")</f>
        <v>350</v>
      </c>
      <c r="U223" s="40">
        <f>T223/S223-1</f>
        <v>2.9744917473300214E-2</v>
      </c>
      <c r="V223" s="37" cm="1">
        <f t="array" ref="V223">_xll.BDP($B223&amp;" Equity","ivol_mid")</f>
        <v>49.695569999999996</v>
      </c>
      <c r="W223" s="38" cm="1">
        <f t="array" ref="W223">_xll.BDP(B223&amp;" Equity","DELTA_MID_RT")</f>
        <v>0.54681634902954102</v>
      </c>
      <c r="X223" s="48">
        <f>Y223/'Master P&amp;L'!$AE$5</f>
        <v>4.4085749679694431E-4</v>
      </c>
      <c r="Y223" s="15">
        <f>IF(G223="Sell", S223*W223*-H223*O223/N223, S223*W223*H223*O223/N223)</f>
        <v>929287.04435825325</v>
      </c>
      <c r="Z223" s="15" cm="1">
        <f t="array" ref="Z223">_xll.BDP($B223&amp;" Equity","opt_theta")*H223*O223/N223</f>
        <v>-681.77499999999998</v>
      </c>
      <c r="AA223" s="19" cm="1">
        <f t="array" ref="AA223">_xll.BDP($B223&amp;" Equity","opt_theta")/I223</f>
        <v>-3.2388361045130641E-3</v>
      </c>
      <c r="AB223" s="36" t="str" cm="1">
        <f t="array" ref="AB223">_xll.BDP($C223&amp;" Equity","EXPECTED_REPORT_DT")</f>
        <v>06/03/2026</v>
      </c>
      <c r="AC223" s="15">
        <f>S223*H223*O223/N223</f>
        <v>1699450</v>
      </c>
      <c r="AD223" s="48">
        <f>AC223/'Master P&amp;L'!$AE$5</f>
        <v>8.0622588841638249E-4</v>
      </c>
      <c r="AE223" t="s">
        <v>1879</v>
      </c>
      <c r="AK223" t="s">
        <v>1792</v>
      </c>
    </row>
    <row r="224" spans="1:37">
      <c r="A224" s="237"/>
      <c r="B224" s="59" t="s">
        <v>2156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155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23.15</v>
      </c>
      <c r="J224" s="19">
        <f>I224/S224</f>
        <v>6.8110270970019704E-2</v>
      </c>
      <c r="K224" s="36" cm="1">
        <f t="array" ref="K224">_xll.BDP($B224&amp;" Equity","bid")</f>
        <v>23.15</v>
      </c>
      <c r="L224" s="36" cm="1">
        <f t="array" ref="L224">_xll.BDP($B224&amp;" Equity","ask")</f>
        <v>23.65</v>
      </c>
      <c r="M224" s="40">
        <f>(L224/K224-1)</f>
        <v>2.1598272138228847E-2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-115750</v>
      </c>
      <c r="Q224" s="58">
        <f>P224/'Master P&amp;L'!$AD$5*10000</f>
        <v>-0.54912263723084687</v>
      </c>
      <c r="R224" s="37" cm="1">
        <f t="array" ref="R224">_xll.BDP($C224&amp;" Equity","EST_PE_NXT_YR")*(T224/S224)</f>
        <v>21.371471869760111</v>
      </c>
      <c r="S224" s="36" cm="1">
        <f t="array" ref="S224">_xll.BDP(C224&amp;" Equity","LAST_PRICE")</f>
        <v>339.89</v>
      </c>
      <c r="T224" s="53" cm="1">
        <f t="array" ref="T224">_xll.BDP(B224&amp;" Equity","OPT_STRIKE_PX")</f>
        <v>300</v>
      </c>
      <c r="U224" s="40">
        <f>T224/S224-1</f>
        <v>-0.11736149930859985</v>
      </c>
      <c r="V224" s="37" cm="1">
        <f t="array" ref="V224">_xll.BDP(B224&amp;" Equity","ivol_mid")</f>
        <v>50.814140000000002</v>
      </c>
      <c r="W224" s="38" cm="1">
        <f t="array" ref="W224">_xll.BDP(B224&amp;" Equity","DELTA_MID_RT")</f>
        <v>-0.28059077262878418</v>
      </c>
      <c r="X224" s="48">
        <f>Y224/'Master P&amp;L'!$AE$5</f>
        <v>2.2621954494408072E-4</v>
      </c>
      <c r="Y224" s="15">
        <f>IF(G224="Sell", S224*W224*-H224*O224/N224, S224*W224*H224*O224/N224)</f>
        <v>476849.98854398727</v>
      </c>
      <c r="Z224" s="15" cm="1">
        <f t="array" ref="Z224">_xll.BDP($B224&amp;" Equity","opt_theta")*H224*O224/N224</f>
        <v>-613.17499999999995</v>
      </c>
      <c r="AA224" s="19" cm="1">
        <f t="array" ref="AA224">_xll.BDP($B224&amp;" Equity","opt_theta")/I224</f>
        <v>-5.2974082073434124E-3</v>
      </c>
      <c r="AB224" s="36" t="str" cm="1">
        <f t="array" ref="AB224">_xll.BDP($C224&amp;" Equity","EXPECTED_REPORT_DT")</f>
        <v>06/03/2026</v>
      </c>
      <c r="AC224" s="15">
        <f>S224*H224*O224/N224</f>
        <v>1699450</v>
      </c>
      <c r="AD224" s="19">
        <f>AC224/'Master P&amp;L'!$AE$5</f>
        <v>8.0622588841638249E-4</v>
      </c>
      <c r="AE224" t="s">
        <v>1880</v>
      </c>
      <c r="AK224" t="s">
        <v>1793</v>
      </c>
    </row>
    <row r="225" spans="1:37">
      <c r="A225" s="237"/>
      <c r="B225" s="59" t="s">
        <v>2158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155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14.35</v>
      </c>
      <c r="J225" s="19">
        <f>I225/S225</f>
        <v>4.2219541616405308E-2</v>
      </c>
      <c r="K225" s="36" cm="1">
        <f t="array" ref="K225">_xll.BDP($B225&amp;" Equity","bid")</f>
        <v>14</v>
      </c>
      <c r="L225" s="36" cm="1">
        <f t="array" ref="L225">_xll.BDP($B225&amp;" Equity","ask")</f>
        <v>14.35</v>
      </c>
      <c r="M225" s="40">
        <f>(L225/K225-1)</f>
        <v>2.4999999999999911E-2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71750</v>
      </c>
      <c r="Q225" s="58">
        <f>P225/'Master P&amp;L'!$AD$5*10000</f>
        <v>0.34038487448218802</v>
      </c>
      <c r="R225" s="37" cm="1">
        <f t="array" ref="R225">_xll.BDP($C225&amp;" Equity","EST_PE_NXT_YR")*(T225/S225)</f>
        <v>19.234324682784102</v>
      </c>
      <c r="S225" s="36" cm="1">
        <f t="array" ref="S225">_xll.BDP(C225&amp;" Equity","LAST_PRICE")</f>
        <v>339.89</v>
      </c>
      <c r="T225" s="53" cm="1">
        <f t="array" ref="T225">_xll.BDP(B225&amp;" Equity","OPT_STRIKE_PX")</f>
        <v>270</v>
      </c>
      <c r="U225" s="40">
        <f>T225/S225-1</f>
        <v>-0.2056253493777398</v>
      </c>
      <c r="V225" s="37" cm="1">
        <f t="array" ref="V225">_xll.BDP(B225&amp;" Equity","ivol_mid")</f>
        <v>52.318739999999998</v>
      </c>
      <c r="W225" s="38" cm="1">
        <f t="array" ref="W225">_xll.BDP(B225&amp;" Equity","DELTA_MID_RT")</f>
        <v>-0.18797697126865387</v>
      </c>
      <c r="X225" s="48">
        <f>Y225/'Master P&amp;L'!$AE$5</f>
        <v>-1.5155190066289129E-4</v>
      </c>
      <c r="Y225" s="15">
        <f>IF(G225="Sell", S225*W225*-H225*O225/N225, S225*W225*H225*O225/N225)</f>
        <v>-319457.46382251382</v>
      </c>
      <c r="Z225" s="15" cm="1">
        <f t="array" ref="Z225">_xll.BDP($B225&amp;" Equity","opt_theta")*H225*O225/N225</f>
        <v>-504.03500000000003</v>
      </c>
      <c r="AA225" s="19" cm="1">
        <f t="array" ref="AA225">_xll.BDP($B225&amp;" Equity","opt_theta")/I225</f>
        <v>-7.0248780487804875E-3</v>
      </c>
      <c r="AB225" s="36" t="str" cm="1">
        <f t="array" ref="AB225">_xll.BDP($C225&amp;" Equity","EXPECTED_REPORT_DT")</f>
        <v>06/03/2026</v>
      </c>
      <c r="AC225" s="15">
        <f>S225*H225*O225/N225</f>
        <v>1699450</v>
      </c>
      <c r="AD225" s="19">
        <f>AC225/'Master P&amp;L'!$AE$5</f>
        <v>8.0622588841638249E-4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11.700000000000003</v>
      </c>
      <c r="J226" s="100" t="s">
        <v>249</v>
      </c>
      <c r="K226" s="101">
        <f>K225/L223</f>
        <v>0.33254156769596199</v>
      </c>
      <c r="P226" s="130">
        <f>P223+P225+P222+P224</f>
        <v>58500</v>
      </c>
      <c r="Q226" s="58">
        <f>P226/'Master P&amp;L'!$AD$5*10000</f>
        <v>0.27752634365446688</v>
      </c>
      <c r="S226" s="100" t="s">
        <v>251</v>
      </c>
      <c r="T226" s="102"/>
      <c r="W226" s="100" t="s">
        <v>252</v>
      </c>
      <c r="X226" s="122">
        <f>X223+X225+X222+X224</f>
        <v>2.3224945019904167E-4</v>
      </c>
      <c r="AC226" s="100" t="s">
        <v>229</v>
      </c>
      <c r="AD226" s="122">
        <f>AD223</f>
        <v>8.0622588841638249E-4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10.625000000000007</v>
      </c>
      <c r="P227" s="100"/>
      <c r="Q227" s="108"/>
      <c r="S227" s="100"/>
      <c r="T227" s="102"/>
      <c r="W227" s="100"/>
      <c r="X227" s="122"/>
      <c r="Y227" s="13">
        <f>(Y222+Y223+Y224)/S223</f>
        <v>2380.2345991134639</v>
      </c>
      <c r="AC227" s="100"/>
      <c r="AD227" s="104"/>
    </row>
    <row r="228" spans="1:37">
      <c r="D228" s="64"/>
      <c r="H228" s="96"/>
      <c r="I228" s="64">
        <f>I223-I222</f>
        <v>20.5</v>
      </c>
      <c r="K228" s="64">
        <f>(I222/25*A222)+(I223/25*A223)-(I225/25*A225)</f>
        <v>12.828000000000001</v>
      </c>
      <c r="N228" s="36"/>
      <c r="O228" s="162"/>
      <c r="P228" s="15"/>
      <c r="Q228" s="58"/>
    </row>
    <row r="229" spans="1:37">
      <c r="I229" s="64">
        <f>I224-I225</f>
        <v>8.7999999999999989</v>
      </c>
      <c r="K229">
        <v>11.59</v>
      </c>
      <c r="M229" s="267">
        <f>(I226-K227)*500*100</f>
        <v>53749.999999999782</v>
      </c>
      <c r="P229">
        <v>-7500</v>
      </c>
      <c r="S229">
        <v>521.79999999999995</v>
      </c>
    </row>
    <row r="230" spans="1:37">
      <c r="I230" s="40">
        <f>I229/I228</f>
        <v>0.42926829268292677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2110</v>
      </c>
      <c r="C233" t="str" cm="1">
        <f t="array" ref="C233">_xll.BDP(B233&amp;" Equity","OPT_UNDL_TICKER")</f>
        <v>META US</v>
      </c>
      <c r="D233" s="64">
        <f>A233*AVERAGE(K233:L233)</f>
        <v>15.950000000000001</v>
      </c>
      <c r="E233" cm="1">
        <f t="array" ref="E233">_xll.BDP($B233&amp;" Index","opt_days_expire")</f>
        <v>93</v>
      </c>
      <c r="F233" t="str" cm="1">
        <f t="array" ref="F233">_xll.BDP(B233&amp;" Equity","QUOTED_CURRENCY_REALTIME")</f>
        <v>USD</v>
      </c>
      <c r="G233" s="105" t="s">
        <v>247</v>
      </c>
      <c r="H233" s="131">
        <v>30</v>
      </c>
      <c r="I233" s="97">
        <f>IF(G233="Buy",L233,K233)</f>
        <v>8.0500000000000007</v>
      </c>
      <c r="J233" s="19">
        <f>I233/S233</f>
        <v>1.3078372757993242E-2</v>
      </c>
      <c r="K233" s="36" cm="1">
        <f t="array" ref="K233">_xll.BDP($B233&amp;" Equity","bid")</f>
        <v>7.9</v>
      </c>
      <c r="L233" s="36" cm="1">
        <f t="array" ref="L233">_xll.BDP($B233&amp;" Equity","ask")</f>
        <v>8.0500000000000007</v>
      </c>
      <c r="M233" s="40">
        <f>(L233/K233-1)</f>
        <v>1.8987341772152E-2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24150.000000000004</v>
      </c>
      <c r="Q233" s="58">
        <f>P233/'Master P&amp;L'!$AD$5*10000</f>
        <v>0.1145685675086389</v>
      </c>
      <c r="R233" s="37" cm="1">
        <f t="array" ref="R233">_xll.BDP($C233&amp;" Equity","EST_PE_NXT_YR")*(T233/S233)</f>
        <v>22.315376737608222</v>
      </c>
      <c r="S233" s="36" cm="1">
        <f t="array" ref="S233">_xll.BDP(C233&amp;" Equity","LAST_PRICE")</f>
        <v>615.52</v>
      </c>
      <c r="T233" s="53" cm="1">
        <f t="array" ref="T233">_xll.BDP(B233&amp;" Equity","OPT_STRIKE_PX")</f>
        <v>750</v>
      </c>
      <c r="U233" s="40">
        <f>T233/S233-1</f>
        <v>0.21848193397452564</v>
      </c>
      <c r="V233" s="37" cm="1">
        <f t="array" ref="V233">_xll.BDP($B233&amp;" Equity","ivol_mid")</f>
        <v>34.005870000000002</v>
      </c>
      <c r="W233" s="38" cm="1">
        <f t="array" ref="W233">_xll.BDP(B233&amp;" Equity","DELTA_MID_RT")</f>
        <v>0.15584051609039307</v>
      </c>
      <c r="X233" s="48">
        <f>Y233/'Master P&amp;L'!$AE$5</f>
        <v>1.3651870166623789E-4</v>
      </c>
      <c r="Y233" s="15">
        <f>IF(G233="Sell", S233*W233*-H233*O233/N233, S233*W233*H233*O233/N233)</f>
        <v>287768.86339187616</v>
      </c>
      <c r="Z233" s="15" cm="1">
        <f t="array" ref="Z233">_xll.BDP($B233&amp;" Equity","opt_theta")*H233*O233/N233</f>
        <v>-415.44900000000001</v>
      </c>
      <c r="AA233" s="19" cm="1">
        <f t="array" ref="AA233">_xll.BDP($B233&amp;" Equity","opt_theta")/I233</f>
        <v>-1.7202857142857141E-2</v>
      </c>
      <c r="AB233" s="36" t="str" cm="1">
        <f t="array" ref="AB233">_xll.BDP($C233&amp;" Equity","EXPECTED_REPORT_DT")</f>
        <v>29/01/2026</v>
      </c>
      <c r="AC233" s="15">
        <f>S233*H233*O233/N233</f>
        <v>1846559.9999999998</v>
      </c>
      <c r="AD233" s="48">
        <f>AC233/'Master P&amp;L'!$AE$5</f>
        <v>8.7601546177537147E-4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2161</v>
      </c>
      <c r="C234" t="str" cm="1">
        <f t="array" ref="C234">_xll.BDP(B234&amp;" Equity","OPT_UNDL_TICKER")</f>
        <v>META US</v>
      </c>
      <c r="D234" s="64">
        <f>A234*AVERAGE(K234:L234)</f>
        <v>41.75</v>
      </c>
      <c r="E234" cm="1">
        <f t="array" ref="E234">_xll.BDP($B234&amp;" Index","opt_days_expire")</f>
        <v>93</v>
      </c>
      <c r="F234" t="str" cm="1">
        <f t="array" ref="F234">_xll.BDP(B234&amp;" Equity","QUOTED_CURRENCY_REALTIME")</f>
        <v>USD</v>
      </c>
      <c r="G234" s="105" t="s">
        <v>247</v>
      </c>
      <c r="H234" s="131">
        <v>60</v>
      </c>
      <c r="I234" s="97">
        <f>IF(G234="Buy",L234,K234)</f>
        <v>21</v>
      </c>
      <c r="J234" s="19">
        <f>I234/S234</f>
        <v>3.4117494151286717E-2</v>
      </c>
      <c r="K234" s="36" cm="1">
        <f t="array" ref="K234">_xll.BDP($B234&amp;" Equity","bid")</f>
        <v>20.75</v>
      </c>
      <c r="L234" s="36" cm="1">
        <f t="array" ref="L234">_xll.BDP($B234&amp;" Equity","ask")</f>
        <v>21</v>
      </c>
      <c r="M234" s="40">
        <f>(L234/K234-1)</f>
        <v>1.2048192771084265E-2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126000</v>
      </c>
      <c r="Q234" s="58">
        <f>P234/'Master P&amp;L'!$AD$5*10000</f>
        <v>0.59774904787115946</v>
      </c>
      <c r="R234" s="37" cm="1">
        <f t="array" ref="R234">_xll.BDP($C234&amp;" Equity","EST_PE_NXT_YR")*(T234/S234)</f>
        <v>16.95968632058225</v>
      </c>
      <c r="S234" s="36" cm="1">
        <f t="array" ref="S234">_xll.BDP(C234&amp;" Equity","LAST_PRICE")</f>
        <v>615.52</v>
      </c>
      <c r="T234" s="53" cm="1">
        <f t="array" ref="T234">_xll.BDP(B234&amp;" Equity","OPT_STRIKE_PX")</f>
        <v>570</v>
      </c>
      <c r="U234" s="40">
        <f>T234/S234-1</f>
        <v>-7.3953730179360466E-2</v>
      </c>
      <c r="V234" s="37" cm="1">
        <f t="array" ref="V234">_xll.BDP(B234&amp;" Equity","ivol_mid")</f>
        <v>34.943210000000001</v>
      </c>
      <c r="W234" s="38" cm="1">
        <f t="array" ref="W234">_xll.BDP(B234&amp;" Equity","DELTA_MID_RT")</f>
        <v>-0.2839195728302002</v>
      </c>
      <c r="X234" s="48">
        <f>Y234/'Master P&amp;L'!$AE$5</f>
        <v>-4.9743587139982812E-4</v>
      </c>
      <c r="Y234" s="15">
        <f>IF(G234="Sell", S234*W234*-H234*O234/N234, S234*W234*H234*O234/N234)</f>
        <v>-1048549.0528106689</v>
      </c>
      <c r="Z234" s="15" cm="1">
        <f t="array" ref="Z234">_xll.BDP($B234&amp;" Equity","opt_theta")*H234*O234/N234</f>
        <v>-1182.4739999999999</v>
      </c>
      <c r="AA234" s="19" cm="1">
        <f t="array" ref="AA234">_xll.BDP($B234&amp;" Equity","opt_theta")/I234</f>
        <v>-9.3847142857142862E-3</v>
      </c>
      <c r="AB234" s="36" t="str" cm="1">
        <f t="array" ref="AB234">_xll.BDP($C234&amp;" Equity","EXPECTED_REPORT_DT")</f>
        <v>29/01/2026</v>
      </c>
      <c r="AC234" s="15">
        <f>S234*H234*O234/N234</f>
        <v>3693119.9999999995</v>
      </c>
      <c r="AD234" s="19">
        <f>AC234/'Master P&amp;L'!$AE$5</f>
        <v>1.7520309235507429E-3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>
        <f>I234-I233</f>
        <v>12.95</v>
      </c>
      <c r="J236" s="19"/>
      <c r="K236" s="109">
        <f>AVERAGE(K233:L233)-AVERAGE(K234:L234)</f>
        <v>-12.899999999999999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1839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cm="1">
        <f t="array" ref="R239">_xll.BDP($C239&amp;" Equity","EST_PE_NXT_YR")*(T239/S239)</f>
        <v>82.38468469110974</v>
      </c>
      <c r="S239" s="36" cm="1">
        <f t="array" ref="S239">_xll.BDP(C239&amp;" Equity","LAST_PRICE")</f>
        <v>69.3</v>
      </c>
      <c r="T239" s="53" cm="1">
        <f t="array" ref="T239">_xll.BDP(B239&amp;" Equity","OPT_STRIKE_PX")</f>
        <v>50</v>
      </c>
      <c r="U239" s="40">
        <f>T239/S239-1</f>
        <v>-0.27849927849927847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1840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cm="1">
        <f t="array" ref="R240">_xll.BDP($C240&amp;" Equity","EST_PE_NXT_YR")*(T240/S240)</f>
        <v>75.793909915820961</v>
      </c>
      <c r="S240" s="36" cm="1">
        <f t="array" ref="S240">_xll.BDP(C240&amp;" Equity","LAST_PRICE")</f>
        <v>69.3</v>
      </c>
      <c r="T240" s="53" cm="1">
        <f t="array" ref="T240">_xll.BDP(B240&amp;" Equity","OPT_STRIKE_PX")</f>
        <v>46</v>
      </c>
      <c r="U240" s="40">
        <f>T240/S240-1</f>
        <v>-0.3362193362193362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BABA</v>
      </c>
      <c r="B246" t="s">
        <v>1909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0">IF(G246="Buy",L246,K246)</f>
        <v>#N/A Real Time</v>
      </c>
      <c r="J246" s="19" t="e">
        <f t="shared" ref="J246:J251" si="1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3">IF(G246="Buy",((I246/N246)*H246*O246),((I246/N246)*-H246*O246))</f>
        <v>#VALUE!</v>
      </c>
      <c r="Q246" s="58" t="e">
        <f>P246/'Master P&amp;L'!$AD$5*10000</f>
        <v>#VALUE!</v>
      </c>
      <c r="R246" s="37" cm="1">
        <f t="array" ref="R246">_xll.BDP($C246&amp;" Equity","EST_PE_NXT_YR")*(T246/S246)</f>
        <v>25.70235737656547</v>
      </c>
      <c r="S246" s="36" cm="1">
        <f t="array" ref="S246">_xll.BDP(C246&amp;" Equity","LAST_PRICE")</f>
        <v>459.38</v>
      </c>
      <c r="T246" s="53" cm="1">
        <f t="array" ref="T246">_xll.BDP(B246&amp;" Equity","OPT_STRIKE_PX")</f>
        <v>485</v>
      </c>
      <c r="U246" s="40">
        <f t="shared" ref="U246:U251" si="4">T246/S246-1</f>
        <v>5.5770821542078464E-2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5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28/01/2026</v>
      </c>
      <c r="AC246" s="15" t="e">
        <f t="shared" ref="AC246:AC251" si="6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7">AVERAGE(K246:L246)</f>
        <v>#DIV/0!</v>
      </c>
      <c r="AI246" s="15" t="e">
        <f t="shared" ref="AI246:AI251" si="8">IF(G246="Buy",((AH246/N246)*H246*O246),((I246/N246)*-H246*O246))</f>
        <v>#DIV/0!</v>
      </c>
    </row>
    <row r="247" spans="1:35">
      <c r="A247" s="237" t="str">
        <f>'Master P&amp;L'!B30</f>
        <v>AVGO</v>
      </c>
      <c r="B247" t="s">
        <v>1910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0"/>
        <v>#N/A Real Time</v>
      </c>
      <c r="J247" s="19" t="e">
        <f t="shared" si="1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3"/>
        <v>#VALUE!</v>
      </c>
      <c r="Q247" s="58" t="e">
        <f>P247/'Master P&amp;L'!$AD$5*10000</f>
        <v>#VALUE!</v>
      </c>
      <c r="R247" s="37" cm="1">
        <f t="array" ref="R247">_xll.BDP($C247&amp;" Equity","EST_PE_NXT_YR")*(T247/S247)</f>
        <v>34.959377091886928</v>
      </c>
      <c r="S247" s="36" cm="1">
        <f t="array" ref="S247">_xll.BDP(C247&amp;" Equity","LAST_PRICE")</f>
        <v>193.61</v>
      </c>
      <c r="T247" s="53" cm="1">
        <f t="array" ref="T247">_xll.BDP(B247&amp;" Equity","OPT_STRIKE_PX")</f>
        <v>285</v>
      </c>
      <c r="U247" s="40">
        <f t="shared" si="4"/>
        <v>0.47203140333660443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5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6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7"/>
        <v>#DIV/0!</v>
      </c>
      <c r="AI247" s="15" t="e">
        <f t="shared" si="8"/>
        <v>#DIV/0!</v>
      </c>
    </row>
    <row r="248" spans="1:35">
      <c r="A248" s="237" t="e">
        <f>'Master P&amp;L'!#REF!</f>
        <v>#REF!</v>
      </c>
      <c r="B248" t="s">
        <v>1911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0"/>
        <v>#N/A Real Time</v>
      </c>
      <c r="J248" s="19" t="e">
        <f t="shared" si="1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3"/>
        <v>#VALUE!</v>
      </c>
      <c r="Q248" s="58" t="e">
        <f>P248/'Master P&amp;L'!$AD$5*10000</f>
        <v>#VALUE!</v>
      </c>
      <c r="R248" s="37" cm="1">
        <f t="array" ref="R248">_xll.BDP($C248&amp;" Equity","EST_PE_NXT_YR")*(T248/S248)</f>
        <v>23.689160209456897</v>
      </c>
      <c r="S248" s="36" cm="1">
        <f t="array" ref="S248">_xll.BDP(C248&amp;" Equity","LAST_PRICE")</f>
        <v>236.65</v>
      </c>
      <c r="T248" s="53" cm="1">
        <f t="array" ref="T248">_xll.BDP(B248&amp;" Equity","OPT_STRIKE_PX")</f>
        <v>220</v>
      </c>
      <c r="U248" s="40">
        <f t="shared" si="4"/>
        <v>-7.0357067399112627E-2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5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6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7"/>
        <v>#DIV/0!</v>
      </c>
      <c r="AI248" s="15" t="e">
        <f t="shared" si="8"/>
        <v>#DIV/0!</v>
      </c>
    </row>
    <row r="249" spans="1:35">
      <c r="A249" s="237" t="e">
        <f>'Master P&amp;L'!#REF!</f>
        <v>#REF!</v>
      </c>
      <c r="B249" t="s">
        <v>1914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0"/>
        <v>#N/A Real Time</v>
      </c>
      <c r="J249" s="19" t="e">
        <f t="shared" si="1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3"/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21.72030002460534</v>
      </c>
      <c r="S249" s="36" cm="1">
        <f t="array" ref="S249">_xll.BDP(C249&amp;" Equity","LAST_PRICE")</f>
        <v>615.52</v>
      </c>
      <c r="T249" s="53" cm="1">
        <f t="array" ref="T249">_xll.BDP(B249&amp;" Equity","OPT_STRIKE_PX")</f>
        <v>730</v>
      </c>
      <c r="U249" s="40">
        <f t="shared" si="4"/>
        <v>0.18598908240187173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5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6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7"/>
        <v>#DIV/0!</v>
      </c>
      <c r="AI249" s="15" t="e">
        <f t="shared" si="8"/>
        <v>#DIV/0!</v>
      </c>
    </row>
    <row r="250" spans="1:35">
      <c r="A250" s="237" t="s">
        <v>94</v>
      </c>
      <c r="B250" t="s">
        <v>1912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0"/>
        <v>#N/A Real Time</v>
      </c>
      <c r="J250" s="19" t="e">
        <f t="shared" si="1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3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20.605603021800246</v>
      </c>
      <c r="S250" s="36" cm="1">
        <f t="array" ref="S250">_xll.BDP(C250&amp;" Equity","LAST_PRICE")</f>
        <v>183.14</v>
      </c>
      <c r="T250" s="53" cm="1">
        <f t="array" ref="T250">_xll.BDP(B250&amp;" Equity","OPT_STRIKE_PX")</f>
        <v>160</v>
      </c>
      <c r="U250" s="40">
        <f t="shared" si="4"/>
        <v>-0.12635142513923769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5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25/02/2026</v>
      </c>
      <c r="AC250" s="15" t="e">
        <f t="shared" si="6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7"/>
        <v>#DIV/0!</v>
      </c>
      <c r="AI250" s="15" t="e">
        <f t="shared" si="8"/>
        <v>#DIV/0!</v>
      </c>
    </row>
    <row r="251" spans="1:35">
      <c r="A251" s="237" t="s">
        <v>137</v>
      </c>
      <c r="B251" t="s">
        <v>1913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0"/>
        <v>#N/A Real Time</v>
      </c>
      <c r="J251" s="19" t="e">
        <f t="shared" si="1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3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23.508619056736123</v>
      </c>
      <c r="S251" s="36" cm="1">
        <f t="array" ref="S251">_xll.BDP(C251&amp;" Equity","LAST_PRICE")</f>
        <v>339.89</v>
      </c>
      <c r="T251" s="53" cm="1">
        <f t="array" ref="T251">_xll.BDP(B251&amp;" Equity","OPT_STRIKE_PX")</f>
        <v>330</v>
      </c>
      <c r="U251" s="40">
        <f t="shared" si="4"/>
        <v>-2.9097649239459789E-2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5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6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7"/>
        <v>#DIV/0!</v>
      </c>
      <c r="AI251" s="15" t="e">
        <f t="shared" si="8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J50" sqref="J50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IF(B5="","",IF(LEN(B5)&gt;9,SUMIFS(Options!$H$3:$H$33,Options!$B$3:$B$33,Check!B5),SUMIFS('Master P&amp;L'!$H$11:$H$85,'Master P&amp;L'!$B$11:$B$85,Check!B5)))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399</v>
      </c>
      <c r="P5" s="217">
        <f>IF(O5="","",IF(OR(LEFT(O5,4)="Cash",LEFT(O5,4)="Prov"),0,SUMIFS(Input_APM!N:N,Input_APM!L:L,Check!O5)))</f>
        <v>15396</v>
      </c>
      <c r="Q5" s="22">
        <f>IF(O5="","",IF(LEN(O5)&gt;9,SUMIFS(Options!$H$3:$H$33,Options!$B$3:$B$33,Check!O5),SUMIFS('Master P&amp;L'!$H$11:$H$85,'Master P&amp;L'!$B$11:$B$85,Check!O5)))</f>
        <v>16435</v>
      </c>
      <c r="R5" s="217">
        <f>IF(O5="","",P5-Q5)</f>
        <v>-1039</v>
      </c>
      <c r="S5" s="362">
        <f>IF(O5="","",IF((P5+Q5)=0,"Ok",IF(OR(P5=0,Q5=0),"Erro",P5/Q5)))</f>
        <v>0.93678125950714941</v>
      </c>
      <c r="V5" s="13"/>
    </row>
    <row r="6" spans="2:22">
      <c r="B6" t="s">
        <v>461</v>
      </c>
      <c r="C6" s="233">
        <f>IF(B6="","",IF(LEN(B6)&gt;9,SUMIFS(Options!$H$3:$H$33,Options!$B$3:$B$33,Check!B6),SUMIFS('Master P&amp;L'!$H$11:$H$85,'Master P&amp;L'!$B$11:$B$85,Check!B6)))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2340</v>
      </c>
      <c r="P6" s="217">
        <f>IF(O6="","",IF(OR(LEFT(O6,4)="Cash",LEFT(O6,4)="Prov"),0,SUMIFS(Input_APM!N:N,Input_APM!L:L,Check!O6)))</f>
        <v>1405</v>
      </c>
      <c r="Q6" s="22">
        <f>IF(O6="","",IF(LEN(O6)&gt;9,SUMIFS(Options!$H$3:$H$33,Options!$B$3:$B$33,Check!O6),SUMIFS('Master P&amp;L'!$H$11:$H$85,'Master P&amp;L'!$B$11:$B$85,Check!O6)))</f>
        <v>1500</v>
      </c>
      <c r="R6" s="217">
        <f t="shared" ref="R6:R69" si="1">IF(O6="","",P6-Q6)</f>
        <v>-95</v>
      </c>
      <c r="S6" s="362">
        <f t="shared" ref="S6:S69" si="2">IF(O6="","",IF((P6+Q6)=0,"Ok",IF(OR(P6=0,Q6=0),"Erro",P6/Q6)))</f>
        <v>0.93666666666666665</v>
      </c>
      <c r="V6" s="13"/>
    </row>
    <row r="7" spans="2:22">
      <c r="B7" t="s">
        <v>2215</v>
      </c>
      <c r="C7" s="233">
        <f>IF(B7="","",IF(LEN(B7)&gt;9,SUMIFS(Options!$H$3:$H$33,Options!$B$3:$B$33,Check!B7),SUMIFS('Master P&amp;L'!$H$11:$H$85,'Master P&amp;L'!$B$11:$B$85,Check!B7)))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137</v>
      </c>
      <c r="P7" s="217">
        <f>IF(O7="","",IF(OR(LEFT(O7,4)="Cash",LEFT(O7,4)="Prov"),0,SUMIFS(Input_APM!N:N,Input_APM!L:L,Check!O7)))</f>
        <v>4743</v>
      </c>
      <c r="Q7" s="22">
        <f>IF(O7="","",IF(LEN(O7)&gt;9,SUMIFS(Options!$H$3:$H$33,Options!$B$3:$B$33,Check!O7),SUMIFS('Master P&amp;L'!$H$11:$H$85,'Master P&amp;L'!$B$11:$B$85,Check!O7)))</f>
        <v>7000</v>
      </c>
      <c r="R7" s="217">
        <f t="shared" si="1"/>
        <v>-2257</v>
      </c>
      <c r="S7" s="362">
        <f t="shared" si="2"/>
        <v>0.6775714285714286</v>
      </c>
      <c r="V7" s="13"/>
    </row>
    <row r="8" spans="2:22">
      <c r="B8" t="s">
        <v>38</v>
      </c>
      <c r="C8" s="233">
        <f>IF(B8="","",IF(LEN(B8)&gt;9,SUMIFS(Options!$H$3:$H$33,Options!$B$3:$B$33,Check!B8),SUMIFS('Master P&amp;L'!$H$11:$H$85,'Master P&amp;L'!$B$11:$B$85,Check!B8)))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2157</v>
      </c>
      <c r="P8" s="217">
        <f>IF(O8="","",IF(OR(LEFT(O8,4)="Cash",LEFT(O8,4)="Prov"),0,SUMIFS(Input_APM!N:N,Input_APM!L:L,Check!O8)))</f>
        <v>48</v>
      </c>
      <c r="Q8" s="22">
        <f>IF(O8="","",IF(LEN(O8)&gt;9,SUMIFS(Options!$H$3:$H$33,Options!$B$3:$B$33,Check!O8),SUMIFS('Master P&amp;L'!$H$11:$H$85,'Master P&amp;L'!$B$11:$B$85,Check!O8)))</f>
        <v>50</v>
      </c>
      <c r="R8" s="217">
        <f t="shared" si="1"/>
        <v>-2</v>
      </c>
      <c r="S8" s="362">
        <f t="shared" si="2"/>
        <v>0.96</v>
      </c>
      <c r="V8" s="13"/>
    </row>
    <row r="9" spans="2:22">
      <c r="B9" t="s">
        <v>143</v>
      </c>
      <c r="C9" s="233">
        <f>IF(B9="","",IF(LEN(B9)&gt;9,SUMIFS(Options!$H$3:$H$33,Options!$B$3:$B$33,Check!B9),SUMIFS('Master P&amp;L'!$H$11:$H$85,'Master P&amp;L'!$B$11:$B$85,Check!B9)))</f>
        <v>-10000</v>
      </c>
      <c r="D9" s="233">
        <f>IF(B9="","",SUMIFS(Input_APM!N:N,Input_APM!L:L,Check!B9,Input_APM!M:M,Check!$F$1))</f>
        <v>-42995</v>
      </c>
      <c r="E9" s="219">
        <f>IF(B9="","",C9-M9)</f>
        <v>36000</v>
      </c>
      <c r="F9" s="233">
        <f>IF(B9="","",SUMIFS(Input_APM!N:N,Input_APM!M:M,Check!$F$1,Input_APM!L:L,Check!B9))</f>
        <v>-42995</v>
      </c>
      <c r="G9" s="233">
        <f>IF(B9="","",SUMIFS(Input_APM!N:N,Input_APM!M:M,Check!$G$1,Input_APM!L:L,Check!B9))</f>
        <v>0</v>
      </c>
      <c r="H9" s="217">
        <f t="shared" si="0"/>
        <v>-42995</v>
      </c>
      <c r="I9" s="217">
        <f>SUMIFS(Input_APM!N:N,Input_APM!L:L,Check!B9)</f>
        <v>-42995</v>
      </c>
      <c r="J9" s="219">
        <f t="shared" si="3"/>
        <v>0</v>
      </c>
      <c r="K9" s="22">
        <f>IF(B9="","",SUMIFS('Input_APM (Zenith)'!N:N,'Input_APM (Zenith)'!L:L,Check!B9,'Input_APM (Zenith)'!M:M,Check!$F$1))</f>
        <v>-3005</v>
      </c>
      <c r="L9" s="22">
        <f>IF(B9="","",SUMIFS('Input_APM (Zenith)'!N:N,'Input_APM (Zenith)'!L:L,Check!B9,'Input_APM (Zenith)'!M:M,Check!$G$1))</f>
        <v>0</v>
      </c>
      <c r="M9" s="240">
        <f t="shared" si="4"/>
        <v>-46000</v>
      </c>
      <c r="O9" t="s">
        <v>2159</v>
      </c>
      <c r="P9" s="217">
        <f>IF(O9="","",IF(OR(LEFT(O9,4)="Cash",LEFT(O9,4)="Prov"),0,SUMIFS(Input_APM!N:N,Input_APM!L:L,Check!O9)))</f>
        <v>-48</v>
      </c>
      <c r="Q9" s="22">
        <f>IF(O9="","",IF(LEN(O9)&gt;9,SUMIFS(Options!$H$3:$H$33,Options!$B$3:$B$33,Check!O9),SUMIFS('Master P&amp;L'!$H$11:$H$85,'Master P&amp;L'!$B$11:$B$85,Check!O9)))</f>
        <v>-50</v>
      </c>
      <c r="R9" s="217">
        <f t="shared" si="1"/>
        <v>2</v>
      </c>
      <c r="S9" s="362">
        <f t="shared" si="2"/>
        <v>0.96</v>
      </c>
      <c r="V9" s="13"/>
    </row>
    <row r="10" spans="2:22">
      <c r="B10" t="s">
        <v>135</v>
      </c>
      <c r="C10" s="233">
        <f>IF(B10="","",IF(LEN(B10)&gt;9,SUMIFS(Options!$H$3:$H$33,Options!$B$3:$B$33,Check!B10),SUMIFS('Master P&amp;L'!$H$11:$H$85,'Master P&amp;L'!$B$11:$B$85,Check!B10)))</f>
        <v>0</v>
      </c>
      <c r="D10" s="233">
        <f>IF(B10="","",SUMIFS(Input_APM!N:N,Input_APM!L:L,Check!B10,Input_APM!M:M,Check!$F$1))</f>
        <v>0</v>
      </c>
      <c r="E10" s="217">
        <f t="shared" ref="E10:E65" si="5">IF(B10="","",C10-M10)</f>
        <v>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461</v>
      </c>
      <c r="P10" s="217">
        <f>IF(O10="","",IF(OR(LEFT(O10,4)="Cash",LEFT(O10,4)="Prov"),0,SUMIFS(Input_APM!N:N,Input_APM!L:L,Check!O10)))</f>
        <v>3163</v>
      </c>
      <c r="Q10" s="22">
        <f>IF(O10="","",IF(LEN(O10)&gt;9,SUMIFS(Options!$H$3:$H$33,Options!$B$3:$B$33,Check!O10),SUMIFS('Master P&amp;L'!$H$11:$H$85,'Master P&amp;L'!$B$11:$B$85,Check!O10)))</f>
        <v>3378</v>
      </c>
      <c r="R10" s="217">
        <f t="shared" si="1"/>
        <v>-215</v>
      </c>
      <c r="S10" s="362">
        <f t="shared" si="2"/>
        <v>0.9363528715216104</v>
      </c>
      <c r="V10" s="13"/>
    </row>
    <row r="11" spans="2:22">
      <c r="B11" t="s">
        <v>3</v>
      </c>
      <c r="C11" s="233">
        <f>IF(B11="","",IF(LEN(B11)&gt;9,SUMIFS(Options!$H$3:$H$33,Options!$B$3:$B$33,Check!B11),SUMIFS('Master P&amp;L'!$H$11:$H$85,'Master P&amp;L'!$B$11:$B$85,Check!B11)))</f>
        <v>-12500</v>
      </c>
      <c r="D11" s="233">
        <f>IF(B11="","",SUMIFS(Input_APM!N:N,Input_APM!L:L,Check!B11,Input_APM!M:M,Check!$F$1))</f>
        <v>-11687</v>
      </c>
      <c r="E11" s="217">
        <f t="shared" si="5"/>
        <v>0</v>
      </c>
      <c r="F11" s="233">
        <f>IF(B11="","",SUMIFS(Input_APM!N:N,Input_APM!M:M,Check!$F$1,Input_APM!L:L,Check!B11))</f>
        <v>-11687</v>
      </c>
      <c r="G11" s="233">
        <f>IF(B11="","",SUMIFS(Input_APM!N:N,Input_APM!M:M,Check!$G$1,Input_APM!L:L,Check!B11))</f>
        <v>0</v>
      </c>
      <c r="H11" s="217">
        <f t="shared" si="0"/>
        <v>-11687</v>
      </c>
      <c r="I11" s="217">
        <f>SUMIFS(Input_APM!N:N,Input_APM!L:L,Check!B11)</f>
        <v>-11687</v>
      </c>
      <c r="J11" s="219">
        <f t="shared" si="3"/>
        <v>0</v>
      </c>
      <c r="K11" s="22">
        <f>IF(B11="","",SUMIFS('Input_APM (Zenith)'!N:N,'Input_APM (Zenith)'!L:L,Check!B11,'Input_APM (Zenith)'!M:M,Check!$F$1))</f>
        <v>-813</v>
      </c>
      <c r="L11" s="22">
        <f>IF(B11="","",SUMIFS('Input_APM (Zenith)'!N:N,'Input_APM (Zenith)'!L:L,Check!B11,'Input_APM (Zenith)'!M:M,Check!$G$1))</f>
        <v>0</v>
      </c>
      <c r="M11" s="240">
        <f t="shared" si="4"/>
        <v>-12500</v>
      </c>
      <c r="O11" t="s">
        <v>2215</v>
      </c>
      <c r="P11" s="217">
        <f>IF(O11="","",IF(OR(LEFT(O11,4)="Cash",LEFT(O11,4)="Prov"),0,SUMIFS(Input_APM!N:N,Input_APM!L:L,Check!O11)))</f>
        <v>3285</v>
      </c>
      <c r="Q11" s="22">
        <f>IF(O11="","",IF(LEN(O11)&gt;9,SUMIFS(Options!$H$3:$H$33,Options!$B$3:$B$33,Check!O11),SUMIFS('Master P&amp;L'!$H$11:$H$85,'Master P&amp;L'!$B$11:$B$85,Check!O11)))</f>
        <v>3510</v>
      </c>
      <c r="R11" s="217">
        <f t="shared" si="1"/>
        <v>-225</v>
      </c>
      <c r="S11" s="362">
        <f t="shared" si="2"/>
        <v>0.9358974358974359</v>
      </c>
      <c r="V11" s="13"/>
    </row>
    <row r="12" spans="2:22">
      <c r="B12" t="s">
        <v>2200</v>
      </c>
      <c r="C12" s="233">
        <f>IF(B12="","",IF(LEN(B12)&gt;9,SUMIFS(Options!$H$3:$H$33,Options!$B$3:$B$33,Check!B12),SUMIFS('Master P&amp;L'!$H$11:$H$85,'Master P&amp;L'!$B$11:$B$85,Check!B12)))</f>
        <v>27918</v>
      </c>
      <c r="D12" s="233">
        <f>IF(B12="","",SUMIFS(Input_APM!N:N,Input_APM!L:L,Check!B12,Input_APM!M:M,Check!$F$1))</f>
        <v>23518</v>
      </c>
      <c r="E12" s="217">
        <f t="shared" si="5"/>
        <v>2797</v>
      </c>
      <c r="F12" s="233">
        <f>IF(B12="","",SUMIFS(Input_APM!N:N,Input_APM!M:M,Check!$F$1,Input_APM!L:L,Check!B12))</f>
        <v>23518</v>
      </c>
      <c r="G12" s="233">
        <f>IF(B12="","",SUMIFS(Input_APM!N:N,Input_APM!M:M,Check!$G$1,Input_APM!L:L,Check!B12))</f>
        <v>0</v>
      </c>
      <c r="H12" s="217">
        <f t="shared" si="0"/>
        <v>23518</v>
      </c>
      <c r="I12" s="217">
        <f>SUMIFS(Input_APM!N:N,Input_APM!L:L,Check!B12)</f>
        <v>23518</v>
      </c>
      <c r="J12" s="219">
        <f t="shared" si="3"/>
        <v>0</v>
      </c>
      <c r="K12" s="22">
        <f>IF(B12="","",SUMIFS('Input_APM (Zenith)'!N:N,'Input_APM (Zenith)'!L:L,Check!B12,'Input_APM (Zenith)'!M:M,Check!$F$1))</f>
        <v>1603</v>
      </c>
      <c r="L12" s="22">
        <f>IF(B12="","",SUMIFS('Input_APM (Zenith)'!N:N,'Input_APM (Zenith)'!L:L,Check!B12,'Input_APM (Zenith)'!M:M,Check!$G$1))</f>
        <v>0</v>
      </c>
      <c r="M12" s="240">
        <f t="shared" si="4"/>
        <v>25121</v>
      </c>
      <c r="O12" t="s">
        <v>295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IF(O12="","",IF(LEN(O12)&gt;9,SUMIFS(Options!$H$3:$H$33,Options!$B$3:$B$33,Check!O12),SUMIFS('Master P&amp;L'!$H$11:$H$85,'Master P&amp;L'!$B$11:$B$85,Check!O12)))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2224</v>
      </c>
      <c r="C13" s="233">
        <f>IF(B13="","",IF(LEN(B13)&gt;9,SUMIFS(Options!$H$3:$H$33,Options!$B$3:$B$33,Check!B13),SUMIFS('Master P&amp;L'!$H$11:$H$85,'Master P&amp;L'!$B$11:$B$85,Check!B13)))</f>
        <v>1780</v>
      </c>
      <c r="D13" s="233">
        <f>IF(B13="","",SUMIFS(Input_APM!N:N,Input_APM!L:L,Check!B13,Input_APM!M:M,Check!$F$1))</f>
        <v>1668</v>
      </c>
      <c r="E13" s="219">
        <f t="shared" si="5"/>
        <v>0</v>
      </c>
      <c r="F13" s="233">
        <f>IF(B13="","",SUMIFS(Input_APM!N:N,Input_APM!M:M,Check!$F$1,Input_APM!L:L,Check!B13))</f>
        <v>1668</v>
      </c>
      <c r="G13" s="233">
        <f>IF(B13="","",SUMIFS(Input_APM!N:N,Input_APM!M:M,Check!$G$1,Input_APM!L:L,Check!B13))</f>
        <v>0</v>
      </c>
      <c r="H13" s="217">
        <f t="shared" si="0"/>
        <v>1668</v>
      </c>
      <c r="I13" s="217">
        <f>SUMIFS(Input_APM!N:N,Input_APM!L:L,Check!B13)</f>
        <v>1668</v>
      </c>
      <c r="J13" s="219">
        <f t="shared" si="3"/>
        <v>0</v>
      </c>
      <c r="K13" s="22">
        <f>IF(B13="","",SUMIFS('Input_APM (Zenith)'!N:N,'Input_APM (Zenith)'!L:L,Check!B13,'Input_APM (Zenith)'!M:M,Check!$F$1))</f>
        <v>112</v>
      </c>
      <c r="L13" s="22">
        <f>IF(B13="","",SUMIFS('Input_APM (Zenith)'!N:N,'Input_APM (Zenith)'!L:L,Check!B13,'Input_APM (Zenith)'!M:M,Check!$G$1))</f>
        <v>0</v>
      </c>
      <c r="M13" s="240">
        <f t="shared" si="4"/>
        <v>1780</v>
      </c>
      <c r="O13" t="s">
        <v>296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IF(O13="","",IF(LEN(O13)&gt;9,SUMIFS(Options!$H$3:$H$33,Options!$B$3:$B$33,Check!O13),SUMIFS('Master P&amp;L'!$H$11:$H$85,'Master P&amp;L'!$B$11:$B$85,Check!O13)))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399</v>
      </c>
      <c r="C14" s="233">
        <f>IF(B14="","",IF(LEN(B14)&gt;9,SUMIFS(Options!$H$3:$H$33,Options!$B$3:$B$33,Check!B14),SUMIFS('Master P&amp;L'!$H$11:$H$85,'Master P&amp;L'!$B$11:$B$85,Check!B14)))</f>
        <v>16435</v>
      </c>
      <c r="D14" s="233">
        <f>IF(B14="","",SUMIFS(Input_APM!N:N,Input_APM!L:L,Check!B14,Input_APM!M:M,Check!$F$1))</f>
        <v>15396</v>
      </c>
      <c r="E14" s="217">
        <f t="shared" si="5"/>
        <v>0</v>
      </c>
      <c r="F14" s="233">
        <f>IF(B14="","",SUMIFS(Input_APM!N:N,Input_APM!M:M,Check!$F$1,Input_APM!L:L,Check!B14))</f>
        <v>15396</v>
      </c>
      <c r="G14" s="233">
        <f>IF(B14="","",SUMIFS(Input_APM!N:N,Input_APM!M:M,Check!$G$1,Input_APM!L:L,Check!B14))</f>
        <v>0</v>
      </c>
      <c r="H14" s="217">
        <f t="shared" si="0"/>
        <v>15396</v>
      </c>
      <c r="I14" s="217">
        <f>SUMIFS(Input_APM!N:N,Input_APM!L:L,Check!B14)</f>
        <v>15396</v>
      </c>
      <c r="J14" s="219">
        <f t="shared" si="3"/>
        <v>0</v>
      </c>
      <c r="K14" s="22">
        <f>IF(B14="","",SUMIFS('Input_APM (Zenith)'!N:N,'Input_APM (Zenith)'!L:L,Check!B14,'Input_APM (Zenith)'!M:M,Check!$F$1))</f>
        <v>1039</v>
      </c>
      <c r="L14" s="22">
        <f>IF(B14="","",SUMIFS('Input_APM (Zenith)'!N:N,'Input_APM (Zenith)'!L:L,Check!B14,'Input_APM (Zenith)'!M:M,Check!$G$1))</f>
        <v>0</v>
      </c>
      <c r="M14" s="240">
        <f t="shared" si="4"/>
        <v>16435</v>
      </c>
      <c r="O14" t="s">
        <v>297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IF(O14="","",IF(LEN(O14)&gt;9,SUMIFS(Options!$H$3:$H$33,Options!$B$3:$B$33,Check!O14),SUMIFS('Master P&amp;L'!$H$11:$H$85,'Master P&amp;L'!$B$11:$B$85,Check!O14)))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81</v>
      </c>
      <c r="C15" s="233">
        <f>IF(B15="","",IF(LEN(B15)&gt;9,SUMIFS(Options!$H$3:$H$33,Options!$B$3:$B$33,Check!B15),SUMIFS('Master P&amp;L'!$H$11:$H$85,'Master P&amp;L'!$B$11:$B$85,Check!B15)))</f>
        <v>6000</v>
      </c>
      <c r="D15" s="233">
        <f>IF(B15="","",SUMIFS(Input_APM!N:N,Input_APM!L:L,Check!B15,Input_APM!M:M,Check!$F$1))</f>
        <v>5618</v>
      </c>
      <c r="E15" s="219">
        <f t="shared" si="5"/>
        <v>0</v>
      </c>
      <c r="F15" s="233">
        <f>IF(B15="","",SUMIFS(Input_APM!N:N,Input_APM!M:M,Check!$F$1,Input_APM!L:L,Check!B15))</f>
        <v>5618</v>
      </c>
      <c r="G15" s="233">
        <f>IF(B15="","",SUMIFS(Input_APM!N:N,Input_APM!M:M,Check!$G$1,Input_APM!L:L,Check!B15))</f>
        <v>0</v>
      </c>
      <c r="H15" s="217">
        <f t="shared" si="0"/>
        <v>5618</v>
      </c>
      <c r="I15" s="217">
        <f>SUMIFS(Input_APM!N:N,Input_APM!L:L,Check!B15)</f>
        <v>5618</v>
      </c>
      <c r="J15" s="219">
        <f t="shared" si="3"/>
        <v>0</v>
      </c>
      <c r="K15" s="22">
        <f>IF(B15="","",SUMIFS('Input_APM (Zenith)'!N:N,'Input_APM (Zenith)'!L:L,Check!B15,'Input_APM (Zenith)'!M:M,Check!$F$1))</f>
        <v>382</v>
      </c>
      <c r="L15" s="22">
        <f>IF(B15="","",SUMIFS('Input_APM (Zenith)'!N:N,'Input_APM (Zenith)'!L:L,Check!B15,'Input_APM (Zenith)'!M:M,Check!$G$1))</f>
        <v>0</v>
      </c>
      <c r="M15" s="240">
        <f t="shared" si="4"/>
        <v>6000</v>
      </c>
      <c r="O15" t="s">
        <v>2180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IF(O15="","",IF(LEN(O15)&gt;9,SUMIFS(Options!$H$3:$H$33,Options!$B$3:$B$33,Check!O15),SUMIFS('Master P&amp;L'!$H$11:$H$85,'Master P&amp;L'!$B$11:$B$85,Check!O15)))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90</v>
      </c>
      <c r="C16" s="233">
        <f>IF(B16="","",IF(LEN(B16)&gt;9,SUMIFS(Options!$H$3:$H$33,Options!$B$3:$B$33,Check!B16),SUMIFS('Master P&amp;L'!$H$11:$H$85,'Master P&amp;L'!$B$11:$B$85,Check!B16)))</f>
        <v>8510</v>
      </c>
      <c r="D16" s="233">
        <f>IF(B16="","",SUMIFS(Input_APM!N:N,Input_APM!L:L,Check!B16,Input_APM!M:M,Check!$F$1))</f>
        <v>7966</v>
      </c>
      <c r="E16" s="217">
        <f t="shared" si="5"/>
        <v>0</v>
      </c>
      <c r="F16" s="233">
        <f>IF(B16="","",SUMIFS(Input_APM!N:N,Input_APM!M:M,Check!$F$1,Input_APM!L:L,Check!B16))</f>
        <v>7966</v>
      </c>
      <c r="G16" s="233">
        <f>IF(B16="","",SUMIFS(Input_APM!N:N,Input_APM!M:M,Check!$G$1,Input_APM!L:L,Check!B16))</f>
        <v>0</v>
      </c>
      <c r="H16" s="217">
        <f t="shared" si="0"/>
        <v>7966</v>
      </c>
      <c r="I16" s="217">
        <f>SUMIFS(Input_APM!N:N,Input_APM!L:L,Check!B16)</f>
        <v>7966</v>
      </c>
      <c r="J16" s="219">
        <f t="shared" si="3"/>
        <v>0</v>
      </c>
      <c r="K16" s="22">
        <f>IF(B16="","",SUMIFS('Input_APM (Zenith)'!N:N,'Input_APM (Zenith)'!L:L,Check!B16,'Input_APM (Zenith)'!M:M,Check!$F$1))</f>
        <v>544</v>
      </c>
      <c r="L16" s="22">
        <f>IF(B16="","",SUMIFS('Input_APM (Zenith)'!N:N,'Input_APM (Zenith)'!L:L,Check!B16,'Input_APM (Zenith)'!M:M,Check!$G$1))</f>
        <v>0</v>
      </c>
      <c r="M16" s="240">
        <f t="shared" si="4"/>
        <v>8510</v>
      </c>
      <c r="O16" t="s">
        <v>298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IF(O16="","",IF(LEN(O16)&gt;9,SUMIFS(Options!$H$3:$H$33,Options!$B$3:$B$33,Check!O16),SUMIFS('Master P&amp;L'!$H$11:$H$85,'Master P&amp;L'!$B$11:$B$85,Check!O16)))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1761</v>
      </c>
      <c r="C17" s="233">
        <f>IF(B17="","",IF(LEN(B17)&gt;9,SUMIFS(Options!$H$3:$H$33,Options!$B$3:$B$33,Check!B17),SUMIFS('Master P&amp;L'!$H$11:$H$85,'Master P&amp;L'!$B$11:$B$85,Check!B17)))</f>
        <v>1500</v>
      </c>
      <c r="D17" s="233">
        <f>IF(B17="","",SUMIFS(Input_APM!N:N,Input_APM!L:L,Check!B17,Input_APM!M:M,Check!$F$1))</f>
        <v>1400</v>
      </c>
      <c r="E17" s="219">
        <f t="shared" si="5"/>
        <v>0</v>
      </c>
      <c r="F17" s="233">
        <f>IF(B17="","",SUMIFS(Input_APM!N:N,Input_APM!M:M,Check!$F$1,Input_APM!L:L,Check!B17))</f>
        <v>1400</v>
      </c>
      <c r="G17" s="233">
        <f>IF(B17="","",SUMIFS(Input_APM!N:N,Input_APM!M:M,Check!$G$1,Input_APM!L:L,Check!B17))</f>
        <v>0</v>
      </c>
      <c r="H17" s="217">
        <f t="shared" si="0"/>
        <v>1400</v>
      </c>
      <c r="I17" s="217">
        <f>SUMIFS(Input_APM!N:N,Input_APM!L:L,Check!B17)</f>
        <v>1400</v>
      </c>
      <c r="J17" s="219">
        <f t="shared" si="3"/>
        <v>0</v>
      </c>
      <c r="K17" s="22">
        <f>IF(B17="","",SUMIFS('Input_APM (Zenith)'!N:N,'Input_APM (Zenith)'!L:L,Check!B17,'Input_APM (Zenith)'!M:M,Check!$F$1))</f>
        <v>100</v>
      </c>
      <c r="L17" s="22">
        <f>IF(B17="","",SUMIFS('Input_APM (Zenith)'!N:N,'Input_APM (Zenith)'!L:L,Check!B17,'Input_APM (Zenith)'!M:M,Check!$G$1))</f>
        <v>0</v>
      </c>
      <c r="M17" s="240">
        <f t="shared" si="4"/>
        <v>1500</v>
      </c>
      <c r="O17" t="s">
        <v>299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IF(O17="","",IF(LEN(O17)&gt;9,SUMIFS(Options!$H$3:$H$33,Options!$B$3:$B$33,Check!O17),SUMIFS('Master P&amp;L'!$H$11:$H$85,'Master P&amp;L'!$B$11:$B$85,Check!O17)))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1754</v>
      </c>
      <c r="C18" s="233">
        <f>IF(B18="","",IF(LEN(B18)&gt;9,SUMIFS(Options!$H$3:$H$33,Options!$B$3:$B$33,Check!B18),SUMIFS('Master P&amp;L'!$H$11:$H$85,'Master P&amp;L'!$B$11:$B$85,Check!B18)))</f>
        <v>44500</v>
      </c>
      <c r="D18" s="233">
        <f>IF(B18="","",SUMIFS(Input_APM!N:N,Input_APM!L:L,Check!B18,Input_APM!M:M,Check!$F$1))</f>
        <v>41651</v>
      </c>
      <c r="E18" s="219">
        <f t="shared" si="5"/>
        <v>0</v>
      </c>
      <c r="F18" s="233">
        <f>IF(B18="","",SUMIFS(Input_APM!N:N,Input_APM!M:M,Check!$F$1,Input_APM!L:L,Check!B18))</f>
        <v>41651</v>
      </c>
      <c r="G18" s="233">
        <f>IF(B18="","",SUMIFS(Input_APM!N:N,Input_APM!M:M,Check!$G$1,Input_APM!L:L,Check!B18))</f>
        <v>0</v>
      </c>
      <c r="H18" s="217">
        <f t="shared" si="0"/>
        <v>41651</v>
      </c>
      <c r="I18" s="217">
        <f>SUMIFS(Input_APM!N:N,Input_APM!L:L,Check!B18)</f>
        <v>41651</v>
      </c>
      <c r="J18" s="219">
        <f t="shared" si="3"/>
        <v>0</v>
      </c>
      <c r="K18" s="22">
        <f>IF(B18="","",SUMIFS('Input_APM (Zenith)'!N:N,'Input_APM (Zenith)'!L:L,Check!B18,'Input_APM (Zenith)'!M:M,Check!$F$1))</f>
        <v>2849</v>
      </c>
      <c r="L18" s="22">
        <f>IF(B18="","",SUMIFS('Input_APM (Zenith)'!N:N,'Input_APM (Zenith)'!L:L,Check!B18,'Input_APM (Zenith)'!M:M,Check!$G$1))</f>
        <v>0</v>
      </c>
      <c r="M18" s="240">
        <f t="shared" si="4"/>
        <v>44500</v>
      </c>
      <c r="O18" t="s">
        <v>300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IF(O18="","",IF(LEN(O18)&gt;9,SUMIFS(Options!$H$3:$H$33,Options!$B$3:$B$33,Check!O18),SUMIFS('Master P&amp;L'!$H$11:$H$85,'Master P&amp;L'!$B$11:$B$85,Check!O18)))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2216</v>
      </c>
      <c r="C19" s="233">
        <f>IF(B19="","",IF(LEN(B19)&gt;9,SUMIFS(Options!$H$3:$H$33,Options!$B$3:$B$33,Check!B19),SUMIFS('Master P&amp;L'!$H$11:$H$85,'Master P&amp;L'!$B$11:$B$85,Check!B19)))</f>
        <v>3120</v>
      </c>
      <c r="D19" s="233">
        <f>IF(B19="","",SUMIFS(Input_APM!N:N,Input_APM!L:L,Check!B19,Input_APM!M:M,Check!$F$1))</f>
        <v>2923</v>
      </c>
      <c r="E19" s="219">
        <f t="shared" si="5"/>
        <v>0</v>
      </c>
      <c r="F19" s="233">
        <f>IF(B19="","",SUMIFS(Input_APM!N:N,Input_APM!M:M,Check!$F$1,Input_APM!L:L,Check!B19))</f>
        <v>2923</v>
      </c>
      <c r="G19" s="233">
        <f>IF(B19="","",SUMIFS(Input_APM!N:N,Input_APM!M:M,Check!$G$1,Input_APM!L:L,Check!B19))</f>
        <v>0</v>
      </c>
      <c r="H19" s="217">
        <f t="shared" si="0"/>
        <v>2923</v>
      </c>
      <c r="I19" s="217">
        <f>SUMIFS(Input_APM!N:N,Input_APM!L:L,Check!B19)</f>
        <v>2923</v>
      </c>
      <c r="J19" s="219">
        <f t="shared" si="3"/>
        <v>0</v>
      </c>
      <c r="K19" s="22">
        <f>IF(B19="","",SUMIFS('Input_APM (Zenith)'!N:N,'Input_APM (Zenith)'!L:L,Check!B19,'Input_APM (Zenith)'!M:M,Check!$F$1))</f>
        <v>197</v>
      </c>
      <c r="L19" s="22">
        <f>IF(B19="","",SUMIFS('Input_APM (Zenith)'!N:N,'Input_APM (Zenith)'!L:L,Check!B19,'Input_APM (Zenith)'!M:M,Check!$G$1))</f>
        <v>0</v>
      </c>
      <c r="M19" s="240">
        <f t="shared" si="4"/>
        <v>3120</v>
      </c>
      <c r="O19" t="s">
        <v>301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IF(O19="","",IF(LEN(O19)&gt;9,SUMIFS(Options!$H$3:$H$33,Options!$B$3:$B$33,Check!O19),SUMIFS('Master P&amp;L'!$H$11:$H$85,'Master P&amp;L'!$B$11:$B$85,Check!O19)))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2101</v>
      </c>
      <c r="C20" s="233">
        <f>IF(B20="","",IF(LEN(B20)&gt;9,SUMIFS(Options!$H$3:$H$33,Options!$B$3:$B$33,Check!B20),SUMIFS('Master P&amp;L'!$H$11:$H$85,'Master P&amp;L'!$B$11:$B$85,Check!B20)))</f>
        <v>2000</v>
      </c>
      <c r="D20" s="233">
        <f>IF(B20="","",SUMIFS(Input_APM!N:N,Input_APM!L:L,Check!B20,Input_APM!M:M,Check!$F$1))</f>
        <v>1405</v>
      </c>
      <c r="E20" s="219">
        <f>IF(B20="","",C20-M20)</f>
        <v>500</v>
      </c>
      <c r="F20" s="233">
        <f>IF(B20="","",SUMIFS(Input_APM!N:N,Input_APM!M:M,Check!$F$1,Input_APM!L:L,Check!B20))</f>
        <v>1405</v>
      </c>
      <c r="G20" s="233">
        <f>IF(B20="","",SUMIFS(Input_APM!N:N,Input_APM!M:M,Check!$G$1,Input_APM!L:L,Check!B20))</f>
        <v>0</v>
      </c>
      <c r="H20" s="217">
        <f t="shared" si="0"/>
        <v>1405</v>
      </c>
      <c r="I20" s="217">
        <f>SUMIFS(Input_APM!N:N,Input_APM!L:L,Check!B20)</f>
        <v>1405</v>
      </c>
      <c r="J20" s="219">
        <f t="shared" si="3"/>
        <v>0</v>
      </c>
      <c r="K20" s="22">
        <f>IF(B20="","",SUMIFS('Input_APM (Zenith)'!N:N,'Input_APM (Zenith)'!L:L,Check!B20,'Input_APM (Zenith)'!M:M,Check!$F$1))</f>
        <v>95</v>
      </c>
      <c r="L20" s="22">
        <f>IF(B20="","",SUMIFS('Input_APM (Zenith)'!N:N,'Input_APM (Zenith)'!L:L,Check!B20,'Input_APM (Zenith)'!M:M,Check!$G$1))</f>
        <v>0</v>
      </c>
      <c r="M20" s="240">
        <f t="shared" si="4"/>
        <v>1500</v>
      </c>
      <c r="O20" t="s">
        <v>302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IF(O20="","",IF(LEN(O20)&gt;9,SUMIFS(Options!$H$3:$H$33,Options!$B$3:$B$33,Check!O20),SUMIFS('Master P&amp;L'!$H$11:$H$85,'Master P&amp;L'!$B$11:$B$85,Check!O20)))</f>
        <v>0</v>
      </c>
      <c r="R20" s="217">
        <f t="shared" si="1"/>
        <v>0</v>
      </c>
      <c r="S20" s="362" t="str">
        <f t="shared" si="2"/>
        <v>Ok</v>
      </c>
      <c r="V20" s="13"/>
    </row>
    <row r="21" spans="2:22">
      <c r="B21" t="s">
        <v>137</v>
      </c>
      <c r="C21" s="233">
        <f>IF(B21="","",IF(LEN(B21)&gt;9,SUMIFS(Options!$H$3:$H$33,Options!$B$3:$B$33,Check!B21),SUMIFS('Master P&amp;L'!$H$11:$H$85,'Master P&amp;L'!$B$11:$B$85,Check!B21)))</f>
        <v>7000</v>
      </c>
      <c r="D21" s="233">
        <f>IF(B21="","",SUMIFS(Input_APM!N:N,Input_APM!L:L,Check!B21,Input_APM!M:M,Check!$F$1))</f>
        <v>4743</v>
      </c>
      <c r="E21" s="217">
        <f t="shared" si="5"/>
        <v>2108</v>
      </c>
      <c r="F21" s="233">
        <f>IF(B21="","",SUMIFS(Input_APM!N:N,Input_APM!M:M,Check!$F$1,Input_APM!L:L,Check!B21))</f>
        <v>4743</v>
      </c>
      <c r="G21" s="233">
        <f>IF(B21="","",SUMIFS(Input_APM!N:N,Input_APM!M:M,Check!$G$1,Input_APM!L:L,Check!B21))</f>
        <v>0</v>
      </c>
      <c r="H21" s="217">
        <f t="shared" si="0"/>
        <v>4743</v>
      </c>
      <c r="I21" s="217">
        <f>SUMIFS(Input_APM!N:N,Input_APM!L:L,Check!B21)</f>
        <v>4743</v>
      </c>
      <c r="J21" s="219">
        <f t="shared" si="3"/>
        <v>0</v>
      </c>
      <c r="K21" s="22">
        <f>IF(B21="","",SUMIFS('Input_APM (Zenith)'!N:N,'Input_APM (Zenith)'!L:L,Check!B21,'Input_APM (Zenith)'!M:M,Check!$F$1))</f>
        <v>149</v>
      </c>
      <c r="L21" s="22">
        <f>IF(B21="","",SUMIFS('Input_APM (Zenith)'!N:N,'Input_APM (Zenith)'!L:L,Check!B21,'Input_APM (Zenith)'!M:M,Check!$G$1))</f>
        <v>0</v>
      </c>
      <c r="M21" s="240">
        <f t="shared" si="4"/>
        <v>4892</v>
      </c>
      <c r="O21" t="s">
        <v>1915</v>
      </c>
      <c r="P21" s="217">
        <f>IF(O21="","",IF(OR(LEFT(O21,4)="Cash",LEFT(O21,4)="Prov"),0,SUMIFS(Input_APM!N:N,Input_APM!L:L,Check!O21)))</f>
        <v>4625000</v>
      </c>
      <c r="Q21" s="22">
        <f>IF(O21="","",IF(LEN(O21)&gt;9,SUMIFS(Options!$H$3:$H$33,Options!$B$3:$B$33,Check!O21),SUMIFS('Master P&amp;L'!$H$11:$H$85,'Master P&amp;L'!$B$11:$B$85,Check!O21)))</f>
        <v>0</v>
      </c>
      <c r="R21" s="217">
        <f t="shared" si="1"/>
        <v>4625000</v>
      </c>
      <c r="S21" s="362" t="str">
        <f t="shared" si="2"/>
        <v>Erro</v>
      </c>
      <c r="V21" s="13"/>
    </row>
    <row r="22" spans="2:22">
      <c r="B22" t="s">
        <v>96</v>
      </c>
      <c r="C22" s="233">
        <f>IF(B22="","",IF(LEN(B22)&gt;9,SUMIFS(Options!$H$3:$H$33,Options!$B$3:$B$33,Check!B22),SUMIFS('Master P&amp;L'!$H$11:$H$85,'Master P&amp;L'!$B$11:$B$85,Check!B22)))</f>
        <v>0</v>
      </c>
      <c r="D22" s="233">
        <f>IF(B22="","",SUMIFS(Input_APM!N:N,Input_APM!L:L,Check!B22,Input_APM!M:M,Check!$F$1))</f>
        <v>-4030</v>
      </c>
      <c r="E22" s="217">
        <f t="shared" si="5"/>
        <v>4300</v>
      </c>
      <c r="F22" s="233">
        <f>IF(B22="","",SUMIFS(Input_APM!N:N,Input_APM!M:M,Check!$F$1,Input_APM!L:L,Check!B22))</f>
        <v>-4030</v>
      </c>
      <c r="G22" s="233">
        <f>IF(B22="","",SUMIFS(Input_APM!N:N,Input_APM!M:M,Check!$G$1,Input_APM!L:L,Check!B22))</f>
        <v>0</v>
      </c>
      <c r="H22" s="217">
        <f t="shared" si="0"/>
        <v>-4030</v>
      </c>
      <c r="I22" s="217">
        <f>SUMIFS(Input_APM!N:N,Input_APM!L:L,Check!B22)</f>
        <v>-4030</v>
      </c>
      <c r="J22" s="219">
        <f t="shared" si="3"/>
        <v>0</v>
      </c>
      <c r="K22" s="22">
        <f>IF(B22="","",SUMIFS('Input_APM (Zenith)'!N:N,'Input_APM (Zenith)'!L:L,Check!B22,'Input_APM (Zenith)'!M:M,Check!$F$1))</f>
        <v>-270</v>
      </c>
      <c r="L22" s="22">
        <f>IF(B22="","",SUMIFS('Input_APM (Zenith)'!N:N,'Input_APM (Zenith)'!L:L,Check!B22,'Input_APM (Zenith)'!M:M,Check!$G$1))</f>
        <v>0</v>
      </c>
      <c r="M22" s="240">
        <f t="shared" si="4"/>
        <v>-4300</v>
      </c>
      <c r="O22" t="s">
        <v>2216</v>
      </c>
      <c r="P22" s="217">
        <f>IF(O22="","",IF(OR(LEFT(O22,4)="Cash",LEFT(O22,4)="Prov"),0,SUMIFS(Input_APM!N:N,Input_APM!L:L,Check!O22)))</f>
        <v>2923</v>
      </c>
      <c r="Q22" s="22">
        <f>IF(O22="","",IF(LEN(O22)&gt;9,SUMIFS(Options!$H$3:$H$33,Options!$B$3:$B$33,Check!O22),SUMIFS('Master P&amp;L'!$H$11:$H$85,'Master P&amp;L'!$B$11:$B$85,Check!O22)))</f>
        <v>3120</v>
      </c>
      <c r="R22" s="217">
        <f t="shared" si="1"/>
        <v>-197</v>
      </c>
      <c r="S22" s="362">
        <f t="shared" si="2"/>
        <v>0.93685897435897436</v>
      </c>
      <c r="V22" s="13"/>
    </row>
    <row r="23" spans="2:22">
      <c r="B23" t="s">
        <v>94</v>
      </c>
      <c r="C23" s="233">
        <f>IF(B23="","",IF(LEN(B23)&gt;9,SUMIFS(Options!$H$3:$H$33,Options!$B$3:$B$33,Check!B23),SUMIFS('Master P&amp;L'!$H$11:$H$85,'Master P&amp;L'!$B$11:$B$85,Check!B23)))</f>
        <v>22892</v>
      </c>
      <c r="D23" s="233">
        <f>IF(B23="","",SUMIFS(Input_APM!N:N,Input_APM!L:L,Check!B23,Input_APM!M:M,Check!$F$1))</f>
        <v>21414</v>
      </c>
      <c r="E23" s="217">
        <f t="shared" si="5"/>
        <v>0</v>
      </c>
      <c r="F23" s="233">
        <f>IF(B23="","",SUMIFS(Input_APM!N:N,Input_APM!M:M,Check!$F$1,Input_APM!L:L,Check!B23))</f>
        <v>21414</v>
      </c>
      <c r="G23" s="233">
        <f>IF(B23="","",SUMIFS(Input_APM!N:N,Input_APM!M:M,Check!$G$1,Input_APM!L:L,Check!B23))</f>
        <v>0</v>
      </c>
      <c r="H23" s="217">
        <f t="shared" si="0"/>
        <v>21414</v>
      </c>
      <c r="I23" s="217">
        <f>SUMIFS(Input_APM!N:N,Input_APM!L:L,Check!B23)</f>
        <v>21414</v>
      </c>
      <c r="J23" s="219">
        <f t="shared" si="3"/>
        <v>0</v>
      </c>
      <c r="K23" s="22">
        <f>IF(B23="","",SUMIFS('Input_APM (Zenith)'!N:N,'Input_APM (Zenith)'!L:L,Check!B23,'Input_APM (Zenith)'!M:M,Check!$F$1))</f>
        <v>1478</v>
      </c>
      <c r="L23" s="22">
        <f>IF(B23="","",SUMIFS('Input_APM (Zenith)'!N:N,'Input_APM (Zenith)'!L:L,Check!B23,'Input_APM (Zenith)'!M:M,Check!$G$1))</f>
        <v>0</v>
      </c>
      <c r="M23" s="240">
        <f t="shared" si="4"/>
        <v>22892</v>
      </c>
      <c r="O23" t="s">
        <v>1754</v>
      </c>
      <c r="P23" s="217">
        <f>IF(O23="","",IF(OR(LEFT(O23,4)="Cash",LEFT(O23,4)="Prov"),0,SUMIFS(Input_APM!N:N,Input_APM!L:L,Check!O23)))</f>
        <v>41651</v>
      </c>
      <c r="Q23" s="22">
        <f>IF(O23="","",IF(LEN(O23)&gt;9,SUMIFS(Options!$H$3:$H$33,Options!$B$3:$B$33,Check!O23),SUMIFS('Master P&amp;L'!$H$11:$H$85,'Master P&amp;L'!$B$11:$B$85,Check!O23)))</f>
        <v>44500</v>
      </c>
      <c r="R23" s="217">
        <f t="shared" si="1"/>
        <v>-2849</v>
      </c>
      <c r="S23" s="362">
        <f t="shared" si="2"/>
        <v>0.93597752808988766</v>
      </c>
      <c r="V23" s="13"/>
    </row>
    <row r="24" spans="2:22">
      <c r="B24" t="s">
        <v>138</v>
      </c>
      <c r="C24" s="233">
        <f>IF(B24="","",IF(LEN(B24)&gt;9,SUMIFS(Options!$H$3:$H$33,Options!$B$3:$B$33,Check!B24),SUMIFS('Master P&amp;L'!$H$11:$H$85,'Master P&amp;L'!$B$11:$B$85,Check!B24)))</f>
        <v>0</v>
      </c>
      <c r="D24" s="233">
        <f>IF(B24="","",SUMIFS(Input_APM!N:N,Input_APM!L:L,Check!B24,Input_APM!M:M,Check!$F$1))</f>
        <v>0</v>
      </c>
      <c r="E24" s="217">
        <f t="shared" si="5"/>
        <v>0</v>
      </c>
      <c r="F24" s="233">
        <f>IF(B24="","",SUMIFS(Input_APM!N:N,Input_APM!M:M,Check!$F$1,Input_APM!L:L,Check!B24))</f>
        <v>0</v>
      </c>
      <c r="G24" s="233">
        <f>IF(B24="","",SUMIFS(Input_APM!N:N,Input_APM!M:M,Check!$G$1,Input_APM!L:L,Check!B24))</f>
        <v>0</v>
      </c>
      <c r="H24" s="217">
        <f t="shared" si="0"/>
        <v>0</v>
      </c>
      <c r="I24" s="217">
        <f>SUMIFS(Input_APM!N:N,Input_APM!L:L,Check!B24)</f>
        <v>0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0</v>
      </c>
      <c r="O24" t="s">
        <v>2200</v>
      </c>
      <c r="P24" s="217">
        <f>IF(O24="","",IF(OR(LEFT(O24,4)="Cash",LEFT(O24,4)="Prov"),0,SUMIFS(Input_APM!N:N,Input_APM!L:L,Check!O24)))</f>
        <v>23518</v>
      </c>
      <c r="Q24" s="22">
        <f>IF(O24="","",IF(LEN(O24)&gt;9,SUMIFS(Options!$H$3:$H$33,Options!$B$3:$B$33,Check!O24),SUMIFS('Master P&amp;L'!$H$11:$H$85,'Master P&amp;L'!$B$11:$B$85,Check!O24)))</f>
        <v>27918</v>
      </c>
      <c r="R24" s="217">
        <f t="shared" si="1"/>
        <v>-4400</v>
      </c>
      <c r="S24" s="362">
        <f t="shared" si="2"/>
        <v>0.84239558707643813</v>
      </c>
      <c r="V24" s="13"/>
    </row>
    <row r="25" spans="2:22">
      <c r="B25" t="s">
        <v>95</v>
      </c>
      <c r="C25" s="233">
        <f>IF(B25="","",IF(LEN(B25)&gt;9,SUMIFS(Options!$H$3:$H$33,Options!$B$3:$B$33,Check!B25),SUMIFS('Master P&amp;L'!$H$11:$H$85,'Master P&amp;L'!$B$11:$B$85,Check!B25)))</f>
        <v>0</v>
      </c>
      <c r="D25" s="233">
        <f>IF(B25="","",SUMIFS(Input_APM!N:N,Input_APM!L:L,Check!B25,Input_APM!M:M,Check!$F$1))</f>
        <v>-1018</v>
      </c>
      <c r="E25" s="217">
        <f t="shared" si="5"/>
        <v>1095</v>
      </c>
      <c r="F25" s="233">
        <f>IF(B25="","",SUMIFS(Input_APM!N:N,Input_APM!M:M,Check!$F$1,Input_APM!L:L,Check!B25))</f>
        <v>-1018</v>
      </c>
      <c r="G25" s="233">
        <f>IF(B25="","",SUMIFS(Input_APM!N:N,Input_APM!M:M,Check!$G$1,Input_APM!L:L,Check!B25))</f>
        <v>0</v>
      </c>
      <c r="H25" s="217">
        <f t="shared" si="0"/>
        <v>-1018</v>
      </c>
      <c r="I25" s="217">
        <f>SUMIFS(Input_APM!N:N,Input_APM!L:L,Check!B25)</f>
        <v>-1018</v>
      </c>
      <c r="J25" s="219">
        <f t="shared" si="3"/>
        <v>0</v>
      </c>
      <c r="K25" s="22">
        <f>IF(B25="","",SUMIFS('Input_APM (Zenith)'!N:N,'Input_APM (Zenith)'!L:L,Check!B25,'Input_APM (Zenith)'!M:M,Check!$F$1))</f>
        <v>-77</v>
      </c>
      <c r="L25" s="22">
        <f>IF(B25="","",SUMIFS('Input_APM (Zenith)'!N:N,'Input_APM (Zenith)'!L:L,Check!B25,'Input_APM (Zenith)'!M:M,Check!$G$1))</f>
        <v>0</v>
      </c>
      <c r="M25" s="240">
        <f t="shared" si="4"/>
        <v>-1095</v>
      </c>
      <c r="O25" t="s">
        <v>2224</v>
      </c>
      <c r="P25" s="217">
        <f>IF(O25="","",IF(OR(LEFT(O25,4)="Cash",LEFT(O25,4)="Prov"),0,SUMIFS(Input_APM!N:N,Input_APM!L:L,Check!O25)))</f>
        <v>1668</v>
      </c>
      <c r="Q25" s="22">
        <f>IF(O25="","",IF(LEN(O25)&gt;9,SUMIFS(Options!$H$3:$H$33,Options!$B$3:$B$33,Check!O25),SUMIFS('Master P&amp;L'!$H$11:$H$85,'Master P&amp;L'!$B$11:$B$85,Check!O25)))</f>
        <v>1780</v>
      </c>
      <c r="R25" s="217">
        <f t="shared" si="1"/>
        <v>-112</v>
      </c>
      <c r="S25" s="362">
        <f t="shared" si="2"/>
        <v>0.93707865168539328</v>
      </c>
      <c r="V25" s="13"/>
    </row>
    <row r="26" spans="2:22">
      <c r="B26" t="s">
        <v>2189</v>
      </c>
      <c r="C26" s="233">
        <f>IF(B26="","",IF(LEN(B26)&gt;9,SUMIFS(Options!$H$3:$H$33,Options!$B$3:$B$33,Check!B26),SUMIFS('Master P&amp;L'!$H$11:$H$85,'Master P&amp;L'!$B$11:$B$85,Check!B26)))</f>
        <v>22000</v>
      </c>
      <c r="D26" s="233">
        <f>IF(B26="","",SUMIFS(Input_APM!N:N,Input_APM!L:L,Check!B26,Input_APM!M:M,Check!$F$1))</f>
        <v>20567</v>
      </c>
      <c r="E26" s="219">
        <f>IF(B26="","",C26-M26)</f>
        <v>0</v>
      </c>
      <c r="F26" s="233">
        <f>IF(B26="","",SUMIFS(Input_APM!N:N,Input_APM!M:M,Check!$F$1,Input_APM!L:L,Check!B26))</f>
        <v>20567</v>
      </c>
      <c r="G26" s="233">
        <f>IF(B26="","",SUMIFS(Input_APM!N:N,Input_APM!M:M,Check!$G$1,Input_APM!L:L,Check!B26))</f>
        <v>0</v>
      </c>
      <c r="H26" s="217">
        <f t="shared" si="0"/>
        <v>20567</v>
      </c>
      <c r="I26" s="217">
        <f>SUMIFS(Input_APM!N:N,Input_APM!L:L,Check!B26)</f>
        <v>20567</v>
      </c>
      <c r="J26" s="219">
        <f t="shared" si="3"/>
        <v>0</v>
      </c>
      <c r="K26" s="22">
        <f>IF(B26="","",SUMIFS('Input_APM (Zenith)'!N:N,'Input_APM (Zenith)'!L:L,Check!B26,'Input_APM (Zenith)'!M:M,Check!$F$1))</f>
        <v>1433</v>
      </c>
      <c r="L26" s="22">
        <f>IF(B26="","",SUMIFS('Input_APM (Zenith)'!N:N,'Input_APM (Zenith)'!L:L,Check!B26,'Input_APM (Zenith)'!M:M,Check!$G$1))</f>
        <v>0</v>
      </c>
      <c r="M26" s="240">
        <f t="shared" si="4"/>
        <v>22000</v>
      </c>
      <c r="O26" t="s">
        <v>1899</v>
      </c>
      <c r="P26" s="217">
        <f>IF(O26="","",IF(OR(LEFT(O26,4)="Cash",LEFT(O26,4)="Prov"),0,SUMIFS(Input_APM!N:N,Input_APM!L:L,Check!O26)))</f>
        <v>276451</v>
      </c>
      <c r="Q26" s="22">
        <f>IF(O26="","",IF(LEN(O26)&gt;9,SUMIFS(Options!$H$3:$H$33,Options!$B$3:$B$33,Check!O26),SUMIFS('Master P&amp;L'!$H$11:$H$85,'Master P&amp;L'!$B$11:$B$85,Check!O26)))</f>
        <v>0</v>
      </c>
      <c r="R26" s="217">
        <f t="shared" si="1"/>
        <v>276451</v>
      </c>
      <c r="S26" s="362" t="str">
        <f t="shared" si="2"/>
        <v>Erro</v>
      </c>
      <c r="V26" s="13"/>
    </row>
    <row r="27" spans="2:22">
      <c r="B27" t="s">
        <v>87</v>
      </c>
      <c r="C27" s="233">
        <f>IF(B27="","",IF(LEN(B27)&gt;9,SUMIFS(Options!$H$3:$H$33,Options!$B$3:$B$33,Check!B27),SUMIFS('Master P&amp;L'!$H$11:$H$85,'Master P&amp;L'!$B$11:$B$85,Check!B27)))</f>
        <v>3500</v>
      </c>
      <c r="D27" s="233">
        <f>IF(B27="","",SUMIFS(Input_APM!N:N,Input_APM!L:L,Check!B27,Input_APM!M:M,Check!$F$1))</f>
        <v>3280</v>
      </c>
      <c r="E27" s="219">
        <f t="shared" si="5"/>
        <v>0</v>
      </c>
      <c r="F27" s="233">
        <f>IF(B27="","",SUMIFS(Input_APM!N:N,Input_APM!M:M,Check!$F$1,Input_APM!L:L,Check!B27))</f>
        <v>3280</v>
      </c>
      <c r="G27" s="233">
        <f>IF(B27="","",SUMIFS(Input_APM!N:N,Input_APM!M:M,Check!$G$1,Input_APM!L:L,Check!B27))</f>
        <v>0</v>
      </c>
      <c r="H27" s="217">
        <f t="shared" si="0"/>
        <v>3280</v>
      </c>
      <c r="I27" s="217">
        <f>SUMIFS(Input_APM!N:N,Input_APM!L:L,Check!B27)</f>
        <v>3280</v>
      </c>
      <c r="J27" s="219">
        <f t="shared" si="3"/>
        <v>0</v>
      </c>
      <c r="K27" s="22">
        <f>IF(B27="","",SUMIFS('Input_APM (Zenith)'!N:N,'Input_APM (Zenith)'!L:L,Check!B27,'Input_APM (Zenith)'!M:M,Check!$F$1))</f>
        <v>220</v>
      </c>
      <c r="L27" s="22">
        <f>IF(B27="","",SUMIFS('Input_APM (Zenith)'!N:N,'Input_APM (Zenith)'!L:L,Check!B27,'Input_APM (Zenith)'!M:M,Check!$G$1))</f>
        <v>0</v>
      </c>
      <c r="M27" s="240">
        <f t="shared" si="4"/>
        <v>3500</v>
      </c>
      <c r="O27" t="s">
        <v>1900</v>
      </c>
      <c r="P27" s="217">
        <f>IF(O27="","",IF(OR(LEFT(O27,4)="Cash",LEFT(O27,4)="Prov"),0,SUMIFS(Input_APM!N:N,Input_APM!L:L,Check!O27)))</f>
        <v>-276451</v>
      </c>
      <c r="Q27" s="22">
        <f>IF(O27="","",IF(LEN(O27)&gt;9,SUMIFS(Options!$H$3:$H$33,Options!$B$3:$B$33,Check!O27),SUMIFS('Master P&amp;L'!$H$11:$H$85,'Master P&amp;L'!$B$11:$B$85,Check!O27)))</f>
        <v>0</v>
      </c>
      <c r="R27" s="217">
        <f t="shared" si="1"/>
        <v>-276451</v>
      </c>
      <c r="S27" s="362" t="str">
        <f t="shared" si="2"/>
        <v>Erro</v>
      </c>
      <c r="V27" s="13"/>
    </row>
    <row r="28" spans="2:22">
      <c r="B28" t="s">
        <v>86</v>
      </c>
      <c r="C28" s="233">
        <f>IF(B28="","",IF(LEN(B28)&gt;9,SUMIFS(Options!$H$3:$H$33,Options!$B$3:$B$33,Check!B28),SUMIFS('Master P&amp;L'!$H$11:$H$85,'Master P&amp;L'!$B$11:$B$85,Check!B28)))</f>
        <v>2100</v>
      </c>
      <c r="D28" s="233">
        <f>IF(B28="","",SUMIFS(Input_APM!N:N,Input_APM!L:L,Check!B28,Input_APM!M:M,Check!$F$1))</f>
        <v>1968</v>
      </c>
      <c r="E28" s="219">
        <f>IF(B28="","",C28-M28)</f>
        <v>0</v>
      </c>
      <c r="F28" s="233">
        <f>IF(B28="","",SUMIFS(Input_APM!N:N,Input_APM!M:M,Check!$F$1,Input_APM!L:L,Check!B28))</f>
        <v>1968</v>
      </c>
      <c r="G28" s="233">
        <f>IF(B28="","",SUMIFS(Input_APM!N:N,Input_APM!M:M,Check!$G$1,Input_APM!L:L,Check!B28))</f>
        <v>0</v>
      </c>
      <c r="H28" s="217">
        <f t="shared" si="0"/>
        <v>1968</v>
      </c>
      <c r="I28" s="217">
        <f>SUMIFS(Input_APM!N:N,Input_APM!L:L,Check!B28)</f>
        <v>1968</v>
      </c>
      <c r="J28" s="219">
        <f t="shared" si="3"/>
        <v>0</v>
      </c>
      <c r="K28" s="22">
        <f>IF(B28="","",SUMIFS('Input_APM (Zenith)'!N:N,'Input_APM (Zenith)'!L:L,Check!B28,'Input_APM (Zenith)'!M:M,Check!$F$1))</f>
        <v>132</v>
      </c>
      <c r="L28" s="22">
        <f>IF(B28="","",SUMIFS('Input_APM (Zenith)'!N:N,'Input_APM (Zenith)'!L:L,Check!B28,'Input_APM (Zenith)'!M:M,Check!$G$1))</f>
        <v>0</v>
      </c>
      <c r="M28" s="240">
        <f t="shared" si="4"/>
        <v>2100</v>
      </c>
      <c r="O28" t="s">
        <v>2101</v>
      </c>
      <c r="P28" s="217">
        <f>IF(O28="","",IF(OR(LEFT(O28,4)="Cash",LEFT(O28,4)="Prov"),0,SUMIFS(Input_APM!N:N,Input_APM!L:L,Check!O28)))</f>
        <v>1405</v>
      </c>
      <c r="Q28" s="22">
        <f>IF(O28="","",IF(LEN(O28)&gt;9,SUMIFS(Options!$H$3:$H$33,Options!$B$3:$B$33,Check!O28),SUMIFS('Master P&amp;L'!$H$11:$H$85,'Master P&amp;L'!$B$11:$B$85,Check!O28)))</f>
        <v>2000</v>
      </c>
      <c r="R28" s="217">
        <f t="shared" si="1"/>
        <v>-595</v>
      </c>
      <c r="S28" s="362">
        <f t="shared" si="2"/>
        <v>0.70250000000000001</v>
      </c>
      <c r="V28" s="13"/>
    </row>
    <row r="29" spans="2:22">
      <c r="B29" t="s">
        <v>2103</v>
      </c>
      <c r="C29" s="233">
        <f>IF(B29="","",IF(LEN(B29)&gt;9,SUMIFS(Options!$H$3:$H$33,Options!$B$3:$B$33,Check!B29),SUMIFS('Master P&amp;L'!$H$11:$H$85,'Master P&amp;L'!$B$11:$B$85,Check!B29)))</f>
        <v>0</v>
      </c>
      <c r="D29" s="233">
        <f>IF(B29="","",SUMIFS(Input_APM!N:N,Input_APM!L:L,Check!B29,Input_APM!M:M,Check!$F$1))</f>
        <v>0</v>
      </c>
      <c r="E29" s="219">
        <f t="shared" si="5"/>
        <v>0</v>
      </c>
      <c r="F29" s="233">
        <f>IF(B29="","",SUMIFS(Input_APM!N:N,Input_APM!M:M,Check!$F$1,Input_APM!L:L,Check!B29))</f>
        <v>0</v>
      </c>
      <c r="G29" s="233">
        <f>IF(B29="","",SUMIFS(Input_APM!N:N,Input_APM!M:M,Check!$G$1,Input_APM!L:L,Check!B29))</f>
        <v>0</v>
      </c>
      <c r="H29" s="217">
        <f t="shared" si="0"/>
        <v>0</v>
      </c>
      <c r="I29" s="217">
        <f>SUMIFS(Input_APM!N:N,Input_APM!L:L,Check!B29)</f>
        <v>0</v>
      </c>
      <c r="J29" s="219">
        <f t="shared" si="3"/>
        <v>0</v>
      </c>
      <c r="K29" s="22">
        <f>IF(B29="","",SUMIFS('Input_APM (Zenith)'!N:N,'Input_APM (Zenith)'!L:L,Check!B29,'Input_APM (Zenith)'!M:M,Check!$F$1))</f>
        <v>0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0</v>
      </c>
      <c r="O29" t="s">
        <v>2117</v>
      </c>
      <c r="P29" s="217">
        <f>IF(O29="","",IF(OR(LEFT(O29,4)="Cash",LEFT(O29,4)="Prov"),0,SUMIFS(Input_APM!N:N,Input_APM!L:L,Check!O29)))</f>
        <v>84</v>
      </c>
      <c r="Q29" s="22">
        <f>IF(O29="","",IF(LEN(O29)&gt;9,SUMIFS(Options!$H$3:$H$33,Options!$B$3:$B$33,Check!O29),SUMIFS('Master P&amp;L'!$H$11:$H$85,'Master P&amp;L'!$B$11:$B$85,Check!O29)))</f>
        <v>90</v>
      </c>
      <c r="R29" s="217">
        <f t="shared" si="1"/>
        <v>-6</v>
      </c>
      <c r="S29" s="362">
        <f t="shared" si="2"/>
        <v>0.93333333333333335</v>
      </c>
      <c r="V29" s="13"/>
    </row>
    <row r="30" spans="2:22">
      <c r="B30" t="s">
        <v>2100</v>
      </c>
      <c r="C30" s="233">
        <f>IF(B30="","",IF(LEN(B30)&gt;9,SUMIFS(Options!$H$3:$H$33,Options!$B$3:$B$33,Check!B30),SUMIFS('Master P&amp;L'!$H$11:$H$85,'Master P&amp;L'!$B$11:$B$85,Check!B30)))</f>
        <v>0</v>
      </c>
      <c r="D30" s="233">
        <f>IF(B30="","",SUMIFS(Input_APM!N:N,Input_APM!L:L,Check!B30,Input_APM!M:M,Check!$F$1))</f>
        <v>2777</v>
      </c>
      <c r="E30" s="219">
        <f t="shared" si="5"/>
        <v>-3000</v>
      </c>
      <c r="F30" s="233">
        <f>IF(B30="","",SUMIFS(Input_APM!N:N,Input_APM!M:M,Check!$F$1,Input_APM!L:L,Check!B30))</f>
        <v>2777</v>
      </c>
      <c r="G30" s="233">
        <f>IF(B30="","",SUMIFS(Input_APM!N:N,Input_APM!M:M,Check!$G$1,Input_APM!L:L,Check!B30))</f>
        <v>0</v>
      </c>
      <c r="H30" s="217">
        <f t="shared" si="0"/>
        <v>2777</v>
      </c>
      <c r="I30" s="217">
        <f>SUMIFS(Input_APM!N:N,Input_APM!L:L,Check!B30)</f>
        <v>2777</v>
      </c>
      <c r="J30" s="219">
        <f t="shared" si="3"/>
        <v>0</v>
      </c>
      <c r="K30" s="22">
        <f>IF(B30="","",SUMIFS('Input_APM (Zenith)'!N:N,'Input_APM (Zenith)'!L:L,Check!B30,'Input_APM (Zenith)'!M:M,Check!$F$1))</f>
        <v>223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3000</v>
      </c>
      <c r="O30" t="s">
        <v>2118</v>
      </c>
      <c r="P30" s="217">
        <f>IF(O30="","",IF(OR(LEFT(O30,4)="Cash",LEFT(O30,4)="Prov"),0,SUMIFS(Input_APM!N:N,Input_APM!L:L,Check!O30)))</f>
        <v>-8</v>
      </c>
      <c r="Q30" s="22">
        <f>IF(O30="","",IF(LEN(O30)&gt;9,SUMIFS(Options!$H$3:$H$33,Options!$B$3:$B$33,Check!O30),SUMIFS('Master P&amp;L'!$H$11:$H$85,'Master P&amp;L'!$B$11:$B$85,Check!O30)))</f>
        <v>-10</v>
      </c>
      <c r="R30" s="217">
        <f t="shared" si="1"/>
        <v>2</v>
      </c>
      <c r="S30" s="362">
        <f t="shared" si="2"/>
        <v>0.8</v>
      </c>
      <c r="V30" s="13"/>
    </row>
    <row r="31" spans="2:22">
      <c r="B31" t="s">
        <v>2340</v>
      </c>
      <c r="C31" s="233">
        <f>IF(B31="","",IF(LEN(B31)&gt;9,SUMIFS(Options!$H$3:$H$33,Options!$B$3:$B$33,Check!B31),SUMIFS('Master P&amp;L'!$H$11:$H$85,'Master P&amp;L'!$B$11:$B$85,Check!B31)))</f>
        <v>1500</v>
      </c>
      <c r="D31" s="233">
        <f>IF(B31="","",SUMIFS(Input_APM!N:N,Input_APM!L:L,Check!B31,Input_APM!M:M,Check!$F$1))</f>
        <v>1405</v>
      </c>
      <c r="E31" s="219">
        <f>IF(B31="","",C31-M31)</f>
        <v>0</v>
      </c>
      <c r="F31" s="233">
        <f>IF(B31="","",SUMIFS(Input_APM!N:N,Input_APM!M:M,Check!$F$1,Input_APM!L:L,Check!B31))</f>
        <v>1405</v>
      </c>
      <c r="G31" s="233">
        <f>IF(B31="","",SUMIFS(Input_APM!N:N,Input_APM!M:M,Check!$G$1,Input_APM!L:L,Check!B31))</f>
        <v>0</v>
      </c>
      <c r="H31" s="217">
        <f t="shared" si="0"/>
        <v>1405</v>
      </c>
      <c r="I31" s="217">
        <f>SUMIFS(Input_APM!N:N,Input_APM!L:L,Check!B31)</f>
        <v>1405</v>
      </c>
      <c r="J31" s="219">
        <f t="shared" si="3"/>
        <v>0</v>
      </c>
      <c r="K31" s="22">
        <f>IF(B31="","",SUMIFS('Input_APM (Zenith)'!N:N,'Input_APM (Zenith)'!L:L,Check!B31,'Input_APM (Zenith)'!M:M,Check!$F$1))</f>
        <v>95</v>
      </c>
      <c r="L31" s="22">
        <f>IF(B31="","",SUMIFS('Input_APM (Zenith)'!N:N,'Input_APM (Zenith)'!L:L,Check!B31,'Input_APM (Zenith)'!M:M,Check!$G$1))</f>
        <v>0</v>
      </c>
      <c r="M31" s="240">
        <f t="shared" si="4"/>
        <v>1500</v>
      </c>
      <c r="O31" t="s">
        <v>86</v>
      </c>
      <c r="P31" s="217">
        <f>IF(O31="","",IF(OR(LEFT(O31,4)="Cash",LEFT(O31,4)="Prov"),0,SUMIFS(Input_APM!N:N,Input_APM!L:L,Check!O31)))</f>
        <v>1968</v>
      </c>
      <c r="Q31" s="22">
        <f>IF(O31="","",IF(LEN(O31)&gt;9,SUMIFS(Options!$H$3:$H$33,Options!$B$3:$B$33,Check!O31),SUMIFS('Master P&amp;L'!$H$11:$H$85,'Master P&amp;L'!$B$11:$B$85,Check!O31)))</f>
        <v>2100</v>
      </c>
      <c r="R31" s="217">
        <f t="shared" si="1"/>
        <v>-132</v>
      </c>
      <c r="S31" s="362">
        <f t="shared" si="2"/>
        <v>0.93714285714285717</v>
      </c>
      <c r="V31" s="13"/>
    </row>
    <row r="32" spans="2:22">
      <c r="B32" t="s">
        <v>2159</v>
      </c>
      <c r="C32" s="233">
        <f>IF(B32="","",IF(LEN(B32)&gt;9,SUMIFS(Options!$H$3:$H$33,Options!$B$3:$B$33,Check!B32),SUMIFS('Master P&amp;L'!$H$11:$H$85,'Master P&amp;L'!$B$11:$B$85,Check!B32)))</f>
        <v>-50</v>
      </c>
      <c r="D32" s="233">
        <f>IF(B32="","",SUMIFS(Input_APM!N:N,Input_APM!L:L,Check!B32,Input_APM!M:M,Check!$F$1))</f>
        <v>-48</v>
      </c>
      <c r="E32" s="219">
        <f t="shared" si="5"/>
        <v>0</v>
      </c>
      <c r="F32" s="233">
        <f>IF(B32="","",SUMIFS(Input_APM!N:N,Input_APM!M:M,Check!$F$1,Input_APM!L:L,Check!B32))</f>
        <v>-48</v>
      </c>
      <c r="G32" s="233">
        <f>IF(B32="","",SUMIFS(Input_APM!N:N,Input_APM!M:M,Check!$G$1,Input_APM!L:L,Check!B32))</f>
        <v>0</v>
      </c>
      <c r="H32" s="217">
        <f t="shared" si="0"/>
        <v>-48</v>
      </c>
      <c r="I32" s="217">
        <f>SUMIFS(Input_APM!N:N,Input_APM!L:L,Check!B32)</f>
        <v>-48</v>
      </c>
      <c r="J32" s="219">
        <f t="shared" si="3"/>
        <v>0</v>
      </c>
      <c r="K32" s="22">
        <f>IF(B32="","",SUMIFS('Input_APM (Zenith)'!N:N,'Input_APM (Zenith)'!L:L,Check!B32,'Input_APM (Zenith)'!M:M,Check!$F$1))</f>
        <v>-2</v>
      </c>
      <c r="L32" s="22">
        <f>IF(B32="","",SUMIFS('Input_APM (Zenith)'!N:N,'Input_APM (Zenith)'!L:L,Check!B32,'Input_APM (Zenith)'!M:M,Check!$G$1))</f>
        <v>0</v>
      </c>
      <c r="M32" s="240">
        <f t="shared" si="4"/>
        <v>-50</v>
      </c>
      <c r="O32" t="s">
        <v>81</v>
      </c>
      <c r="P32" s="217">
        <f>IF(O32="","",IF(OR(LEFT(O32,4)="Cash",LEFT(O32,4)="Prov"),0,SUMIFS(Input_APM!N:N,Input_APM!L:L,Check!O32)))</f>
        <v>5618</v>
      </c>
      <c r="Q32" s="22">
        <f>IF(O32="","",IF(LEN(O32)&gt;9,SUMIFS(Options!$H$3:$H$33,Options!$B$3:$B$33,Check!O32),SUMIFS('Master P&amp;L'!$H$11:$H$85,'Master P&amp;L'!$B$11:$B$85,Check!O32)))</f>
        <v>6000</v>
      </c>
      <c r="R32" s="217">
        <f t="shared" si="1"/>
        <v>-382</v>
      </c>
      <c r="S32" s="362">
        <f t="shared" si="2"/>
        <v>0.93633333333333335</v>
      </c>
      <c r="V32" s="13"/>
    </row>
    <row r="33" spans="1:22">
      <c r="B33" t="s">
        <v>2157</v>
      </c>
      <c r="C33" s="233">
        <f>IF(B33="","",IF(LEN(B33)&gt;9,SUMIFS(Options!$H$3:$H$33,Options!$B$3:$B$33,Check!B33),SUMIFS('Master P&amp;L'!$H$11:$H$85,'Master P&amp;L'!$B$11:$B$85,Check!B33)))</f>
        <v>50</v>
      </c>
      <c r="D33" s="233">
        <f>IF(B33="","",SUMIFS(Input_APM!N:N,Input_APM!L:L,Check!B33,Input_APM!M:M,Check!$F$1))</f>
        <v>48</v>
      </c>
      <c r="E33" s="217">
        <f t="shared" si="5"/>
        <v>0</v>
      </c>
      <c r="F33" s="233">
        <f>IF(B33="","",SUMIFS(Input_APM!N:N,Input_APM!M:M,Check!$F$1,Input_APM!L:L,Check!B33))</f>
        <v>48</v>
      </c>
      <c r="G33" s="233">
        <f>IF(B33="","",SUMIFS(Input_APM!N:N,Input_APM!M:M,Check!$G$1,Input_APM!L:L,Check!B33))</f>
        <v>0</v>
      </c>
      <c r="H33" s="217">
        <f t="shared" si="0"/>
        <v>48</v>
      </c>
      <c r="I33" s="217">
        <f>SUMIFS(Input_APM!N:N,Input_APM!L:L,Check!B33)</f>
        <v>48</v>
      </c>
      <c r="J33" s="219">
        <f t="shared" si="3"/>
        <v>0</v>
      </c>
      <c r="K33" s="22">
        <f>IF(B33="","",SUMIFS('Input_APM (Zenith)'!N:N,'Input_APM (Zenith)'!L:L,Check!B33,'Input_APM (Zenith)'!M:M,Check!$F$1))</f>
        <v>2</v>
      </c>
      <c r="L33" s="22">
        <f>IF(B33="","",SUMIFS('Input_APM (Zenith)'!N:N,'Input_APM (Zenith)'!L:L,Check!B33,'Input_APM (Zenith)'!M:M,Check!$G$1))</f>
        <v>0</v>
      </c>
      <c r="M33" s="240">
        <f t="shared" si="4"/>
        <v>50</v>
      </c>
      <c r="O33" t="s">
        <v>2111</v>
      </c>
      <c r="P33" s="217">
        <f>IF(O33="","",IF(OR(LEFT(O33,4)="Cash",LEFT(O33,4)="Prov"),0,SUMIFS(Input_APM!N:N,Input_APM!L:L,Check!O33)))</f>
        <v>57</v>
      </c>
      <c r="Q33" s="22">
        <f>IF(O33="","",IF(LEN(O33)&gt;9,SUMIFS(Options!$H$3:$H$33,Options!$B$3:$B$33,Check!O33),SUMIFS('Master P&amp;L'!$H$11:$H$85,'Master P&amp;L'!$B$11:$B$85,Check!O33)))</f>
        <v>60</v>
      </c>
      <c r="R33" s="217">
        <f t="shared" si="1"/>
        <v>-3</v>
      </c>
      <c r="S33" s="362">
        <f t="shared" si="2"/>
        <v>0.95</v>
      </c>
      <c r="V33" s="13"/>
    </row>
    <row r="34" spans="1:22">
      <c r="B34" t="s">
        <v>2117</v>
      </c>
      <c r="C34" s="233">
        <f>IF(B34="","",IF(LEN(B34)&gt;9,SUMIFS(Options!$H$3:$H$33,Options!$B$3:$B$33,Check!B34),SUMIFS('Master P&amp;L'!$H$11:$H$85,'Master P&amp;L'!$B$11:$B$85,Check!B34)))</f>
        <v>90</v>
      </c>
      <c r="D34" s="233">
        <f>IF(B34="","",SUMIFS(Input_APM!N:N,Input_APM!L:L,Check!B34,Input_APM!M:M,Check!$F$1))</f>
        <v>84</v>
      </c>
      <c r="E34" s="217">
        <f t="shared" si="5"/>
        <v>0</v>
      </c>
      <c r="F34" s="233">
        <f>IF(B34="","",SUMIFS(Input_APM!N:N,Input_APM!M:M,Check!$F$1,Input_APM!L:L,Check!B34))</f>
        <v>84</v>
      </c>
      <c r="G34" s="233">
        <f>IF(B34="","",SUMIFS(Input_APM!N:N,Input_APM!M:M,Check!$G$1,Input_APM!L:L,Check!B34))</f>
        <v>0</v>
      </c>
      <c r="H34" s="217">
        <f t="shared" si="0"/>
        <v>84</v>
      </c>
      <c r="I34" s="217">
        <f>SUMIFS(Input_APM!N:N,Input_APM!L:L,Check!B34)</f>
        <v>84</v>
      </c>
      <c r="J34" s="219">
        <f t="shared" si="3"/>
        <v>0</v>
      </c>
      <c r="K34" s="22">
        <f>IF(B34="","",SUMIFS('Input_APM (Zenith)'!N:N,'Input_APM (Zenith)'!L:L,Check!B34,'Input_APM (Zenith)'!M:M,Check!$F$1))</f>
        <v>6</v>
      </c>
      <c r="L34" s="22">
        <f>IF(B34="","",SUMIFS('Input_APM (Zenith)'!N:N,'Input_APM (Zenith)'!L:L,Check!B34,'Input_APM (Zenith)'!M:M,Check!$G$1))</f>
        <v>0</v>
      </c>
      <c r="M34" s="240">
        <f t="shared" si="4"/>
        <v>90</v>
      </c>
      <c r="O34" t="s">
        <v>2110</v>
      </c>
      <c r="P34" s="217">
        <f>IF(O34="","",IF(OR(LEFT(O34,4)="Cash",LEFT(O34,4)="Prov"),0,SUMIFS(Input_APM!N:N,Input_APM!L:L,Check!O34)))</f>
        <v>-1</v>
      </c>
      <c r="Q34" s="22">
        <f>IF(O34="","",IF(LEN(O34)&gt;9,SUMIFS(Options!$H$3:$H$33,Options!$B$3:$B$33,Check!O34),SUMIFS('Master P&amp;L'!$H$11:$H$85,'Master P&amp;L'!$B$11:$B$85,Check!O34)))</f>
        <v>0</v>
      </c>
      <c r="R34" s="217">
        <f t="shared" si="1"/>
        <v>-1</v>
      </c>
      <c r="S34" s="362" t="str">
        <f t="shared" si="2"/>
        <v>Erro</v>
      </c>
      <c r="V34" s="13"/>
    </row>
    <row r="35" spans="1:22">
      <c r="B35" t="s">
        <v>2118</v>
      </c>
      <c r="C35" s="233">
        <f>IF(B35="","",IF(LEN(B35)&gt;9,SUMIFS(Options!$H$3:$H$33,Options!$B$3:$B$33,Check!B35),SUMIFS('Master P&amp;L'!$H$11:$H$85,'Master P&amp;L'!$B$11:$B$85,Check!B35)))</f>
        <v>-10</v>
      </c>
      <c r="D35" s="233">
        <f>IF(B35="","",SUMIFS(Input_APM!N:N,Input_APM!L:L,Check!B35,Input_APM!M:M,Check!$F$1))</f>
        <v>-8</v>
      </c>
      <c r="E35" s="219">
        <f t="shared" si="5"/>
        <v>0</v>
      </c>
      <c r="F35" s="233">
        <f>IF(B35="","",SUMIFS(Input_APM!N:N,Input_APM!M:M,Check!$F$1,Input_APM!L:L,Check!B35))</f>
        <v>-8</v>
      </c>
      <c r="G35" s="233">
        <f>IF(B35="","",SUMIFS(Input_APM!N:N,Input_APM!M:M,Check!$G$1,Input_APM!L:L,Check!B35))</f>
        <v>0</v>
      </c>
      <c r="H35" s="217">
        <f t="shared" si="0"/>
        <v>-8</v>
      </c>
      <c r="I35" s="217">
        <f>SUMIFS(Input_APM!N:N,Input_APM!L:L,Check!B35)</f>
        <v>-8</v>
      </c>
      <c r="J35" s="219">
        <f t="shared" si="3"/>
        <v>0</v>
      </c>
      <c r="K35" s="22">
        <f>IF(B35="","",SUMIFS('Input_APM (Zenith)'!N:N,'Input_APM (Zenith)'!L:L,Check!B35,'Input_APM (Zenith)'!M:M,Check!$F$1))</f>
        <v>-2</v>
      </c>
      <c r="L35" s="22">
        <f>IF(B35="","",SUMIFS('Input_APM (Zenith)'!N:N,'Input_APM (Zenith)'!L:L,Check!B35,'Input_APM (Zenith)'!M:M,Check!$G$1))</f>
        <v>0</v>
      </c>
      <c r="M35" s="240">
        <f t="shared" si="4"/>
        <v>-10</v>
      </c>
      <c r="O35" t="s">
        <v>2161</v>
      </c>
      <c r="P35" s="217">
        <f>IF(O35="","",IF(OR(LEFT(O35,4)="Cash",LEFT(O35,4)="Prov"),0,SUMIFS(Input_APM!N:N,Input_APM!L:L,Check!O35)))</f>
        <v>19</v>
      </c>
      <c r="Q35" s="22">
        <f>IF(O35="","",IF(LEN(O35)&gt;9,SUMIFS(Options!$H$3:$H$33,Options!$B$3:$B$33,Check!O35),SUMIFS('Master P&amp;L'!$H$11:$H$85,'Master P&amp;L'!$B$11:$B$85,Check!O35)))</f>
        <v>20</v>
      </c>
      <c r="R35" s="217">
        <f t="shared" si="1"/>
        <v>-1</v>
      </c>
      <c r="S35" s="362">
        <f t="shared" si="2"/>
        <v>0.95</v>
      </c>
      <c r="V35" s="13"/>
    </row>
    <row r="36" spans="1:22">
      <c r="B36" t="s">
        <v>2111</v>
      </c>
      <c r="C36" s="233">
        <f>IF(B36="","",IF(LEN(B36)&gt;9,SUMIFS(Options!$H$3:$H$33,Options!$B$3:$B$33,Check!B36),SUMIFS('Master P&amp;L'!$H$11:$H$85,'Master P&amp;L'!$B$11:$B$85,Check!B36)))</f>
        <v>60</v>
      </c>
      <c r="D36" s="233">
        <f>IF(B36="","",SUMIFS(Input_APM!N:N,Input_APM!L:L,Check!B36,Input_APM!M:M,Check!$F$1))</f>
        <v>57</v>
      </c>
      <c r="E36" s="219">
        <f>IF(B36="","",C36-M36)</f>
        <v>0</v>
      </c>
      <c r="F36" s="233">
        <f>IF(B36="","",SUMIFS(Input_APM!N:N,Input_APM!M:M,Check!$F$1,Input_APM!L:L,Check!B36))</f>
        <v>57</v>
      </c>
      <c r="G36" s="233">
        <f>IF(B36="","",SUMIFS(Input_APM!N:N,Input_APM!M:M,Check!$G$1,Input_APM!L:L,Check!B36))</f>
        <v>0</v>
      </c>
      <c r="H36" s="217">
        <f t="shared" si="0"/>
        <v>57</v>
      </c>
      <c r="I36" s="217">
        <f>SUMIFS(Input_APM!N:N,Input_APM!L:L,Check!B36)</f>
        <v>57</v>
      </c>
      <c r="J36" s="219">
        <f t="shared" si="3"/>
        <v>0</v>
      </c>
      <c r="K36" s="22">
        <f>IF(B36="","",SUMIFS('Input_APM (Zenith)'!N:N,'Input_APM (Zenith)'!L:L,Check!B36,'Input_APM (Zenith)'!M:M,Check!$F$1))</f>
        <v>3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60</v>
      </c>
      <c r="O36" t="s">
        <v>2160</v>
      </c>
      <c r="P36" s="217">
        <f>IF(O36="","",IF(OR(LEFT(O36,4)="Cash",LEFT(O36,4)="Prov"),0,SUMIFS(Input_APM!N:N,Input_APM!L:L,Check!O36)))</f>
        <v>-19</v>
      </c>
      <c r="Q36" s="22">
        <f>IF(O36="","",IF(LEN(O36)&gt;9,SUMIFS(Options!$H$3:$H$33,Options!$B$3:$B$33,Check!O36),SUMIFS('Master P&amp;L'!$H$11:$H$85,'Master P&amp;L'!$B$11:$B$85,Check!O36)))</f>
        <v>-20</v>
      </c>
      <c r="R36" s="217">
        <f t="shared" si="1"/>
        <v>1</v>
      </c>
      <c r="S36" s="362">
        <f t="shared" si="2"/>
        <v>0.95</v>
      </c>
      <c r="V36" s="13"/>
    </row>
    <row r="37" spans="1:22">
      <c r="B37" t="s">
        <v>2160</v>
      </c>
      <c r="C37" s="233">
        <f>IF(B37="","",IF(LEN(B37)&gt;9,SUMIFS(Options!$H$3:$H$33,Options!$B$3:$B$33,Check!B37),SUMIFS('Master P&amp;L'!$H$11:$H$85,'Master P&amp;L'!$B$11:$B$85,Check!B37)))</f>
        <v>-20</v>
      </c>
      <c r="D37" s="233">
        <f>IF(B37="","",SUMIFS(Input_APM!N:N,Input_APM!L:L,Check!B37,Input_APM!M:M,Check!$F$1))</f>
        <v>-19</v>
      </c>
      <c r="E37" s="219">
        <f>IF(B37="","",C37-M37)</f>
        <v>0</v>
      </c>
      <c r="F37" s="233">
        <f>IF(B37="","",SUMIFS(Input_APM!N:N,Input_APM!M:M,Check!$F$1,Input_APM!L:L,Check!B37))</f>
        <v>-19</v>
      </c>
      <c r="G37" s="233">
        <f>IF(B37="","",SUMIFS(Input_APM!N:N,Input_APM!M:M,Check!$G$1,Input_APM!L:L,Check!B37))</f>
        <v>0</v>
      </c>
      <c r="H37" s="217">
        <f t="shared" si="0"/>
        <v>-19</v>
      </c>
      <c r="I37" s="217">
        <f>SUMIFS(Input_APM!N:N,Input_APM!L:L,Check!B37)</f>
        <v>-19</v>
      </c>
      <c r="J37" s="219">
        <f t="shared" si="3"/>
        <v>0</v>
      </c>
      <c r="K37" s="22">
        <f>IF(B37="","",SUMIFS('Input_APM (Zenith)'!N:N,'Input_APM (Zenith)'!L:L,Check!B37,'Input_APM (Zenith)'!M:M,Check!$F$1))</f>
        <v>-1</v>
      </c>
      <c r="L37" s="22">
        <f>IF(B37="","",SUMIFS('Input_APM (Zenith)'!N:N,'Input_APM (Zenith)'!L:L,Check!B37,'Input_APM (Zenith)'!M:M,Check!$G$1))</f>
        <v>0</v>
      </c>
      <c r="M37" s="240">
        <f t="shared" si="4"/>
        <v>-20</v>
      </c>
      <c r="O37" t="s">
        <v>2145</v>
      </c>
      <c r="P37" s="217">
        <f>IF(O37="","",IF(OR(LEFT(O37,4)="Cash",LEFT(O37,4)="Prov"),0,SUMIFS(Input_APM!N:N,Input_APM!L:L,Check!O37)))</f>
        <v>-94</v>
      </c>
      <c r="Q37" s="22">
        <f>IF(O37="","",IF(LEN(O37)&gt;9,SUMIFS(Options!$H$3:$H$33,Options!$B$3:$B$33,Check!O37),SUMIFS('Master P&amp;L'!$H$11:$H$85,'Master P&amp;L'!$B$11:$B$85,Check!O37)))</f>
        <v>-100</v>
      </c>
      <c r="R37" s="217">
        <f t="shared" si="1"/>
        <v>6</v>
      </c>
      <c r="S37" s="362">
        <f t="shared" si="2"/>
        <v>0.94</v>
      </c>
      <c r="V37" s="13"/>
    </row>
    <row r="38" spans="1:22">
      <c r="B38" t="s">
        <v>2161</v>
      </c>
      <c r="C38" s="233">
        <f>IF(B38="","",IF(LEN(B38)&gt;9,SUMIFS(Options!$H$3:$H$33,Options!$B$3:$B$33,Check!B38),SUMIFS('Master P&amp;L'!$H$11:$H$85,'Master P&amp;L'!$B$11:$B$85,Check!B38)))</f>
        <v>20</v>
      </c>
      <c r="D38" s="233">
        <f>IF(B38="","",SUMIFS(Input_APM!N:N,Input_APM!L:L,Check!B38,Input_APM!M:M,Check!$F$1))</f>
        <v>19</v>
      </c>
      <c r="E38" s="217">
        <f t="shared" si="5"/>
        <v>0</v>
      </c>
      <c r="F38" s="233">
        <f>IF(B38="","",SUMIFS(Input_APM!N:N,Input_APM!M:M,Check!$F$1,Input_APM!L:L,Check!B38))</f>
        <v>19</v>
      </c>
      <c r="G38" s="233">
        <f>IF(B38="","",SUMIFS(Input_APM!N:N,Input_APM!M:M,Check!$G$1,Input_APM!L:L,Check!B38))</f>
        <v>0</v>
      </c>
      <c r="H38" s="217">
        <f t="shared" si="0"/>
        <v>19</v>
      </c>
      <c r="I38" s="217">
        <f>SUMIFS(Input_APM!N:N,Input_APM!L:L,Check!B38)</f>
        <v>19</v>
      </c>
      <c r="J38" s="219">
        <f t="shared" si="3"/>
        <v>0</v>
      </c>
      <c r="K38" s="22">
        <f>IF(B38="","",SUMIFS('Input_APM (Zenith)'!N:N,'Input_APM (Zenith)'!L:L,Check!B38,'Input_APM (Zenith)'!M:M,Check!$F$1))</f>
        <v>1</v>
      </c>
      <c r="L38" s="22">
        <f>IF(B38="","",SUMIFS('Input_APM (Zenith)'!N:N,'Input_APM (Zenith)'!L:L,Check!B38,'Input_APM (Zenith)'!M:M,Check!$G$1))</f>
        <v>0</v>
      </c>
      <c r="M38" s="240">
        <f t="shared" si="4"/>
        <v>20</v>
      </c>
      <c r="O38" t="s">
        <v>2095</v>
      </c>
      <c r="P38" s="217">
        <f>IF(O38="","",IF(OR(LEFT(O38,4)="Cash",LEFT(O38,4)="Prov"),0,SUMIFS(Input_APM!N:N,Input_APM!L:L,Check!O38)))</f>
        <v>-188</v>
      </c>
      <c r="Q38" s="22">
        <f>IF(O38="","",IF(LEN(O38)&gt;9,SUMIFS(Options!$H$3:$H$33,Options!$B$3:$B$33,Check!O38),SUMIFS('Master P&amp;L'!$H$11:$H$85,'Master P&amp;L'!$B$11:$B$85,Check!O38)))</f>
        <v>-100</v>
      </c>
      <c r="R38" s="217">
        <f t="shared" si="1"/>
        <v>-88</v>
      </c>
      <c r="S38" s="362">
        <f t="shared" si="2"/>
        <v>1.88</v>
      </c>
      <c r="V38" s="13"/>
    </row>
    <row r="39" spans="1:22">
      <c r="B39" t="s">
        <v>2144</v>
      </c>
      <c r="C39" s="233">
        <f>IF(B39="","",IF(LEN(B39)&gt;9,SUMIFS(Options!$H$3:$H$33,Options!$B$3:$B$33,Check!B39),SUMIFS('Master P&amp;L'!$H$11:$H$85,'Master P&amp;L'!$B$11:$B$85,Check!B39)))</f>
        <v>200</v>
      </c>
      <c r="D39" s="233">
        <f>IF(B39="","",SUMIFS(Input_APM!N:N,Input_APM!L:L,Check!B39,Input_APM!M:M,Check!$F$1))</f>
        <v>280</v>
      </c>
      <c r="E39" s="217">
        <f t="shared" si="5"/>
        <v>-100</v>
      </c>
      <c r="F39" s="233">
        <f>IF(B39="","",SUMIFS(Input_APM!N:N,Input_APM!M:M,Check!$F$1,Input_APM!L:L,Check!B39))</f>
        <v>280</v>
      </c>
      <c r="G39" s="233">
        <f>IF(B39="","",SUMIFS(Input_APM!N:N,Input_APM!M:M,Check!$G$1,Input_APM!L:L,Check!B39))</f>
        <v>0</v>
      </c>
      <c r="H39" s="217">
        <f t="shared" si="0"/>
        <v>280</v>
      </c>
      <c r="I39" s="217">
        <f>SUMIFS(Input_APM!N:N,Input_APM!L:L,Check!B39)</f>
        <v>280</v>
      </c>
      <c r="J39" s="219">
        <f t="shared" si="3"/>
        <v>0</v>
      </c>
      <c r="K39" s="22">
        <f>IF(B39="","",SUMIFS('Input_APM (Zenith)'!N:N,'Input_APM (Zenith)'!L:L,Check!B39,'Input_APM (Zenith)'!M:M,Check!$F$1))</f>
        <v>20</v>
      </c>
      <c r="L39" s="22">
        <f>IF(B39="","",SUMIFS('Input_APM (Zenith)'!N:N,'Input_APM (Zenith)'!L:L,Check!B39,'Input_APM (Zenith)'!M:M,Check!$G$1))</f>
        <v>0</v>
      </c>
      <c r="M39" s="240">
        <f t="shared" si="4"/>
        <v>300</v>
      </c>
      <c r="O39" t="s">
        <v>2144</v>
      </c>
      <c r="P39" s="217">
        <f>IF(O39="","",IF(OR(LEFT(O39,4)="Cash",LEFT(O39,4)="Prov"),0,SUMIFS(Input_APM!N:N,Input_APM!L:L,Check!O39)))</f>
        <v>280</v>
      </c>
      <c r="Q39" s="22">
        <f>IF(O39="","",IF(LEN(O39)&gt;9,SUMIFS(Options!$H$3:$H$33,Options!$B$3:$B$33,Check!O39),SUMIFS('Master P&amp;L'!$H$11:$H$85,'Master P&amp;L'!$B$11:$B$85,Check!O39)))</f>
        <v>200</v>
      </c>
      <c r="R39" s="217">
        <f t="shared" si="1"/>
        <v>80</v>
      </c>
      <c r="S39" s="362">
        <f t="shared" si="2"/>
        <v>1.4</v>
      </c>
      <c r="V39" s="13"/>
    </row>
    <row r="40" spans="1:22">
      <c r="B40" t="s">
        <v>2095</v>
      </c>
      <c r="C40" s="233">
        <f>IF(B40="","",IF(LEN(B40)&gt;9,SUMIFS(Options!$H$3:$H$33,Options!$B$3:$B$33,Check!B40),SUMIFS('Master P&amp;L'!$H$11:$H$85,'Master P&amp;L'!$B$11:$B$85,Check!B40)))</f>
        <v>-100</v>
      </c>
      <c r="D40" s="233">
        <f>IF(B40="","",SUMIFS(Input_APM!N:N,Input_APM!L:L,Check!B40,Input_APM!M:M,Check!$F$1))</f>
        <v>-188</v>
      </c>
      <c r="E40" s="219">
        <f t="shared" si="5"/>
        <v>100</v>
      </c>
      <c r="F40" s="233">
        <f>IF(B40="","",SUMIFS(Input_APM!N:N,Input_APM!M:M,Check!$F$1,Input_APM!L:L,Check!B40))</f>
        <v>-188</v>
      </c>
      <c r="G40" s="233">
        <f>IF(B40="","",SUMIFS(Input_APM!N:N,Input_APM!M:M,Check!$G$1,Input_APM!L:L,Check!B40))</f>
        <v>0</v>
      </c>
      <c r="H40" s="217">
        <f t="shared" si="0"/>
        <v>-188</v>
      </c>
      <c r="I40" s="217">
        <f>SUMIFS(Input_APM!N:N,Input_APM!L:L,Check!B40)</f>
        <v>-188</v>
      </c>
      <c r="J40" s="219">
        <f t="shared" si="3"/>
        <v>0</v>
      </c>
      <c r="K40" s="22">
        <f>IF(B40="","",SUMIFS('Input_APM (Zenith)'!N:N,'Input_APM (Zenith)'!L:L,Check!B40,'Input_APM (Zenith)'!M:M,Check!$F$1))</f>
        <v>-12</v>
      </c>
      <c r="L40" s="22">
        <f>IF(B40="","",SUMIFS('Input_APM (Zenith)'!N:N,'Input_APM (Zenith)'!L:L,Check!B40,'Input_APM (Zenith)'!M:M,Check!$G$1))</f>
        <v>0</v>
      </c>
      <c r="M40" s="240">
        <f t="shared" si="4"/>
        <v>-200</v>
      </c>
      <c r="O40" t="s">
        <v>90</v>
      </c>
      <c r="P40" s="217">
        <f>IF(O40="","",IF(OR(LEFT(O40,4)="Cash",LEFT(O40,4)="Prov"),0,SUMIFS(Input_APM!N:N,Input_APM!L:L,Check!O40)))</f>
        <v>7966</v>
      </c>
      <c r="Q40" s="22">
        <f>IF(O40="","",IF(LEN(O40)&gt;9,SUMIFS(Options!$H$3:$H$33,Options!$B$3:$B$33,Check!O40),SUMIFS('Master P&amp;L'!$H$11:$H$85,'Master P&amp;L'!$B$11:$B$85,Check!O40)))</f>
        <v>8510</v>
      </c>
      <c r="R40" s="217">
        <f t="shared" si="1"/>
        <v>-544</v>
      </c>
      <c r="S40" s="362">
        <f t="shared" si="2"/>
        <v>0.93607520564042301</v>
      </c>
      <c r="V40" s="13"/>
    </row>
    <row r="41" spans="1:22">
      <c r="B41" t="s">
        <v>2145</v>
      </c>
      <c r="C41" s="233">
        <f>IF(B41="","",IF(LEN(B41)&gt;9,SUMIFS(Options!$H$3:$H$33,Options!$B$3:$B$33,Check!B41),SUMIFS('Master P&amp;L'!$H$11:$H$85,'Master P&amp;L'!$B$11:$B$85,Check!B41)))</f>
        <v>-100</v>
      </c>
      <c r="D41" s="233">
        <f>IF(B41="","",SUMIFS(Input_APM!N:N,Input_APM!L:L,Check!B41,Input_APM!M:M,Check!$F$1))</f>
        <v>-94</v>
      </c>
      <c r="E41" s="217">
        <f t="shared" si="5"/>
        <v>0</v>
      </c>
      <c r="F41" s="233">
        <f>IF(B41="","",SUMIFS(Input_APM!N:N,Input_APM!M:M,Check!$F$1,Input_APM!L:L,Check!B41))</f>
        <v>-94</v>
      </c>
      <c r="G41" s="233">
        <f>IF(B41="","",SUMIFS(Input_APM!N:N,Input_APM!M:M,Check!$G$1,Input_APM!L:L,Check!B41))</f>
        <v>0</v>
      </c>
      <c r="H41" s="217">
        <f t="shared" si="0"/>
        <v>-94</v>
      </c>
      <c r="I41" s="217">
        <f>SUMIFS(Input_APM!N:N,Input_APM!L:L,Check!B41)</f>
        <v>-94</v>
      </c>
      <c r="J41" s="219">
        <f t="shared" si="3"/>
        <v>0</v>
      </c>
      <c r="K41" s="22">
        <f>IF(B41="","",SUMIFS('Input_APM (Zenith)'!N:N,'Input_APM (Zenith)'!L:L,Check!B41,'Input_APM (Zenith)'!M:M,Check!$F$1))</f>
        <v>-6</v>
      </c>
      <c r="L41" s="22">
        <f>IF(B41="","",SUMIFS('Input_APM (Zenith)'!N:N,'Input_APM (Zenith)'!L:L,Check!B41,'Input_APM (Zenith)'!M:M,Check!$G$1))</f>
        <v>0</v>
      </c>
      <c r="M41" s="240">
        <f t="shared" si="4"/>
        <v>-100</v>
      </c>
      <c r="O41" t="s">
        <v>2085</v>
      </c>
      <c r="P41" s="217">
        <f>IF(O41="","",IF(OR(LEFT(O41,4)="Cash",LEFT(O41,4)="Prov"),0,SUMIFS(Input_APM!N:N,Input_APM!L:L,Check!O41)))</f>
        <v>118</v>
      </c>
      <c r="Q41" s="22">
        <f>IF(O41="","",IF(LEN(O41)&gt;9,SUMIFS(Options!$H$3:$H$33,Options!$B$3:$B$33,Check!O41),SUMIFS('Master P&amp;L'!$H$11:$H$85,'Master P&amp;L'!$B$11:$B$85,Check!O41)))</f>
        <v>125</v>
      </c>
      <c r="R41" s="217">
        <f t="shared" si="1"/>
        <v>-7</v>
      </c>
      <c r="S41" s="362">
        <f t="shared" si="2"/>
        <v>0.94399999999999995</v>
      </c>
      <c r="V41" s="13"/>
    </row>
    <row r="42" spans="1:22">
      <c r="B42" t="s">
        <v>2084</v>
      </c>
      <c r="C42" s="233">
        <f>IF(B42="","",IF(LEN(B42)&gt;9,SUMIFS(Options!$H$3:$H$33,Options!$B$3:$B$33,Check!B42),SUMIFS('Master P&amp;L'!$H$11:$H$85,'Master P&amp;L'!$B$11:$B$85,Check!B42)))</f>
        <v>-50</v>
      </c>
      <c r="D42" s="233">
        <f>IF(B42="","",SUMIFS(Input_APM!N:N,Input_APM!L:L,Check!B42,Input_APM!M:M,Check!$F$1))</f>
        <v>-71</v>
      </c>
      <c r="E42" s="219">
        <f t="shared" si="5"/>
        <v>25</v>
      </c>
      <c r="F42" s="233">
        <f>IF(B42="","",SUMIFS(Input_APM!N:N,Input_APM!M:M,Check!$F$1,Input_APM!L:L,Check!B42))</f>
        <v>-71</v>
      </c>
      <c r="G42" s="233">
        <f>IF(B42="","",SUMIFS(Input_APM!N:N,Input_APM!M:M,Check!$G$1,Input_APM!L:L,Check!B42))</f>
        <v>0</v>
      </c>
      <c r="H42" s="217">
        <f t="shared" si="0"/>
        <v>-71</v>
      </c>
      <c r="I42" s="217">
        <f>SUMIFS(Input_APM!N:N,Input_APM!L:L,Check!B42)</f>
        <v>-71</v>
      </c>
      <c r="J42" s="219">
        <f t="shared" si="3"/>
        <v>0</v>
      </c>
      <c r="K42" s="22">
        <f>IF(B42="","",SUMIFS('Input_APM (Zenith)'!N:N,'Input_APM (Zenith)'!L:L,Check!B42,'Input_APM (Zenith)'!M:M,Check!$F$1))</f>
        <v>-4</v>
      </c>
      <c r="L42" s="22">
        <f>IF(B42="","",SUMIFS('Input_APM (Zenith)'!N:N,'Input_APM (Zenith)'!L:L,Check!B42,'Input_APM (Zenith)'!M:M,Check!$G$1))</f>
        <v>0</v>
      </c>
      <c r="M42" s="240">
        <f t="shared" si="4"/>
        <v>-75</v>
      </c>
      <c r="O42" t="s">
        <v>2084</v>
      </c>
      <c r="P42" s="217">
        <f>IF(O42="","",IF(OR(LEFT(O42,4)="Cash",LEFT(O42,4)="Prov"),0,SUMIFS(Input_APM!N:N,Input_APM!L:L,Check!O42)))</f>
        <v>-71</v>
      </c>
      <c r="Q42" s="22">
        <f>IF(O42="","",IF(LEN(O42)&gt;9,SUMIFS(Options!$H$3:$H$33,Options!$B$3:$B$33,Check!O42),SUMIFS('Master P&amp;L'!$H$11:$H$85,'Master P&amp;L'!$B$11:$B$85,Check!O42)))</f>
        <v>-50</v>
      </c>
      <c r="R42" s="217">
        <f t="shared" si="1"/>
        <v>-21</v>
      </c>
      <c r="S42" s="362">
        <f t="shared" si="2"/>
        <v>1.42</v>
      </c>
      <c r="V42" s="13"/>
    </row>
    <row r="43" spans="1:22">
      <c r="A43" t="s">
        <v>1770</v>
      </c>
      <c r="B43" t="s">
        <v>2085</v>
      </c>
      <c r="C43" s="233">
        <f>IF(B43="","",IF(LEN(B43)&gt;9,SUMIFS(Options!$H$3:$H$33,Options!$B$3:$B$33,Check!B43),SUMIFS('Master P&amp;L'!$H$11:$H$85,'Master P&amp;L'!$B$11:$B$85,Check!B43)))</f>
        <v>125</v>
      </c>
      <c r="D43" s="233">
        <f>IF(B43="","",SUMIFS(Input_APM!N:N,Input_APM!L:L,Check!B43,Input_APM!M:M,Check!$F$1))</f>
        <v>118</v>
      </c>
      <c r="E43" s="217">
        <f t="shared" si="5"/>
        <v>0</v>
      </c>
      <c r="F43" s="233">
        <f>IF(B43="","",SUMIFS(Input_APM!N:N,Input_APM!M:M,Check!$F$1,Input_APM!L:L,Check!B43))</f>
        <v>118</v>
      </c>
      <c r="G43" s="233">
        <f>IF(B43="","",SUMIFS(Input_APM!N:N,Input_APM!M:M,Check!$G$1,Input_APM!L:L,Check!B43))</f>
        <v>0</v>
      </c>
      <c r="H43" s="217">
        <f t="shared" si="0"/>
        <v>118</v>
      </c>
      <c r="I43" s="217">
        <f>SUMIFS(Input_APM!N:N,Input_APM!L:L,Check!B43)</f>
        <v>118</v>
      </c>
      <c r="J43" s="219">
        <f t="shared" si="3"/>
        <v>0</v>
      </c>
      <c r="K43" s="22">
        <f>IF(B43="","",SUMIFS('Input_APM (Zenith)'!N:N,'Input_APM (Zenith)'!L:L,Check!B43,'Input_APM (Zenith)'!M:M,Check!$F$1))</f>
        <v>7</v>
      </c>
      <c r="L43" s="22">
        <f>IF(B43="","",SUMIFS('Input_APM (Zenith)'!N:N,'Input_APM (Zenith)'!L:L,Check!B43,'Input_APM (Zenith)'!M:M,Check!$G$1))</f>
        <v>0</v>
      </c>
      <c r="M43" s="217">
        <f t="shared" si="4"/>
        <v>125</v>
      </c>
      <c r="O43" t="s">
        <v>2086</v>
      </c>
      <c r="P43" s="217">
        <f>IF(O43="","",IF(OR(LEFT(O43,4)="Cash",LEFT(O43,4)="Prov"),0,SUMIFS(Input_APM!N:N,Input_APM!L:L,Check!O43)))</f>
        <v>-46</v>
      </c>
      <c r="Q43" s="22">
        <f>IF(O43="","",IF(LEN(O43)&gt;9,SUMIFS(Options!$H$3:$H$33,Options!$B$3:$B$33,Check!O43),SUMIFS('Master P&amp;L'!$H$11:$H$85,'Master P&amp;L'!$B$11:$B$85,Check!O43)))</f>
        <v>-50</v>
      </c>
      <c r="R43" s="217">
        <f t="shared" si="1"/>
        <v>4</v>
      </c>
      <c r="S43" s="362">
        <f t="shared" si="2"/>
        <v>0.92</v>
      </c>
      <c r="V43" s="13"/>
    </row>
    <row r="44" spans="1:22">
      <c r="B44" t="s">
        <v>2086</v>
      </c>
      <c r="C44" s="233">
        <f>IF(B44="","",IF(LEN(B44)&gt;9,SUMIFS(Options!$H$3:$H$33,Options!$B$3:$B$33,Check!B44),SUMIFS('Master P&amp;L'!$H$11:$H$85,'Master P&amp;L'!$B$11:$B$85,Check!B44)))</f>
        <v>-50</v>
      </c>
      <c r="D44" s="233">
        <f>IF(B44="","",SUMIFS(Input_APM!N:N,Input_APM!L:L,Check!B44,Input_APM!M:M,Check!$F$1))</f>
        <v>-46</v>
      </c>
      <c r="E44" s="217">
        <f>IF(B44="","",C44-M44)</f>
        <v>0</v>
      </c>
      <c r="F44" s="233">
        <f>IF(B44="","",SUMIFS(Input_APM!N:N,Input_APM!M:M,Check!$F$1,Input_APM!L:L,Check!B44))</f>
        <v>-46</v>
      </c>
      <c r="G44" s="233">
        <f>IF(B44="","",SUMIFS(Input_APM!N:N,Input_APM!M:M,Check!$G$1,Input_APM!L:L,Check!B44))</f>
        <v>0</v>
      </c>
      <c r="H44" s="217">
        <f t="shared" si="0"/>
        <v>-46</v>
      </c>
      <c r="I44" s="217">
        <f>SUMIFS(Input_APM!N:N,Input_APM!L:L,Check!B44)</f>
        <v>-46</v>
      </c>
      <c r="J44" s="219">
        <f t="shared" si="3"/>
        <v>0</v>
      </c>
      <c r="K44" s="22">
        <f>IF(B44="","",SUMIFS('Input_APM (Zenith)'!N:N,'Input_APM (Zenith)'!L:L,Check!B44,'Input_APM (Zenith)'!M:M,Check!$F$1))</f>
        <v>-4</v>
      </c>
      <c r="L44" s="22">
        <f>IF(B44="","",SUMIFS('Input_APM (Zenith)'!N:N,'Input_APM (Zenith)'!L:L,Check!B44,'Input_APM (Zenith)'!M:M,Check!$G$1))</f>
        <v>0</v>
      </c>
      <c r="M44" s="217">
        <f t="shared" si="4"/>
        <v>-50</v>
      </c>
      <c r="O44" t="s">
        <v>2198</v>
      </c>
      <c r="P44" s="217">
        <f>IF(O44="","",IF(OR(LEFT(O44,4)="Cash",LEFT(O44,4)="Prov"),0,SUMIFS(Input_APM!N:N,Input_APM!L:L,Check!O44)))</f>
        <v>1.7564595611308E-13</v>
      </c>
      <c r="Q44" s="22">
        <f>IF(O44="","",IF(LEN(O44)&gt;9,SUMIFS(Options!$H$3:$H$33,Options!$B$3:$B$33,Check!O44),SUMIFS('Master P&amp;L'!$H$11:$H$85,'Master P&amp;L'!$B$11:$B$85,Check!O44)))</f>
        <v>0</v>
      </c>
      <c r="R44" s="217">
        <f t="shared" si="1"/>
        <v>1.7564595611308E-13</v>
      </c>
      <c r="S44" s="362" t="str">
        <f t="shared" si="2"/>
        <v>Erro</v>
      </c>
      <c r="V44" s="13"/>
    </row>
    <row r="45" spans="1:22">
      <c r="B45" t="s">
        <v>2138</v>
      </c>
      <c r="C45" s="233">
        <f>IF(B45="","",IF(LEN(B45)&gt;9,SUMIFS(Options!$H$3:$H$33,Options!$B$3:$B$33,Check!B45),SUMIFS('Master P&amp;L'!$H$11:$H$85,'Master P&amp;L'!$B$11:$B$85,Check!B45)))</f>
        <v>-170</v>
      </c>
      <c r="D45" s="233">
        <f>IF(B45="","",SUMIFS(Input_APM!N:N,Input_APM!L:L,Check!B45,Input_APM!M:M,Check!$F$1))</f>
        <v>-161</v>
      </c>
      <c r="E45" s="217">
        <f t="shared" si="5"/>
        <v>0</v>
      </c>
      <c r="F45" s="233">
        <f>IF(B45="","",SUMIFS(Input_APM!N:N,Input_APM!M:M,Check!$F$1,Input_APM!L:L,Check!B45))</f>
        <v>-161</v>
      </c>
      <c r="G45" s="233">
        <f>IF(B45="","",SUMIFS(Input_APM!N:N,Input_APM!M:M,Check!$G$1,Input_APM!L:L,Check!B45))</f>
        <v>0</v>
      </c>
      <c r="H45" s="217">
        <f t="shared" si="0"/>
        <v>-161</v>
      </c>
      <c r="I45" s="217">
        <f>SUMIFS(Input_APM!N:N,Input_APM!L:L,Check!B45)</f>
        <v>-161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-170</v>
      </c>
      <c r="O45" t="s">
        <v>2138</v>
      </c>
      <c r="P45" s="217">
        <f>IF(O45="","",IF(OR(LEFT(O45,4)="Cash",LEFT(O45,4)="Prov"),0,SUMIFS(Input_APM!N:N,Input_APM!L:L,Check!O45)))</f>
        <v>-161</v>
      </c>
      <c r="Q45" s="22">
        <f>IF(O45="","",IF(LEN(O45)&gt;9,SUMIFS(Options!$H$3:$H$33,Options!$B$3:$B$33,Check!O45),SUMIFS('Master P&amp;L'!$H$11:$H$85,'Master P&amp;L'!$B$11:$B$85,Check!O45)))</f>
        <v>-170</v>
      </c>
      <c r="R45" s="217">
        <f t="shared" si="1"/>
        <v>9</v>
      </c>
      <c r="S45" s="362">
        <f t="shared" si="2"/>
        <v>0.94705882352941173</v>
      </c>
      <c r="V45" s="13"/>
    </row>
    <row r="46" spans="1:22">
      <c r="B46" t="s">
        <v>2137</v>
      </c>
      <c r="C46" s="233">
        <f>IF(B46="","",IF(LEN(B46)&gt;9,SUMIFS(Options!$H$3:$H$33,Options!$B$3:$B$33,Check!B46),SUMIFS('Master P&amp;L'!$H$11:$H$85,'Master P&amp;L'!$B$11:$B$85,Check!B46)))</f>
        <v>170</v>
      </c>
      <c r="D46" s="233">
        <f>IF(B46="","",SUMIFS(Input_APM!N:N,Input_APM!L:L,Check!B46,Input_APM!M:M,Check!$F$1))</f>
        <v>159</v>
      </c>
      <c r="E46" s="219">
        <f t="shared" si="5"/>
        <v>0</v>
      </c>
      <c r="F46" s="233">
        <f>IF(B46="","",SUMIFS(Input_APM!N:N,Input_APM!M:M,Check!$F$1,Input_APM!L:L,Check!B46))</f>
        <v>159</v>
      </c>
      <c r="G46" s="233">
        <f>IF(B46="","",SUMIFS(Input_APM!N:N,Input_APM!M:M,Check!$G$1,Input_APM!L:L,Check!B46))</f>
        <v>0</v>
      </c>
      <c r="H46" s="217">
        <f t="shared" si="0"/>
        <v>159</v>
      </c>
      <c r="I46" s="217">
        <f>SUMIFS(Input_APM!N:N,Input_APM!L:L,Check!B46)</f>
        <v>159</v>
      </c>
      <c r="J46" s="219">
        <f t="shared" si="3"/>
        <v>0</v>
      </c>
      <c r="K46" s="22">
        <f>IF(B46="","",SUMIFS('Input_APM (Zenith)'!N:N,'Input_APM (Zenith)'!L:L,Check!B46,'Input_APM (Zenith)'!M:M,Check!$F$1))</f>
        <v>11</v>
      </c>
      <c r="L46" s="22">
        <f>IF(B46="","",SUMIFS('Input_APM (Zenith)'!N:N,'Input_APM (Zenith)'!L:L,Check!B46,'Input_APM (Zenith)'!M:M,Check!$G$1))</f>
        <v>0</v>
      </c>
      <c r="M46" s="217">
        <f t="shared" si="4"/>
        <v>170</v>
      </c>
      <c r="O46" t="s">
        <v>2139</v>
      </c>
      <c r="P46" s="217">
        <f>IF(O46="","",IF(OR(LEFT(O46,4)="Cash",LEFT(O46,4)="Prov"),0,SUMIFS(Input_APM!N:N,Input_APM!L:L,Check!O46)))</f>
        <v>-239</v>
      </c>
      <c r="Q46" s="22">
        <f>IF(O46="","",IF(LEN(O46)&gt;9,SUMIFS(Options!$H$3:$H$33,Options!$B$3:$B$33,Check!O46),SUMIFS('Master P&amp;L'!$H$11:$H$85,'Master P&amp;L'!$B$11:$B$85,Check!O46)))</f>
        <v>-255</v>
      </c>
      <c r="R46" s="217">
        <f t="shared" si="1"/>
        <v>16</v>
      </c>
      <c r="S46" s="362">
        <f t="shared" si="2"/>
        <v>0.93725490196078431</v>
      </c>
      <c r="V46" s="13"/>
    </row>
    <row r="47" spans="1:22">
      <c r="B47" t="s">
        <v>2139</v>
      </c>
      <c r="C47" s="233">
        <f>IF(B47="","",IF(LEN(B47)&gt;9,SUMIFS(Options!$H$3:$H$33,Options!$B$3:$B$33,Check!B47),SUMIFS('Master P&amp;L'!$H$11:$H$85,'Master P&amp;L'!$B$11:$B$85,Check!B47)))</f>
        <v>-255</v>
      </c>
      <c r="D47" s="233">
        <f>IF(B47="","",SUMIFS(Input_APM!N:N,Input_APM!L:L,Check!B47,Input_APM!M:M,Check!$F$1))</f>
        <v>-239</v>
      </c>
      <c r="E47" s="219">
        <f t="shared" si="5"/>
        <v>0</v>
      </c>
      <c r="F47" s="233">
        <f>IF(B47="","",SUMIFS(Input_APM!N:N,Input_APM!M:M,Check!$F$1,Input_APM!L:L,Check!B47))</f>
        <v>-239</v>
      </c>
      <c r="G47" s="233">
        <f>IF(B47="","",SUMIFS(Input_APM!N:N,Input_APM!M:M,Check!$G$1,Input_APM!L:L,Check!B47))</f>
        <v>0</v>
      </c>
      <c r="H47" s="217">
        <f t="shared" si="0"/>
        <v>-239</v>
      </c>
      <c r="I47" s="217">
        <f>SUMIFS(Input_APM!N:N,Input_APM!L:L,Check!B47)</f>
        <v>-239</v>
      </c>
      <c r="J47" s="219">
        <f t="shared" si="3"/>
        <v>0</v>
      </c>
      <c r="K47" s="22">
        <f>IF(B47="","",SUMIFS('Input_APM (Zenith)'!N:N,'Input_APM (Zenith)'!L:L,Check!B47,'Input_APM (Zenith)'!M:M,Check!$F$1))</f>
        <v>-16</v>
      </c>
      <c r="L47" s="22">
        <f>IF(B47="","",SUMIFS('Input_APM (Zenith)'!N:N,'Input_APM (Zenith)'!L:L,Check!B47,'Input_APM (Zenith)'!M:M,Check!$G$1))</f>
        <v>0</v>
      </c>
      <c r="M47" s="217">
        <f t="shared" si="4"/>
        <v>-255</v>
      </c>
      <c r="O47" t="s">
        <v>2137</v>
      </c>
      <c r="P47" s="217">
        <f>IF(O47="","",IF(OR(LEFT(O47,4)="Cash",LEFT(O47,4)="Prov"),0,SUMIFS(Input_APM!N:N,Input_APM!L:L,Check!O47)))</f>
        <v>159</v>
      </c>
      <c r="Q47" s="22">
        <f>IF(O47="","",IF(LEN(O47)&gt;9,SUMIFS(Options!$H$3:$H$33,Options!$B$3:$B$33,Check!O47),SUMIFS('Master P&amp;L'!$H$11:$H$85,'Master P&amp;L'!$B$11:$B$85,Check!O47)))</f>
        <v>170</v>
      </c>
      <c r="R47" s="217">
        <f t="shared" si="1"/>
        <v>-11</v>
      </c>
      <c r="S47" s="362">
        <f t="shared" si="2"/>
        <v>0.93529411764705883</v>
      </c>
    </row>
    <row r="48" spans="1:22">
      <c r="B48" t="s">
        <v>2060</v>
      </c>
      <c r="C48" s="233">
        <f>IF(B48="","",IF(LEN(B48)&gt;9,SUMIFS(Options!$H$3:$H$33,Options!$B$3:$B$33,Check!B48),SUMIFS('Master P&amp;L'!$H$11:$H$85,'Master P&amp;L'!$B$11:$B$85,Check!B48)))</f>
        <v>50</v>
      </c>
      <c r="D48" s="233">
        <f>IF(B48="","",SUMIFS(Input_APM!N:N,Input_APM!L:L,Check!B48,Input_APM!M:M,Check!$F$1))</f>
        <v>47</v>
      </c>
      <c r="E48" s="219">
        <f t="shared" si="5"/>
        <v>0</v>
      </c>
      <c r="F48" s="233">
        <f>IF(B48="","",SUMIFS(Input_APM!N:N,Input_APM!M:M,Check!$F$1,Input_APM!L:L,Check!B48))</f>
        <v>47</v>
      </c>
      <c r="G48" s="233">
        <f>IF(B48="","",SUMIFS(Input_APM!N:N,Input_APM!M:M,Check!$G$1,Input_APM!L:L,Check!B48))</f>
        <v>0</v>
      </c>
      <c r="H48" s="217">
        <f t="shared" si="0"/>
        <v>47</v>
      </c>
      <c r="I48" s="217">
        <f>SUMIFS(Input_APM!N:N,Input_APM!L:L,Check!B48)</f>
        <v>47</v>
      </c>
      <c r="J48" s="219">
        <f t="shared" si="3"/>
        <v>0</v>
      </c>
      <c r="K48" s="22">
        <f>IF(B48="","",SUMIFS('Input_APM (Zenith)'!N:N,'Input_APM (Zenith)'!L:L,Check!B48,'Input_APM (Zenith)'!M:M,Check!$F$1))</f>
        <v>3</v>
      </c>
      <c r="L48" s="22">
        <f>IF(B48="","",SUMIFS('Input_APM (Zenith)'!N:N,'Input_APM (Zenith)'!L:L,Check!B48,'Input_APM (Zenith)'!M:M,Check!$G$1))</f>
        <v>0</v>
      </c>
      <c r="M48" s="217">
        <f t="shared" si="4"/>
        <v>50</v>
      </c>
      <c r="O48" t="s">
        <v>94</v>
      </c>
      <c r="P48" s="217">
        <f>IF(O48="","",IF(OR(LEFT(O48,4)="Cash",LEFT(O48,4)="Prov"),0,SUMIFS(Input_APM!N:N,Input_APM!L:L,Check!O48)))</f>
        <v>21414</v>
      </c>
      <c r="Q48" s="22">
        <f>IF(O48="","",IF(LEN(O48)&gt;9,SUMIFS(Options!$H$3:$H$33,Options!$B$3:$B$33,Check!O48),SUMIFS('Master P&amp;L'!$H$11:$H$85,'Master P&amp;L'!$B$11:$B$85,Check!O48)))</f>
        <v>22892</v>
      </c>
      <c r="R48" s="217">
        <f t="shared" si="1"/>
        <v>-1478</v>
      </c>
      <c r="S48" s="362">
        <f t="shared" si="2"/>
        <v>0.93543596016075481</v>
      </c>
    </row>
    <row r="49" spans="1:19">
      <c r="B49" t="s">
        <v>2342</v>
      </c>
      <c r="C49" s="233">
        <f>IF(B49="","",IF(LEN(B49)&gt;9,SUMIFS(Options!$H$3:$H$33,Options!$B$3:$B$33,Check!B49),SUMIFS('Master P&amp;L'!$H$11:$H$85,'Master P&amp;L'!$B$11:$B$85,Check!B49)))</f>
        <v>525</v>
      </c>
      <c r="D49" s="233">
        <f>IF(B49="","",SUMIFS(Input_APM!N:N,Input_APM!L:L,Check!B49,Input_APM!M:M,Check!$F$1))</f>
        <v>493</v>
      </c>
      <c r="E49" s="219">
        <f t="shared" si="5"/>
        <v>0</v>
      </c>
      <c r="F49" s="233">
        <f>IF(B49="","",SUMIFS(Input_APM!N:N,Input_APM!M:M,Check!$F$1,Input_APM!L:L,Check!B49))</f>
        <v>493</v>
      </c>
      <c r="G49" s="233">
        <f>IF(B49="","",SUMIFS(Input_APM!N:N,Input_APM!M:M,Check!$G$1,Input_APM!L:L,Check!B49))</f>
        <v>0</v>
      </c>
      <c r="H49" s="217">
        <f t="shared" si="0"/>
        <v>493</v>
      </c>
      <c r="I49" s="217">
        <f>SUMIFS(Input_APM!N:N,Input_APM!L:L,Check!B49)</f>
        <v>493</v>
      </c>
      <c r="J49" s="219">
        <f t="shared" si="3"/>
        <v>0</v>
      </c>
      <c r="K49" s="22">
        <f>IF(B49="","",SUMIFS('Input_APM (Zenith)'!N:N,'Input_APM (Zenith)'!L:L,Check!B49,'Input_APM (Zenith)'!M:M,Check!$F$1))</f>
        <v>32</v>
      </c>
      <c r="L49" s="22">
        <f>IF(B49="","",SUMIFS('Input_APM (Zenith)'!N:N,'Input_APM (Zenith)'!L:L,Check!B49,'Input_APM (Zenith)'!M:M,Check!$G$1))</f>
        <v>0</v>
      </c>
      <c r="M49" s="217">
        <f t="shared" si="4"/>
        <v>525</v>
      </c>
      <c r="O49" t="s">
        <v>336</v>
      </c>
      <c r="P49" s="217">
        <f>IF(O49="","",IF(OR(LEFT(O49,4)="Cash",LEFT(O49,4)="Prov"),0,SUMIFS(Input_APM!N:N,Input_APM!L:L,Check!O49)))</f>
        <v>0</v>
      </c>
      <c r="Q49" s="22">
        <f>IF(O49="","",IF(LEN(O49)&gt;9,SUMIFS(Options!$H$3:$H$33,Options!$B$3:$B$33,Check!O49),SUMIFS('Master P&amp;L'!$H$11:$H$85,'Master P&amp;L'!$B$11:$B$85,Check!O49)))</f>
        <v>0</v>
      </c>
      <c r="R49" s="217">
        <f t="shared" si="1"/>
        <v>0</v>
      </c>
      <c r="S49" s="362" t="str">
        <f t="shared" si="2"/>
        <v>Ok</v>
      </c>
    </row>
    <row r="50" spans="1:19">
      <c r="A50" t="s">
        <v>1770</v>
      </c>
      <c r="B50" t="s">
        <v>2343</v>
      </c>
      <c r="C50" s="233">
        <f>IF(B50="","",IF(LEN(B50)&gt;9,SUMIFS(Options!$H$3:$H$33,Options!$B$3:$B$33,Check!B50),SUMIFS('Master P&amp;L'!$H$11:$H$85,'Master P&amp;L'!$B$11:$B$85,Check!B50)))</f>
        <v>-525</v>
      </c>
      <c r="D50" s="233">
        <f>IF(B50="","",SUMIFS(Input_APM!N:N,Input_APM!L:L,Check!B50,Input_APM!M:M,Check!$F$1))</f>
        <v>-493</v>
      </c>
      <c r="E50" s="219">
        <f t="shared" si="5"/>
        <v>0</v>
      </c>
      <c r="F50" s="233">
        <f>IF(B50="","",SUMIFS(Input_APM!N:N,Input_APM!M:M,Check!$F$1,Input_APM!L:L,Check!B50))</f>
        <v>-493</v>
      </c>
      <c r="G50" s="233">
        <f>IF(B50="","",SUMIFS(Input_APM!N:N,Input_APM!M:M,Check!$G$1,Input_APM!L:L,Check!B50))</f>
        <v>0</v>
      </c>
      <c r="H50" s="217">
        <f t="shared" si="0"/>
        <v>-493</v>
      </c>
      <c r="I50" s="217">
        <f>SUMIFS(Input_APM!N:N,Input_APM!L:L,Check!B50)</f>
        <v>-493</v>
      </c>
      <c r="J50" s="219">
        <f t="shared" si="3"/>
        <v>0</v>
      </c>
      <c r="K50" s="22">
        <f>IF(B50="","",SUMIFS('Input_APM (Zenith)'!N:N,'Input_APM (Zenith)'!L:L,Check!B50,'Input_APM (Zenith)'!M:M,Check!$F$1))</f>
        <v>-32</v>
      </c>
      <c r="L50" s="22">
        <f>IF(B50="","",SUMIFS('Input_APM (Zenith)'!N:N,'Input_APM (Zenith)'!L:L,Check!B50,'Input_APM (Zenith)'!M:M,Check!$G$1))</f>
        <v>0</v>
      </c>
      <c r="M50" s="217">
        <f t="shared" si="4"/>
        <v>-525</v>
      </c>
      <c r="O50" t="s">
        <v>306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IF(O50="","",IF(LEN(O50)&gt;9,SUMIFS(Options!$H$3:$H$33,Options!$B$3:$B$33,Check!O50),SUMIFS('Master P&amp;L'!$H$11:$H$85,'Master P&amp;L'!$B$11:$B$85,Check!O50)))</f>
        <v>0</v>
      </c>
      <c r="R50" s="217">
        <f t="shared" si="1"/>
        <v>0</v>
      </c>
      <c r="S50" s="362" t="str">
        <f t="shared" si="2"/>
        <v>Ok</v>
      </c>
    </row>
    <row r="51" spans="1:19">
      <c r="B51" t="s">
        <v>2146</v>
      </c>
      <c r="C51" s="233">
        <f>IF(B51="","",IF(LEN(B51)&gt;9,SUMIFS(Options!$H$3:$H$33,Options!$B$3:$B$33,Check!B51),SUMIFS('Master P&amp;L'!$H$11:$H$85,'Master P&amp;L'!$B$11:$B$85,Check!B51)))</f>
        <v>425</v>
      </c>
      <c r="D51" s="233">
        <f>IF(B51="","",SUMIFS(Input_APM!N:N,Input_APM!L:L,Check!B51,Input_APM!M:M,Check!$F$1))</f>
        <v>397</v>
      </c>
      <c r="E51" s="219">
        <f t="shared" si="5"/>
        <v>0</v>
      </c>
      <c r="F51" s="233">
        <f>IF(B51="","",SUMIFS(Input_APM!N:N,Input_APM!M:M,Check!$F$1,Input_APM!L:L,Check!B51))</f>
        <v>397</v>
      </c>
      <c r="G51" s="233">
        <f>IF(B51="","",SUMIFS(Input_APM!N:N,Input_APM!M:M,Check!$G$1,Input_APM!L:L,Check!B51))</f>
        <v>0</v>
      </c>
      <c r="H51" s="217">
        <f t="shared" si="0"/>
        <v>397</v>
      </c>
      <c r="I51" s="217">
        <f>SUMIFS(Input_APM!N:N,Input_APM!L:L,Check!B51)</f>
        <v>397</v>
      </c>
      <c r="J51" s="219">
        <f t="shared" si="3"/>
        <v>0</v>
      </c>
      <c r="K51" s="22">
        <f>IF(B51="","",SUMIFS('Input_APM (Zenith)'!N:N,'Input_APM (Zenith)'!L:L,Check!B51,'Input_APM (Zenith)'!M:M,Check!$F$1))</f>
        <v>28</v>
      </c>
      <c r="L51" s="22">
        <f>IF(B51="","",SUMIFS('Input_APM (Zenith)'!N:N,'Input_APM (Zenith)'!L:L,Check!B51,'Input_APM (Zenith)'!M:M,Check!$G$1))</f>
        <v>0</v>
      </c>
      <c r="M51" s="217">
        <f t="shared" si="4"/>
        <v>425</v>
      </c>
      <c r="O51" t="s">
        <v>1666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IF(O51="","",IF(LEN(O51)&gt;9,SUMIFS(Options!$H$3:$H$33,Options!$B$3:$B$33,Check!O51),SUMIFS('Master P&amp;L'!$H$11:$H$85,'Master P&amp;L'!$B$11:$B$85,Check!O51)))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 t="s">
        <v>2147</v>
      </c>
      <c r="C52" s="233">
        <f>IF(B52="","",IF(LEN(B52)&gt;9,SUMIFS(Options!$H$3:$H$33,Options!$B$3:$B$33,Check!B52),SUMIFS('Master P&amp;L'!$H$11:$H$85,'Master P&amp;L'!$B$11:$B$85,Check!B52)))</f>
        <v>-375</v>
      </c>
      <c r="D52" s="233">
        <f>IF(B52="","",SUMIFS(Input_APM!N:N,Input_APM!L:L,Check!B52,Input_APM!M:M,Check!$F$1))</f>
        <v>-351</v>
      </c>
      <c r="E52" s="217">
        <f>IF(B52="","",C52-M52)</f>
        <v>0</v>
      </c>
      <c r="F52" s="233">
        <f>IF(B52="","",SUMIFS(Input_APM!N:N,Input_APM!M:M,Check!$F$1,Input_APM!L:L,Check!B52))</f>
        <v>-351</v>
      </c>
      <c r="G52" s="233">
        <f>IF(B52="","",SUMIFS(Input_APM!N:N,Input_APM!M:M,Check!$G$1,Input_APM!L:L,Check!B52))</f>
        <v>0</v>
      </c>
      <c r="H52" s="217">
        <f t="shared" si="0"/>
        <v>-351</v>
      </c>
      <c r="I52" s="217">
        <f>SUMIFS(Input_APM!N:N,Input_APM!L:L,Check!B52)</f>
        <v>-351</v>
      </c>
      <c r="J52" s="219">
        <f t="shared" si="3"/>
        <v>0</v>
      </c>
      <c r="K52" s="22">
        <f>IF(B52="","",SUMIFS('Input_APM (Zenith)'!N:N,'Input_APM (Zenith)'!L:L,Check!B52,'Input_APM (Zenith)'!M:M,Check!$F$1))</f>
        <v>-24</v>
      </c>
      <c r="L52" s="22">
        <f>IF(B52="","",SUMIFS('Input_APM (Zenith)'!N:N,'Input_APM (Zenith)'!L:L,Check!B52,'Input_APM (Zenith)'!M:M,Check!$G$1))</f>
        <v>0</v>
      </c>
      <c r="M52" s="217">
        <f t="shared" si="4"/>
        <v>-375</v>
      </c>
      <c r="O52" t="s">
        <v>337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IF(O52="","",IF(LEN(O52)&gt;9,SUMIFS(Options!$H$3:$H$33,Options!$B$3:$B$33,Check!O52),SUMIFS('Master P&amp;L'!$H$11:$H$85,'Master P&amp;L'!$B$11:$B$85,Check!O52)))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/>
      <c r="C53" s="233" t="str">
        <f>IF(B53="","",IF(LEN(B53)&gt;9,SUMIFS(Options!$H$3:$H$33,Options!$B$3:$B$33,Check!B53),SUMIFS('Master P&amp;L'!$H$11:$H$85,'Master P&amp;L'!$B$11:$B$85,Check!B53)))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307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IF(O53="","",IF(LEN(O53)&gt;9,SUMIFS(Options!$H$3:$H$33,Options!$B$3:$B$33,Check!O53),SUMIFS('Master P&amp;L'!$H$11:$H$85,'Master P&amp;L'!$B$11:$B$85,Check!O53)))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IF(B54="","",IF(LEN(B54)&gt;9,SUMIFS(Options!$H$3:$H$33,Options!$B$3:$B$33,Check!B54),SUMIFS('Master P&amp;L'!$H$11:$H$85,'Master P&amp;L'!$B$11:$B$85,Check!B54)))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143</v>
      </c>
      <c r="P54" s="217">
        <f>IF(O54="","",IF(OR(LEFT(O54,4)="Cash",LEFT(O54,4)="Prov"),0,SUMIFS(Input_APM!N:N,Input_APM!L:L,Check!O54)))</f>
        <v>-42995</v>
      </c>
      <c r="Q54" s="22">
        <f>IF(O54="","",IF(LEN(O54)&gt;9,SUMIFS(Options!$H$3:$H$33,Options!$B$3:$B$33,Check!O54),SUMIFS('Master P&amp;L'!$H$11:$H$85,'Master P&amp;L'!$B$11:$B$85,Check!O54)))</f>
        <v>-10000</v>
      </c>
      <c r="R54" s="217">
        <f t="shared" si="1"/>
        <v>-32995</v>
      </c>
      <c r="S54" s="362">
        <f t="shared" si="2"/>
        <v>4.2995000000000001</v>
      </c>
    </row>
    <row r="55" spans="1:19">
      <c r="B55"/>
      <c r="C55" s="233" t="str">
        <f>IF(B55="","",IF(LEN(B55)&gt;9,SUMIFS(Options!$H$3:$H$33,Options!$B$3:$B$33,Check!B55),SUMIFS('Master P&amp;L'!$H$11:$H$85,'Master P&amp;L'!$B$11:$B$85,Check!B55)))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2189</v>
      </c>
      <c r="P55" s="217">
        <f>IF(O55="","",IF(OR(LEFT(O55,4)="Cash",LEFT(O55,4)="Prov"),0,SUMIFS(Input_APM!N:N,Input_APM!L:L,Check!O55)))</f>
        <v>20567</v>
      </c>
      <c r="Q55" s="22">
        <f>IF(O55="","",IF(LEN(O55)&gt;9,SUMIFS(Options!$H$3:$H$33,Options!$B$3:$B$33,Check!O55),SUMIFS('Master P&amp;L'!$H$11:$H$85,'Master P&amp;L'!$B$11:$B$85,Check!O55)))</f>
        <v>22000</v>
      </c>
      <c r="R55" s="217">
        <f t="shared" si="1"/>
        <v>-1433</v>
      </c>
      <c r="S55" s="362">
        <f t="shared" si="2"/>
        <v>0.93486363636363634</v>
      </c>
    </row>
    <row r="56" spans="1:19">
      <c r="B56"/>
      <c r="C56" s="233" t="str">
        <f>IF(B56="","",IF(LEN(B56)&gt;9,SUMIFS(Options!$H$3:$H$33,Options!$B$3:$B$33,Check!B56),SUMIFS('Master P&amp;L'!$H$11:$H$85,'Master P&amp;L'!$B$11:$B$85,Check!B56)))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</v>
      </c>
      <c r="P56" s="217">
        <f>IF(O56="","",IF(OR(LEFT(O56,4)="Cash",LEFT(O56,4)="Prov"),0,SUMIFS(Input_APM!N:N,Input_APM!L:L,Check!O56)))</f>
        <v>-11687</v>
      </c>
      <c r="Q56" s="22">
        <f>IF(O56="","",IF(LEN(O56)&gt;9,SUMIFS(Options!$H$3:$H$33,Options!$B$3:$B$33,Check!O56),SUMIFS('Master P&amp;L'!$H$11:$H$85,'Master P&amp;L'!$B$11:$B$85,Check!O56)))</f>
        <v>-12500</v>
      </c>
      <c r="R56" s="217">
        <f t="shared" si="1"/>
        <v>813</v>
      </c>
      <c r="S56" s="362">
        <f t="shared" si="2"/>
        <v>0.93496000000000001</v>
      </c>
    </row>
    <row r="57" spans="1:19">
      <c r="B57"/>
      <c r="C57" s="233" t="str">
        <f>IF(B57="","",IF(LEN(B57)&gt;9,SUMIFS(Options!$H$3:$H$33,Options!$B$3:$B$33,Check!B57),SUMIFS('Master P&amp;L'!$H$11:$H$85,'Master P&amp;L'!$B$11:$B$85,Check!B57)))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95</v>
      </c>
      <c r="P57" s="217">
        <f>IF(O57="","",IF(OR(LEFT(O57,4)="Cash",LEFT(O57,4)="Prov"),0,SUMIFS(Input_APM!N:N,Input_APM!L:L,Check!O57)))</f>
        <v>-1018</v>
      </c>
      <c r="Q57" s="22">
        <f>IF(O57="","",IF(LEN(O57)&gt;9,SUMIFS(Options!$H$3:$H$33,Options!$B$3:$B$33,Check!O57),SUMIFS('Master P&amp;L'!$H$11:$H$85,'Master P&amp;L'!$B$11:$B$85,Check!O57)))</f>
        <v>0</v>
      </c>
      <c r="R57" s="217">
        <f t="shared" si="1"/>
        <v>-1018</v>
      </c>
      <c r="S57" s="362" t="str">
        <f t="shared" si="2"/>
        <v>Erro</v>
      </c>
    </row>
    <row r="58" spans="1:19">
      <c r="B58"/>
      <c r="C58" s="233" t="str">
        <f>IF(B58="","",IF(LEN(B58)&gt;9,SUMIFS(Options!$H$3:$H$33,Options!$B$3:$B$33,Check!B58),SUMIFS('Master P&amp;L'!$H$11:$H$85,'Master P&amp;L'!$B$11:$B$85,Check!B58)))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2181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IF(O58="","",IF(LEN(O58)&gt;9,SUMIFS(Options!$H$3:$H$33,Options!$B$3:$B$33,Check!O58),SUMIFS('Master P&amp;L'!$H$11:$H$85,'Master P&amp;L'!$B$11:$B$85,Check!O58)))</f>
        <v>0</v>
      </c>
      <c r="R58" s="217">
        <f t="shared" si="1"/>
        <v>0</v>
      </c>
      <c r="S58" s="362" t="str">
        <f t="shared" si="2"/>
        <v>Ok</v>
      </c>
    </row>
    <row r="59" spans="1:19">
      <c r="B59"/>
      <c r="C59" s="233" t="str">
        <f>IF(B59="","",IF(LEN(B59)&gt;9,SUMIFS(Options!$H$3:$H$33,Options!$B$3:$B$33,Check!B59),SUMIFS('Master P&amp;L'!$H$11:$H$85,'Master P&amp;L'!$B$11:$B$85,Check!B59)))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1761</v>
      </c>
      <c r="P59" s="217">
        <f>IF(O59="","",IF(OR(LEFT(O59,4)="Cash",LEFT(O59,4)="Prov"),0,SUMIFS(Input_APM!N:N,Input_APM!L:L,Check!O59)))</f>
        <v>1400</v>
      </c>
      <c r="Q59" s="22">
        <f>IF(O59="","",IF(LEN(O59)&gt;9,SUMIFS(Options!$H$3:$H$33,Options!$B$3:$B$33,Check!O59),SUMIFS('Master P&amp;L'!$H$11:$H$85,'Master P&amp;L'!$B$11:$B$85,Check!O59)))</f>
        <v>1500</v>
      </c>
      <c r="R59" s="217">
        <f t="shared" si="1"/>
        <v>-100</v>
      </c>
      <c r="S59" s="362">
        <f t="shared" si="2"/>
        <v>0.93333333333333335</v>
      </c>
    </row>
    <row r="60" spans="1:19">
      <c r="B60"/>
      <c r="C60" s="233" t="str">
        <f>IF(B60="","",IF(LEN(B60)&gt;9,SUMIFS(Options!$H$3:$H$33,Options!$B$3:$B$33,Check!B60),SUMIFS('Master P&amp;L'!$H$11:$H$85,'Master P&amp;L'!$B$11:$B$85,Check!B60)))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96</v>
      </c>
      <c r="P60" s="217">
        <f>IF(O60="","",IF(OR(LEFT(O60,4)="Cash",LEFT(O60,4)="Prov"),0,SUMIFS(Input_APM!N:N,Input_APM!L:L,Check!O60)))</f>
        <v>-4030</v>
      </c>
      <c r="Q60" s="22">
        <f>IF(O60="","",IF(LEN(O60)&gt;9,SUMIFS(Options!$H$3:$H$33,Options!$B$3:$B$33,Check!O60),SUMIFS('Master P&amp;L'!$H$11:$H$85,'Master P&amp;L'!$B$11:$B$85,Check!O60)))</f>
        <v>0</v>
      </c>
      <c r="R60" s="217">
        <f t="shared" si="1"/>
        <v>-4030</v>
      </c>
      <c r="S60" s="362" t="str">
        <f t="shared" si="2"/>
        <v>Erro</v>
      </c>
    </row>
    <row r="61" spans="1:19">
      <c r="B61"/>
      <c r="C61" s="233" t="str">
        <f>IF(B61="","",IF(LEN(B61)&gt;9,SUMIFS(Options!$H$3:$H$33,Options!$B$3:$B$33,Check!B61),SUMIFS('Master P&amp;L'!$H$11:$H$85,'Master P&amp;L'!$B$11:$B$85,Check!B61)))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2060</v>
      </c>
      <c r="P61" s="217">
        <f>IF(O61="","",IF(OR(LEFT(O61,4)="Cash",LEFT(O61,4)="Prov"),0,SUMIFS(Input_APM!N:N,Input_APM!L:L,Check!O61)))</f>
        <v>47</v>
      </c>
      <c r="Q61" s="22">
        <f>IF(O61="","",IF(LEN(O61)&gt;9,SUMIFS(Options!$H$3:$H$33,Options!$B$3:$B$33,Check!O61),SUMIFS('Master P&amp;L'!$H$11:$H$85,'Master P&amp;L'!$B$11:$B$85,Check!O61)))</f>
        <v>50</v>
      </c>
      <c r="R61" s="217">
        <f t="shared" si="1"/>
        <v>-3</v>
      </c>
      <c r="S61" s="362">
        <f t="shared" si="2"/>
        <v>0.94</v>
      </c>
    </row>
    <row r="62" spans="1:19">
      <c r="B62"/>
      <c r="C62" s="233" t="str">
        <f>IF(B62="","",IF(LEN(B62)&gt;9,SUMIFS(Options!$H$3:$H$33,Options!$B$3:$B$33,Check!B62),SUMIFS('Master P&amp;L'!$H$11:$H$85,'Master P&amp;L'!$B$11:$B$85,Check!B62)))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2146</v>
      </c>
      <c r="P62" s="217">
        <f>IF(O62="","",IF(OR(LEFT(O62,4)="Cash",LEFT(O62,4)="Prov"),0,SUMIFS(Input_APM!N:N,Input_APM!L:L,Check!O62)))</f>
        <v>397</v>
      </c>
      <c r="Q62" s="22">
        <f>IF(O62="","",IF(LEN(O62)&gt;9,SUMIFS(Options!$H$3:$H$33,Options!$B$3:$B$33,Check!O62),SUMIFS('Master P&amp;L'!$H$11:$H$85,'Master P&amp;L'!$B$11:$B$85,Check!O62)))</f>
        <v>425</v>
      </c>
      <c r="R62" s="217">
        <f t="shared" si="1"/>
        <v>-28</v>
      </c>
      <c r="S62" s="362">
        <f t="shared" si="2"/>
        <v>0.9341176470588235</v>
      </c>
    </row>
    <row r="63" spans="1:19">
      <c r="B63"/>
      <c r="C63" s="233" t="str">
        <f>IF(B63="","",IF(LEN(B63)&gt;9,SUMIFS(Options!$H$3:$H$33,Options!$B$3:$B$33,Check!B63),SUMIFS('Master P&amp;L'!$H$11:$H$85,'Master P&amp;L'!$B$11:$B$85,Check!B63)))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2147</v>
      </c>
      <c r="P63" s="217">
        <f>IF(O63="","",IF(OR(LEFT(O63,4)="Cash",LEFT(O63,4)="Prov"),0,SUMIFS(Input_APM!N:N,Input_APM!L:L,Check!O63)))</f>
        <v>-351</v>
      </c>
      <c r="Q63" s="22">
        <f>IF(O63="","",IF(LEN(O63)&gt;9,SUMIFS(Options!$H$3:$H$33,Options!$B$3:$B$33,Check!O63),SUMIFS('Master P&amp;L'!$H$11:$H$85,'Master P&amp;L'!$B$11:$B$85,Check!O63)))</f>
        <v>-375</v>
      </c>
      <c r="R63" s="217">
        <f t="shared" si="1"/>
        <v>24</v>
      </c>
      <c r="S63" s="362">
        <f t="shared" si="2"/>
        <v>0.93600000000000005</v>
      </c>
    </row>
    <row r="64" spans="1:19">
      <c r="B64"/>
      <c r="C64" s="233" t="str">
        <f>IF(B64="","",IF(LEN(B64)&gt;9,SUMIFS(Options!$H$3:$H$33,Options!$B$3:$B$33,Check!B64),SUMIFS('Master P&amp;L'!$H$11:$H$85,'Master P&amp;L'!$B$11:$B$85,Check!B64)))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2342</v>
      </c>
      <c r="P64" s="217">
        <f>IF(O64="","",IF(OR(LEFT(O64,4)="Cash",LEFT(O64,4)="Prov"),0,SUMIFS(Input_APM!N:N,Input_APM!L:L,Check!O64)))</f>
        <v>493</v>
      </c>
      <c r="Q64" s="22">
        <f>IF(O64="","",IF(LEN(O64)&gt;9,SUMIFS(Options!$H$3:$H$33,Options!$B$3:$B$33,Check!O64),SUMIFS('Master P&amp;L'!$H$11:$H$85,'Master P&amp;L'!$B$11:$B$85,Check!O64)))</f>
        <v>525</v>
      </c>
      <c r="R64" s="217">
        <f t="shared" si="1"/>
        <v>-32</v>
      </c>
      <c r="S64" s="362">
        <f t="shared" si="2"/>
        <v>0.93904761904761902</v>
      </c>
    </row>
    <row r="65" spans="2:19">
      <c r="B65"/>
      <c r="C65" s="233" t="str">
        <f>IF(B65="","",IF(LEN(B65)&gt;9,SUMIFS(Options!$H$3:$H$33,Options!$B$3:$B$33,Check!B65),SUMIFS('Master P&amp;L'!$H$11:$H$85,'Master P&amp;L'!$B$11:$B$85,Check!B65)))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2343</v>
      </c>
      <c r="P65" s="217">
        <f>IF(O65="","",IF(OR(LEFT(O65,4)="Cash",LEFT(O65,4)="Prov"),0,SUMIFS(Input_APM!N:N,Input_APM!L:L,Check!O65)))</f>
        <v>-493</v>
      </c>
      <c r="Q65" s="22">
        <f>IF(O65="","",IF(LEN(O65)&gt;9,SUMIFS(Options!$H$3:$H$33,Options!$B$3:$B$33,Check!O65),SUMIFS('Master P&amp;L'!$H$11:$H$85,'Master P&amp;L'!$B$11:$B$85,Check!O65)))</f>
        <v>-525</v>
      </c>
      <c r="R65" s="217">
        <f t="shared" si="1"/>
        <v>32</v>
      </c>
      <c r="S65" s="362">
        <f t="shared" si="2"/>
        <v>0.93904761904761902</v>
      </c>
    </row>
    <row r="66" spans="2:19">
      <c r="B66"/>
      <c r="C66" s="233" t="str">
        <f>IF(B66="","",IF(LEN(B66)&gt;9,SUMIFS(Options!$H$3:$H$33,Options!$B$3:$B$33,Check!B66),SUMIFS('Master P&amp;L'!$H$11:$H$85,'Master P&amp;L'!$B$11:$B$85,Check!B66)))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87</v>
      </c>
      <c r="P66" s="217">
        <f>IF(O66="","",IF(OR(LEFT(O66,4)="Cash",LEFT(O66,4)="Prov"),0,SUMIFS(Input_APM!N:N,Input_APM!L:L,Check!O66)))</f>
        <v>3280</v>
      </c>
      <c r="Q66" s="22">
        <f>IF(O66="","",IF(LEN(O66)&gt;9,SUMIFS(Options!$H$3:$H$33,Options!$B$3:$B$33,Check!O66),SUMIFS('Master P&amp;L'!$H$11:$H$85,'Master P&amp;L'!$B$11:$B$85,Check!O66)))</f>
        <v>3500</v>
      </c>
      <c r="R66" s="217">
        <f t="shared" si="1"/>
        <v>-220</v>
      </c>
      <c r="S66" s="362">
        <f t="shared" si="2"/>
        <v>0.93714285714285717</v>
      </c>
    </row>
    <row r="67" spans="2:19">
      <c r="B67"/>
      <c r="C67" s="233" t="str">
        <f>IF(B67="","",IF(LEN(B67)&gt;9,SUMIFS(Options!$H$3:$H$33,Options!$B$3:$B$33,Check!B67),SUMIFS('Master P&amp;L'!$H$11:$H$85,'Master P&amp;L'!$B$11:$B$85,Check!B67)))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2100</v>
      </c>
      <c r="P67" s="217">
        <f>IF(O67="","",IF(OR(LEFT(O67,4)="Cash",LEFT(O67,4)="Prov"),0,SUMIFS(Input_APM!N:N,Input_APM!L:L,Check!O67)))</f>
        <v>2777</v>
      </c>
      <c r="Q67" s="22">
        <f>IF(O67="","",IF(LEN(O67)&gt;9,SUMIFS(Options!$H$3:$H$33,Options!$B$3:$B$33,Check!O67),SUMIFS('Master P&amp;L'!$H$11:$H$85,'Master P&amp;L'!$B$11:$B$85,Check!O67)))</f>
        <v>0</v>
      </c>
      <c r="R67" s="217">
        <f t="shared" si="1"/>
        <v>2777</v>
      </c>
      <c r="S67" s="362" t="str">
        <f t="shared" si="2"/>
        <v>Erro</v>
      </c>
    </row>
    <row r="68" spans="2:19">
      <c r="B68"/>
      <c r="C68" s="233" t="str">
        <f>IF(B68="","",IF(LEN(B68)&gt;9,SUMIFS(Options!$H$3:$H$33,Options!$B$3:$B$33,Check!B68),SUMIFS('Master P&amp;L'!$H$11:$H$85,'Master P&amp;L'!$B$11:$B$85,Check!B68)))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311</v>
      </c>
      <c r="P68" s="217" t="str">
        <f>IF(O68="","",IF(OR(LEFT(O68,4)="Cash",LEFT(O68,4)="Prov"),0,SUMIFS(Input_APM!N:N,Input_APM!L:L,Check!O68)))</f>
        <v/>
      </c>
      <c r="Q68" s="22" t="str">
        <f>IF(O68="","",IF(LEN(O68)&gt;9,SUMIFS(Options!$H$3:$H$33,Options!$B$3:$B$33,Check!O68),SUMIFS('Master P&amp;L'!$H$11:$H$85,'Master P&amp;L'!$B$11:$B$85,Check!O68)))</f>
        <v/>
      </c>
      <c r="R68" s="217" t="str">
        <f t="shared" si="1"/>
        <v/>
      </c>
      <c r="S68" s="362" t="str">
        <f t="shared" si="2"/>
        <v/>
      </c>
    </row>
    <row r="69" spans="2:19">
      <c r="B69"/>
      <c r="C69" s="233" t="str">
        <f>IF(B69="","",IF(LEN(B69)&gt;9,SUMIFS(Options!$H$3:$H$33,Options!$B$3:$B$33,Check!B69),SUMIFS('Master P&amp;L'!$H$11:$H$85,'Master P&amp;L'!$B$11:$B$85,Check!B69)))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/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IF(O69="","",IF(LEN(O69)&gt;9,SUMIFS(Options!$H$3:$H$33,Options!$B$3:$B$33,Check!O69),SUMIFS('Master P&amp;L'!$H$11:$H$85,'Master P&amp;L'!$B$11:$B$85,Check!O69)))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IF(B70="","",IF(LEN(B70)&gt;9,SUMIFS(Options!$H$3:$H$33,Options!$B$3:$B$33,Check!B70),SUMIFS('Master P&amp;L'!$H$11:$H$85,'Master P&amp;L'!$B$11:$B$85,Check!B70)))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IF(O70="","",IF(LEN(O70)&gt;9,SUMIFS(Options!$H$3:$H$33,Options!$B$3:$B$33,Check!O70),SUMIFS('Master P&amp;L'!$H$11:$H$85,'Master P&amp;L'!$B$11:$B$85,Check!O70)))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IF(B71="","",IF(LEN(B71)&gt;9,SUMIFS(Options!$H$3:$H$33,Options!$B$3:$B$33,Check!B71),SUMIFS('Master P&amp;L'!$H$11:$H$85,'Master P&amp;L'!$B$11:$B$85,Check!B71)))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IF(O71="","",IF(LEN(O71)&gt;9,SUMIFS(Options!$H$3:$H$33,Options!$B$3:$B$33,Check!O71),SUMIFS('Master P&amp;L'!$H$11:$H$85,'Master P&amp;L'!$B$11:$B$85,Check!O71)))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IF(B72="","",IF(LEN(B72)&gt;9,SUMIFS(Options!$H$3:$H$33,Options!$B$3:$B$33,Check!B72),SUMIFS('Master P&amp;L'!$H$11:$H$85,'Master P&amp;L'!$B$11:$B$85,Check!B72)))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IF(O72="","",IF(LEN(O72)&gt;9,SUMIFS(Options!$H$3:$H$33,Options!$B$3:$B$33,Check!O72),SUMIFS('Master P&amp;L'!$H$11:$H$85,'Master P&amp;L'!$B$11:$B$85,Check!O72)))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IF(B73="","",IF(LEN(B73)&gt;9,SUMIFS(Options!$H$3:$H$33,Options!$B$3:$B$33,Check!B73),SUMIFS('Master P&amp;L'!$H$11:$H$85,'Master P&amp;L'!$B$11:$B$85,Check!B73)))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IF(O73="","",IF(LEN(O73)&gt;9,SUMIFS(Options!$H$3:$H$33,Options!$B$3:$B$33,Check!O73),SUMIFS('Master P&amp;L'!$H$11:$H$85,'Master P&amp;L'!$B$11:$B$85,Check!O73)))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IF(B74="","",IF(LEN(B74)&gt;9,SUMIFS(Options!$H$3:$H$33,Options!$B$3:$B$33,Check!B74),SUMIFS('Master P&amp;L'!$H$11:$H$85,'Master P&amp;L'!$B$11:$B$85,Check!B74)))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IF(O74="","",IF(LEN(O74)&gt;9,SUMIFS(Options!$H$3:$H$33,Options!$B$3:$B$33,Check!O74),SUMIFS('Master P&amp;L'!$H$11:$H$85,'Master P&amp;L'!$B$11:$B$85,Check!O74)))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IF(B75="","",IF(LEN(B75)&gt;9,SUMIFS(Options!$H$3:$H$33,Options!$B$3:$B$33,Check!B75),SUMIFS('Master P&amp;L'!$H$11:$H$85,'Master P&amp;L'!$B$11:$B$85,Check!B75)))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IF(O75="","",IF(LEN(O75)&gt;9,SUMIFS(Options!$H$3:$H$33,Options!$B$3:$B$33,Check!O75),SUMIFS('Master P&amp;L'!$H$11:$H$85,'Master P&amp;L'!$B$11:$B$85,Check!O75)))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IF(B76="","",IF(LEN(B76)&gt;9,SUMIFS(Options!$H$3:$H$33,Options!$B$3:$B$33,Check!B76),SUMIFS('Master P&amp;L'!$H$11:$H$85,'Master P&amp;L'!$B$11:$B$85,Check!B76)))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IF(O76="","",IF(LEN(O76)&gt;9,SUMIFS(Options!$H$3:$H$33,Options!$B$3:$B$33,Check!O76),SUMIFS('Master P&amp;L'!$H$11:$H$85,'Master P&amp;L'!$B$11:$B$85,Check!O76)))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IF(B77="","",IF(LEN(B77)&gt;9,SUMIFS(Options!$H$3:$H$33,Options!$B$3:$B$33,Check!B77),SUMIFS('Master P&amp;L'!$H$11:$H$85,'Master P&amp;L'!$B$11:$B$85,Check!B77)))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IF(O77="","",IF(LEN(O77)&gt;9,SUMIFS(Options!$H$3:$H$33,Options!$B$3:$B$33,Check!O77),SUMIFS('Master P&amp;L'!$H$11:$H$85,'Master P&amp;L'!$B$11:$B$85,Check!O77)))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IF(B78="","",IF(LEN(B78)&gt;9,SUMIFS(Options!$H$3:$H$33,Options!$B$3:$B$33,Check!B78),SUMIFS('Master P&amp;L'!$H$11:$H$85,'Master P&amp;L'!$B$11:$B$85,Check!B78)))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IF(O78="","",IF(LEN(O78)&gt;9,SUMIFS(Options!$H$3:$H$33,Options!$B$3:$B$33,Check!O78),SUMIFS('Master P&amp;L'!$H$11:$H$85,'Master P&amp;L'!$B$11:$B$85,Check!O78)))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IF(B79="","",IF(LEN(B79)&gt;9,SUMIFS(Options!$H$3:$H$33,Options!$B$3:$B$33,Check!B79),SUMIFS('Master P&amp;L'!$H$11:$H$85,'Master P&amp;L'!$B$11:$B$85,Check!B79)))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IF(O79="","",IF(LEN(O79)&gt;9,SUMIFS(Options!$H$3:$H$33,Options!$B$3:$B$33,Check!O79),SUMIFS('Master P&amp;L'!$H$11:$H$85,'Master P&amp;L'!$B$11:$B$85,Check!O79)))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IF(B80="","",IF(LEN(B80)&gt;9,SUMIFS(Options!$H$3:$H$33,Options!$B$3:$B$33,Check!B80),SUMIFS('Master P&amp;L'!$H$11:$H$85,'Master P&amp;L'!$B$11:$B$85,Check!B80)))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IF(O80="","",IF(LEN(O80)&gt;9,SUMIFS(Options!$H$3:$H$33,Options!$B$3:$B$33,Check!O80),SUMIFS('Master P&amp;L'!$H$11:$H$85,'Master P&amp;L'!$B$11:$B$85,Check!O80)))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IF(B81="","",IF(LEN(B81)&gt;9,SUMIFS(Options!$H$3:$H$33,Options!$B$3:$B$33,Check!B81),SUMIFS('Master P&amp;L'!$H$11:$H$85,'Master P&amp;L'!$B$11:$B$85,Check!B81)))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IF(O81="","",IF(LEN(O81)&gt;9,SUMIFS(Options!$H$3:$H$33,Options!$B$3:$B$33,Check!O81),SUMIFS('Master P&amp;L'!$H$11:$H$85,'Master P&amp;L'!$B$11:$B$85,Check!O81)))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IF(B82="","",IF(LEN(B82)&gt;9,SUMIFS(Options!$H$3:$H$33,Options!$B$3:$B$33,Check!B82),SUMIFS('Master P&amp;L'!$H$11:$H$85,'Master P&amp;L'!$B$11:$B$85,Check!B82)))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IF(O82="","",IF(LEN(O82)&gt;9,SUMIFS(Options!$H$3:$H$33,Options!$B$3:$B$33,Check!O82),SUMIFS('Master P&amp;L'!$H$11:$H$85,'Master P&amp;L'!$B$11:$B$85,Check!O82)))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IF(B83="","",IF(LEN(B83)&gt;9,SUMIFS(Options!$H$3:$H$33,Options!$B$3:$B$33,Check!B83),SUMIFS('Master P&amp;L'!$H$11:$H$85,'Master P&amp;L'!$B$11:$B$85,Check!B83)))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IF(O83="","",IF(LEN(O83)&gt;9,SUMIFS(Options!$H$3:$H$33,Options!$B$3:$B$33,Check!O83),SUMIFS('Master P&amp;L'!$H$11:$H$85,'Master P&amp;L'!$B$11:$B$85,Check!O83)))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IF(B84="","",IF(LEN(B84)&gt;9,SUMIFS(Options!$H$3:$H$33,Options!$B$3:$B$33,Check!B84),SUMIFS('Master P&amp;L'!$H$11:$H$85,'Master P&amp;L'!$B$11:$B$85,Check!B84)))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IF(O84="","",IF(LEN(O84)&gt;9,SUMIFS(Options!$H$3:$H$33,Options!$B$3:$B$33,Check!O84),SUMIFS('Master P&amp;L'!$H$11:$H$85,'Master P&amp;L'!$B$11:$B$85,Check!O84)))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IF(B85="","",IF(LEN(B85)&gt;9,SUMIFS(Options!$H$3:$H$33,Options!$B$3:$B$33,Check!B85),SUMIFS('Master P&amp;L'!$H$11:$H$85,'Master P&amp;L'!$B$11:$B$85,Check!B85)))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IF(O85="","",IF(LEN(O85)&gt;9,SUMIFS(Options!$H$3:$H$33,Options!$B$3:$B$33,Check!O85),SUMIFS('Master P&amp;L'!$H$11:$H$85,'Master P&amp;L'!$B$11:$B$85,Check!O85)))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IF(B86="","",IF(LEN(B86)&gt;9,SUMIFS(Options!$H$3:$H$33,Options!$B$3:$B$33,Check!B86),SUMIFS('Master P&amp;L'!$H$11:$H$85,'Master P&amp;L'!$B$11:$B$85,Check!B86)))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IF(O86="","",IF(LEN(O86)&gt;9,SUMIFS(Options!$H$3:$H$33,Options!$B$3:$B$33,Check!O86),SUMIFS('Master P&amp;L'!$H$11:$H$85,'Master P&amp;L'!$B$11:$B$85,Check!O86)))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IF(B87="","",IF(LEN(B87)&gt;9,SUMIFS(Options!$H$3:$H$33,Options!$B$3:$B$33,Check!B87),SUMIFS('Master P&amp;L'!$H$11:$H$85,'Master P&amp;L'!$B$11:$B$85,Check!B87)))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IF(O87="","",IF(LEN(O87)&gt;9,SUMIFS(Options!$H$3:$H$33,Options!$B$3:$B$33,Check!O87),SUMIFS('Master P&amp;L'!$H$11:$H$85,'Master P&amp;L'!$B$11:$B$85,Check!O87)))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IF(B88="","",IF(LEN(B88)&gt;9,SUMIFS(Options!$H$3:$H$33,Options!$B$3:$B$33,Check!B88),SUMIFS('Master P&amp;L'!$H$11:$H$85,'Master P&amp;L'!$B$11:$B$85,Check!B88)))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IF(O88="","",IF(LEN(O88)&gt;9,SUMIFS(Options!$H$3:$H$33,Options!$B$3:$B$33,Check!O88),SUMIFS('Master P&amp;L'!$H$11:$H$85,'Master P&amp;L'!$B$11:$B$85,Check!O88)))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IF(B89="","",IF(LEN(B89)&gt;9,SUMIFS(Options!$H$3:$H$33,Options!$B$3:$B$33,Check!B89),SUMIFS('Master P&amp;L'!$H$11:$H$85,'Master P&amp;L'!$B$11:$B$85,Check!B89)))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IF(O89="","",IF(LEN(O89)&gt;9,SUMIFS(Options!$H$3:$H$33,Options!$B$3:$B$33,Check!O89),SUMIFS('Master P&amp;L'!$H$11:$H$85,'Master P&amp;L'!$B$11:$B$85,Check!O89)))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IF(B90="","",IF(LEN(B90)&gt;9,SUMIFS(Options!$H$3:$H$33,Options!$B$3:$B$33,Check!B90),SUMIFS('Master P&amp;L'!$H$11:$H$85,'Master P&amp;L'!$B$11:$B$85,Check!B90)))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IF(O90="","",IF(LEN(O90)&gt;9,SUMIFS(Options!$H$3:$H$33,Options!$B$3:$B$33,Check!O90),SUMIFS('Master P&amp;L'!$H$11:$H$85,'Master P&amp;L'!$B$11:$B$85,Check!O90)))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IF(B91="","",IF(LEN(B91)&gt;9,SUMIFS(Options!$H$3:$H$33,Options!$B$3:$B$33,Check!B91),SUMIFS('Master P&amp;L'!$H$11:$H$85,'Master P&amp;L'!$B$11:$B$85,Check!B91)))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IF(O91="","",IF(LEN(O91)&gt;9,SUMIFS(Options!$H$3:$H$33,Options!$B$3:$B$33,Check!O91),SUMIFS('Master P&amp;L'!$H$11:$H$85,'Master P&amp;L'!$B$11:$B$85,Check!O91)))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IF(B92="","",IF(LEN(B92)&gt;9,SUMIFS(Options!$H$3:$H$33,Options!$B$3:$B$33,Check!B92),SUMIFS('Master P&amp;L'!$H$11:$H$85,'Master P&amp;L'!$B$11:$B$85,Check!B92)))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IF(O92="","",IF(LEN(O92)&gt;9,SUMIFS(Options!$H$3:$H$33,Options!$B$3:$B$33,Check!O92),SUMIFS('Master P&amp;L'!$H$11:$H$85,'Master P&amp;L'!$B$11:$B$85,Check!O92)))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IF(B93="","",IF(LEN(B93)&gt;9,SUMIFS(Options!$H$3:$H$33,Options!$B$3:$B$33,Check!B93),SUMIFS('Master P&amp;L'!$H$11:$H$85,'Master P&amp;L'!$B$11:$B$85,Check!B93)))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IF(O93="","",IF(LEN(O93)&gt;9,SUMIFS(Options!$H$3:$H$33,Options!$B$3:$B$33,Check!O93),SUMIFS('Master P&amp;L'!$H$11:$H$85,'Master P&amp;L'!$B$11:$B$85,Check!O93)))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IF(B94="","",IF(LEN(B94)&gt;9,SUMIFS(Options!$H$3:$H$33,Options!$B$3:$B$33,Check!B94),SUMIFS('Master P&amp;L'!$H$11:$H$85,'Master P&amp;L'!$B$11:$B$85,Check!B94)))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IF(O94="","",IF(LEN(O94)&gt;9,SUMIFS(Options!$H$3:$H$33,Options!$B$3:$B$33,Check!O94),SUMIFS('Master P&amp;L'!$H$11:$H$85,'Master P&amp;L'!$B$11:$B$85,Check!O94)))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IF(B95="","",IF(LEN(B95)&gt;9,SUMIFS(Options!$H$3:$H$33,Options!$B$3:$B$33,Check!B95),SUMIFS('Master P&amp;L'!$H$11:$H$85,'Master P&amp;L'!$B$11:$B$85,Check!B95)))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IF(O95="","",IF(LEN(O95)&gt;9,SUMIFS(Options!$H$3:$H$33,Options!$B$3:$B$33,Check!O95),SUMIFS('Master P&amp;L'!$H$11:$H$85,'Master P&amp;L'!$B$11:$B$85,Check!O95)))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IF(B96="","",IF(LEN(B96)&gt;9,SUMIFS(Options!$H$3:$H$33,Options!$B$3:$B$33,Check!B96),SUMIFS('Master P&amp;L'!$H$11:$H$85,'Master P&amp;L'!$B$11:$B$85,Check!B96)))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IF(O96="","",IF(LEN(O96)&gt;9,SUMIFS(Options!$H$3:$H$33,Options!$B$3:$B$33,Check!O96),SUMIFS('Master P&amp;L'!$H$11:$H$85,'Master P&amp;L'!$B$11:$B$85,Check!O96)))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IF(B97="","",IF(LEN(B97)&gt;9,SUMIFS(Options!$H$3:$H$33,Options!$B$3:$B$33,Check!B97),SUMIFS('Master P&amp;L'!$H$11:$H$85,'Master P&amp;L'!$B$11:$B$85,Check!B97)))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IF(O97="","",IF(LEN(O97)&gt;9,SUMIFS(Options!$H$3:$H$33,Options!$B$3:$B$33,Check!O97),SUMIFS('Master P&amp;L'!$H$11:$H$85,'Master P&amp;L'!$B$11:$B$85,Check!O97)))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IF(B98="","",IF(LEN(B98)&gt;9,SUMIFS(Options!$H$3:$H$33,Options!$B$3:$B$33,Check!B98),SUMIFS('Master P&amp;L'!$H$11:$H$85,'Master P&amp;L'!$B$11:$B$85,Check!B98)))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IF(O98="","",IF(LEN(O98)&gt;9,SUMIFS(Options!$H$3:$H$33,Options!$B$3:$B$33,Check!O98),SUMIFS('Master P&amp;L'!$H$11:$H$85,'Master P&amp;L'!$B$11:$B$85,Check!O98)))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IF(B99="","",IF(LEN(B99)&gt;9,SUMIFS(Options!$H$3:$H$33,Options!$B$3:$B$33,Check!B99),SUMIFS('Master P&amp;L'!$H$11:$H$85,'Master P&amp;L'!$B$11:$B$85,Check!B99)))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IF(O99="","",IF(LEN(O99)&gt;9,SUMIFS(Options!$H$3:$H$33,Options!$B$3:$B$33,Check!O99),SUMIFS('Master P&amp;L'!$H$11:$H$85,'Master P&amp;L'!$B$11:$B$85,Check!O99)))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IF(B100="","",IF(LEN(B100)&gt;9,SUMIFS(Options!$H$3:$H$33,Options!$B$3:$B$33,Check!B100),SUMIFS('Master P&amp;L'!$H$11:$H$85,'Master P&amp;L'!$B$11:$B$85,Check!B100)))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IF(O100="","",IF(LEN(O100)&gt;9,SUMIFS(Options!$H$3:$H$33,Options!$B$3:$B$33,Check!O100),SUMIFS('Master P&amp;L'!$H$11:$H$85,'Master P&amp;L'!$B$11:$B$85,Check!O100)))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IF(B101="","",IF(LEN(B101)&gt;9,SUMIFS(Options!$H$3:$H$33,Options!$B$3:$B$33,Check!B101),SUMIFS('Master P&amp;L'!$H$11:$H$85,'Master P&amp;L'!$B$11:$B$85,Check!B101)))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IF(O101="","",IF(LEN(O101)&gt;9,SUMIFS(Options!$H$3:$H$33,Options!$B$3:$B$33,Check!O101),SUMIFS('Master P&amp;L'!$H$11:$H$85,'Master P&amp;L'!$B$11:$B$85,Check!O101)))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IF(B102="","",IF(LEN(B102)&gt;9,SUMIFS(Options!$H$3:$H$33,Options!$B$3:$B$33,Check!B102),SUMIFS('Master P&amp;L'!$H$11:$H$85,'Master P&amp;L'!$B$11:$B$85,Check!B102)))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IF(O102="","",IF(LEN(O102)&gt;9,SUMIFS(Options!$H$3:$H$33,Options!$B$3:$B$33,Check!O102),SUMIFS('Master P&amp;L'!$H$11:$H$85,'Master P&amp;L'!$B$11:$B$85,Check!O102)))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IF(B103="","",IF(LEN(B103)&gt;9,SUMIFS(Options!$H$3:$H$33,Options!$B$3:$B$33,Check!B103),SUMIFS('Master P&amp;L'!$H$11:$H$85,'Master P&amp;L'!$B$11:$B$85,Check!B103)))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IF(O103="","",IF(LEN(O103)&gt;9,SUMIFS(Options!$H$3:$H$33,Options!$B$3:$B$33,Check!O103),SUMIFS('Master P&amp;L'!$H$11:$H$85,'Master P&amp;L'!$B$11:$B$85,Check!O103)))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IF(B104="","",IF(LEN(B104)&gt;9,SUMIFS(Options!$H$3:$H$33,Options!$B$3:$B$33,Check!B104),SUMIFS('Master P&amp;L'!$H$11:$H$85,'Master P&amp;L'!$B$11:$B$85,Check!B104)))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IF(O104="","",IF(LEN(O104)&gt;9,SUMIFS(Options!$H$3:$H$33,Options!$B$3:$B$33,Check!O104),SUMIFS('Master P&amp;L'!$H$11:$H$85,'Master P&amp;L'!$B$11:$B$85,Check!O104)))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IF(B105="","",IF(LEN(B105)&gt;9,SUMIFS(Options!$H$3:$H$33,Options!$B$3:$B$33,Check!B105),SUMIFS('Master P&amp;L'!$H$11:$H$85,'Master P&amp;L'!$B$11:$B$85,Check!B105)))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IF(O105="","",IF(LEN(O105)&gt;9,SUMIFS(Options!$H$3:$H$33,Options!$B$3:$B$33,Check!O105),SUMIFS('Master P&amp;L'!$H$11:$H$85,'Master P&amp;L'!$B$11:$B$85,Check!O105)))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IF(B106="","",IF(LEN(B106)&gt;9,SUMIFS(Options!$H$3:$H$33,Options!$B$3:$B$33,Check!B106),SUMIFS('Master P&amp;L'!$H$11:$H$85,'Master P&amp;L'!$B$11:$B$85,Check!B106)))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IF(O106="","",IF(LEN(O106)&gt;9,SUMIFS(Options!$H$3:$H$33,Options!$B$3:$B$33,Check!O106),SUMIFS('Master P&amp;L'!$H$11:$H$85,'Master P&amp;L'!$B$11:$B$85,Check!O106)))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IF(B107="","",IF(LEN(B107)&gt;9,SUMIFS(Options!$H$3:$H$33,Options!$B$3:$B$33,Check!B107),SUMIFS('Master P&amp;L'!$H$11:$H$85,'Master P&amp;L'!$B$11:$B$85,Check!B107)))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IF(O107="","",IF(LEN(O107)&gt;9,SUMIFS(Options!$H$3:$H$33,Options!$B$3:$B$33,Check!O107),SUMIFS('Master P&amp;L'!$H$11:$H$85,'Master P&amp;L'!$B$11:$B$85,Check!O107)))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IF(B108="","",IF(LEN(B108)&gt;9,SUMIFS(Options!$H$3:$H$33,Options!$B$3:$B$33,Check!B108),SUMIFS('Master P&amp;L'!$H$11:$H$85,'Master P&amp;L'!$B$11:$B$85,Check!B108)))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IF(O108="","",IF(LEN(O108)&gt;9,SUMIFS(Options!$H$3:$H$33,Options!$B$3:$B$33,Check!O108),SUMIFS('Master P&amp;L'!$H$11:$H$85,'Master P&amp;L'!$B$11:$B$85,Check!O108)))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IF(B109="","",IF(LEN(B109)&gt;9,SUMIFS(Options!$H$3:$H$33,Options!$B$3:$B$33,Check!B109),SUMIFS('Master P&amp;L'!$H$11:$H$85,'Master P&amp;L'!$B$11:$B$85,Check!B109)))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IF(O109="","",IF(LEN(O109)&gt;9,SUMIFS(Options!$H$3:$H$33,Options!$B$3:$B$33,Check!O109),SUMIFS('Master P&amp;L'!$H$11:$H$85,'Master P&amp;L'!$B$11:$B$85,Check!O109)))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IF(B110="","",IF(LEN(B110)&gt;9,SUMIFS(Options!$H$3:$H$33,Options!$B$3:$B$33,Check!B110),SUMIFS('Master P&amp;L'!$H$11:$H$85,'Master P&amp;L'!$B$11:$B$85,Check!B110)))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IF(O110="","",IF(LEN(O110)&gt;9,SUMIFS(Options!$H$3:$H$33,Options!$B$3:$B$33,Check!O110),SUMIFS('Master P&amp;L'!$H$11:$H$85,'Master P&amp;L'!$B$11:$B$85,Check!O110)))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IF(B111="","",IF(LEN(B111)&gt;9,SUMIFS(Options!$H$3:$H$33,Options!$B$3:$B$33,Check!B111),SUMIFS('Master P&amp;L'!$H$11:$H$85,'Master P&amp;L'!$B$11:$B$85,Check!B111)))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IF(O111="","",IF(LEN(O111)&gt;9,SUMIFS(Options!$H$3:$H$33,Options!$B$3:$B$33,Check!O111),SUMIFS('Master P&amp;L'!$H$11:$H$85,'Master P&amp;L'!$B$11:$B$85,Check!O111)))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IF(B112="","",IF(LEN(B112)&gt;9,SUMIFS(Options!$H$3:$H$33,Options!$B$3:$B$33,Check!B112),SUMIFS('Master P&amp;L'!$H$11:$H$85,'Master P&amp;L'!$B$11:$B$85,Check!B112)))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IF(O112="","",IF(LEN(O112)&gt;9,SUMIFS(Options!$H$3:$H$33,Options!$B$3:$B$33,Check!O112),SUMIFS('Master P&amp;L'!$H$11:$H$85,'Master P&amp;L'!$B$11:$B$85,Check!O112)))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IF(B113="","",IF(LEN(B113)&gt;9,SUMIFS(Options!$H$3:$H$33,Options!$B$3:$B$33,Check!B113),SUMIFS('Master P&amp;L'!$H$11:$H$85,'Master P&amp;L'!$B$11:$B$85,Check!B113)))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IF(O113="","",IF(LEN(O113)&gt;9,SUMIFS(Options!$H$3:$H$33,Options!$B$3:$B$33,Check!O113),SUMIFS('Master P&amp;L'!$H$11:$H$85,'Master P&amp;L'!$B$11:$B$85,Check!O113)))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IF(B114="","",IF(LEN(B114)&gt;9,SUMIFS(Options!$H$3:$H$33,Options!$B$3:$B$33,Check!B114),SUMIFS('Master P&amp;L'!$H$11:$H$85,'Master P&amp;L'!$B$11:$B$85,Check!B114)))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IF(O114="","",IF(LEN(O114)&gt;9,SUMIFS(Options!$H$3:$H$33,Options!$B$3:$B$33,Check!O114),SUMIFS('Master P&amp;L'!$H$11:$H$85,'Master P&amp;L'!$B$11:$B$85,Check!O114)))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IF(B115="","",IF(LEN(B115)&gt;9,SUMIFS(Options!$H$3:$H$33,Options!$B$3:$B$33,Check!B115),SUMIFS('Master P&amp;L'!$H$11:$H$85,'Master P&amp;L'!$B$11:$B$85,Check!B115)))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IF(O115="","",IF(LEN(O115)&gt;9,SUMIFS(Options!$H$3:$H$33,Options!$B$3:$B$33,Check!O115),SUMIFS('Master P&amp;L'!$H$11:$H$85,'Master P&amp;L'!$B$11:$B$85,Check!O115)))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IF(B116="","",IF(LEN(B116)&gt;9,SUMIFS(Options!$H$3:$H$33,Options!$B$3:$B$33,Check!B116),SUMIFS('Master P&amp;L'!$H$11:$H$85,'Master P&amp;L'!$B$11:$B$85,Check!B116)))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IF(O116="","",IF(LEN(O116)&gt;9,SUMIFS(Options!$H$3:$H$33,Options!$B$3:$B$33,Check!O116),SUMIFS('Master P&amp;L'!$H$11:$H$85,'Master P&amp;L'!$B$11:$B$85,Check!O116)))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IF(B117="","",IF(LEN(B117)&gt;9,SUMIFS(Options!$H$3:$H$33,Options!$B$3:$B$33,Check!B117),SUMIFS('Master P&amp;L'!$H$11:$H$85,'Master P&amp;L'!$B$11:$B$85,Check!B117)))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IF(O117="","",IF(LEN(O117)&gt;9,SUMIFS(Options!$H$3:$H$33,Options!$B$3:$B$33,Check!O117),SUMIFS('Master P&amp;L'!$H$11:$H$85,'Master P&amp;L'!$B$11:$B$85,Check!O117)))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IF(B118="","",IF(LEN(B118)&gt;9,SUMIFS(Options!$H$3:$H$33,Options!$B$3:$B$33,Check!B118),SUMIFS('Master P&amp;L'!$H$11:$H$85,'Master P&amp;L'!$B$11:$B$85,Check!B118)))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IF(O118="","",IF(LEN(O118)&gt;9,SUMIFS(Options!$H$3:$H$33,Options!$B$3:$B$33,Check!O118),SUMIFS('Master P&amp;L'!$H$11:$H$85,'Master P&amp;L'!$B$11:$B$85,Check!O118)))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IF(B119="","",IF(LEN(B119)&gt;9,SUMIFS(Options!$H$3:$H$33,Options!$B$3:$B$33,Check!B119),SUMIFS('Master P&amp;L'!$H$11:$H$85,'Master P&amp;L'!$B$11:$B$85,Check!B119)))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IF(O119="","",IF(LEN(O119)&gt;9,SUMIFS(Options!$H$3:$H$33,Options!$B$3:$B$33,Check!O119),SUMIFS('Master P&amp;L'!$H$11:$H$85,'Master P&amp;L'!$B$11:$B$85,Check!O119)))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IF(B120="","",IF(LEN(B120)&gt;9,SUMIFS(Options!$H$3:$H$33,Options!$B$3:$B$33,Check!B120),SUMIFS('Master P&amp;L'!$H$11:$H$85,'Master P&amp;L'!$B$11:$B$85,Check!B120)))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IF(O120="","",IF(LEN(O120)&gt;9,SUMIFS(Options!$H$3:$H$33,Options!$B$3:$B$33,Check!O120),SUMIFS('Master P&amp;L'!$H$11:$H$85,'Master P&amp;L'!$B$11:$B$85,Check!O120)))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IF(B121="","",IF(LEN(B121)&gt;9,SUMIFS(Options!$H$3:$H$33,Options!$B$3:$B$33,Check!B121),SUMIFS('Master P&amp;L'!$H$11:$H$85,'Master P&amp;L'!$B$11:$B$85,Check!B121)))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IF(O121="","",IF(LEN(O121)&gt;9,SUMIFS(Options!$H$3:$H$33,Options!$B$3:$B$33,Check!O121),SUMIFS('Master P&amp;L'!$H$11:$H$85,'Master P&amp;L'!$B$11:$B$85,Check!O121)))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IF(B122="","",IF(LEN(B122)&gt;9,SUMIFS(Options!$H$3:$H$33,Options!$B$3:$B$33,Check!B122),SUMIFS('Master P&amp;L'!$H$11:$H$85,'Master P&amp;L'!$B$11:$B$85,Check!B122)))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IF(O122="","",IF(LEN(O122)&gt;9,SUMIFS(Options!$H$3:$H$33,Options!$B$3:$B$33,Check!O122),SUMIFS('Master P&amp;L'!$H$11:$H$85,'Master P&amp;L'!$B$11:$B$85,Check!O122)))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IF(B123="","",IF(LEN(B123)&gt;9,SUMIFS(Options!$H$3:$H$33,Options!$B$3:$B$33,Check!B123),SUMIFS('Master P&amp;L'!$H$11:$H$85,'Master P&amp;L'!$B$11:$B$85,Check!B123)))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IF(O123="","",IF(LEN(O123)&gt;9,SUMIFS(Options!$H$3:$H$33,Options!$B$3:$B$33,Check!O123),SUMIFS('Master P&amp;L'!$H$11:$H$85,'Master P&amp;L'!$B$11:$B$85,Check!O123)))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IF(B124="","",IF(LEN(B124)&gt;9,SUMIFS(Options!$H$3:$H$33,Options!$B$3:$B$33,Check!B124),SUMIFS('Master P&amp;L'!$H$11:$H$85,'Master P&amp;L'!$B$11:$B$85,Check!B124)))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IF(O124="","",IF(LEN(O124)&gt;9,SUMIFS(Options!$H$3:$H$33,Options!$B$3:$B$33,Check!O124),SUMIFS('Master P&amp;L'!$H$11:$H$85,'Master P&amp;L'!$B$11:$B$85,Check!O124)))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IF(B125="","",IF(LEN(B125)&gt;9,SUMIFS(Options!$H$3:$H$33,Options!$B$3:$B$33,Check!B125),SUMIFS('Master P&amp;L'!$H$11:$H$85,'Master P&amp;L'!$B$11:$B$85,Check!B125)))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IF(O125="","",IF(LEN(O125)&gt;9,SUMIFS(Options!$H$3:$H$33,Options!$B$3:$B$33,Check!O125),SUMIFS('Master P&amp;L'!$H$11:$H$85,'Master P&amp;L'!$B$11:$B$85,Check!O125)))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IF(B126="","",IF(LEN(B126)&gt;9,SUMIFS(Options!$H$3:$H$33,Options!$B$3:$B$33,Check!B126),SUMIFS('Master P&amp;L'!$H$11:$H$85,'Master P&amp;L'!$B$11:$B$85,Check!B126)))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IF(O126="","",IF(LEN(O126)&gt;9,SUMIFS(Options!$H$3:$H$33,Options!$B$3:$B$33,Check!O126),SUMIFS('Master P&amp;L'!$H$11:$H$85,'Master P&amp;L'!$B$11:$B$85,Check!O126)))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IF(B127="","",IF(LEN(B127)&gt;9,SUMIFS(Options!$H$3:$H$33,Options!$B$3:$B$33,Check!B127),SUMIFS('Master P&amp;L'!$H$11:$H$85,'Master P&amp;L'!$B$11:$B$85,Check!B127)))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IF(O127="","",IF(LEN(O127)&gt;9,SUMIFS(Options!$H$3:$H$33,Options!$B$3:$B$33,Check!O127),SUMIFS('Master P&amp;L'!$H$11:$H$85,'Master P&amp;L'!$B$11:$B$85,Check!O127)))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IF(B128="","",IF(LEN(B128)&gt;9,SUMIFS(Options!$H$3:$H$33,Options!$B$3:$B$33,Check!B128),SUMIFS('Master P&amp;L'!$H$11:$H$85,'Master P&amp;L'!$B$11:$B$85,Check!B128)))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IF(O128="","",IF(LEN(O128)&gt;9,SUMIFS(Options!$H$3:$H$33,Options!$B$3:$B$33,Check!O128),SUMIFS('Master P&amp;L'!$H$11:$H$85,'Master P&amp;L'!$B$11:$B$85,Check!O128)))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IF(B129="","",IF(LEN(B129)&gt;9,SUMIFS(Options!$H$3:$H$33,Options!$B$3:$B$33,Check!B129),SUMIFS('Master P&amp;L'!$H$11:$H$85,'Master P&amp;L'!$B$11:$B$85,Check!B129)))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IF(O129="","",IF(LEN(O129)&gt;9,SUMIFS(Options!$H$3:$H$33,Options!$B$3:$B$33,Check!O129),SUMIFS('Master P&amp;L'!$H$11:$H$85,'Master P&amp;L'!$B$11:$B$85,Check!O129)))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IF(B130="","",IF(LEN(B130)&gt;9,SUMIFS(Options!$H$3:$H$33,Options!$B$3:$B$33,Check!B130),SUMIFS('Master P&amp;L'!$H$11:$H$85,'Master P&amp;L'!$B$11:$B$85,Check!B130)))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IF(O130="","",IF(LEN(O130)&gt;9,SUMIFS(Options!$H$3:$H$33,Options!$B$3:$B$33,Check!O130),SUMIFS('Master P&amp;L'!$H$11:$H$85,'Master P&amp;L'!$B$11:$B$85,Check!O130)))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IF(B131="","",IF(LEN(B131)&gt;9,SUMIFS(Options!$H$3:$H$33,Options!$B$3:$B$33,Check!B131),SUMIFS('Master P&amp;L'!$H$11:$H$85,'Master P&amp;L'!$B$11:$B$85,Check!B131)))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IF(O131="","",IF(LEN(O131)&gt;9,SUMIFS(Options!$H$3:$H$33,Options!$B$3:$B$33,Check!O131),SUMIFS('Master P&amp;L'!$H$11:$H$85,'Master P&amp;L'!$B$11:$B$85,Check!O131)))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IF(B132="","",IF(LEN(B132)&gt;9,SUMIFS(Options!$H$3:$H$33,Options!$B$3:$B$33,Check!B132),SUMIFS('Master P&amp;L'!$H$11:$H$85,'Master P&amp;L'!$B$11:$B$85,Check!B132)))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IF(O132="","",IF(LEN(O132)&gt;9,SUMIFS(Options!$H$3:$H$33,Options!$B$3:$B$33,Check!O132),SUMIFS('Master P&amp;L'!$H$11:$H$85,'Master P&amp;L'!$B$11:$B$85,Check!O132)))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IF(B133="","",IF(LEN(B133)&gt;9,SUMIFS(Options!$H$3:$H$33,Options!$B$3:$B$33,Check!B133),SUMIFS('Master P&amp;L'!$H$11:$H$85,'Master P&amp;L'!$B$11:$B$85,Check!B133)))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IF(O133="","",IF(LEN(O133)&gt;9,SUMIFS(Options!$H$3:$H$33,Options!$B$3:$B$33,Check!O133),SUMIFS('Master P&amp;L'!$H$11:$H$85,'Master P&amp;L'!$B$11:$B$85,Check!O133)))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IF(B134="","",IF(LEN(B134)&gt;9,SUMIFS(Options!$H$3:$H$33,Options!$B$3:$B$33,Check!B134),SUMIFS('Master P&amp;L'!$H$11:$H$85,'Master P&amp;L'!$B$11:$B$85,Check!B134)))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IF(O134="","",IF(LEN(O134)&gt;9,SUMIFS(Options!$H$3:$H$33,Options!$B$3:$B$33,Check!O134),SUMIFS('Master P&amp;L'!$H$11:$H$85,'Master P&amp;L'!$B$11:$B$85,Check!O134)))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IF(B135="","",IF(LEN(B135)&gt;9,SUMIFS(Options!$H$3:$H$33,Options!$B$3:$B$33,Check!B135),SUMIFS('Master P&amp;L'!$H$11:$H$85,'Master P&amp;L'!$B$11:$B$85,Check!B135)))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IF(O135="","",IF(LEN(O135)&gt;9,SUMIFS(Options!$H$3:$H$33,Options!$B$3:$B$33,Check!O135),SUMIFS('Master P&amp;L'!$H$11:$H$85,'Master P&amp;L'!$B$11:$B$85,Check!O135)))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IF(B136="","",IF(LEN(B136)&gt;9,SUMIFS(Options!$H$3:$H$33,Options!$B$3:$B$33,Check!B136),SUMIFS('Master P&amp;L'!$H$11:$H$85,'Master P&amp;L'!$B$11:$B$85,Check!B136)))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IF(O136="","",IF(LEN(O136)&gt;9,SUMIFS(Options!$H$3:$H$33,Options!$B$3:$B$33,Check!O136),SUMIFS('Master P&amp;L'!$H$11:$H$85,'Master P&amp;L'!$B$11:$B$85,Check!O136)))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IF(B137="","",IF(LEN(B137)&gt;9,SUMIFS(Options!$H$3:$H$33,Options!$B$3:$B$33,Check!B137),SUMIFS('Master P&amp;L'!$H$11:$H$85,'Master P&amp;L'!$B$11:$B$85,Check!B137)))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IF(O137="","",IF(LEN(O137)&gt;9,SUMIFS(Options!$H$3:$H$33,Options!$B$3:$B$33,Check!O137),SUMIFS('Master P&amp;L'!$H$11:$H$85,'Master P&amp;L'!$B$11:$B$85,Check!O137)))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IF(B138="","",IF(LEN(B138)&gt;9,SUMIFS(Options!$H$3:$H$33,Options!$B$3:$B$33,Check!B138),SUMIFS('Master P&amp;L'!$H$11:$H$85,'Master P&amp;L'!$B$11:$B$85,Check!B138)))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IF(O138="","",IF(LEN(O138)&gt;9,SUMIFS(Options!$H$3:$H$33,Options!$B$3:$B$33,Check!O138),SUMIFS('Master P&amp;L'!$H$11:$H$85,'Master P&amp;L'!$B$11:$B$85,Check!O138)))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IF(B139="","",IF(LEN(B139)&gt;9,SUMIFS(Options!$H$3:$H$33,Options!$B$3:$B$33,Check!B139),SUMIFS('Master P&amp;L'!$H$11:$H$85,'Master P&amp;L'!$B$11:$B$85,Check!B139)))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IF(O139="","",IF(LEN(O139)&gt;9,SUMIFS(Options!$H$3:$H$33,Options!$B$3:$B$33,Check!O139),SUMIFS('Master P&amp;L'!$H$11:$H$85,'Master P&amp;L'!$B$11:$B$85,Check!O139)))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IF(B140="","",IF(LEN(B140)&gt;9,SUMIFS(Options!$H$3:$H$33,Options!$B$3:$B$33,Check!B140),SUMIFS('Master P&amp;L'!$H$11:$H$85,'Master P&amp;L'!$B$11:$B$85,Check!B140)))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IF(O140="","",IF(LEN(O140)&gt;9,SUMIFS(Options!$H$3:$H$33,Options!$B$3:$B$33,Check!O140),SUMIFS('Master P&amp;L'!$H$11:$H$85,'Master P&amp;L'!$B$11:$B$85,Check!O140)))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IF(B141="","",IF(LEN(B141)&gt;9,SUMIFS(Options!$H$3:$H$33,Options!$B$3:$B$33,Check!B141),SUMIFS('Master P&amp;L'!$H$11:$H$85,'Master P&amp;L'!$B$11:$B$85,Check!B141)))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IF(O141="","",IF(LEN(O141)&gt;9,SUMIFS(Options!$H$3:$H$33,Options!$B$3:$B$33,Check!O141),SUMIFS('Master P&amp;L'!$H$11:$H$85,'Master P&amp;L'!$B$11:$B$85,Check!O141)))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IF(B142="","",IF(LEN(B142)&gt;9,SUMIFS(Options!$H$3:$H$33,Options!$B$3:$B$33,Check!B142),SUMIFS('Master P&amp;L'!$H$11:$H$85,'Master P&amp;L'!$B$11:$B$85,Check!B142)))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IF(O142="","",IF(LEN(O142)&gt;9,SUMIFS(Options!$H$3:$H$33,Options!$B$3:$B$33,Check!O142),SUMIFS('Master P&amp;L'!$H$11:$H$85,'Master P&amp;L'!$B$11:$B$85,Check!O142)))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IF(B143="","",IF(LEN(B143)&gt;9,SUMIFS(Options!$H$3:$H$33,Options!$B$3:$B$33,Check!B143),SUMIFS('Master P&amp;L'!$H$11:$H$85,'Master P&amp;L'!$B$11:$B$85,Check!B143)))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IF(O143="","",IF(LEN(O143)&gt;9,SUMIFS(Options!$H$3:$H$33,Options!$B$3:$B$33,Check!O143),SUMIFS('Master P&amp;L'!$H$11:$H$85,'Master P&amp;L'!$B$11:$B$85,Check!O143)))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IF(B144="","",IF(LEN(B144)&gt;9,SUMIFS(Options!$H$3:$H$33,Options!$B$3:$B$33,Check!B144),SUMIFS('Master P&amp;L'!$H$11:$H$85,'Master P&amp;L'!$B$11:$B$85,Check!B144)))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IF(O144="","",IF(LEN(O144)&gt;9,SUMIFS(Options!$H$3:$H$33,Options!$B$3:$B$33,Check!O144),SUMIFS('Master P&amp;L'!$H$11:$H$85,'Master P&amp;L'!$B$11:$B$85,Check!O144)))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IF(B145="","",IF(LEN(B145)&gt;9,SUMIFS(Options!$H$3:$H$33,Options!$B$3:$B$33,Check!B145),SUMIFS('Master P&amp;L'!$H$11:$H$85,'Master P&amp;L'!$B$11:$B$85,Check!B145)))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IF(O145="","",IF(LEN(O145)&gt;9,SUMIFS(Options!$H$3:$H$33,Options!$B$3:$B$33,Check!O145),SUMIFS('Master P&amp;L'!$H$11:$H$85,'Master P&amp;L'!$B$11:$B$85,Check!O145)))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IF(B146="","",IF(LEN(B146)&gt;9,SUMIFS(Options!$H$3:$H$33,Options!$B$3:$B$33,Check!B146),SUMIFS('Master P&amp;L'!$H$11:$H$85,'Master P&amp;L'!$B$11:$B$85,Check!B146)))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IF(O146="","",IF(LEN(O146)&gt;9,SUMIFS(Options!$H$3:$H$33,Options!$B$3:$B$33,Check!O146),SUMIFS('Master P&amp;L'!$H$11:$H$85,'Master P&amp;L'!$B$11:$B$85,Check!O146)))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IF(B147="","",IF(LEN(B147)&gt;9,SUMIFS(Options!$H$3:$H$33,Options!$B$3:$B$33,Check!B147),SUMIFS('Master P&amp;L'!$H$11:$H$85,'Master P&amp;L'!$B$11:$B$85,Check!B147)))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IF(O147="","",IF(LEN(O147)&gt;9,SUMIFS(Options!$H$3:$H$33,Options!$B$3:$B$33,Check!O147),SUMIFS('Master P&amp;L'!$H$11:$H$85,'Master P&amp;L'!$B$11:$B$85,Check!O147)))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IF(B148="","",IF(LEN(B148)&gt;9,SUMIFS(Options!$H$3:$H$33,Options!$B$3:$B$33,Check!B148),SUMIFS('Master P&amp;L'!$H$11:$H$85,'Master P&amp;L'!$B$11:$B$85,Check!B148)))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IF(O148="","",IF(LEN(O148)&gt;9,SUMIFS(Options!$H$3:$H$33,Options!$B$3:$B$33,Check!O148),SUMIFS('Master P&amp;L'!$H$11:$H$85,'Master P&amp;L'!$B$11:$B$85,Check!O148)))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IF(B149="","",IF(LEN(B149)&gt;9,SUMIFS(Options!$H$3:$H$33,Options!$B$3:$B$33,Check!B149),SUMIFS('Master P&amp;L'!$H$11:$H$85,'Master P&amp;L'!$B$11:$B$85,Check!B149)))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IF(O149="","",IF(LEN(O149)&gt;9,SUMIFS(Options!$H$3:$H$33,Options!$B$3:$B$33,Check!O149),SUMIFS('Master P&amp;L'!$H$11:$H$85,'Master P&amp;L'!$B$11:$B$85,Check!O149)))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IF(B150="","",IF(LEN(B150)&gt;9,SUMIFS(Options!$H$3:$H$33,Options!$B$3:$B$33,Check!B150),SUMIFS('Master P&amp;L'!$H$11:$H$85,'Master P&amp;L'!$B$11:$B$85,Check!B150)))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IF(O150="","",IF(LEN(O150)&gt;9,SUMIFS(Options!$H$3:$H$33,Options!$B$3:$B$33,Check!O150),SUMIFS('Master P&amp;L'!$H$11:$H$85,'Master P&amp;L'!$B$11:$B$85,Check!O150)))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IF(B151="","",IF(LEN(B151)&gt;9,SUMIFS(Options!$H$3:$H$33,Options!$B$3:$B$33,Check!B151),SUMIFS('Master P&amp;L'!$H$11:$H$85,'Master P&amp;L'!$B$11:$B$85,Check!B151)))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IF(O151="","",IF(LEN(O151)&gt;9,SUMIFS(Options!$H$3:$H$33,Options!$B$3:$B$33,Check!O151),SUMIFS('Master P&amp;L'!$H$11:$H$85,'Master P&amp;L'!$B$11:$B$85,Check!O151)))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IF(B152="","",IF(LEN(B152)&gt;9,SUMIFS(Options!$H$3:$H$33,Options!$B$3:$B$33,Check!B152),SUMIFS('Master P&amp;L'!$H$11:$H$85,'Master P&amp;L'!$B$11:$B$85,Check!B152)))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IF(O152="","",IF(LEN(O152)&gt;9,SUMIFS(Options!$H$3:$H$33,Options!$B$3:$B$33,Check!O152),SUMIFS('Master P&amp;L'!$H$11:$H$85,'Master P&amp;L'!$B$11:$B$85,Check!O152)))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IF(B153="","",IF(LEN(B153)&gt;9,SUMIFS(Options!$H$3:$H$33,Options!$B$3:$B$33,Check!B153),SUMIFS('Master P&amp;L'!$H$11:$H$85,'Master P&amp;L'!$B$11:$B$85,Check!B153)))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IF(O153="","",IF(LEN(O153)&gt;9,SUMIFS(Options!$H$3:$H$33,Options!$B$3:$B$33,Check!O153),SUMIFS('Master P&amp;L'!$H$11:$H$85,'Master P&amp;L'!$B$11:$B$85,Check!O153)))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IF(B154="","",IF(LEN(B154)&gt;9,SUMIFS(Options!$H$3:$H$33,Options!$B$3:$B$33,Check!B154),SUMIFS('Master P&amp;L'!$H$11:$H$85,'Master P&amp;L'!$B$11:$B$85,Check!B154)))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IF(O154="","",IF(LEN(O154)&gt;9,SUMIFS(Options!$H$3:$H$33,Options!$B$3:$B$33,Check!O154),SUMIFS('Master P&amp;L'!$H$11:$H$85,'Master P&amp;L'!$B$11:$B$85,Check!O154)))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IF(B155="","",IF(LEN(B155)&gt;9,SUMIFS(Options!$H$3:$H$33,Options!$B$3:$B$33,Check!B155),SUMIFS('Master P&amp;L'!$H$11:$H$85,'Master P&amp;L'!$B$11:$B$85,Check!B155)))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IF(O155="","",IF(LEN(O155)&gt;9,SUMIFS(Options!$H$3:$H$33,Options!$B$3:$B$33,Check!O155),SUMIFS('Master P&amp;L'!$H$11:$H$85,'Master P&amp;L'!$B$11:$B$85,Check!O155)))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IF(B156="","",IF(LEN(B156)&gt;9,SUMIFS(Options!$H$3:$H$33,Options!$B$3:$B$33,Check!B156),SUMIFS('Master P&amp;L'!$H$11:$H$85,'Master P&amp;L'!$B$11:$B$85,Check!B156)))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IF(O156="","",IF(LEN(O156)&gt;9,SUMIFS(Options!$H$3:$H$33,Options!$B$3:$B$33,Check!O156),SUMIFS('Master P&amp;L'!$H$11:$H$85,'Master P&amp;L'!$B$11:$B$85,Check!O156)))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IF(B157="","",IF(LEN(B157)&gt;9,SUMIFS(Options!$H$3:$H$33,Options!$B$3:$B$33,Check!B157),SUMIFS('Master P&amp;L'!$H$11:$H$85,'Master P&amp;L'!$B$11:$B$85,Check!B157)))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IF(O157="","",IF(LEN(O157)&gt;9,SUMIFS(Options!$H$3:$H$33,Options!$B$3:$B$33,Check!O157),SUMIFS('Master P&amp;L'!$H$11:$H$85,'Master P&amp;L'!$B$11:$B$85,Check!O157)))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IF(B158="","",IF(LEN(B158)&gt;9,SUMIFS(Options!$H$3:$H$33,Options!$B$3:$B$33,Check!B158),SUMIFS('Master P&amp;L'!$H$11:$H$85,'Master P&amp;L'!$B$11:$B$85,Check!B158)))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IF(O158="","",IF(LEN(O158)&gt;9,SUMIFS(Options!$H$3:$H$33,Options!$B$3:$B$33,Check!O158),SUMIFS('Master P&amp;L'!$H$11:$H$85,'Master P&amp;L'!$B$11:$B$85,Check!O158)))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IF(B159="","",IF(LEN(B159)&gt;9,SUMIFS(Options!$H$3:$H$33,Options!$B$3:$B$33,Check!B159),SUMIFS('Master P&amp;L'!$H$11:$H$85,'Master P&amp;L'!$B$11:$B$85,Check!B159)))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IF(O159="","",IF(LEN(O159)&gt;9,SUMIFS(Options!$H$3:$H$33,Options!$B$3:$B$33,Check!O159),SUMIFS('Master P&amp;L'!$H$11:$H$85,'Master P&amp;L'!$B$11:$B$85,Check!O159)))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IF(B160="","",IF(LEN(B160)&gt;9,SUMIFS(Options!$H$3:$H$33,Options!$B$3:$B$33,Check!B160),SUMIFS('Master P&amp;L'!$H$11:$H$85,'Master P&amp;L'!$B$11:$B$85,Check!B160)))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IF(O160="","",IF(LEN(O160)&gt;9,SUMIFS(Options!$H$3:$H$33,Options!$B$3:$B$33,Check!O160),SUMIFS('Master P&amp;L'!$H$11:$H$85,'Master P&amp;L'!$B$11:$B$85,Check!O160)))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IF(B161="","",IF(LEN(B161)&gt;9,SUMIFS(Options!$H$3:$H$33,Options!$B$3:$B$33,Check!B161),SUMIFS('Master P&amp;L'!$H$11:$H$85,'Master P&amp;L'!$B$11:$B$85,Check!B161)))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IF(O161="","",IF(LEN(O161)&gt;9,SUMIFS(Options!$H$3:$H$33,Options!$B$3:$B$33,Check!O161),SUMIFS('Master P&amp;L'!$H$11:$H$85,'Master P&amp;L'!$B$11:$B$85,Check!O161)))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IF(B162="","",IF(LEN(B162)&gt;9,SUMIFS(Options!$H$3:$H$33,Options!$B$3:$B$33,Check!B162),SUMIFS('Master P&amp;L'!$H$11:$H$85,'Master P&amp;L'!$B$11:$B$85,Check!B162)))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IF(O162="","",IF(LEN(O162)&gt;9,SUMIFS(Options!$H$3:$H$33,Options!$B$3:$B$33,Check!O162),SUMIFS('Master P&amp;L'!$H$11:$H$85,'Master P&amp;L'!$B$11:$B$85,Check!O162)))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IF(B163="","",IF(LEN(B163)&gt;9,SUMIFS(Options!$H$3:$H$33,Options!$B$3:$B$33,Check!B163),SUMIFS('Master P&amp;L'!$H$11:$H$85,'Master P&amp;L'!$B$11:$B$85,Check!B163)))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IF(O163="","",IF(LEN(O163)&gt;9,SUMIFS(Options!$H$3:$H$33,Options!$B$3:$B$33,Check!O163),SUMIFS('Master P&amp;L'!$H$11:$H$85,'Master P&amp;L'!$B$11:$B$85,Check!O163)))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IF(B164="","",IF(LEN(B164)&gt;9,SUMIFS(Options!$H$3:$H$33,Options!$B$3:$B$33,Check!B164),SUMIFS('Master P&amp;L'!$H$11:$H$85,'Master P&amp;L'!$B$11:$B$85,Check!B164)))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IF(O164="","",IF(LEN(O164)&gt;9,SUMIFS(Options!$H$3:$H$33,Options!$B$3:$B$33,Check!O164),SUMIFS('Master P&amp;L'!$H$11:$H$85,'Master P&amp;L'!$B$11:$B$85,Check!O164)))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IF(B165="","",IF(LEN(B165)&gt;9,SUMIFS(Options!$H$3:$H$33,Options!$B$3:$B$33,Check!B165),SUMIFS('Master P&amp;L'!$H$11:$H$85,'Master P&amp;L'!$B$11:$B$85,Check!B165)))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IF(O165="","",IF(LEN(O165)&gt;9,SUMIFS(Options!$H$3:$H$33,Options!$B$3:$B$33,Check!O165),SUMIFS('Master P&amp;L'!$H$11:$H$85,'Master P&amp;L'!$B$11:$B$85,Check!O165)))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IF(B166="","",IF(LEN(B166)&gt;9,SUMIFS(Options!$H$3:$H$33,Options!$B$3:$B$33,Check!B166),SUMIFS('Master P&amp;L'!$H$11:$H$85,'Master P&amp;L'!$B$11:$B$85,Check!B166)))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IF(O166="","",IF(LEN(O166)&gt;9,SUMIFS(Options!$H$3:$H$33,Options!$B$3:$B$33,Check!O166),SUMIFS('Master P&amp;L'!$H$11:$H$85,'Master P&amp;L'!$B$11:$B$85,Check!O166)))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IF(B167="","",IF(LEN(B167)&gt;9,SUMIFS(Options!$H$3:$H$33,Options!$B$3:$B$33,Check!B167),SUMIFS('Master P&amp;L'!$H$11:$H$85,'Master P&amp;L'!$B$11:$B$85,Check!B167)))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IF(O167="","",IF(LEN(O167)&gt;9,SUMIFS(Options!$H$3:$H$33,Options!$B$3:$B$33,Check!O167),SUMIFS('Master P&amp;L'!$H$11:$H$85,'Master P&amp;L'!$B$11:$B$85,Check!O167)))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IF(B168="","",IF(LEN(B168)&gt;9,SUMIFS(Options!$H$3:$H$33,Options!$B$3:$B$33,Check!B168),SUMIFS('Master P&amp;L'!$H$11:$H$85,'Master P&amp;L'!$B$11:$B$85,Check!B168)))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IF(O168="","",IF(LEN(O168)&gt;9,SUMIFS(Options!$H$3:$H$33,Options!$B$3:$B$33,Check!O168),SUMIFS('Master P&amp;L'!$H$11:$H$85,'Master P&amp;L'!$B$11:$B$85,Check!O168)))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IF(B169="","",IF(LEN(B169)&gt;9,SUMIFS(Options!$H$3:$H$33,Options!$B$3:$B$33,Check!B169),SUMIFS('Master P&amp;L'!$H$11:$H$85,'Master P&amp;L'!$B$11:$B$85,Check!B169)))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IF(O169="","",IF(LEN(O169)&gt;9,SUMIFS(Options!$H$3:$H$33,Options!$B$3:$B$33,Check!O169),SUMIFS('Master P&amp;L'!$H$11:$H$85,'Master P&amp;L'!$B$11:$B$85,Check!O169)))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IF(B170="","",IF(LEN(B170)&gt;9,SUMIFS(Options!$H$3:$H$33,Options!$B$3:$B$33,Check!B170),SUMIFS('Master P&amp;L'!$H$11:$H$85,'Master P&amp;L'!$B$11:$B$85,Check!B170)))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IF(O170="","",IF(LEN(O170)&gt;9,SUMIFS(Options!$H$3:$H$33,Options!$B$3:$B$33,Check!O170),SUMIFS('Master P&amp;L'!$H$11:$H$85,'Master P&amp;L'!$B$11:$B$85,Check!O170)))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IF(B171="","",IF(LEN(B171)&gt;9,SUMIFS(Options!$H$3:$H$33,Options!$B$3:$B$33,Check!B171),SUMIFS('Master P&amp;L'!$H$11:$H$85,'Master P&amp;L'!$B$11:$B$85,Check!B171)))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IF(O171="","",IF(LEN(O171)&gt;9,SUMIFS(Options!$H$3:$H$33,Options!$B$3:$B$33,Check!O171),SUMIFS('Master P&amp;L'!$H$11:$H$85,'Master P&amp;L'!$B$11:$B$85,Check!O171)))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IF(B172="","",IF(LEN(B172)&gt;9,SUMIFS(Options!$H$3:$H$33,Options!$B$3:$B$33,Check!B172),SUMIFS('Master P&amp;L'!$H$11:$H$85,'Master P&amp;L'!$B$11:$B$85,Check!B172)))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IF(O172="","",IF(LEN(O172)&gt;9,SUMIFS(Options!$H$3:$H$33,Options!$B$3:$B$33,Check!O172),SUMIFS('Master P&amp;L'!$H$11:$H$85,'Master P&amp;L'!$B$11:$B$85,Check!O172)))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IF(B173="","",IF(LEN(B173)&gt;9,SUMIFS(Options!$H$3:$H$33,Options!$B$3:$B$33,Check!B173),SUMIFS('Master P&amp;L'!$H$11:$H$85,'Master P&amp;L'!$B$11:$B$85,Check!B173)))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IF(O173="","",IF(LEN(O173)&gt;9,SUMIFS(Options!$H$3:$H$33,Options!$B$3:$B$33,Check!O173),SUMIFS('Master P&amp;L'!$H$11:$H$85,'Master P&amp;L'!$B$11:$B$85,Check!O173)))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IF(B174="","",IF(LEN(B174)&gt;9,SUMIFS(Options!$H$3:$H$33,Options!$B$3:$B$33,Check!B174),SUMIFS('Master P&amp;L'!$H$11:$H$85,'Master P&amp;L'!$B$11:$B$85,Check!B174)))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IF(O174="","",IF(LEN(O174)&gt;9,SUMIFS(Options!$H$3:$H$33,Options!$B$3:$B$33,Check!O174),SUMIFS('Master P&amp;L'!$H$11:$H$85,'Master P&amp;L'!$B$11:$B$85,Check!O174)))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IF(B175="","",IF(LEN(B175)&gt;9,SUMIFS(Options!$H$3:$H$33,Options!$B$3:$B$33,Check!B175),SUMIFS('Master P&amp;L'!$H$11:$H$85,'Master P&amp;L'!$B$11:$B$85,Check!B175)))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IF(O175="","",IF(LEN(O175)&gt;9,SUMIFS(Options!$H$3:$H$33,Options!$B$3:$B$33,Check!O175),SUMIFS('Master P&amp;L'!$H$11:$H$85,'Master P&amp;L'!$B$11:$B$85,Check!O175)))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IF(B176="","",IF(LEN(B176)&gt;9,SUMIFS(Options!$H$3:$H$33,Options!$B$3:$B$33,Check!B176),SUMIFS('Master P&amp;L'!$H$11:$H$85,'Master P&amp;L'!$B$11:$B$85,Check!B176)))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IF(O176="","",IF(LEN(O176)&gt;9,SUMIFS(Options!$H$3:$H$33,Options!$B$3:$B$33,Check!O176),SUMIFS('Master P&amp;L'!$H$11:$H$85,'Master P&amp;L'!$B$11:$B$85,Check!O176)))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IF(B177="","",IF(LEN(B177)&gt;9,SUMIFS(Options!$H$3:$H$33,Options!$B$3:$B$33,Check!B177),SUMIFS('Master P&amp;L'!$H$11:$H$85,'Master P&amp;L'!$B$11:$B$85,Check!B177)))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IF(O177="","",IF(LEN(O177)&gt;9,SUMIFS(Options!$H$3:$H$33,Options!$B$3:$B$33,Check!O177),SUMIFS('Master P&amp;L'!$H$11:$H$85,'Master P&amp;L'!$B$11:$B$85,Check!O177)))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IF(B178="","",IF(LEN(B178)&gt;9,SUMIFS(Options!$H$3:$H$33,Options!$B$3:$B$33,Check!B178),SUMIFS('Master P&amp;L'!$H$11:$H$85,'Master P&amp;L'!$B$11:$B$85,Check!B178)))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IF(O178="","",IF(LEN(O178)&gt;9,SUMIFS(Options!$H$3:$H$33,Options!$B$3:$B$33,Check!O178),SUMIFS('Master P&amp;L'!$H$11:$H$85,'Master P&amp;L'!$B$11:$B$85,Check!O178)))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IF(B179="","",IF(LEN(B179)&gt;9,SUMIFS(Options!$H$3:$H$33,Options!$B$3:$B$33,Check!B179),SUMIFS('Master P&amp;L'!$H$11:$H$85,'Master P&amp;L'!$B$11:$B$85,Check!B179)))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IF(O179="","",IF(LEN(O179)&gt;9,SUMIFS(Options!$H$3:$H$33,Options!$B$3:$B$33,Check!O179),SUMIFS('Master P&amp;L'!$H$11:$H$85,'Master P&amp;L'!$B$11:$B$85,Check!O179)))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IF(B180="","",IF(LEN(B180)&gt;9,SUMIFS(Options!$H$3:$H$33,Options!$B$3:$B$33,Check!B180),SUMIFS('Master P&amp;L'!$H$11:$H$85,'Master P&amp;L'!$B$11:$B$85,Check!B180)))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IF(O180="","",IF(LEN(O180)&gt;9,SUMIFS(Options!$H$3:$H$33,Options!$B$3:$B$33,Check!O180),SUMIFS('Master P&amp;L'!$H$11:$H$85,'Master P&amp;L'!$B$11:$B$85,Check!O180)))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IF(B181="","",IF(LEN(B181)&gt;9,SUMIFS(Options!$H$3:$H$33,Options!$B$3:$B$33,Check!B181),SUMIFS('Master P&amp;L'!$H$11:$H$85,'Master P&amp;L'!$B$11:$B$85,Check!B181)))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IF(O181="","",IF(LEN(O181)&gt;9,SUMIFS(Options!$H$3:$H$33,Options!$B$3:$B$33,Check!O181),SUMIFS('Master P&amp;L'!$H$11:$H$85,'Master P&amp;L'!$B$11:$B$85,Check!O181)))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IF(B182="","",IF(LEN(B182)&gt;9,SUMIFS(Options!$H$3:$H$33,Options!$B$3:$B$33,Check!B182),SUMIFS('Master P&amp;L'!$H$11:$H$85,'Master P&amp;L'!$B$11:$B$85,Check!B182)))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IF(O182="","",IF(LEN(O182)&gt;9,SUMIFS(Options!$H$3:$H$33,Options!$B$3:$B$33,Check!O182),SUMIFS('Master P&amp;L'!$H$11:$H$85,'Master P&amp;L'!$B$11:$B$85,Check!O182)))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IF(B183="","",IF(LEN(B183)&gt;9,SUMIFS(Options!$H$3:$H$33,Options!$B$3:$B$33,Check!B183),SUMIFS('Master P&amp;L'!$H$11:$H$85,'Master P&amp;L'!$B$11:$B$85,Check!B183)))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IF(O183="","",IF(LEN(O183)&gt;9,SUMIFS(Options!$H$3:$H$33,Options!$B$3:$B$33,Check!O183),SUMIFS('Master P&amp;L'!$H$11:$H$85,'Master P&amp;L'!$B$11:$B$85,Check!O183)))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IF(B184="","",IF(LEN(B184)&gt;9,SUMIFS(Options!$H$3:$H$33,Options!$B$3:$B$33,Check!B184),SUMIFS('Master P&amp;L'!$H$11:$H$85,'Master P&amp;L'!$B$11:$B$85,Check!B184)))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IF(O184="","",IF(LEN(O184)&gt;9,SUMIFS(Options!$H$3:$H$33,Options!$B$3:$B$33,Check!O184),SUMIFS('Master P&amp;L'!$H$11:$H$85,'Master P&amp;L'!$B$11:$B$85,Check!O184)))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IF(B185="","",IF(LEN(B185)&gt;9,SUMIFS(Options!$H$3:$H$33,Options!$B$3:$B$33,Check!B185),SUMIFS('Master P&amp;L'!$H$11:$H$85,'Master P&amp;L'!$B$11:$B$85,Check!B185)))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IF(O185="","",IF(LEN(O185)&gt;9,SUMIFS(Options!$H$3:$H$33,Options!$B$3:$B$33,Check!O185),SUMIFS('Master P&amp;L'!$H$11:$H$85,'Master P&amp;L'!$B$11:$B$85,Check!O185)))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IF(B186="","",IF(LEN(B186)&gt;9,SUMIFS(Options!$H$3:$H$33,Options!$B$3:$B$33,Check!B186),SUMIFS('Master P&amp;L'!$H$11:$H$85,'Master P&amp;L'!$B$11:$B$85,Check!B186)))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IF(O186="","",IF(LEN(O186)&gt;9,SUMIFS(Options!$H$3:$H$33,Options!$B$3:$B$33,Check!O186),SUMIFS('Master P&amp;L'!$H$11:$H$85,'Master P&amp;L'!$B$11:$B$85,Check!O186)))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IF(B187="","",IF(LEN(B187)&gt;9,SUMIFS(Options!$H$3:$H$33,Options!$B$3:$B$33,Check!B187),SUMIFS('Master P&amp;L'!$H$11:$H$85,'Master P&amp;L'!$B$11:$B$85,Check!B187)))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IF(O187="","",IF(LEN(O187)&gt;9,SUMIFS(Options!$H$3:$H$33,Options!$B$3:$B$33,Check!O187),SUMIFS('Master P&amp;L'!$H$11:$H$85,'Master P&amp;L'!$B$11:$B$85,Check!O187)))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IF(B188="","",IF(LEN(B188)&gt;9,SUMIFS(Options!$H$3:$H$33,Options!$B$3:$B$33,Check!B188),SUMIFS('Master P&amp;L'!$H$11:$H$85,'Master P&amp;L'!$B$11:$B$85,Check!B188)))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IF(O188="","",IF(LEN(O188)&gt;9,SUMIFS(Options!$H$3:$H$33,Options!$B$3:$B$33,Check!O188),SUMIFS('Master P&amp;L'!$H$11:$H$85,'Master P&amp;L'!$B$11:$B$85,Check!O188)))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IF(B189="","",IF(LEN(B189)&gt;9,SUMIFS(Options!$H$3:$H$33,Options!$B$3:$B$33,Check!B189),SUMIFS('Master P&amp;L'!$H$11:$H$85,'Master P&amp;L'!$B$11:$B$85,Check!B189)))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IF(O189="","",IF(LEN(O189)&gt;9,SUMIFS(Options!$H$3:$H$33,Options!$B$3:$B$33,Check!O189),SUMIFS('Master P&amp;L'!$H$11:$H$85,'Master P&amp;L'!$B$11:$B$85,Check!O189)))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IF(B190="","",IF(LEN(B190)&gt;9,SUMIFS(Options!$H$3:$H$33,Options!$B$3:$B$33,Check!B190),SUMIFS('Master P&amp;L'!$H$11:$H$85,'Master P&amp;L'!$B$11:$B$85,Check!B190)))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IF(O190="","",IF(LEN(O190)&gt;9,SUMIFS(Options!$H$3:$H$33,Options!$B$3:$B$33,Check!O190),SUMIFS('Master P&amp;L'!$H$11:$H$85,'Master P&amp;L'!$B$11:$B$85,Check!O190)))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IF(B191="","",IF(LEN(B191)&gt;9,SUMIFS(Options!$H$3:$H$33,Options!$B$3:$B$33,Check!B191),SUMIFS('Master P&amp;L'!$H$11:$H$85,'Master P&amp;L'!$B$11:$B$85,Check!B191)))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IF(O191="","",IF(LEN(O191)&gt;9,SUMIFS(Options!$H$3:$H$33,Options!$B$3:$B$33,Check!O191),SUMIFS('Master P&amp;L'!$H$11:$H$85,'Master P&amp;L'!$B$11:$B$85,Check!O191)))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IF(O192="","",IF(LEN(O192)&gt;9,SUMIFS(Options!$H$3:$H$33,Options!$B$3:$B$33,Check!O192),SUMIFS('Master P&amp;L'!$H$11:$H$85,'Master P&amp;L'!$B$11:$B$85,Check!O192)))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IF(O193="","",IF(LEN(O193)&gt;9,SUMIFS(Options!$H$3:$H$33,Options!$B$3:$B$33,Check!O193),SUMIFS('Master P&amp;L'!$H$11:$H$85,'Master P&amp;L'!$B$11:$B$85,Check!O193)))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IF(O194="","",IF(LEN(O194)&gt;9,SUMIFS(Options!$H$3:$H$33,Options!$B$3:$B$33,Check!O194),SUMIFS('Master P&amp;L'!$H$11:$H$85,'Master P&amp;L'!$B$11:$B$85,Check!O194)))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IF(O195="","",IF(LEN(O195)&gt;9,SUMIFS(Options!$H$3:$H$33,Options!$B$3:$B$33,Check!O195),SUMIFS('Master P&amp;L'!$H$11:$H$85,'Master P&amp;L'!$B$11:$B$85,Check!O195)))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IF(O196="","",IF(LEN(O196)&gt;9,SUMIFS(Options!$H$3:$H$33,Options!$B$3:$B$33,Check!O196),SUMIFS('Master P&amp;L'!$H$11:$H$85,'Master P&amp;L'!$B$11:$B$85,Check!O196)))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IF(O197="","",IF(LEN(O197)&gt;9,SUMIFS(Options!$H$3:$H$33,Options!$B$3:$B$33,Check!O197),SUMIFS('Master P&amp;L'!$H$11:$H$85,'Master P&amp;L'!$B$11:$B$85,Check!O197)))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IF(O198="","",IF(LEN(O198)&gt;9,SUMIFS(Options!$H$3:$H$33,Options!$B$3:$B$33,Check!O198),SUMIFS('Master P&amp;L'!$H$11:$H$85,'Master P&amp;L'!$B$11:$B$85,Check!O198)))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IF(O199="","",IF(LEN(O199)&gt;9,SUMIFS(Options!$H$3:$H$33,Options!$B$3:$B$33,Check!O199),SUMIFS('Master P&amp;L'!$H$11:$H$85,'Master P&amp;L'!$B$11:$B$85,Check!O199)))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IF(O200="","",IF(LEN(O200)&gt;9,SUMIFS(Options!$H$3:$H$33,Options!$B$3:$B$33,Check!O200),SUMIFS('Master P&amp;L'!$H$11:$H$85,'Master P&amp;L'!$B$11:$B$85,Check!O200)))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IF(O201="","",IF(LEN(O201)&gt;9,SUMIFS(Options!$H$3:$H$33,Options!$B$3:$B$33,Check!O201),SUMIFS('Master P&amp;L'!$H$11:$H$85,'Master P&amp;L'!$B$11:$B$85,Check!O201)))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IF(O202="","",IF(LEN(O202)&gt;9,SUMIFS(Options!$H$3:$H$33,Options!$B$3:$B$33,Check!O202),SUMIFS('Master P&amp;L'!$H$11:$H$85,'Master P&amp;L'!$B$11:$B$85,Check!O202)))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IF(O203="","",IF(LEN(O203)&gt;9,SUMIFS(Options!$H$3:$H$33,Options!$B$3:$B$33,Check!O203),SUMIFS('Master P&amp;L'!$H$11:$H$85,'Master P&amp;L'!$B$11:$B$85,Check!O203)))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IF(O204="","",IF(LEN(O204)&gt;9,SUMIFS(Options!$H$3:$H$33,Options!$B$3:$B$33,Check!O204),SUMIFS('Master P&amp;L'!$H$11:$H$85,'Master P&amp;L'!$B$11:$B$85,Check!O204)))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IF(O205="","",IF(LEN(O205)&gt;9,SUMIFS(Options!$H$3:$H$33,Options!$B$3:$B$33,Check!O205),SUMIFS('Master P&amp;L'!$H$11:$H$85,'Master P&amp;L'!$B$11:$B$85,Check!O205)))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IF(O206="","",IF(LEN(O206)&gt;9,SUMIFS(Options!$H$3:$H$33,Options!$B$3:$B$33,Check!O206),SUMIFS('Master P&amp;L'!$H$11:$H$85,'Master P&amp;L'!$B$11:$B$85,Check!O206)))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5" priority="4">
      <formula>J5&lt;&gt;0</formula>
    </cfRule>
  </conditionalFormatting>
  <conditionalFormatting sqref="E5:E191">
    <cfRule type="expression" dxfId="44" priority="3">
      <formula>E5&lt;&gt;0</formula>
    </cfRule>
  </conditionalFormatting>
  <conditionalFormatting sqref="S5:S206">
    <cfRule type="cellIs" dxfId="43" priority="2" operator="lessThan">
      <formula>0.9</formula>
    </cfRule>
  </conditionalFormatting>
  <conditionalFormatting sqref="S5:S198">
    <cfRule type="expression" dxfId="4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69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9" width="12.85546875" style="213" bestFit="1" customWidth="1" outlineLevel="1"/>
    <col min="10" max="10" width="9.140625" style="213"/>
    <col min="11" max="11" width="21" style="213" bestFit="1" customWidth="1"/>
    <col min="12" max="12" width="28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15396</v>
      </c>
      <c r="I2" s="213">
        <v>15396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15396</v>
      </c>
      <c r="O2" s="215">
        <f>IF(E2="","",I2)</f>
        <v>15396</v>
      </c>
    </row>
    <row r="3" spans="5:15">
      <c r="E3" s="213" t="s">
        <v>324</v>
      </c>
      <c r="F3" s="213" t="s">
        <v>2340</v>
      </c>
      <c r="G3" s="213" t="s">
        <v>282</v>
      </c>
      <c r="H3" s="213">
        <v>1405</v>
      </c>
      <c r="I3" s="213">
        <v>1405</v>
      </c>
      <c r="K3" s="214" t="str">
        <f t="shared" ref="K3:K66" si="0">IF(E3="","",E3)</f>
        <v>ETF Options</v>
      </c>
      <c r="L3" s="214" t="str">
        <f>IF(E3="","",IF(COUNTIFS(Table2[[#All],[De (Lote)]],Input_APM!F3)&gt;0,INDEX(Table2[[#All],[Para (Ticker Daniel)]],MATCH(Input_APM!F3,Table2[[#All],[De (Lote)]],0)),Input_APM!F3))</f>
        <v>ASHR US 02/20/26 C35</v>
      </c>
      <c r="M3" s="214" t="str">
        <f t="shared" ref="M3:M66" si="1">IF(E3="","",G3)</f>
        <v>EQTY.IntlUS.off</v>
      </c>
      <c r="N3" s="215">
        <f t="shared" ref="N3:N66" si="2">IF(E3="","",H3)</f>
        <v>1405</v>
      </c>
      <c r="O3" s="215">
        <f t="shared" ref="O3:O66" si="3">IF(E3="","",I3)</f>
        <v>1405</v>
      </c>
    </row>
    <row r="4" spans="5:15">
      <c r="E4" s="213" t="s">
        <v>317</v>
      </c>
      <c r="F4" s="213" t="s">
        <v>137</v>
      </c>
      <c r="G4" s="213" t="s">
        <v>282</v>
      </c>
      <c r="H4" s="213">
        <v>4743</v>
      </c>
      <c r="I4" s="213">
        <v>4743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AVGO</v>
      </c>
      <c r="M4" s="214" t="str">
        <f t="shared" si="1"/>
        <v>EQTY.IntlUS.off</v>
      </c>
      <c r="N4" s="215">
        <f t="shared" si="2"/>
        <v>4743</v>
      </c>
      <c r="O4" s="215">
        <f t="shared" si="3"/>
        <v>4743</v>
      </c>
    </row>
    <row r="5" spans="5:15">
      <c r="E5" s="213" t="s">
        <v>319</v>
      </c>
      <c r="F5" s="213" t="s">
        <v>2157</v>
      </c>
      <c r="G5" s="213" t="s">
        <v>282</v>
      </c>
      <c r="H5" s="213">
        <v>48</v>
      </c>
      <c r="I5" s="213">
        <v>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C350</v>
      </c>
      <c r="M5" s="214" t="str">
        <f t="shared" si="1"/>
        <v>EQTY.IntlUS.off</v>
      </c>
      <c r="N5" s="215">
        <f t="shared" si="2"/>
        <v>48</v>
      </c>
      <c r="O5" s="215">
        <f t="shared" si="3"/>
        <v>48</v>
      </c>
    </row>
    <row r="6" spans="5:15">
      <c r="E6" s="213" t="s">
        <v>319</v>
      </c>
      <c r="F6" s="213" t="s">
        <v>2159</v>
      </c>
      <c r="G6" s="213" t="s">
        <v>282</v>
      </c>
      <c r="H6" s="213">
        <v>-48</v>
      </c>
      <c r="I6" s="213">
        <v>-48</v>
      </c>
      <c r="K6" s="214" t="str">
        <f t="shared" si="0"/>
        <v>US Equity Options</v>
      </c>
      <c r="L6" s="214" t="str">
        <f>IF(E6="","",IF(COUNTIFS(Table2[[#All],[De (Lote)]],Input_APM!F6)&gt;0,INDEX(Table2[[#All],[Para (Ticker Daniel)]],MATCH(Input_APM!F6,Table2[[#All],[De (Lote)]],0)),Input_APM!F6))</f>
        <v>AVGO US 06/18/26 C410</v>
      </c>
      <c r="M6" s="214" t="str">
        <f t="shared" si="1"/>
        <v>EQTY.IntlUS.off</v>
      </c>
      <c r="N6" s="215">
        <f t="shared" si="2"/>
        <v>-48</v>
      </c>
      <c r="O6" s="215">
        <f t="shared" si="3"/>
        <v>-48</v>
      </c>
    </row>
    <row r="7" spans="5:15">
      <c r="E7" s="213" t="s">
        <v>39</v>
      </c>
      <c r="F7" s="213" t="s">
        <v>461</v>
      </c>
      <c r="G7" s="213" t="s">
        <v>282</v>
      </c>
      <c r="H7" s="213">
        <v>3163</v>
      </c>
      <c r="I7" s="213">
        <v>3163</v>
      </c>
      <c r="K7" s="214" t="str">
        <f t="shared" si="0"/>
        <v>ADR</v>
      </c>
      <c r="L7" s="214" t="str">
        <f>IF(E7="","",IF(COUNTIFS(Table2[[#All],[De (Lote)]],Input_APM!F7)&gt;0,INDEX(Table2[[#All],[Para (Ticker Daniel)]],MATCH(Input_APM!F7,Table2[[#All],[De (Lote)]],0)),Input_APM!F7))</f>
        <v>BABA</v>
      </c>
      <c r="M7" s="214" t="str">
        <f t="shared" si="1"/>
        <v>EQTY.IntlUS.off</v>
      </c>
      <c r="N7" s="215">
        <f t="shared" si="2"/>
        <v>3163</v>
      </c>
      <c r="O7" s="215">
        <f t="shared" si="3"/>
        <v>3163</v>
      </c>
    </row>
    <row r="8" spans="5:15">
      <c r="E8" s="213" t="s">
        <v>39</v>
      </c>
      <c r="F8" s="213" t="s">
        <v>2215</v>
      </c>
      <c r="G8" s="213" t="s">
        <v>282</v>
      </c>
      <c r="H8" s="213">
        <v>3285</v>
      </c>
      <c r="I8" s="213">
        <v>3285</v>
      </c>
      <c r="K8" s="214" t="str">
        <f t="shared" si="0"/>
        <v>ADR</v>
      </c>
      <c r="L8" s="214" t="str">
        <f>IF(E8="","",IF(COUNTIFS(Table2[[#All],[De (Lote)]],Input_APM!F8)&gt;0,INDEX(Table2[[#All],[Para (Ticker Daniel)]],MATCH(Input_APM!F8,Table2[[#All],[De (Lote)]],0)),Input_APM!F8))</f>
        <v>BIDU</v>
      </c>
      <c r="M8" s="214" t="str">
        <f t="shared" si="1"/>
        <v>EQTY.IntlUS.off</v>
      </c>
      <c r="N8" s="215">
        <f t="shared" si="2"/>
        <v>3285</v>
      </c>
      <c r="O8" s="215">
        <f t="shared" si="3"/>
        <v>3285</v>
      </c>
    </row>
    <row r="9" spans="5:15">
      <c r="E9" s="213" t="s">
        <v>321</v>
      </c>
      <c r="F9" s="213" t="s">
        <v>295</v>
      </c>
      <c r="G9" s="213" t="s">
        <v>282</v>
      </c>
      <c r="H9" s="213">
        <v>-0.28999999999999998</v>
      </c>
      <c r="I9" s="213">
        <v>-0.28999999999999998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CAD</v>
      </c>
      <c r="M9" s="214" t="str">
        <f t="shared" si="1"/>
        <v>EQTY.IntlUS.off</v>
      </c>
      <c r="N9" s="215">
        <f t="shared" si="2"/>
        <v>-0.28999999999999998</v>
      </c>
      <c r="O9" s="215">
        <f t="shared" si="3"/>
        <v>-0.28999999999999998</v>
      </c>
    </row>
    <row r="10" spans="5:15">
      <c r="E10" s="213" t="s">
        <v>321</v>
      </c>
      <c r="F10" s="213" t="s">
        <v>296</v>
      </c>
      <c r="G10" s="213" t="s">
        <v>283</v>
      </c>
      <c r="H10" s="213">
        <v>0.39</v>
      </c>
      <c r="I10" s="213">
        <v>0.39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CHF</v>
      </c>
      <c r="M10" s="214" t="str">
        <f t="shared" si="1"/>
        <v>EQTY.InternacionalUS2.off</v>
      </c>
      <c r="N10" s="215">
        <f t="shared" si="2"/>
        <v>0.39</v>
      </c>
      <c r="O10" s="215">
        <f t="shared" si="3"/>
        <v>0.39</v>
      </c>
    </row>
    <row r="11" spans="5:15">
      <c r="E11" s="213" t="s">
        <v>321</v>
      </c>
      <c r="F11" s="213" t="s">
        <v>296</v>
      </c>
      <c r="G11" s="213" t="s">
        <v>282</v>
      </c>
      <c r="H11" s="213">
        <v>-34454.449999999997</v>
      </c>
      <c r="I11" s="213">
        <v>-34454.449999999997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CHF</v>
      </c>
      <c r="M11" s="214" t="str">
        <f t="shared" si="1"/>
        <v>EQTY.IntlUS.off</v>
      </c>
      <c r="N11" s="215">
        <f t="shared" si="2"/>
        <v>-34454.449999999997</v>
      </c>
      <c r="O11" s="215">
        <f t="shared" si="3"/>
        <v>-34454.449999999997</v>
      </c>
    </row>
    <row r="12" spans="5:15">
      <c r="E12" s="213" t="s">
        <v>321</v>
      </c>
      <c r="F12" s="213" t="s">
        <v>297</v>
      </c>
      <c r="G12" s="213" t="s">
        <v>282</v>
      </c>
      <c r="H12" s="213">
        <v>-0.36</v>
      </c>
      <c r="I12" s="213">
        <v>-0.36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CNH</v>
      </c>
      <c r="M12" s="214" t="str">
        <f t="shared" si="1"/>
        <v>EQTY.IntlUS.off</v>
      </c>
      <c r="N12" s="215">
        <f t="shared" si="2"/>
        <v>-0.36</v>
      </c>
      <c r="O12" s="215">
        <f t="shared" si="3"/>
        <v>-0.36</v>
      </c>
    </row>
    <row r="13" spans="5:15">
      <c r="E13" s="213" t="s">
        <v>321</v>
      </c>
      <c r="F13" s="213" t="s">
        <v>2180</v>
      </c>
      <c r="G13" s="213" t="s">
        <v>283</v>
      </c>
      <c r="H13" s="213">
        <v>-0.19</v>
      </c>
      <c r="I13" s="213">
        <v>-0.19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CNY</v>
      </c>
      <c r="M13" s="214" t="str">
        <f t="shared" si="1"/>
        <v>EQTY.InternacionalUS2.off</v>
      </c>
      <c r="N13" s="215">
        <f t="shared" si="2"/>
        <v>-0.19</v>
      </c>
      <c r="O13" s="215">
        <f t="shared" si="3"/>
        <v>-0.19</v>
      </c>
    </row>
    <row r="14" spans="5:15">
      <c r="E14" s="213" t="s">
        <v>321</v>
      </c>
      <c r="F14" s="213" t="s">
        <v>2180</v>
      </c>
      <c r="G14" s="213" t="s">
        <v>282</v>
      </c>
      <c r="H14" s="213">
        <v>-143145.81</v>
      </c>
      <c r="I14" s="213">
        <v>-143145.81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CNY</v>
      </c>
      <c r="M14" s="214" t="str">
        <f t="shared" si="1"/>
        <v>EQTY.IntlUS.off</v>
      </c>
      <c r="N14" s="215">
        <f t="shared" si="2"/>
        <v>-143145.81</v>
      </c>
      <c r="O14" s="215">
        <f t="shared" si="3"/>
        <v>-143145.81</v>
      </c>
    </row>
    <row r="15" spans="5:15">
      <c r="E15" s="213" t="s">
        <v>321</v>
      </c>
      <c r="F15" s="213" t="s">
        <v>298</v>
      </c>
      <c r="G15" s="213" t="s">
        <v>283</v>
      </c>
      <c r="H15" s="213">
        <v>-0.15</v>
      </c>
      <c r="I15" s="213">
        <v>-0.15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EUR</v>
      </c>
      <c r="M15" s="214" t="str">
        <f t="shared" si="1"/>
        <v>EQTY.InternacionalUS2.off</v>
      </c>
      <c r="N15" s="215">
        <f t="shared" si="2"/>
        <v>-0.15</v>
      </c>
      <c r="O15" s="215">
        <f t="shared" si="3"/>
        <v>-0.15</v>
      </c>
    </row>
    <row r="16" spans="5:15">
      <c r="E16" s="213" t="s">
        <v>321</v>
      </c>
      <c r="F16" s="213" t="s">
        <v>298</v>
      </c>
      <c r="G16" s="213" t="s">
        <v>282</v>
      </c>
      <c r="H16" s="213">
        <v>42629.42</v>
      </c>
      <c r="I16" s="213">
        <v>42629.42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EUR</v>
      </c>
      <c r="M16" s="214" t="str">
        <f t="shared" si="1"/>
        <v>EQTY.IntlUS.off</v>
      </c>
      <c r="N16" s="215">
        <f t="shared" si="2"/>
        <v>42629.42</v>
      </c>
      <c r="O16" s="215">
        <f t="shared" si="3"/>
        <v>42629.42</v>
      </c>
    </row>
    <row r="17" spans="5:15">
      <c r="E17" s="213" t="s">
        <v>321</v>
      </c>
      <c r="F17" s="213" t="s">
        <v>299</v>
      </c>
      <c r="G17" s="213" t="s">
        <v>282</v>
      </c>
      <c r="H17" s="213">
        <v>-0.47</v>
      </c>
      <c r="I17" s="213">
        <v>-0.47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GBP</v>
      </c>
      <c r="M17" s="214" t="str">
        <f t="shared" si="1"/>
        <v>EQTY.IntlUS.off</v>
      </c>
      <c r="N17" s="215">
        <f t="shared" si="2"/>
        <v>-0.47</v>
      </c>
      <c r="O17" s="215">
        <f t="shared" si="3"/>
        <v>-0.47</v>
      </c>
    </row>
    <row r="18" spans="5:15">
      <c r="E18" s="213" t="s">
        <v>321</v>
      </c>
      <c r="F18" s="213" t="s">
        <v>300</v>
      </c>
      <c r="G18" s="213" t="s">
        <v>283</v>
      </c>
      <c r="H18" s="213">
        <v>0.2</v>
      </c>
      <c r="I18" s="213">
        <v>0.2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HKD</v>
      </c>
      <c r="M18" s="214" t="str">
        <f t="shared" si="1"/>
        <v>EQTY.InternacionalUS2.off</v>
      </c>
      <c r="N18" s="215">
        <f t="shared" si="2"/>
        <v>0.2</v>
      </c>
      <c r="O18" s="215">
        <f t="shared" si="3"/>
        <v>0.2</v>
      </c>
    </row>
    <row r="19" spans="5:15">
      <c r="E19" s="213" t="s">
        <v>321</v>
      </c>
      <c r="F19" s="213" t="s">
        <v>300</v>
      </c>
      <c r="G19" s="213" t="s">
        <v>282</v>
      </c>
      <c r="H19" s="213">
        <v>-341409.97</v>
      </c>
      <c r="I19" s="213">
        <v>-341409.97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HKD</v>
      </c>
      <c r="M19" s="214" t="str">
        <f t="shared" si="1"/>
        <v>EQTY.IntlUS.off</v>
      </c>
      <c r="N19" s="215">
        <f t="shared" si="2"/>
        <v>-341409.97</v>
      </c>
      <c r="O19" s="215">
        <f t="shared" si="3"/>
        <v>-341409.97</v>
      </c>
    </row>
    <row r="20" spans="5:15">
      <c r="E20" s="213" t="s">
        <v>321</v>
      </c>
      <c r="F20" s="213" t="s">
        <v>301</v>
      </c>
      <c r="G20" s="213" t="s">
        <v>282</v>
      </c>
      <c r="H20" s="213">
        <v>1.000005E-2</v>
      </c>
      <c r="I20" s="213">
        <v>1.000005E-2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KRW</v>
      </c>
      <c r="M20" s="214" t="str">
        <f t="shared" si="1"/>
        <v>EQTY.IntlUS.off</v>
      </c>
      <c r="N20" s="215">
        <f t="shared" si="2"/>
        <v>1.000005E-2</v>
      </c>
      <c r="O20" s="215">
        <f t="shared" si="3"/>
        <v>1.000005E-2</v>
      </c>
    </row>
    <row r="21" spans="5:15">
      <c r="E21" s="213" t="s">
        <v>321</v>
      </c>
      <c r="F21" s="213" t="s">
        <v>302</v>
      </c>
      <c r="G21" s="213" t="s">
        <v>282</v>
      </c>
      <c r="H21" s="213">
        <v>-5682160.1656468501</v>
      </c>
      <c r="I21" s="213">
        <v>-1160804.75564685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USD</v>
      </c>
      <c r="M21" s="214" t="str">
        <f t="shared" si="1"/>
        <v>EQTY.IntlUS.off</v>
      </c>
      <c r="N21" s="215">
        <f t="shared" si="2"/>
        <v>-5682160.1656468501</v>
      </c>
      <c r="O21" s="215">
        <f t="shared" si="3"/>
        <v>-1160804.75564685</v>
      </c>
    </row>
    <row r="22" spans="5:15">
      <c r="E22" s="213" t="s">
        <v>477</v>
      </c>
      <c r="F22" s="213" t="s">
        <v>1915</v>
      </c>
      <c r="G22" s="213" t="s">
        <v>282</v>
      </c>
      <c r="H22" s="213">
        <v>4625000</v>
      </c>
      <c r="I22" s="213">
        <v>4625000</v>
      </c>
      <c r="K22" s="214" t="str">
        <f t="shared" si="0"/>
        <v>CDS</v>
      </c>
      <c r="L22" s="214" t="str">
        <f>IF(E22="","",IF(COUNTIFS(Table2[[#All],[De (Lote)]],Input_APM!F22)&gt;0,INDEX(Table2[[#All],[Para (Ticker Daniel)]],MATCH(Input_APM!F22,Table2[[#All],[De (Lote)]],0)),Input_APM!F22))</f>
        <v>CHINAGOV 12/20/30</v>
      </c>
      <c r="M22" s="214" t="str">
        <f t="shared" si="1"/>
        <v>EQTY.IntlUS.off</v>
      </c>
      <c r="N22" s="215">
        <f t="shared" si="2"/>
        <v>4625000</v>
      </c>
      <c r="O22" s="215">
        <f t="shared" si="3"/>
        <v>4625000</v>
      </c>
    </row>
    <row r="23" spans="5:15">
      <c r="E23" s="213" t="s">
        <v>317</v>
      </c>
      <c r="F23" s="213" t="s">
        <v>2216</v>
      </c>
      <c r="G23" s="213" t="s">
        <v>282</v>
      </c>
      <c r="H23" s="213">
        <v>2923</v>
      </c>
      <c r="I23" s="213">
        <v>2923</v>
      </c>
      <c r="K23" s="214" t="str">
        <f t="shared" si="0"/>
        <v>US Equity</v>
      </c>
      <c r="L23" s="214" t="str">
        <f>IF(E23="","",IF(COUNTIFS(Table2[[#All],[De (Lote)]],Input_APM!F23)&gt;0,INDEX(Table2[[#All],[Para (Ticker Daniel)]],MATCH(Input_APM!F23,Table2[[#All],[De (Lote)]],0)),Input_APM!F23))</f>
        <v>COHR</v>
      </c>
      <c r="M23" s="214" t="str">
        <f t="shared" si="1"/>
        <v>EQTY.IntlUS.off</v>
      </c>
      <c r="N23" s="215">
        <f t="shared" si="2"/>
        <v>2923</v>
      </c>
      <c r="O23" s="215">
        <f t="shared" si="3"/>
        <v>2923</v>
      </c>
    </row>
    <row r="24" spans="5:15">
      <c r="E24" s="213" t="s">
        <v>320</v>
      </c>
      <c r="F24" s="213" t="s">
        <v>1754</v>
      </c>
      <c r="G24" s="213" t="s">
        <v>282</v>
      </c>
      <c r="H24" s="213">
        <v>41651</v>
      </c>
      <c r="I24" s="213">
        <v>41651</v>
      </c>
      <c r="K24" s="214" t="str">
        <f t="shared" si="0"/>
        <v>ETF</v>
      </c>
      <c r="L24" s="214" t="str">
        <f>IF(E24="","",IF(COUNTIFS(Table2[[#All],[De (Lote)]],Input_APM!F24)&gt;0,INDEX(Table2[[#All],[Para (Ticker Daniel)]],MATCH(Input_APM!F24,Table2[[#All],[De (Lote)]],0)),Input_APM!F24))</f>
        <v>EWY</v>
      </c>
      <c r="M24" s="214" t="str">
        <f t="shared" si="1"/>
        <v>EQTY.IntlUS.off</v>
      </c>
      <c r="N24" s="215">
        <f t="shared" si="2"/>
        <v>41651</v>
      </c>
      <c r="O24" s="215">
        <f t="shared" si="3"/>
        <v>41651</v>
      </c>
    </row>
    <row r="25" spans="5:15">
      <c r="E25" s="213" t="s">
        <v>320</v>
      </c>
      <c r="F25" s="213" t="s">
        <v>131</v>
      </c>
      <c r="G25" s="213" t="s">
        <v>282</v>
      </c>
      <c r="H25" s="213">
        <v>23518</v>
      </c>
      <c r="I25" s="213">
        <v>23518</v>
      </c>
      <c r="K25" s="214" t="str">
        <f t="shared" si="0"/>
        <v>ETF</v>
      </c>
      <c r="L25" s="214" t="str">
        <f>IF(E25="","",IF(COUNTIFS(Table2[[#All],[De (Lote)]],Input_APM!F25)&gt;0,INDEX(Table2[[#All],[Para (Ticker Daniel)]],MATCH(Input_APM!F25,Table2[[#All],[De (Lote)]],0)),Input_APM!F25))</f>
        <v xml:space="preserve">GDX </v>
      </c>
      <c r="M25" s="214" t="str">
        <f t="shared" si="1"/>
        <v>EQTY.IntlUS.off</v>
      </c>
      <c r="N25" s="215">
        <f t="shared" si="2"/>
        <v>23518</v>
      </c>
      <c r="O25" s="215">
        <f t="shared" si="3"/>
        <v>23518</v>
      </c>
    </row>
    <row r="26" spans="5:15">
      <c r="E26" s="213" t="s">
        <v>317</v>
      </c>
      <c r="F26" s="213" t="s">
        <v>2224</v>
      </c>
      <c r="G26" s="213" t="s">
        <v>282</v>
      </c>
      <c r="H26" s="213">
        <v>1668</v>
      </c>
      <c r="I26" s="213">
        <v>1668</v>
      </c>
      <c r="K26" s="214" t="str">
        <f t="shared" si="0"/>
        <v>US Equity</v>
      </c>
      <c r="L26" s="214" t="str">
        <f>IF(E26="","",IF(COUNTIFS(Table2[[#All],[De (Lote)]],Input_APM!F26)&gt;0,INDEX(Table2[[#All],[Para (Ticker Daniel)]],MATCH(Input_APM!F26,Table2[[#All],[De (Lote)]],0)),Input_APM!F26))</f>
        <v>GOOG</v>
      </c>
      <c r="M26" s="214" t="str">
        <f t="shared" si="1"/>
        <v>EQTY.IntlUS.off</v>
      </c>
      <c r="N26" s="215">
        <f t="shared" si="2"/>
        <v>1668</v>
      </c>
      <c r="O26" s="215">
        <f t="shared" si="3"/>
        <v>1668</v>
      </c>
    </row>
    <row r="27" spans="5:15">
      <c r="E27" s="213" t="s">
        <v>325</v>
      </c>
      <c r="F27" s="213" t="s">
        <v>1899</v>
      </c>
      <c r="G27" s="213" t="s">
        <v>282</v>
      </c>
      <c r="H27" s="213">
        <v>276451</v>
      </c>
      <c r="I27" s="213">
        <v>276451</v>
      </c>
      <c r="K27" s="214" t="str">
        <f t="shared" si="0"/>
        <v>Basket Index Options</v>
      </c>
      <c r="L27" s="214" t="str">
        <f>IF(E27="","",IF(COUNTIFS(Table2[[#All],[De (Lote)]],Input_APM!F27)&gt;0,INDEX(Table2[[#All],[Para (Ticker Daniel)]],MATCH(Input_APM!F27,Table2[[#All],[De (Lote)]],0)),Input_APM!F27))</f>
        <v>GSC1000P 03/20/26 C104</v>
      </c>
      <c r="M27" s="214" t="str">
        <f t="shared" si="1"/>
        <v>EQTY.IntlUS.off</v>
      </c>
      <c r="N27" s="215">
        <f t="shared" si="2"/>
        <v>276451</v>
      </c>
      <c r="O27" s="215">
        <f t="shared" si="3"/>
        <v>276451</v>
      </c>
    </row>
    <row r="28" spans="5:15">
      <c r="E28" s="213" t="s">
        <v>325</v>
      </c>
      <c r="F28" s="213" t="s">
        <v>1900</v>
      </c>
      <c r="G28" s="213" t="s">
        <v>282</v>
      </c>
      <c r="H28" s="213">
        <v>-276451</v>
      </c>
      <c r="I28" s="213">
        <v>-276451</v>
      </c>
      <c r="K28" s="214" t="str">
        <f t="shared" si="0"/>
        <v>Basket Index Options</v>
      </c>
      <c r="L28" s="214" t="str">
        <f>IF(E28="","",IF(COUNTIFS(Table2[[#All],[De (Lote)]],Input_APM!F28)&gt;0,INDEX(Table2[[#All],[Para (Ticker Daniel)]],MATCH(Input_APM!F28,Table2[[#All],[De (Lote)]],0)),Input_APM!F28))</f>
        <v>GSC1000P 03/20/26 C119</v>
      </c>
      <c r="M28" s="214" t="str">
        <f t="shared" si="1"/>
        <v>EQTY.IntlUS.off</v>
      </c>
      <c r="N28" s="215">
        <f t="shared" si="2"/>
        <v>-276451</v>
      </c>
      <c r="O28" s="215">
        <f t="shared" si="3"/>
        <v>-276451</v>
      </c>
    </row>
    <row r="29" spans="5:15">
      <c r="E29" s="213" t="s">
        <v>317</v>
      </c>
      <c r="F29" s="213" t="s">
        <v>2101</v>
      </c>
      <c r="G29" s="213" t="s">
        <v>282</v>
      </c>
      <c r="H29" s="213">
        <v>1405</v>
      </c>
      <c r="I29" s="213">
        <v>1405</v>
      </c>
      <c r="K29" s="214" t="str">
        <f t="shared" si="0"/>
        <v>US Equity</v>
      </c>
      <c r="L29" s="214" t="str">
        <f>IF(E29="","",IF(COUNTIFS(Table2[[#All],[De (Lote)]],Input_APM!F29)&gt;0,INDEX(Table2[[#All],[Para (Ticker Daniel)]],MATCH(Input_APM!F29,Table2[[#All],[De (Lote)]],0)),Input_APM!F29))</f>
        <v>LITE</v>
      </c>
      <c r="M29" s="214" t="str">
        <f t="shared" si="1"/>
        <v>EQTY.IntlUS.off</v>
      </c>
      <c r="N29" s="215">
        <f t="shared" si="2"/>
        <v>1405</v>
      </c>
      <c r="O29" s="215">
        <f t="shared" si="3"/>
        <v>1405</v>
      </c>
    </row>
    <row r="30" spans="5:15">
      <c r="E30" s="213" t="s">
        <v>319</v>
      </c>
      <c r="F30" s="213" t="s">
        <v>2117</v>
      </c>
      <c r="G30" s="213" t="s">
        <v>282</v>
      </c>
      <c r="H30" s="213">
        <v>84</v>
      </c>
      <c r="I30" s="213">
        <v>84</v>
      </c>
      <c r="K30" s="214" t="str">
        <f t="shared" si="0"/>
        <v>US Equity Options</v>
      </c>
      <c r="L30" s="214" t="str">
        <f>IF(E30="","",IF(COUNTIFS(Table2[[#All],[De (Lote)]],Input_APM!F30)&gt;0,INDEX(Table2[[#All],[Para (Ticker Daniel)]],MATCH(Input_APM!F30,Table2[[#All],[De (Lote)]],0)),Input_APM!F30))</f>
        <v>LITE US 02/20/26 C400</v>
      </c>
      <c r="M30" s="214" t="str">
        <f t="shared" si="1"/>
        <v>EQTY.IntlUS.off</v>
      </c>
      <c r="N30" s="215">
        <f t="shared" si="2"/>
        <v>84</v>
      </c>
      <c r="O30" s="215">
        <f t="shared" si="3"/>
        <v>84</v>
      </c>
    </row>
    <row r="31" spans="5:15">
      <c r="E31" s="213" t="s">
        <v>319</v>
      </c>
      <c r="F31" s="213" t="s">
        <v>2118</v>
      </c>
      <c r="G31" s="213" t="s">
        <v>282</v>
      </c>
      <c r="H31" s="213">
        <v>-8</v>
      </c>
      <c r="I31" s="213">
        <v>-8</v>
      </c>
      <c r="K31" s="214" t="str">
        <f t="shared" si="0"/>
        <v>US Equity Options</v>
      </c>
      <c r="L31" s="214" t="str">
        <f>IF(E31="","",IF(COUNTIFS(Table2[[#All],[De (Lote)]],Input_APM!F31)&gt;0,INDEX(Table2[[#All],[Para (Ticker Daniel)]],MATCH(Input_APM!F31,Table2[[#All],[De (Lote)]],0)),Input_APM!F31))</f>
        <v>LITE US 02/20/26 C450</v>
      </c>
      <c r="M31" s="214" t="str">
        <f t="shared" si="1"/>
        <v>EQTY.IntlUS.off</v>
      </c>
      <c r="N31" s="215">
        <f t="shared" si="2"/>
        <v>-8</v>
      </c>
      <c r="O31" s="215">
        <f t="shared" si="3"/>
        <v>-8</v>
      </c>
    </row>
    <row r="32" spans="5:15">
      <c r="E32" s="213" t="s">
        <v>317</v>
      </c>
      <c r="F32" s="213" t="s">
        <v>86</v>
      </c>
      <c r="G32" s="213" t="s">
        <v>282</v>
      </c>
      <c r="H32" s="213">
        <v>1968</v>
      </c>
      <c r="I32" s="213">
        <v>1968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MA</v>
      </c>
      <c r="M32" s="214" t="str">
        <f t="shared" si="1"/>
        <v>EQTY.IntlUS.off</v>
      </c>
      <c r="N32" s="215">
        <f t="shared" si="2"/>
        <v>1968</v>
      </c>
      <c r="O32" s="215">
        <f t="shared" si="3"/>
        <v>1968</v>
      </c>
    </row>
    <row r="33" spans="5:15">
      <c r="E33" s="213" t="s">
        <v>317</v>
      </c>
      <c r="F33" s="213" t="s">
        <v>326</v>
      </c>
      <c r="G33" s="213" t="s">
        <v>282</v>
      </c>
      <c r="H33" s="213">
        <v>5618</v>
      </c>
      <c r="I33" s="213">
        <v>5618</v>
      </c>
      <c r="K33" s="214" t="str">
        <f t="shared" si="0"/>
        <v>US Equity</v>
      </c>
      <c r="L33" s="214" t="str">
        <f>IF(E33="","",IF(COUNTIFS(Table2[[#All],[De (Lote)]],Input_APM!F33)&gt;0,INDEX(Table2[[#All],[Para (Ticker Daniel)]],MATCH(Input_APM!F33,Table2[[#All],[De (Lote)]],0)),Input_APM!F33))</f>
        <v>META</v>
      </c>
      <c r="M33" s="214" t="str">
        <f t="shared" si="1"/>
        <v>EQTY.IntlUS.off</v>
      </c>
      <c r="N33" s="215">
        <f t="shared" si="2"/>
        <v>5618</v>
      </c>
      <c r="O33" s="215">
        <f t="shared" si="3"/>
        <v>5618</v>
      </c>
    </row>
    <row r="34" spans="5:15">
      <c r="E34" s="213" t="s">
        <v>319</v>
      </c>
      <c r="F34" s="213" t="s">
        <v>2111</v>
      </c>
      <c r="G34" s="213" t="s">
        <v>282</v>
      </c>
      <c r="H34" s="213">
        <v>57</v>
      </c>
      <c r="I34" s="213">
        <v>57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META US 04/17/26 C690</v>
      </c>
      <c r="M34" s="214" t="str">
        <f t="shared" si="1"/>
        <v>EQTY.IntlUS.off</v>
      </c>
      <c r="N34" s="215">
        <f t="shared" si="2"/>
        <v>57</v>
      </c>
      <c r="O34" s="215">
        <f t="shared" si="3"/>
        <v>57</v>
      </c>
    </row>
    <row r="35" spans="5:15">
      <c r="E35" s="213" t="s">
        <v>319</v>
      </c>
      <c r="F35" s="213" t="s">
        <v>2110</v>
      </c>
      <c r="G35" s="213" t="s">
        <v>282</v>
      </c>
      <c r="H35" s="213">
        <v>-1</v>
      </c>
      <c r="I35" s="213">
        <v>-1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META US 04/17/26 C750</v>
      </c>
      <c r="M35" s="214" t="str">
        <f t="shared" si="1"/>
        <v>EQTY.IntlUS.off</v>
      </c>
      <c r="N35" s="215">
        <f t="shared" si="2"/>
        <v>-1</v>
      </c>
      <c r="O35" s="215">
        <f t="shared" si="3"/>
        <v>-1</v>
      </c>
    </row>
    <row r="36" spans="5:15">
      <c r="E36" s="213" t="s">
        <v>319</v>
      </c>
      <c r="F36" s="213" t="s">
        <v>2161</v>
      </c>
      <c r="G36" s="213" t="s">
        <v>282</v>
      </c>
      <c r="H36" s="213">
        <v>19</v>
      </c>
      <c r="I36" s="213">
        <v>19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META US 04/17/26 P570</v>
      </c>
      <c r="M36" s="214" t="str">
        <f t="shared" si="1"/>
        <v>EQTY.IntlUS.off</v>
      </c>
      <c r="N36" s="215">
        <f t="shared" si="2"/>
        <v>19</v>
      </c>
      <c r="O36" s="215">
        <f t="shared" si="3"/>
        <v>19</v>
      </c>
    </row>
    <row r="37" spans="5:15">
      <c r="E37" s="213" t="s">
        <v>319</v>
      </c>
      <c r="F37" s="213" t="s">
        <v>2160</v>
      </c>
      <c r="G37" s="213" t="s">
        <v>282</v>
      </c>
      <c r="H37" s="213">
        <v>-19</v>
      </c>
      <c r="I37" s="213">
        <v>-19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P600</v>
      </c>
      <c r="M37" s="214" t="str">
        <f t="shared" si="1"/>
        <v>EQTY.IntlUS.off</v>
      </c>
      <c r="N37" s="215">
        <f t="shared" si="2"/>
        <v>-19</v>
      </c>
      <c r="O37" s="215">
        <f t="shared" si="3"/>
        <v>-19</v>
      </c>
    </row>
    <row r="38" spans="5:15">
      <c r="E38" s="213" t="s">
        <v>319</v>
      </c>
      <c r="F38" s="213" t="s">
        <v>2145</v>
      </c>
      <c r="G38" s="213" t="s">
        <v>282</v>
      </c>
      <c r="H38" s="213">
        <v>-94</v>
      </c>
      <c r="I38" s="213">
        <v>-94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MRVL US 03/20/26 P75</v>
      </c>
      <c r="M38" s="214" t="str">
        <f t="shared" si="1"/>
        <v>EQTY.IntlUS.off</v>
      </c>
      <c r="N38" s="215">
        <f t="shared" si="2"/>
        <v>-94</v>
      </c>
      <c r="O38" s="215">
        <f t="shared" si="3"/>
        <v>-94</v>
      </c>
    </row>
    <row r="39" spans="5:15">
      <c r="E39" s="213" t="s">
        <v>319</v>
      </c>
      <c r="F39" s="213" t="s">
        <v>2095</v>
      </c>
      <c r="G39" s="213" t="s">
        <v>282</v>
      </c>
      <c r="H39" s="213">
        <v>-188</v>
      </c>
      <c r="I39" s="213">
        <v>-188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P80</v>
      </c>
      <c r="M39" s="214" t="str">
        <f t="shared" si="1"/>
        <v>EQTY.IntlUS.off</v>
      </c>
      <c r="N39" s="215">
        <f t="shared" si="2"/>
        <v>-188</v>
      </c>
      <c r="O39" s="215">
        <f t="shared" si="3"/>
        <v>-188</v>
      </c>
    </row>
    <row r="40" spans="5:15">
      <c r="E40" s="213" t="s">
        <v>319</v>
      </c>
      <c r="F40" s="213" t="s">
        <v>2144</v>
      </c>
      <c r="G40" s="213" t="s">
        <v>282</v>
      </c>
      <c r="H40" s="213">
        <v>280</v>
      </c>
      <c r="I40" s="213">
        <v>280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MRVL US 03/20/26 P85</v>
      </c>
      <c r="M40" s="214" t="str">
        <f t="shared" si="1"/>
        <v>EQTY.IntlUS.off</v>
      </c>
      <c r="N40" s="215">
        <f t="shared" si="2"/>
        <v>280</v>
      </c>
      <c r="O40" s="215">
        <f t="shared" si="3"/>
        <v>280</v>
      </c>
    </row>
    <row r="41" spans="5:15">
      <c r="E41" s="213" t="s">
        <v>317</v>
      </c>
      <c r="F41" s="213" t="s">
        <v>90</v>
      </c>
      <c r="G41" s="213" t="s">
        <v>282</v>
      </c>
      <c r="H41" s="213">
        <v>7966</v>
      </c>
      <c r="I41" s="213">
        <v>7966</v>
      </c>
      <c r="K41" s="214" t="str">
        <f t="shared" si="0"/>
        <v>US Equity</v>
      </c>
      <c r="L41" s="214" t="str">
        <f>IF(E41="","",IF(COUNTIFS(Table2[[#All],[De (Lote)]],Input_APM!F41)&gt;0,INDEX(Table2[[#All],[Para (Ticker Daniel)]],MATCH(Input_APM!F41,Table2[[#All],[De (Lote)]],0)),Input_APM!F41))</f>
        <v>MSFT</v>
      </c>
      <c r="M41" s="214" t="str">
        <f t="shared" si="1"/>
        <v>EQTY.IntlUS.off</v>
      </c>
      <c r="N41" s="215">
        <f t="shared" si="2"/>
        <v>7966</v>
      </c>
      <c r="O41" s="215">
        <f t="shared" si="3"/>
        <v>7966</v>
      </c>
    </row>
    <row r="42" spans="5:15">
      <c r="E42" s="213" t="s">
        <v>319</v>
      </c>
      <c r="F42" s="213" t="s">
        <v>2085</v>
      </c>
      <c r="G42" s="213" t="s">
        <v>282</v>
      </c>
      <c r="H42" s="213">
        <v>118</v>
      </c>
      <c r="I42" s="213">
        <v>118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MSFT US 03/20/26 C490</v>
      </c>
      <c r="M42" s="214" t="str">
        <f t="shared" si="1"/>
        <v>EQTY.IntlUS.off</v>
      </c>
      <c r="N42" s="215">
        <f t="shared" si="2"/>
        <v>118</v>
      </c>
      <c r="O42" s="215">
        <f t="shared" si="3"/>
        <v>118</v>
      </c>
    </row>
    <row r="43" spans="5:15">
      <c r="E43" s="213" t="s">
        <v>319</v>
      </c>
      <c r="F43" s="213" t="s">
        <v>2084</v>
      </c>
      <c r="G43" s="213" t="s">
        <v>282</v>
      </c>
      <c r="H43" s="213">
        <v>-71</v>
      </c>
      <c r="I43" s="213">
        <v>-71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MSFT US 03/20/26 C515</v>
      </c>
      <c r="M43" s="214" t="str">
        <f t="shared" si="1"/>
        <v>EQTY.IntlUS.off</v>
      </c>
      <c r="N43" s="215">
        <f t="shared" si="2"/>
        <v>-71</v>
      </c>
      <c r="O43" s="215">
        <f t="shared" si="3"/>
        <v>-71</v>
      </c>
    </row>
    <row r="44" spans="5:15">
      <c r="E44" s="213" t="s">
        <v>319</v>
      </c>
      <c r="F44" s="213" t="s">
        <v>2086</v>
      </c>
      <c r="G44" s="213" t="s">
        <v>282</v>
      </c>
      <c r="H44" s="213">
        <v>-46</v>
      </c>
      <c r="I44" s="213">
        <v>-46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MSFT US 03/20/26 P465</v>
      </c>
      <c r="M44" s="214" t="str">
        <f t="shared" si="1"/>
        <v>EQTY.IntlUS.off</v>
      </c>
      <c r="N44" s="215">
        <f t="shared" si="2"/>
        <v>-46</v>
      </c>
      <c r="O44" s="215">
        <f t="shared" si="3"/>
        <v>-46</v>
      </c>
    </row>
    <row r="45" spans="5:15">
      <c r="E45" s="213" t="s">
        <v>318</v>
      </c>
      <c r="F45" s="213" t="s">
        <v>2198</v>
      </c>
      <c r="G45" s="213" t="s">
        <v>282</v>
      </c>
      <c r="H45" s="225">
        <v>1.7564595611308E-13</v>
      </c>
      <c r="I45" s="213">
        <v>-0.01</v>
      </c>
      <c r="K45" s="214" t="str">
        <f t="shared" si="0"/>
        <v>Provisions and Costs</v>
      </c>
      <c r="L45" s="214" t="str">
        <f>IF(E45="","",IF(COUNTIFS(Table2[[#All],[De (Lote)]],Input_APM!F45)&gt;0,INDEX(Table2[[#All],[Para (Ticker Daniel)]],MATCH(Input_APM!F45,Table2[[#All],[De (Lote)]],0)),Input_APM!F45))</f>
        <v>MU DIVIDEND_</v>
      </c>
      <c r="M45" s="214" t="str">
        <f t="shared" si="1"/>
        <v>EQTY.IntlUS.off</v>
      </c>
      <c r="N45" s="215">
        <f t="shared" si="2"/>
        <v>1.7564595611308E-13</v>
      </c>
      <c r="O45" s="215">
        <f t="shared" si="3"/>
        <v>-0.01</v>
      </c>
    </row>
    <row r="46" spans="5:15">
      <c r="E46" s="213" t="s">
        <v>319</v>
      </c>
      <c r="F46" s="213" t="s">
        <v>2138</v>
      </c>
      <c r="G46" s="213" t="s">
        <v>282</v>
      </c>
      <c r="H46" s="213">
        <v>-161</v>
      </c>
      <c r="I46" s="213">
        <v>-161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NFLX US 03/20/26 C104</v>
      </c>
      <c r="M46" s="214" t="str">
        <f t="shared" si="1"/>
        <v>EQTY.IntlUS.off</v>
      </c>
      <c r="N46" s="215">
        <f t="shared" si="2"/>
        <v>-161</v>
      </c>
      <c r="O46" s="215">
        <f t="shared" si="3"/>
        <v>-161</v>
      </c>
    </row>
    <row r="47" spans="5:15">
      <c r="E47" s="213" t="s">
        <v>319</v>
      </c>
      <c r="F47" s="213" t="s">
        <v>2139</v>
      </c>
      <c r="G47" s="213" t="s">
        <v>282</v>
      </c>
      <c r="H47" s="213">
        <v>-239</v>
      </c>
      <c r="I47" s="213">
        <v>-239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NFLX US 03/20/26 P83</v>
      </c>
      <c r="M47" s="214" t="str">
        <f t="shared" si="1"/>
        <v>EQTY.IntlUS.off</v>
      </c>
      <c r="N47" s="215">
        <f t="shared" si="2"/>
        <v>-239</v>
      </c>
      <c r="O47" s="215">
        <f t="shared" si="3"/>
        <v>-239</v>
      </c>
    </row>
    <row r="48" spans="5:15">
      <c r="E48" s="213" t="s">
        <v>319</v>
      </c>
      <c r="F48" s="213" t="s">
        <v>2137</v>
      </c>
      <c r="G48" s="213" t="s">
        <v>282</v>
      </c>
      <c r="H48" s="213">
        <v>159</v>
      </c>
      <c r="I48" s="213">
        <v>159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NFLX US 03/20/26 P92</v>
      </c>
      <c r="M48" s="214" t="str">
        <f t="shared" si="1"/>
        <v>EQTY.IntlUS.off</v>
      </c>
      <c r="N48" s="215">
        <f t="shared" si="2"/>
        <v>159</v>
      </c>
      <c r="O48" s="215">
        <f t="shared" si="3"/>
        <v>159</v>
      </c>
    </row>
    <row r="49" spans="5:15">
      <c r="E49" s="213" t="s">
        <v>317</v>
      </c>
      <c r="F49" s="213" t="s">
        <v>94</v>
      </c>
      <c r="G49" s="213" t="s">
        <v>282</v>
      </c>
      <c r="H49" s="213">
        <v>21414</v>
      </c>
      <c r="I49" s="213">
        <v>21414</v>
      </c>
      <c r="K49" s="214" t="str">
        <f t="shared" si="0"/>
        <v>US Equity</v>
      </c>
      <c r="L49" s="214" t="str">
        <f>IF(E49="","",IF(COUNTIFS(Table2[[#All],[De (Lote)]],Input_APM!F49)&gt;0,INDEX(Table2[[#All],[Para (Ticker Daniel)]],MATCH(Input_APM!F49,Table2[[#All],[De (Lote)]],0)),Input_APM!F49))</f>
        <v>NVDA</v>
      </c>
      <c r="M49" s="214" t="str">
        <f t="shared" si="1"/>
        <v>EQTY.IntlUS.off</v>
      </c>
      <c r="N49" s="215">
        <f t="shared" si="2"/>
        <v>21414</v>
      </c>
      <c r="O49" s="215">
        <f t="shared" si="3"/>
        <v>21414</v>
      </c>
    </row>
    <row r="50" spans="5:15">
      <c r="E50" s="213" t="s">
        <v>318</v>
      </c>
      <c r="F50" s="213" t="s">
        <v>336</v>
      </c>
      <c r="G50" s="213" t="s">
        <v>282</v>
      </c>
      <c r="H50" s="213">
        <v>0</v>
      </c>
      <c r="I50" s="213">
        <v>-38618</v>
      </c>
      <c r="K50" s="214" t="str">
        <f t="shared" si="0"/>
        <v>Provisions and Costs</v>
      </c>
      <c r="L50" s="214" t="str">
        <f>IF(E50="","",IF(COUNTIFS(Table2[[#All],[De (Lote)]],Input_APM!F50)&gt;0,INDEX(Table2[[#All],[Para (Ticker Daniel)]],MATCH(Input_APM!F50,Table2[[#All],[De (Lote)]],0)),Input_APM!F50))</f>
        <v>Provision ETF Options USD_</v>
      </c>
      <c r="M50" s="214" t="str">
        <f t="shared" si="1"/>
        <v>EQTY.IntlUS.off</v>
      </c>
      <c r="N50" s="215">
        <f t="shared" si="2"/>
        <v>0</v>
      </c>
      <c r="O50" s="215">
        <f t="shared" si="3"/>
        <v>-38618</v>
      </c>
    </row>
    <row r="51" spans="5:15">
      <c r="E51" s="213" t="s">
        <v>318</v>
      </c>
      <c r="F51" s="213" t="s">
        <v>306</v>
      </c>
      <c r="G51" s="213" t="s">
        <v>282</v>
      </c>
      <c r="H51" s="225">
        <v>-9.3132257461547893E-10</v>
      </c>
      <c r="I51" s="213">
        <v>-4239625.1100000003</v>
      </c>
      <c r="K51" s="214" t="str">
        <f t="shared" si="0"/>
        <v>Provisions and Costs</v>
      </c>
      <c r="L51" s="214" t="str">
        <f>IF(E51="","",IF(COUNTIFS(Table2[[#All],[De (Lote)]],Input_APM!F51)&gt;0,INDEX(Table2[[#All],[Para (Ticker Daniel)]],MATCH(Input_APM!F51,Table2[[#All],[De (Lote)]],0)),Input_APM!F51))</f>
        <v>Provision ETF USD_</v>
      </c>
      <c r="M51" s="214" t="str">
        <f t="shared" si="1"/>
        <v>EQTY.IntlUS.off</v>
      </c>
      <c r="N51" s="215">
        <f t="shared" si="2"/>
        <v>-9.3132257461547893E-10</v>
      </c>
      <c r="O51" s="215">
        <f t="shared" si="3"/>
        <v>-4239625.1100000003</v>
      </c>
    </row>
    <row r="52" spans="5:15">
      <c r="E52" s="213" t="s">
        <v>318</v>
      </c>
      <c r="F52" s="213" t="s">
        <v>1666</v>
      </c>
      <c r="G52" s="213" t="s">
        <v>282</v>
      </c>
      <c r="H52" s="213">
        <v>0</v>
      </c>
      <c r="I52" s="213">
        <v>1379681.76</v>
      </c>
      <c r="K52" s="214" t="str">
        <f t="shared" si="0"/>
        <v>Provisions and Costs</v>
      </c>
      <c r="L52" s="214" t="str">
        <f>IF(E52="","",IF(COUNTIFS(Table2[[#All],[De (Lote)]],Input_APM!F52)&gt;0,INDEX(Table2[[#All],[Para (Ticker Daniel)]],MATCH(Input_APM!F52,Table2[[#All],[De (Lote)]],0)),Input_APM!F52))</f>
        <v>Provision NYSE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1379681.76</v>
      </c>
    </row>
    <row r="53" spans="5:15">
      <c r="E53" s="213" t="s">
        <v>318</v>
      </c>
      <c r="F53" s="213" t="s">
        <v>337</v>
      </c>
      <c r="G53" s="213" t="s">
        <v>282</v>
      </c>
      <c r="H53" s="213">
        <v>0</v>
      </c>
      <c r="I53" s="213">
        <v>56511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US Equity Options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56511</v>
      </c>
    </row>
    <row r="54" spans="5:15">
      <c r="E54" s="213" t="s">
        <v>318</v>
      </c>
      <c r="F54" s="213" t="s">
        <v>307</v>
      </c>
      <c r="G54" s="213" t="s">
        <v>282</v>
      </c>
      <c r="H54" s="213">
        <v>0</v>
      </c>
      <c r="I54" s="213">
        <v>-1679305.05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US Equity USD_</v>
      </c>
      <c r="M54" s="214" t="str">
        <f t="shared" si="1"/>
        <v>EQTY.IntlUS.off</v>
      </c>
      <c r="N54" s="215">
        <f t="shared" si="2"/>
        <v>0</v>
      </c>
      <c r="O54" s="215">
        <f t="shared" si="3"/>
        <v>-1679305.05</v>
      </c>
    </row>
    <row r="55" spans="5:15">
      <c r="E55" s="213" t="s">
        <v>320</v>
      </c>
      <c r="F55" s="213" t="s">
        <v>143</v>
      </c>
      <c r="G55" s="213" t="s">
        <v>282</v>
      </c>
      <c r="H55" s="213">
        <v>-42995</v>
      </c>
      <c r="I55" s="213">
        <v>-42995</v>
      </c>
      <c r="K55" s="214" t="str">
        <f t="shared" si="0"/>
        <v>ETF</v>
      </c>
      <c r="L55" s="214" t="str">
        <f>IF(E55="","",IF(COUNTIFS(Table2[[#All],[De (Lote)]],Input_APM!F55)&gt;0,INDEX(Table2[[#All],[Para (Ticker Daniel)]],MATCH(Input_APM!F55,Table2[[#All],[De (Lote)]],0)),Input_APM!F55))</f>
        <v>QQQE</v>
      </c>
      <c r="M55" s="214" t="str">
        <f t="shared" si="1"/>
        <v>EQTY.IntlUS.off</v>
      </c>
      <c r="N55" s="215">
        <f t="shared" si="2"/>
        <v>-42995</v>
      </c>
      <c r="O55" s="215">
        <f t="shared" si="3"/>
        <v>-42995</v>
      </c>
    </row>
    <row r="56" spans="5:15">
      <c r="E56" s="213" t="s">
        <v>317</v>
      </c>
      <c r="F56" s="213" t="s">
        <v>2189</v>
      </c>
      <c r="G56" s="213" t="s">
        <v>282</v>
      </c>
      <c r="H56" s="213">
        <v>20567</v>
      </c>
      <c r="I56" s="213">
        <v>20567</v>
      </c>
      <c r="K56" s="214" t="str">
        <f t="shared" si="0"/>
        <v>US Equity</v>
      </c>
      <c r="L56" s="214" t="str">
        <f>IF(E56="","",IF(COUNTIFS(Table2[[#All],[De (Lote)]],Input_APM!F56)&gt;0,INDEX(Table2[[#All],[Para (Ticker Daniel)]],MATCH(Input_APM!F56,Table2[[#All],[De (Lote)]],0)),Input_APM!F56))</f>
        <v>RIOT</v>
      </c>
      <c r="M56" s="214" t="str">
        <f t="shared" si="1"/>
        <v>EQTY.IntlUS.off</v>
      </c>
      <c r="N56" s="215">
        <f t="shared" si="2"/>
        <v>20567</v>
      </c>
      <c r="O56" s="215">
        <f t="shared" si="3"/>
        <v>20567</v>
      </c>
    </row>
    <row r="57" spans="5:15">
      <c r="E57" s="213" t="s">
        <v>320</v>
      </c>
      <c r="F57" s="213" t="s">
        <v>3</v>
      </c>
      <c r="G57" s="213" t="s">
        <v>282</v>
      </c>
      <c r="H57" s="213">
        <v>-11687</v>
      </c>
      <c r="I57" s="213">
        <v>-11687</v>
      </c>
      <c r="K57" s="214" t="str">
        <f t="shared" si="0"/>
        <v>ETF</v>
      </c>
      <c r="L57" s="214" t="str">
        <f>IF(E57="","",IF(COUNTIFS(Table2[[#All],[De (Lote)]],Input_APM!F57)&gt;0,INDEX(Table2[[#All],[Para (Ticker Daniel)]],MATCH(Input_APM!F57,Table2[[#All],[De (Lote)]],0)),Input_APM!F57))</f>
        <v>RSP</v>
      </c>
      <c r="M57" s="214" t="str">
        <f t="shared" si="1"/>
        <v>EQTY.IntlUS.off</v>
      </c>
      <c r="N57" s="215">
        <f t="shared" si="2"/>
        <v>-11687</v>
      </c>
      <c r="O57" s="215">
        <f t="shared" si="3"/>
        <v>-11687</v>
      </c>
    </row>
    <row r="58" spans="5:15">
      <c r="E58" s="213" t="s">
        <v>320</v>
      </c>
      <c r="F58" s="213" t="s">
        <v>95</v>
      </c>
      <c r="G58" s="213" t="s">
        <v>282</v>
      </c>
      <c r="H58" s="213">
        <v>-1018</v>
      </c>
      <c r="I58" s="213">
        <v>-1018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SOXX</v>
      </c>
      <c r="M58" s="214" t="str">
        <f t="shared" si="1"/>
        <v>EQTY.IntlUS.off</v>
      </c>
      <c r="N58" s="215">
        <f t="shared" si="2"/>
        <v>-1018</v>
      </c>
      <c r="O58" s="215">
        <f t="shared" si="3"/>
        <v>-1018</v>
      </c>
    </row>
    <row r="59" spans="5:15">
      <c r="E59" s="213" t="s">
        <v>318</v>
      </c>
      <c r="F59" s="213" t="s">
        <v>2181</v>
      </c>
      <c r="G59" s="213" t="s">
        <v>283</v>
      </c>
      <c r="H59" s="213">
        <v>-0.01</v>
      </c>
      <c r="I59" s="213">
        <v>-0.01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SPY DIVIDEND_</v>
      </c>
      <c r="M59" s="214" t="str">
        <f t="shared" si="1"/>
        <v>EQTY.InternacionalUS2.off</v>
      </c>
      <c r="N59" s="215">
        <f t="shared" si="2"/>
        <v>-0.01</v>
      </c>
      <c r="O59" s="215">
        <f t="shared" si="3"/>
        <v>-0.01</v>
      </c>
    </row>
    <row r="60" spans="5:15">
      <c r="E60" s="213" t="s">
        <v>318</v>
      </c>
      <c r="F60" s="213" t="s">
        <v>2181</v>
      </c>
      <c r="G60" s="213" t="s">
        <v>282</v>
      </c>
      <c r="H60" s="213">
        <v>0.01</v>
      </c>
      <c r="I60" s="213">
        <v>0.01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SPY DIVIDEND_</v>
      </c>
      <c r="M60" s="214" t="str">
        <f t="shared" si="1"/>
        <v>EQTY.IntlUS.off</v>
      </c>
      <c r="N60" s="215">
        <f t="shared" si="2"/>
        <v>0.01</v>
      </c>
      <c r="O60" s="215">
        <f t="shared" si="3"/>
        <v>0.01</v>
      </c>
    </row>
    <row r="61" spans="5:15">
      <c r="E61" s="213" t="s">
        <v>2191</v>
      </c>
      <c r="F61" s="213" t="s">
        <v>2192</v>
      </c>
      <c r="G61" s="213" t="s">
        <v>282</v>
      </c>
      <c r="H61" s="213">
        <v>1400</v>
      </c>
      <c r="I61" s="213">
        <v>1400</v>
      </c>
      <c r="K61" s="214" t="str">
        <f t="shared" si="0"/>
        <v>Equity Total Return Swap</v>
      </c>
      <c r="L61" s="214" t="str">
        <f>IF(E61="","",IF(COUNTIFS(Table2[[#All],[De (Lote)]],Input_APM!F61)&gt;0,INDEX(Table2[[#All],[Para (Ticker Daniel)]],MATCH(Input_APM!F61,Table2[[#All],[De (Lote)]],0)),Input_APM!F61))</f>
        <v>000660 KS</v>
      </c>
      <c r="M61" s="214" t="str">
        <f t="shared" si="1"/>
        <v>EQTY.IntlUS.off</v>
      </c>
      <c r="N61" s="215">
        <f t="shared" si="2"/>
        <v>1400</v>
      </c>
      <c r="O61" s="215">
        <f t="shared" si="3"/>
        <v>1400</v>
      </c>
    </row>
    <row r="62" spans="5:15">
      <c r="E62" s="213" t="s">
        <v>39</v>
      </c>
      <c r="F62" s="213" t="s">
        <v>96</v>
      </c>
      <c r="G62" s="213" t="s">
        <v>282</v>
      </c>
      <c r="H62" s="213">
        <v>-4030</v>
      </c>
      <c r="I62" s="213">
        <v>-4030</v>
      </c>
      <c r="K62" s="214" t="str">
        <f t="shared" si="0"/>
        <v>ADR</v>
      </c>
      <c r="L62" s="214" t="str">
        <f>IF(E62="","",IF(COUNTIFS(Table2[[#All],[De (Lote)]],Input_APM!F62)&gt;0,INDEX(Table2[[#All],[Para (Ticker Daniel)]],MATCH(Input_APM!F62,Table2[[#All],[De (Lote)]],0)),Input_APM!F62))</f>
        <v>TSM</v>
      </c>
      <c r="M62" s="214" t="str">
        <f t="shared" si="1"/>
        <v>EQTY.IntlUS.off</v>
      </c>
      <c r="N62" s="215">
        <f t="shared" si="2"/>
        <v>-4030</v>
      </c>
      <c r="O62" s="215">
        <f t="shared" si="3"/>
        <v>-4030</v>
      </c>
    </row>
    <row r="63" spans="5:15">
      <c r="E63" s="213" t="s">
        <v>327</v>
      </c>
      <c r="F63" s="213" t="s">
        <v>2060</v>
      </c>
      <c r="G63" s="213" t="s">
        <v>282</v>
      </c>
      <c r="H63" s="213">
        <v>47</v>
      </c>
      <c r="I63" s="213">
        <v>47</v>
      </c>
      <c r="K63" s="214" t="str">
        <f t="shared" si="0"/>
        <v>ADR Options</v>
      </c>
      <c r="L63" s="214" t="str">
        <f>IF(E63="","",IF(COUNTIFS(Table2[[#All],[De (Lote)]],Input_APM!F63)&gt;0,INDEX(Table2[[#All],[Para (Ticker Daniel)]],MATCH(Input_APM!F63,Table2[[#All],[De (Lote)]],0)),Input_APM!F63))</f>
        <v>TSM US 01/16/26 C300</v>
      </c>
      <c r="M63" s="214" t="str">
        <f t="shared" si="1"/>
        <v>EQTY.IntlUS.off</v>
      </c>
      <c r="N63" s="215">
        <f t="shared" si="2"/>
        <v>47</v>
      </c>
      <c r="O63" s="215">
        <f t="shared" si="3"/>
        <v>47</v>
      </c>
    </row>
    <row r="64" spans="5:15">
      <c r="E64" s="213" t="s">
        <v>327</v>
      </c>
      <c r="F64" s="213" t="s">
        <v>2146</v>
      </c>
      <c r="G64" s="213" t="s">
        <v>282</v>
      </c>
      <c r="H64" s="213">
        <v>397</v>
      </c>
      <c r="I64" s="213">
        <v>397</v>
      </c>
      <c r="K64" s="214" t="str">
        <f t="shared" si="0"/>
        <v>ADR Options</v>
      </c>
      <c r="L64" s="214" t="str">
        <f>IF(E64="","",IF(COUNTIFS(Table2[[#All],[De (Lote)]],Input_APM!F64)&gt;0,INDEX(Table2[[#All],[Para (Ticker Daniel)]],MATCH(Input_APM!F64,Table2[[#All],[De (Lote)]],0)),Input_APM!F64))</f>
        <v>TSM US 03/20/26 C300</v>
      </c>
      <c r="M64" s="214" t="str">
        <f t="shared" si="1"/>
        <v>EQTY.IntlUS.off</v>
      </c>
      <c r="N64" s="215">
        <f t="shared" si="2"/>
        <v>397</v>
      </c>
      <c r="O64" s="215">
        <f t="shared" si="3"/>
        <v>397</v>
      </c>
    </row>
    <row r="65" spans="5:15">
      <c r="E65" s="213" t="s">
        <v>327</v>
      </c>
      <c r="F65" s="213" t="s">
        <v>2147</v>
      </c>
      <c r="G65" s="213" t="s">
        <v>282</v>
      </c>
      <c r="H65" s="213">
        <v>-351</v>
      </c>
      <c r="I65" s="213">
        <v>-351</v>
      </c>
      <c r="K65" s="214" t="str">
        <f t="shared" si="0"/>
        <v>ADR Options</v>
      </c>
      <c r="L65" s="214" t="str">
        <f>IF(E65="","",IF(COUNTIFS(Table2[[#All],[De (Lote)]],Input_APM!F65)&gt;0,INDEX(Table2[[#All],[Para (Ticker Daniel)]],MATCH(Input_APM!F65,Table2[[#All],[De (Lote)]],0)),Input_APM!F65))</f>
        <v>TSM US 03/20/26 C330</v>
      </c>
      <c r="M65" s="214" t="str">
        <f t="shared" si="1"/>
        <v>EQTY.IntlUS.off</v>
      </c>
      <c r="N65" s="215">
        <f t="shared" si="2"/>
        <v>-351</v>
      </c>
      <c r="O65" s="215">
        <f t="shared" si="3"/>
        <v>-351</v>
      </c>
    </row>
    <row r="66" spans="5:15">
      <c r="E66" s="213" t="s">
        <v>327</v>
      </c>
      <c r="F66" s="213" t="s">
        <v>2342</v>
      </c>
      <c r="G66" s="213" t="s">
        <v>282</v>
      </c>
      <c r="H66" s="213">
        <v>493</v>
      </c>
      <c r="I66" s="213">
        <v>493</v>
      </c>
      <c r="K66" s="214" t="str">
        <f t="shared" si="0"/>
        <v>ADR Options</v>
      </c>
      <c r="L66" s="214" t="str">
        <f>IF(E66="","",IF(COUNTIFS(Table2[[#All],[De (Lote)]],Input_APM!F66)&gt;0,INDEX(Table2[[#All],[Para (Ticker Daniel)]],MATCH(Input_APM!F66,Table2[[#All],[De (Lote)]],0)),Input_APM!F66))</f>
        <v>TSM US 06/18/26 C340</v>
      </c>
      <c r="M66" s="214" t="str">
        <f t="shared" si="1"/>
        <v>EQTY.IntlUS.off</v>
      </c>
      <c r="N66" s="215">
        <f t="shared" si="2"/>
        <v>493</v>
      </c>
      <c r="O66" s="215">
        <f t="shared" si="3"/>
        <v>493</v>
      </c>
    </row>
    <row r="67" spans="5:15">
      <c r="E67" s="213" t="s">
        <v>327</v>
      </c>
      <c r="F67" s="213" t="s">
        <v>2343</v>
      </c>
      <c r="G67" s="213" t="s">
        <v>282</v>
      </c>
      <c r="H67" s="213">
        <v>-493</v>
      </c>
      <c r="I67" s="213">
        <v>-493</v>
      </c>
      <c r="K67" s="214" t="str">
        <f t="shared" ref="K67:K130" si="4">IF(E67="","",E67)</f>
        <v>ADR Options</v>
      </c>
      <c r="L67" s="214" t="str">
        <f>IF(E67="","",IF(COUNTIFS(Table2[[#All],[De (Lote)]],Input_APM!F67)&gt;0,INDEX(Table2[[#All],[Para (Ticker Daniel)]],MATCH(Input_APM!F67,Table2[[#All],[De (Lote)]],0)),Input_APM!F67))</f>
        <v>TSM US 06/18/26 C380</v>
      </c>
      <c r="M67" s="214" t="str">
        <f t="shared" ref="M67:M130" si="5">IF(E67="","",G67)</f>
        <v>EQTY.IntlUS.off</v>
      </c>
      <c r="N67" s="215">
        <f t="shared" ref="N67:N130" si="6">IF(E67="","",H67)</f>
        <v>-493</v>
      </c>
      <c r="O67" s="215">
        <f t="shared" ref="O67:O130" si="7">IF(E67="","",I67)</f>
        <v>-493</v>
      </c>
    </row>
    <row r="68" spans="5:15">
      <c r="E68" s="213" t="s">
        <v>317</v>
      </c>
      <c r="F68" s="213" t="s">
        <v>87</v>
      </c>
      <c r="G68" s="213" t="s">
        <v>282</v>
      </c>
      <c r="H68" s="213">
        <v>3280</v>
      </c>
      <c r="I68" s="213">
        <v>3280</v>
      </c>
      <c r="K68" s="214" t="str">
        <f t="shared" si="4"/>
        <v>US Equity</v>
      </c>
      <c r="L68" s="214" t="str">
        <f>IF(E68="","",IF(COUNTIFS(Table2[[#All],[De (Lote)]],Input_APM!F68)&gt;0,INDEX(Table2[[#All],[Para (Ticker Daniel)]],MATCH(Input_APM!F68,Table2[[#All],[De (Lote)]],0)),Input_APM!F68))</f>
        <v>V</v>
      </c>
      <c r="M68" s="214" t="str">
        <f t="shared" si="5"/>
        <v>EQTY.IntlUS.off</v>
      </c>
      <c r="N68" s="215">
        <f t="shared" si="6"/>
        <v>3280</v>
      </c>
      <c r="O68" s="215">
        <f t="shared" si="7"/>
        <v>3280</v>
      </c>
    </row>
    <row r="69" spans="5:15">
      <c r="E69" s="213" t="s">
        <v>317</v>
      </c>
      <c r="F69" s="213" t="s">
        <v>2100</v>
      </c>
      <c r="G69" s="213" t="s">
        <v>282</v>
      </c>
      <c r="H69" s="213">
        <v>2777</v>
      </c>
      <c r="I69" s="213">
        <v>2777</v>
      </c>
      <c r="K69" s="214" t="str">
        <f t="shared" si="4"/>
        <v>US Equity</v>
      </c>
      <c r="L69" s="214" t="str">
        <f>IF(E69="","",IF(COUNTIFS(Table2[[#All],[De (Lote)]],Input_APM!F69)&gt;0,INDEX(Table2[[#All],[Para (Ticker Daniel)]],MATCH(Input_APM!F69,Table2[[#All],[De (Lote)]],0)),Input_APM!F69))</f>
        <v>WBD</v>
      </c>
      <c r="M69" s="214" t="str">
        <f t="shared" si="5"/>
        <v>EQTY.IntlUS.off</v>
      </c>
      <c r="N69" s="215">
        <f t="shared" si="6"/>
        <v>2777</v>
      </c>
      <c r="O69" s="215">
        <f t="shared" si="7"/>
        <v>2777</v>
      </c>
    </row>
    <row r="70" spans="5:15">
      <c r="K70" s="214" t="str">
        <f t="shared" si="4"/>
        <v/>
      </c>
      <c r="L70" s="214" t="str">
        <f>IF(E70="","",IF(COUNTIFS(Table2[[#All],[De (Lote)]],Input_APM!F70)&gt;0,INDEX(Table2[[#All],[Para (Ticker Daniel)]],MATCH(Input_APM!F70,Table2[[#All],[De (Lote)]],0)),Input_APM!F70))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(Lote)]],Input_APM!F71)&gt;0,INDEX(Table2[[#All],[Para (Ticker Daniel)]],MATCH(Input_APM!F71,Table2[[#All],[De (Lote)]],0)),Input_APM!F71))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(Lote)]],Input_APM!F72)&gt;0,INDEX(Table2[[#All],[Para (Ticker Daniel)]],MATCH(Input_APM!F72,Table2[[#All],[De (Lote)]],0)),Input_APM!F72))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69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9" width="14" style="213" bestFit="1" customWidth="1" outlineLevel="1"/>
    <col min="10" max="10" width="9.140625" style="213"/>
    <col min="11" max="11" width="22.85546875" style="213" bestFit="1" customWidth="1"/>
    <col min="12" max="12" width="30.285156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1039</v>
      </c>
      <c r="I2" s="213">
        <v>1039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1039</v>
      </c>
      <c r="O2" s="215">
        <f>IF(E2="","",I2)</f>
        <v>1039</v>
      </c>
    </row>
    <row r="3" spans="5:15">
      <c r="E3" s="213" t="s">
        <v>324</v>
      </c>
      <c r="F3" s="213" t="s">
        <v>2340</v>
      </c>
      <c r="G3" s="213" t="s">
        <v>282</v>
      </c>
      <c r="H3" s="213">
        <v>95</v>
      </c>
      <c r="I3" s="213">
        <v>95</v>
      </c>
      <c r="K3" s="214" t="str">
        <f t="shared" ref="K3:K66" si="0">IF(E3="","",E3)</f>
        <v>ETF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ASHR US 02/20/26 C35</v>
      </c>
      <c r="M3" s="214" t="str">
        <f t="shared" ref="M3:M66" si="1">IF(E3="","",G3)</f>
        <v>EQTY.IntlUS.off</v>
      </c>
      <c r="N3" s="215">
        <f t="shared" ref="N3:N66" si="2">IF(E3="","",H3)</f>
        <v>95</v>
      </c>
      <c r="O3" s="215">
        <f t="shared" ref="O3:O66" si="3">IF(E3="","",I3)</f>
        <v>95</v>
      </c>
    </row>
    <row r="4" spans="5:15">
      <c r="E4" s="213" t="s">
        <v>317</v>
      </c>
      <c r="F4" s="213" t="s">
        <v>137</v>
      </c>
      <c r="G4" s="213" t="s">
        <v>282</v>
      </c>
      <c r="H4" s="213">
        <v>149</v>
      </c>
      <c r="I4" s="213">
        <v>149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</v>
      </c>
      <c r="M4" s="214" t="str">
        <f t="shared" si="1"/>
        <v>EQTY.IntlUS.off</v>
      </c>
      <c r="N4" s="215">
        <f t="shared" si="2"/>
        <v>149</v>
      </c>
      <c r="O4" s="215">
        <f t="shared" si="3"/>
        <v>149</v>
      </c>
    </row>
    <row r="5" spans="5:15">
      <c r="E5" s="213" t="s">
        <v>319</v>
      </c>
      <c r="F5" s="213" t="s">
        <v>2157</v>
      </c>
      <c r="G5" s="213" t="s">
        <v>282</v>
      </c>
      <c r="H5" s="213">
        <v>2</v>
      </c>
      <c r="I5" s="213">
        <v>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C350</v>
      </c>
      <c r="M5" s="214" t="str">
        <f t="shared" si="1"/>
        <v>EQTY.IntlUS.off</v>
      </c>
      <c r="N5" s="215">
        <f t="shared" si="2"/>
        <v>2</v>
      </c>
      <c r="O5" s="215">
        <f t="shared" si="3"/>
        <v>2</v>
      </c>
    </row>
    <row r="6" spans="5:15">
      <c r="E6" s="213" t="s">
        <v>319</v>
      </c>
      <c r="F6" s="213" t="s">
        <v>2159</v>
      </c>
      <c r="G6" s="213" t="s">
        <v>282</v>
      </c>
      <c r="H6" s="213">
        <v>-2</v>
      </c>
      <c r="I6" s="213">
        <v>-2</v>
      </c>
      <c r="K6" s="214" t="str">
        <f t="shared" si="0"/>
        <v>US Equity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AVGO US 06/18/26 C410</v>
      </c>
      <c r="M6" s="214" t="str">
        <f t="shared" si="1"/>
        <v>EQTY.IntlUS.off</v>
      </c>
      <c r="N6" s="215">
        <f t="shared" si="2"/>
        <v>-2</v>
      </c>
      <c r="O6" s="215">
        <f t="shared" si="3"/>
        <v>-2</v>
      </c>
    </row>
    <row r="7" spans="5:15">
      <c r="E7" s="213" t="s">
        <v>39</v>
      </c>
      <c r="F7" s="213" t="s">
        <v>461</v>
      </c>
      <c r="G7" s="213" t="s">
        <v>282</v>
      </c>
      <c r="H7" s="213">
        <v>215</v>
      </c>
      <c r="I7" s="213">
        <v>215</v>
      </c>
      <c r="K7" s="214" t="str">
        <f t="shared" si="0"/>
        <v>ADR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BABA</v>
      </c>
      <c r="M7" s="214" t="str">
        <f t="shared" si="1"/>
        <v>EQTY.IntlUS.off</v>
      </c>
      <c r="N7" s="215">
        <f t="shared" si="2"/>
        <v>215</v>
      </c>
      <c r="O7" s="215">
        <f t="shared" si="3"/>
        <v>215</v>
      </c>
    </row>
    <row r="8" spans="5:15">
      <c r="E8" s="213" t="s">
        <v>39</v>
      </c>
      <c r="F8" s="213" t="s">
        <v>2215</v>
      </c>
      <c r="G8" s="213" t="s">
        <v>282</v>
      </c>
      <c r="H8" s="213">
        <v>225</v>
      </c>
      <c r="I8" s="213">
        <v>225</v>
      </c>
      <c r="K8" s="214" t="str">
        <f t="shared" si="0"/>
        <v>ADR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BIDU</v>
      </c>
      <c r="M8" s="214" t="str">
        <f t="shared" si="1"/>
        <v>EQTY.IntlUS.off</v>
      </c>
      <c r="N8" s="215">
        <f t="shared" si="2"/>
        <v>225</v>
      </c>
      <c r="O8" s="215">
        <f t="shared" si="3"/>
        <v>225</v>
      </c>
    </row>
    <row r="9" spans="5:15">
      <c r="E9" s="213" t="s">
        <v>321</v>
      </c>
      <c r="F9" s="213" t="s">
        <v>295</v>
      </c>
      <c r="G9" s="213" t="s">
        <v>282</v>
      </c>
      <c r="H9" s="213">
        <v>0.05</v>
      </c>
      <c r="I9" s="213">
        <v>0.05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CAD</v>
      </c>
      <c r="M9" s="214" t="str">
        <f t="shared" si="1"/>
        <v>EQTY.IntlUS.off</v>
      </c>
      <c r="N9" s="215">
        <f t="shared" si="2"/>
        <v>0.05</v>
      </c>
      <c r="O9" s="215">
        <f t="shared" si="3"/>
        <v>0.05</v>
      </c>
    </row>
    <row r="10" spans="5:15">
      <c r="E10" s="213" t="s">
        <v>321</v>
      </c>
      <c r="F10" s="213" t="s">
        <v>296</v>
      </c>
      <c r="G10" s="213" t="s">
        <v>283</v>
      </c>
      <c r="H10" s="213">
        <v>0.49</v>
      </c>
      <c r="I10" s="213">
        <v>0.49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CHF</v>
      </c>
      <c r="M10" s="214" t="str">
        <f t="shared" si="1"/>
        <v>EQTY.InternacionalUS2.off</v>
      </c>
      <c r="N10" s="215">
        <f t="shared" si="2"/>
        <v>0.49</v>
      </c>
      <c r="O10" s="215">
        <f t="shared" si="3"/>
        <v>0.49</v>
      </c>
    </row>
    <row r="11" spans="5:15">
      <c r="E11" s="213" t="s">
        <v>321</v>
      </c>
      <c r="F11" s="213" t="s">
        <v>296</v>
      </c>
      <c r="G11" s="213" t="s">
        <v>282</v>
      </c>
      <c r="H11" s="213">
        <v>-2610.69</v>
      </c>
      <c r="I11" s="213">
        <v>-2610.69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CHF</v>
      </c>
      <c r="M11" s="214" t="str">
        <f t="shared" si="1"/>
        <v>EQTY.IntlUS.off</v>
      </c>
      <c r="N11" s="215">
        <f t="shared" si="2"/>
        <v>-2610.69</v>
      </c>
      <c r="O11" s="215">
        <f t="shared" si="3"/>
        <v>-2610.69</v>
      </c>
    </row>
    <row r="12" spans="5:15">
      <c r="E12" s="213" t="s">
        <v>321</v>
      </c>
      <c r="F12" s="213" t="s">
        <v>297</v>
      </c>
      <c r="G12" s="213" t="s">
        <v>282</v>
      </c>
      <c r="H12" s="213">
        <v>0.16</v>
      </c>
      <c r="I12" s="213">
        <v>0.16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CNH</v>
      </c>
      <c r="M12" s="214" t="str">
        <f t="shared" si="1"/>
        <v>EQTY.IntlUS.off</v>
      </c>
      <c r="N12" s="215">
        <f t="shared" si="2"/>
        <v>0.16</v>
      </c>
      <c r="O12" s="215">
        <f t="shared" si="3"/>
        <v>0.16</v>
      </c>
    </row>
    <row r="13" spans="5:15">
      <c r="E13" s="213" t="s">
        <v>321</v>
      </c>
      <c r="F13" s="213" t="s">
        <v>2180</v>
      </c>
      <c r="G13" s="213" t="s">
        <v>283</v>
      </c>
      <c r="H13" s="213">
        <v>-0.21</v>
      </c>
      <c r="I13" s="213">
        <v>-0.21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CNY</v>
      </c>
      <c r="M13" s="214" t="str">
        <f t="shared" si="1"/>
        <v>EQTY.InternacionalUS2.off</v>
      </c>
      <c r="N13" s="215">
        <f t="shared" si="2"/>
        <v>-0.21</v>
      </c>
      <c r="O13" s="215">
        <f t="shared" si="3"/>
        <v>-0.21</v>
      </c>
    </row>
    <row r="14" spans="5:15">
      <c r="E14" s="213" t="s">
        <v>321</v>
      </c>
      <c r="F14" s="213" t="s">
        <v>2180</v>
      </c>
      <c r="G14" s="213" t="s">
        <v>282</v>
      </c>
      <c r="H14" s="213">
        <v>-10000.790000000001</v>
      </c>
      <c r="I14" s="213">
        <v>-10000.790000000001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CNY</v>
      </c>
      <c r="M14" s="214" t="str">
        <f t="shared" si="1"/>
        <v>EQTY.IntlUS.off</v>
      </c>
      <c r="N14" s="215">
        <f t="shared" si="2"/>
        <v>-10000.790000000001</v>
      </c>
      <c r="O14" s="215">
        <f t="shared" si="3"/>
        <v>-10000.790000000001</v>
      </c>
    </row>
    <row r="15" spans="5:15">
      <c r="E15" s="213" t="s">
        <v>321</v>
      </c>
      <c r="F15" s="213" t="s">
        <v>298</v>
      </c>
      <c r="G15" s="213" t="s">
        <v>283</v>
      </c>
      <c r="H15" s="213">
        <v>0.47</v>
      </c>
      <c r="I15" s="213">
        <v>0.47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EUR</v>
      </c>
      <c r="M15" s="214" t="str">
        <f t="shared" si="1"/>
        <v>EQTY.InternacionalUS2.off</v>
      </c>
      <c r="N15" s="215">
        <f t="shared" si="2"/>
        <v>0.47</v>
      </c>
      <c r="O15" s="215">
        <f t="shared" si="3"/>
        <v>0.47</v>
      </c>
    </row>
    <row r="16" spans="5:15">
      <c r="E16" s="213" t="s">
        <v>321</v>
      </c>
      <c r="F16" s="213" t="s">
        <v>298</v>
      </c>
      <c r="G16" s="213" t="s">
        <v>282</v>
      </c>
      <c r="H16" s="213">
        <v>3360.55</v>
      </c>
      <c r="I16" s="213">
        <v>3360.55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EUR</v>
      </c>
      <c r="M16" s="214" t="str">
        <f t="shared" si="1"/>
        <v>EQTY.IntlUS.off</v>
      </c>
      <c r="N16" s="215">
        <f t="shared" si="2"/>
        <v>3360.55</v>
      </c>
      <c r="O16" s="215">
        <f t="shared" si="3"/>
        <v>3360.55</v>
      </c>
    </row>
    <row r="17" spans="5:15">
      <c r="E17" s="213" t="s">
        <v>321</v>
      </c>
      <c r="F17" s="213" t="s">
        <v>299</v>
      </c>
      <c r="G17" s="213" t="s">
        <v>282</v>
      </c>
      <c r="H17" s="213">
        <v>0.82</v>
      </c>
      <c r="I17" s="213">
        <v>0.82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GBP</v>
      </c>
      <c r="M17" s="214" t="str">
        <f t="shared" si="1"/>
        <v>EQTY.IntlUS.off</v>
      </c>
      <c r="N17" s="215">
        <f t="shared" si="2"/>
        <v>0.82</v>
      </c>
      <c r="O17" s="215">
        <f t="shared" si="3"/>
        <v>0.82</v>
      </c>
    </row>
    <row r="18" spans="5:15">
      <c r="E18" s="213" t="s">
        <v>321</v>
      </c>
      <c r="F18" s="213" t="s">
        <v>300</v>
      </c>
      <c r="G18" s="213" t="s">
        <v>283</v>
      </c>
      <c r="H18" s="213">
        <v>-0.06</v>
      </c>
      <c r="I18" s="213">
        <v>-0.06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HKD</v>
      </c>
      <c r="M18" s="214" t="str">
        <f t="shared" si="1"/>
        <v>EQTY.InternacionalUS2.off</v>
      </c>
      <c r="N18" s="215">
        <f t="shared" si="2"/>
        <v>-0.06</v>
      </c>
      <c r="O18" s="215">
        <f t="shared" si="3"/>
        <v>-0.06</v>
      </c>
    </row>
    <row r="19" spans="5:15">
      <c r="E19" s="213" t="s">
        <v>321</v>
      </c>
      <c r="F19" s="213" t="s">
        <v>300</v>
      </c>
      <c r="G19" s="213" t="s">
        <v>282</v>
      </c>
      <c r="H19" s="213">
        <v>-17957.060000000001</v>
      </c>
      <c r="I19" s="213">
        <v>-17957.060000000001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HKD</v>
      </c>
      <c r="M19" s="214" t="str">
        <f t="shared" si="1"/>
        <v>EQTY.IntlUS.off</v>
      </c>
      <c r="N19" s="215">
        <f t="shared" si="2"/>
        <v>-17957.060000000001</v>
      </c>
      <c r="O19" s="215">
        <f t="shared" si="3"/>
        <v>-17957.060000000001</v>
      </c>
    </row>
    <row r="20" spans="5:15">
      <c r="E20" s="213" t="s">
        <v>321</v>
      </c>
      <c r="F20" s="213" t="s">
        <v>301</v>
      </c>
      <c r="G20" s="213" t="s">
        <v>282</v>
      </c>
      <c r="H20" s="213">
        <v>-0.01</v>
      </c>
      <c r="I20" s="213">
        <v>-0.01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KRW</v>
      </c>
      <c r="M20" s="214" t="str">
        <f t="shared" si="1"/>
        <v>EQTY.IntlUS.off</v>
      </c>
      <c r="N20" s="215">
        <f t="shared" si="2"/>
        <v>-0.01</v>
      </c>
      <c r="O20" s="215">
        <f t="shared" si="3"/>
        <v>-0.01</v>
      </c>
    </row>
    <row r="21" spans="5:15">
      <c r="E21" s="213" t="s">
        <v>321</v>
      </c>
      <c r="F21" s="213" t="s">
        <v>302</v>
      </c>
      <c r="G21" s="213" t="s">
        <v>283</v>
      </c>
      <c r="H21" s="213">
        <v>-1.9999999999996E-2</v>
      </c>
      <c r="I21" s="213">
        <v>0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USD</v>
      </c>
      <c r="M21" s="214" t="str">
        <f t="shared" si="1"/>
        <v>EQTY.InternacionalUS2.off</v>
      </c>
      <c r="N21" s="215">
        <f t="shared" si="2"/>
        <v>-1.9999999999996E-2</v>
      </c>
      <c r="O21" s="215">
        <f t="shared" si="3"/>
        <v>0</v>
      </c>
    </row>
    <row r="22" spans="5:15">
      <c r="E22" s="213" t="s">
        <v>321</v>
      </c>
      <c r="F22" s="213" t="s">
        <v>302</v>
      </c>
      <c r="G22" s="213" t="s">
        <v>282</v>
      </c>
      <c r="H22" s="213">
        <v>-413543.44614408998</v>
      </c>
      <c r="I22" s="213">
        <v>-76093.906144089997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USD</v>
      </c>
      <c r="M22" s="214" t="str">
        <f t="shared" si="1"/>
        <v>EQTY.IntlUS.off</v>
      </c>
      <c r="N22" s="215">
        <f t="shared" si="2"/>
        <v>-413543.44614408998</v>
      </c>
      <c r="O22" s="215">
        <f t="shared" si="3"/>
        <v>-76093.906144089997</v>
      </c>
    </row>
    <row r="23" spans="5:15">
      <c r="E23" s="213" t="s">
        <v>477</v>
      </c>
      <c r="F23" s="213" t="s">
        <v>1915</v>
      </c>
      <c r="G23" s="213" t="s">
        <v>282</v>
      </c>
      <c r="H23" s="213">
        <v>375000</v>
      </c>
      <c r="I23" s="213">
        <v>375000</v>
      </c>
      <c r="K23" s="214" t="str">
        <f t="shared" si="0"/>
        <v>CDS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CHINAGOV 12/20/30</v>
      </c>
      <c r="M23" s="214" t="str">
        <f t="shared" si="1"/>
        <v>EQTY.IntlUS.off</v>
      </c>
      <c r="N23" s="215">
        <f t="shared" si="2"/>
        <v>375000</v>
      </c>
      <c r="O23" s="215">
        <f t="shared" si="3"/>
        <v>375000</v>
      </c>
    </row>
    <row r="24" spans="5:15">
      <c r="E24" s="213" t="s">
        <v>317</v>
      </c>
      <c r="F24" s="213" t="s">
        <v>2216</v>
      </c>
      <c r="G24" s="213" t="s">
        <v>282</v>
      </c>
      <c r="H24" s="213">
        <v>197</v>
      </c>
      <c r="I24" s="213">
        <v>197</v>
      </c>
      <c r="K24" s="214" t="str">
        <f t="shared" si="0"/>
        <v>US Equity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COHR</v>
      </c>
      <c r="M24" s="214" t="str">
        <f t="shared" si="1"/>
        <v>EQTY.IntlUS.off</v>
      </c>
      <c r="N24" s="215">
        <f t="shared" si="2"/>
        <v>197</v>
      </c>
      <c r="O24" s="215">
        <f t="shared" si="3"/>
        <v>197</v>
      </c>
    </row>
    <row r="25" spans="5:15">
      <c r="E25" s="213" t="s">
        <v>320</v>
      </c>
      <c r="F25" s="213" t="s">
        <v>1754</v>
      </c>
      <c r="G25" s="213" t="s">
        <v>282</v>
      </c>
      <c r="H25" s="213">
        <v>2849</v>
      </c>
      <c r="I25" s="213">
        <v>2849</v>
      </c>
      <c r="K25" s="214" t="str">
        <f t="shared" si="0"/>
        <v>ETF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EWY</v>
      </c>
      <c r="M25" s="214" t="str">
        <f t="shared" si="1"/>
        <v>EQTY.IntlUS.off</v>
      </c>
      <c r="N25" s="215">
        <f t="shared" si="2"/>
        <v>2849</v>
      </c>
      <c r="O25" s="215">
        <f t="shared" si="3"/>
        <v>2849</v>
      </c>
    </row>
    <row r="26" spans="5:15">
      <c r="E26" s="213" t="s">
        <v>320</v>
      </c>
      <c r="F26" s="213" t="s">
        <v>131</v>
      </c>
      <c r="G26" s="213" t="s">
        <v>282</v>
      </c>
      <c r="H26" s="213">
        <v>1603</v>
      </c>
      <c r="I26" s="213">
        <v>1603</v>
      </c>
      <c r="K26" s="214" t="str">
        <f t="shared" si="0"/>
        <v>ETF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 xml:space="preserve">GDX </v>
      </c>
      <c r="M26" s="214" t="str">
        <f t="shared" si="1"/>
        <v>EQTY.IntlUS.off</v>
      </c>
      <c r="N26" s="215">
        <f t="shared" si="2"/>
        <v>1603</v>
      </c>
      <c r="O26" s="215">
        <f t="shared" si="3"/>
        <v>1603</v>
      </c>
    </row>
    <row r="27" spans="5:15">
      <c r="E27" s="213" t="s">
        <v>317</v>
      </c>
      <c r="F27" s="213" t="s">
        <v>2224</v>
      </c>
      <c r="G27" s="213" t="s">
        <v>282</v>
      </c>
      <c r="H27" s="213">
        <v>112</v>
      </c>
      <c r="I27" s="213">
        <v>112</v>
      </c>
      <c r="K27" s="214" t="str">
        <f t="shared" si="0"/>
        <v>US Equity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GOOG</v>
      </c>
      <c r="M27" s="214" t="str">
        <f t="shared" si="1"/>
        <v>EQTY.IntlUS.off</v>
      </c>
      <c r="N27" s="215">
        <f t="shared" si="2"/>
        <v>112</v>
      </c>
      <c r="O27" s="215">
        <f t="shared" si="3"/>
        <v>112</v>
      </c>
    </row>
    <row r="28" spans="5:15">
      <c r="E28" s="213" t="s">
        <v>325</v>
      </c>
      <c r="F28" s="213" t="s">
        <v>1899</v>
      </c>
      <c r="G28" s="213" t="s">
        <v>282</v>
      </c>
      <c r="H28" s="213">
        <v>19314</v>
      </c>
      <c r="I28" s="213">
        <v>19314</v>
      </c>
      <c r="K28" s="214" t="str">
        <f t="shared" si="0"/>
        <v>Basket Index Options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GSC1000P 03/20/26 C104</v>
      </c>
      <c r="M28" s="214" t="str">
        <f t="shared" si="1"/>
        <v>EQTY.IntlUS.off</v>
      </c>
      <c r="N28" s="215">
        <f t="shared" si="2"/>
        <v>19314</v>
      </c>
      <c r="O28" s="215">
        <f t="shared" si="3"/>
        <v>19314</v>
      </c>
    </row>
    <row r="29" spans="5:15">
      <c r="E29" s="213" t="s">
        <v>325</v>
      </c>
      <c r="F29" s="213" t="s">
        <v>1900</v>
      </c>
      <c r="G29" s="213" t="s">
        <v>282</v>
      </c>
      <c r="H29" s="213">
        <v>-19314</v>
      </c>
      <c r="I29" s="213">
        <v>-19314</v>
      </c>
      <c r="K29" s="214" t="str">
        <f t="shared" si="0"/>
        <v>Basket Index Options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GSC1000P 03/20/26 C119</v>
      </c>
      <c r="M29" s="214" t="str">
        <f t="shared" si="1"/>
        <v>EQTY.IntlUS.off</v>
      </c>
      <c r="N29" s="215">
        <f t="shared" si="2"/>
        <v>-19314</v>
      </c>
      <c r="O29" s="215">
        <f t="shared" si="3"/>
        <v>-19314</v>
      </c>
    </row>
    <row r="30" spans="5:15">
      <c r="E30" s="213" t="s">
        <v>39</v>
      </c>
      <c r="F30" s="213" t="s">
        <v>526</v>
      </c>
      <c r="G30" s="213" t="s">
        <v>282</v>
      </c>
      <c r="H30" s="213">
        <v>1</v>
      </c>
      <c r="I30" s="213">
        <v>1</v>
      </c>
      <c r="K30" s="214" t="str">
        <f t="shared" si="0"/>
        <v>ADR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ITUB</v>
      </c>
      <c r="M30" s="214" t="str">
        <f t="shared" si="1"/>
        <v>EQTY.IntlUS.off</v>
      </c>
      <c r="N30" s="215">
        <f t="shared" si="2"/>
        <v>1</v>
      </c>
      <c r="O30" s="215">
        <f t="shared" si="3"/>
        <v>1</v>
      </c>
    </row>
    <row r="31" spans="5:15">
      <c r="E31" s="213" t="s">
        <v>317</v>
      </c>
      <c r="F31" s="213" t="s">
        <v>2101</v>
      </c>
      <c r="G31" s="213" t="s">
        <v>282</v>
      </c>
      <c r="H31" s="213">
        <v>95</v>
      </c>
      <c r="I31" s="213">
        <v>95</v>
      </c>
      <c r="K31" s="214" t="str">
        <f t="shared" si="0"/>
        <v>US Equity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LITE</v>
      </c>
      <c r="M31" s="214" t="str">
        <f t="shared" si="1"/>
        <v>EQTY.IntlUS.off</v>
      </c>
      <c r="N31" s="215">
        <f t="shared" si="2"/>
        <v>95</v>
      </c>
      <c r="O31" s="215">
        <f t="shared" si="3"/>
        <v>95</v>
      </c>
    </row>
    <row r="32" spans="5:15">
      <c r="E32" s="213" t="s">
        <v>319</v>
      </c>
      <c r="F32" s="213" t="s">
        <v>2117</v>
      </c>
      <c r="G32" s="213" t="s">
        <v>282</v>
      </c>
      <c r="H32" s="213">
        <v>6</v>
      </c>
      <c r="I32" s="213">
        <v>6</v>
      </c>
      <c r="K32" s="214" t="str">
        <f t="shared" si="0"/>
        <v>US Equity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LITE US 02/20/26 C400</v>
      </c>
      <c r="M32" s="214" t="str">
        <f t="shared" si="1"/>
        <v>EQTY.IntlUS.off</v>
      </c>
      <c r="N32" s="215">
        <f t="shared" si="2"/>
        <v>6</v>
      </c>
      <c r="O32" s="215">
        <f t="shared" si="3"/>
        <v>6</v>
      </c>
    </row>
    <row r="33" spans="5:15">
      <c r="E33" s="213" t="s">
        <v>319</v>
      </c>
      <c r="F33" s="213" t="s">
        <v>2118</v>
      </c>
      <c r="G33" s="213" t="s">
        <v>282</v>
      </c>
      <c r="H33" s="213">
        <v>-2</v>
      </c>
      <c r="I33" s="213">
        <v>-2</v>
      </c>
      <c r="K33" s="214" t="str">
        <f t="shared" si="0"/>
        <v>US Equity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LITE US 02/20/26 C450</v>
      </c>
      <c r="M33" s="214" t="str">
        <f t="shared" si="1"/>
        <v>EQTY.IntlUS.off</v>
      </c>
      <c r="N33" s="215">
        <f t="shared" si="2"/>
        <v>-2</v>
      </c>
      <c r="O33" s="215">
        <f t="shared" si="3"/>
        <v>-2</v>
      </c>
    </row>
    <row r="34" spans="5:15">
      <c r="E34" s="213" t="s">
        <v>317</v>
      </c>
      <c r="F34" s="213" t="s">
        <v>86</v>
      </c>
      <c r="G34" s="213" t="s">
        <v>282</v>
      </c>
      <c r="H34" s="213">
        <v>132</v>
      </c>
      <c r="I34" s="213">
        <v>132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MA</v>
      </c>
      <c r="M34" s="214" t="str">
        <f t="shared" si="1"/>
        <v>EQTY.IntlUS.off</v>
      </c>
      <c r="N34" s="215">
        <f t="shared" si="2"/>
        <v>132</v>
      </c>
      <c r="O34" s="215">
        <f t="shared" si="3"/>
        <v>132</v>
      </c>
    </row>
    <row r="35" spans="5:15">
      <c r="E35" s="213" t="s">
        <v>317</v>
      </c>
      <c r="F35" s="213" t="s">
        <v>326</v>
      </c>
      <c r="G35" s="213" t="s">
        <v>282</v>
      </c>
      <c r="H35" s="213">
        <v>382</v>
      </c>
      <c r="I35" s="213">
        <v>382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META</v>
      </c>
      <c r="M35" s="214" t="str">
        <f t="shared" si="1"/>
        <v>EQTY.IntlUS.off</v>
      </c>
      <c r="N35" s="215">
        <f t="shared" si="2"/>
        <v>382</v>
      </c>
      <c r="O35" s="215">
        <f t="shared" si="3"/>
        <v>382</v>
      </c>
    </row>
    <row r="36" spans="5:15">
      <c r="E36" s="213" t="s">
        <v>319</v>
      </c>
      <c r="F36" s="213" t="s">
        <v>2111</v>
      </c>
      <c r="G36" s="213" t="s">
        <v>282</v>
      </c>
      <c r="H36" s="213">
        <v>3</v>
      </c>
      <c r="I36" s="213">
        <v>3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META US 04/17/26 C690</v>
      </c>
      <c r="M36" s="214" t="str">
        <f t="shared" si="1"/>
        <v>EQTY.IntlUS.off</v>
      </c>
      <c r="N36" s="215">
        <f t="shared" si="2"/>
        <v>3</v>
      </c>
      <c r="O36" s="215">
        <f t="shared" si="3"/>
        <v>3</v>
      </c>
    </row>
    <row r="37" spans="5:15">
      <c r="E37" s="213" t="s">
        <v>319</v>
      </c>
      <c r="F37" s="213" t="s">
        <v>2161</v>
      </c>
      <c r="G37" s="213" t="s">
        <v>282</v>
      </c>
      <c r="H37" s="213">
        <v>1</v>
      </c>
      <c r="I37" s="213">
        <v>1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META US 04/17/26 P570</v>
      </c>
      <c r="M37" s="214" t="str">
        <f t="shared" si="1"/>
        <v>EQTY.IntlUS.off</v>
      </c>
      <c r="N37" s="215">
        <f t="shared" si="2"/>
        <v>1</v>
      </c>
      <c r="O37" s="215">
        <f t="shared" si="3"/>
        <v>1</v>
      </c>
    </row>
    <row r="38" spans="5:15">
      <c r="E38" s="213" t="s">
        <v>319</v>
      </c>
      <c r="F38" s="213" t="s">
        <v>2160</v>
      </c>
      <c r="G38" s="213" t="s">
        <v>282</v>
      </c>
      <c r="H38" s="213">
        <v>-1</v>
      </c>
      <c r="I38" s="213">
        <v>-1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META US 04/17/26 P600</v>
      </c>
      <c r="M38" s="214" t="str">
        <f t="shared" si="1"/>
        <v>EQTY.IntlUS.off</v>
      </c>
      <c r="N38" s="215">
        <f t="shared" si="2"/>
        <v>-1</v>
      </c>
      <c r="O38" s="215">
        <f t="shared" si="3"/>
        <v>-1</v>
      </c>
    </row>
    <row r="39" spans="5:15">
      <c r="E39" s="213" t="s">
        <v>319</v>
      </c>
      <c r="F39" s="213" t="s">
        <v>2145</v>
      </c>
      <c r="G39" s="213" t="s">
        <v>282</v>
      </c>
      <c r="H39" s="213">
        <v>-6</v>
      </c>
      <c r="I39" s="213">
        <v>-6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MRVL US 03/20/26 P75</v>
      </c>
      <c r="M39" s="214" t="str">
        <f t="shared" si="1"/>
        <v>EQTY.IntlUS.off</v>
      </c>
      <c r="N39" s="215">
        <f t="shared" si="2"/>
        <v>-6</v>
      </c>
      <c r="O39" s="215">
        <f t="shared" si="3"/>
        <v>-6</v>
      </c>
    </row>
    <row r="40" spans="5:15">
      <c r="E40" s="213" t="s">
        <v>319</v>
      </c>
      <c r="F40" s="213" t="s">
        <v>2095</v>
      </c>
      <c r="G40" s="213" t="s">
        <v>282</v>
      </c>
      <c r="H40" s="213">
        <v>-12</v>
      </c>
      <c r="I40" s="213">
        <v>-12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MRVL US 03/20/26 P80</v>
      </c>
      <c r="M40" s="214" t="str">
        <f t="shared" si="1"/>
        <v>EQTY.IntlUS.off</v>
      </c>
      <c r="N40" s="215">
        <f t="shared" si="2"/>
        <v>-12</v>
      </c>
      <c r="O40" s="215">
        <f t="shared" si="3"/>
        <v>-12</v>
      </c>
    </row>
    <row r="41" spans="5:15">
      <c r="E41" s="213" t="s">
        <v>319</v>
      </c>
      <c r="F41" s="213" t="s">
        <v>2144</v>
      </c>
      <c r="G41" s="213" t="s">
        <v>282</v>
      </c>
      <c r="H41" s="213">
        <v>20</v>
      </c>
      <c r="I41" s="213">
        <v>20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MRVL US 03/20/26 P85</v>
      </c>
      <c r="M41" s="214" t="str">
        <f t="shared" si="1"/>
        <v>EQTY.IntlUS.off</v>
      </c>
      <c r="N41" s="215">
        <f t="shared" si="2"/>
        <v>20</v>
      </c>
      <c r="O41" s="215">
        <f t="shared" si="3"/>
        <v>20</v>
      </c>
    </row>
    <row r="42" spans="5:15">
      <c r="E42" s="213" t="s">
        <v>317</v>
      </c>
      <c r="F42" s="213" t="s">
        <v>90</v>
      </c>
      <c r="G42" s="213" t="s">
        <v>282</v>
      </c>
      <c r="H42" s="213">
        <v>544</v>
      </c>
      <c r="I42" s="213">
        <v>544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MSFT</v>
      </c>
      <c r="M42" s="214" t="str">
        <f t="shared" si="1"/>
        <v>EQTY.IntlUS.off</v>
      </c>
      <c r="N42" s="215">
        <f t="shared" si="2"/>
        <v>544</v>
      </c>
      <c r="O42" s="215">
        <f t="shared" si="3"/>
        <v>544</v>
      </c>
    </row>
    <row r="43" spans="5:15">
      <c r="E43" s="213" t="s">
        <v>319</v>
      </c>
      <c r="F43" s="213" t="s">
        <v>2085</v>
      </c>
      <c r="G43" s="213" t="s">
        <v>282</v>
      </c>
      <c r="H43" s="213">
        <v>7</v>
      </c>
      <c r="I43" s="213">
        <v>7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MSFT US 03/20/26 C490</v>
      </c>
      <c r="M43" s="214" t="str">
        <f t="shared" si="1"/>
        <v>EQTY.IntlUS.off</v>
      </c>
      <c r="N43" s="215">
        <f t="shared" si="2"/>
        <v>7</v>
      </c>
      <c r="O43" s="215">
        <f t="shared" si="3"/>
        <v>7</v>
      </c>
    </row>
    <row r="44" spans="5:15">
      <c r="E44" s="213" t="s">
        <v>319</v>
      </c>
      <c r="F44" s="213" t="s">
        <v>2084</v>
      </c>
      <c r="G44" s="213" t="s">
        <v>282</v>
      </c>
      <c r="H44" s="213">
        <v>-4</v>
      </c>
      <c r="I44" s="213">
        <v>-4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MSFT US 03/20/26 C515</v>
      </c>
      <c r="M44" s="214" t="str">
        <f t="shared" si="1"/>
        <v>EQTY.IntlUS.off</v>
      </c>
      <c r="N44" s="215">
        <f t="shared" si="2"/>
        <v>-4</v>
      </c>
      <c r="O44" s="215">
        <f t="shared" si="3"/>
        <v>-4</v>
      </c>
    </row>
    <row r="45" spans="5:15">
      <c r="E45" s="213" t="s">
        <v>319</v>
      </c>
      <c r="F45" s="213" t="s">
        <v>2086</v>
      </c>
      <c r="G45" s="213" t="s">
        <v>282</v>
      </c>
      <c r="H45" s="213">
        <v>-4</v>
      </c>
      <c r="I45" s="213">
        <v>-4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MSFT US 03/20/26 P465</v>
      </c>
      <c r="M45" s="214" t="str">
        <f t="shared" si="1"/>
        <v>EQTY.IntlUS.off</v>
      </c>
      <c r="N45" s="215">
        <f t="shared" si="2"/>
        <v>-4</v>
      </c>
      <c r="O45" s="215">
        <f t="shared" si="3"/>
        <v>-4</v>
      </c>
    </row>
    <row r="46" spans="5:15">
      <c r="E46" s="213" t="s">
        <v>318</v>
      </c>
      <c r="F46" s="213" t="s">
        <v>2198</v>
      </c>
      <c r="G46" s="213" t="s">
        <v>283</v>
      </c>
      <c r="H46" s="225">
        <v>7.5668638022108294E-15</v>
      </c>
      <c r="I46" s="213">
        <v>-0.02</v>
      </c>
      <c r="K46" s="214" t="str">
        <f t="shared" si="0"/>
        <v>Provisions and Costs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MU DIVIDEND_</v>
      </c>
      <c r="M46" s="214" t="str">
        <f t="shared" si="1"/>
        <v>EQTY.InternacionalUS2.off</v>
      </c>
      <c r="N46" s="215">
        <f t="shared" si="2"/>
        <v>7.5668638022108294E-15</v>
      </c>
      <c r="O46" s="215">
        <f t="shared" si="3"/>
        <v>-0.02</v>
      </c>
    </row>
    <row r="47" spans="5:15">
      <c r="E47" s="213" t="s">
        <v>318</v>
      </c>
      <c r="F47" s="213" t="s">
        <v>2198</v>
      </c>
      <c r="G47" s="213" t="s">
        <v>282</v>
      </c>
      <c r="H47" s="225">
        <v>7.5668638022108294E-15</v>
      </c>
      <c r="I47" s="213">
        <v>-0.02</v>
      </c>
      <c r="K47" s="214" t="str">
        <f t="shared" si="0"/>
        <v>Provisions and Costs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MU DIVIDEND_</v>
      </c>
      <c r="M47" s="214" t="str">
        <f t="shared" si="1"/>
        <v>EQTY.IntlUS.off</v>
      </c>
      <c r="N47" s="215">
        <f t="shared" si="2"/>
        <v>7.5668638022108294E-15</v>
      </c>
      <c r="O47" s="215">
        <f t="shared" si="3"/>
        <v>-0.02</v>
      </c>
    </row>
    <row r="48" spans="5:15">
      <c r="E48" s="213" t="s">
        <v>319</v>
      </c>
      <c r="F48" s="213" t="s">
        <v>2138</v>
      </c>
      <c r="G48" s="213" t="s">
        <v>282</v>
      </c>
      <c r="H48" s="213">
        <v>-9</v>
      </c>
      <c r="I48" s="213">
        <v>-9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NFLX US 03/20/26 C104</v>
      </c>
      <c r="M48" s="214" t="str">
        <f t="shared" si="1"/>
        <v>EQTY.IntlUS.off</v>
      </c>
      <c r="N48" s="215">
        <f t="shared" si="2"/>
        <v>-9</v>
      </c>
      <c r="O48" s="215">
        <f t="shared" si="3"/>
        <v>-9</v>
      </c>
    </row>
    <row r="49" spans="5:15">
      <c r="E49" s="213" t="s">
        <v>319</v>
      </c>
      <c r="F49" s="213" t="s">
        <v>2139</v>
      </c>
      <c r="G49" s="213" t="s">
        <v>282</v>
      </c>
      <c r="H49" s="213">
        <v>-16</v>
      </c>
      <c r="I49" s="213">
        <v>-16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NFLX US 03/20/26 P83</v>
      </c>
      <c r="M49" s="214" t="str">
        <f t="shared" si="1"/>
        <v>EQTY.IntlUS.off</v>
      </c>
      <c r="N49" s="215">
        <f t="shared" si="2"/>
        <v>-16</v>
      </c>
      <c r="O49" s="215">
        <f t="shared" si="3"/>
        <v>-16</v>
      </c>
    </row>
    <row r="50" spans="5:15">
      <c r="E50" s="213" t="s">
        <v>319</v>
      </c>
      <c r="F50" s="213" t="s">
        <v>2137</v>
      </c>
      <c r="G50" s="213" t="s">
        <v>282</v>
      </c>
      <c r="H50" s="213">
        <v>11</v>
      </c>
      <c r="I50" s="213">
        <v>11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NFLX US 03/20/26 P92</v>
      </c>
      <c r="M50" s="214" t="str">
        <f t="shared" si="1"/>
        <v>EQTY.IntlUS.off</v>
      </c>
      <c r="N50" s="215">
        <f t="shared" si="2"/>
        <v>11</v>
      </c>
      <c r="O50" s="215">
        <f t="shared" si="3"/>
        <v>11</v>
      </c>
    </row>
    <row r="51" spans="5:15">
      <c r="E51" s="213" t="s">
        <v>317</v>
      </c>
      <c r="F51" s="213" t="s">
        <v>94</v>
      </c>
      <c r="G51" s="213" t="s">
        <v>282</v>
      </c>
      <c r="H51" s="213">
        <v>1478</v>
      </c>
      <c r="I51" s="213">
        <v>1478</v>
      </c>
      <c r="K51" s="214" t="str">
        <f t="shared" si="0"/>
        <v>US Equity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NVDA</v>
      </c>
      <c r="M51" s="214" t="str">
        <f t="shared" si="1"/>
        <v>EQTY.IntlUS.off</v>
      </c>
      <c r="N51" s="215">
        <f t="shared" si="2"/>
        <v>1478</v>
      </c>
      <c r="O51" s="215">
        <f t="shared" si="3"/>
        <v>1478</v>
      </c>
    </row>
    <row r="52" spans="5:15">
      <c r="E52" s="213" t="s">
        <v>318</v>
      </c>
      <c r="F52" s="213" t="s">
        <v>336</v>
      </c>
      <c r="G52" s="213" t="s">
        <v>282</v>
      </c>
      <c r="H52" s="213">
        <v>0</v>
      </c>
      <c r="I52" s="213">
        <v>-2632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ETF Options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-2632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0</v>
      </c>
      <c r="I53" s="213">
        <v>-325487.55</v>
      </c>
      <c r="K53" s="214" t="str">
        <f t="shared" si="0"/>
        <v>Provisions and Costs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Provision ETF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-325487.55</v>
      </c>
    </row>
    <row r="54" spans="5:15">
      <c r="E54" s="213" t="s">
        <v>318</v>
      </c>
      <c r="F54" s="213" t="s">
        <v>1666</v>
      </c>
      <c r="G54" s="213" t="s">
        <v>282</v>
      </c>
      <c r="H54" s="213">
        <v>0</v>
      </c>
      <c r="I54" s="213">
        <v>97128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Provision NYSE USD_</v>
      </c>
      <c r="M54" s="214" t="str">
        <f t="shared" si="1"/>
        <v>EQTY.IntlUS.off</v>
      </c>
      <c r="N54" s="215">
        <f t="shared" si="2"/>
        <v>0</v>
      </c>
      <c r="O54" s="215">
        <f t="shared" si="3"/>
        <v>97128</v>
      </c>
    </row>
    <row r="55" spans="5:15">
      <c r="E55" s="213" t="s">
        <v>318</v>
      </c>
      <c r="F55" s="213" t="s">
        <v>337</v>
      </c>
      <c r="G55" s="213" t="s">
        <v>282</v>
      </c>
      <c r="H55" s="213">
        <v>0</v>
      </c>
      <c r="I55" s="213">
        <v>6059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US Equity Options USD_</v>
      </c>
      <c r="M55" s="214" t="str">
        <f t="shared" si="1"/>
        <v>EQTY.IntlUS.off</v>
      </c>
      <c r="N55" s="215">
        <f t="shared" si="2"/>
        <v>0</v>
      </c>
      <c r="O55" s="215">
        <f t="shared" si="3"/>
        <v>6059</v>
      </c>
    </row>
    <row r="56" spans="5:15">
      <c r="E56" s="213" t="s">
        <v>318</v>
      </c>
      <c r="F56" s="213" t="s">
        <v>307</v>
      </c>
      <c r="G56" s="213" t="s">
        <v>282</v>
      </c>
      <c r="H56" s="213">
        <v>0</v>
      </c>
      <c r="I56" s="213">
        <v>-112516.97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US Equity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-112516.97</v>
      </c>
    </row>
    <row r="57" spans="5:15">
      <c r="E57" s="213" t="s">
        <v>320</v>
      </c>
      <c r="F57" s="213" t="s">
        <v>143</v>
      </c>
      <c r="G57" s="213" t="s">
        <v>282</v>
      </c>
      <c r="H57" s="213">
        <v>-3005</v>
      </c>
      <c r="I57" s="213">
        <v>-3005</v>
      </c>
      <c r="K57" s="214" t="str">
        <f t="shared" si="0"/>
        <v>ETF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QQQE</v>
      </c>
      <c r="M57" s="214" t="str">
        <f t="shared" si="1"/>
        <v>EQTY.IntlUS.off</v>
      </c>
      <c r="N57" s="215">
        <f t="shared" si="2"/>
        <v>-3005</v>
      </c>
      <c r="O57" s="215">
        <f t="shared" si="3"/>
        <v>-3005</v>
      </c>
    </row>
    <row r="58" spans="5:15">
      <c r="E58" s="213" t="s">
        <v>317</v>
      </c>
      <c r="F58" s="213" t="s">
        <v>2189</v>
      </c>
      <c r="G58" s="213" t="s">
        <v>282</v>
      </c>
      <c r="H58" s="213">
        <v>1433</v>
      </c>
      <c r="I58" s="213">
        <v>1433</v>
      </c>
      <c r="K58" s="214" t="str">
        <f t="shared" si="0"/>
        <v>US Equity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RIOT</v>
      </c>
      <c r="M58" s="214" t="str">
        <f t="shared" si="1"/>
        <v>EQTY.IntlUS.off</v>
      </c>
      <c r="N58" s="215">
        <f t="shared" si="2"/>
        <v>1433</v>
      </c>
      <c r="O58" s="215">
        <f t="shared" si="3"/>
        <v>1433</v>
      </c>
    </row>
    <row r="59" spans="5:15">
      <c r="E59" s="213" t="s">
        <v>320</v>
      </c>
      <c r="F59" s="213" t="s">
        <v>3</v>
      </c>
      <c r="G59" s="213" t="s">
        <v>282</v>
      </c>
      <c r="H59" s="213">
        <v>-813</v>
      </c>
      <c r="I59" s="213">
        <v>-813</v>
      </c>
      <c r="K59" s="214" t="str">
        <f t="shared" si="0"/>
        <v>ETF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RSP</v>
      </c>
      <c r="M59" s="214" t="str">
        <f t="shared" si="1"/>
        <v>EQTY.IntlUS.off</v>
      </c>
      <c r="N59" s="215">
        <f t="shared" si="2"/>
        <v>-813</v>
      </c>
      <c r="O59" s="215">
        <f t="shared" si="3"/>
        <v>-813</v>
      </c>
    </row>
    <row r="60" spans="5:15">
      <c r="E60" s="213" t="s">
        <v>320</v>
      </c>
      <c r="F60" s="213" t="s">
        <v>95</v>
      </c>
      <c r="G60" s="213" t="s">
        <v>282</v>
      </c>
      <c r="H60" s="213">
        <v>-77</v>
      </c>
      <c r="I60" s="213">
        <v>-77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SOXX</v>
      </c>
      <c r="M60" s="214" t="str">
        <f t="shared" si="1"/>
        <v>EQTY.IntlUS.off</v>
      </c>
      <c r="N60" s="215">
        <f t="shared" si="2"/>
        <v>-77</v>
      </c>
      <c r="O60" s="215">
        <f t="shared" si="3"/>
        <v>-77</v>
      </c>
    </row>
    <row r="61" spans="5:15">
      <c r="E61" s="213" t="s">
        <v>2191</v>
      </c>
      <c r="F61" s="213" t="s">
        <v>2192</v>
      </c>
      <c r="G61" s="213" t="s">
        <v>282</v>
      </c>
      <c r="H61" s="213">
        <v>100</v>
      </c>
      <c r="I61" s="213">
        <v>100</v>
      </c>
      <c r="K61" s="214" t="str">
        <f t="shared" si="0"/>
        <v>Equity Total Return Swap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000660 KS</v>
      </c>
      <c r="M61" s="214" t="str">
        <f t="shared" si="1"/>
        <v>EQTY.IntlUS.off</v>
      </c>
      <c r="N61" s="215">
        <f t="shared" si="2"/>
        <v>100</v>
      </c>
      <c r="O61" s="215">
        <f t="shared" si="3"/>
        <v>100</v>
      </c>
    </row>
    <row r="62" spans="5:15">
      <c r="E62" s="213" t="s">
        <v>39</v>
      </c>
      <c r="F62" s="213" t="s">
        <v>96</v>
      </c>
      <c r="G62" s="213" t="s">
        <v>282</v>
      </c>
      <c r="H62" s="213">
        <v>-270</v>
      </c>
      <c r="I62" s="213">
        <v>-270</v>
      </c>
      <c r="K62" s="214" t="str">
        <f t="shared" si="0"/>
        <v>ADR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TSM</v>
      </c>
      <c r="M62" s="214" t="str">
        <f t="shared" si="1"/>
        <v>EQTY.IntlUS.off</v>
      </c>
      <c r="N62" s="215">
        <f t="shared" si="2"/>
        <v>-270</v>
      </c>
      <c r="O62" s="215">
        <f t="shared" si="3"/>
        <v>-270</v>
      </c>
    </row>
    <row r="63" spans="5:15">
      <c r="E63" s="213" t="s">
        <v>327</v>
      </c>
      <c r="F63" s="213" t="s">
        <v>2060</v>
      </c>
      <c r="G63" s="213" t="s">
        <v>282</v>
      </c>
      <c r="H63" s="213">
        <v>3</v>
      </c>
      <c r="I63" s="213">
        <v>3</v>
      </c>
      <c r="K63" s="214" t="str">
        <f t="shared" si="0"/>
        <v>ADR Options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TSM US 01/16/26 C300</v>
      </c>
      <c r="M63" s="214" t="str">
        <f t="shared" si="1"/>
        <v>EQTY.IntlUS.off</v>
      </c>
      <c r="N63" s="215">
        <f t="shared" si="2"/>
        <v>3</v>
      </c>
      <c r="O63" s="215">
        <f t="shared" si="3"/>
        <v>3</v>
      </c>
    </row>
    <row r="64" spans="5:15">
      <c r="E64" s="213" t="s">
        <v>327</v>
      </c>
      <c r="F64" s="213" t="s">
        <v>2146</v>
      </c>
      <c r="G64" s="213" t="s">
        <v>282</v>
      </c>
      <c r="H64" s="213">
        <v>28</v>
      </c>
      <c r="I64" s="213">
        <v>28</v>
      </c>
      <c r="K64" s="214" t="str">
        <f t="shared" si="0"/>
        <v>ADR Options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 US 03/20/26 C300</v>
      </c>
      <c r="M64" s="214" t="str">
        <f t="shared" si="1"/>
        <v>EQTY.IntlUS.off</v>
      </c>
      <c r="N64" s="215">
        <f t="shared" si="2"/>
        <v>28</v>
      </c>
      <c r="O64" s="215">
        <f t="shared" si="3"/>
        <v>28</v>
      </c>
    </row>
    <row r="65" spans="5:15">
      <c r="E65" s="213" t="s">
        <v>327</v>
      </c>
      <c r="F65" s="213" t="s">
        <v>2147</v>
      </c>
      <c r="G65" s="213" t="s">
        <v>282</v>
      </c>
      <c r="H65" s="213">
        <v>-24</v>
      </c>
      <c r="I65" s="213">
        <v>-24</v>
      </c>
      <c r="K65" s="214" t="str">
        <f t="shared" si="0"/>
        <v>ADR Options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US 03/20/26 C330</v>
      </c>
      <c r="M65" s="214" t="str">
        <f t="shared" si="1"/>
        <v>EQTY.IntlUS.off</v>
      </c>
      <c r="N65" s="215">
        <f t="shared" si="2"/>
        <v>-24</v>
      </c>
      <c r="O65" s="215">
        <f t="shared" si="3"/>
        <v>-24</v>
      </c>
    </row>
    <row r="66" spans="5:15">
      <c r="E66" s="213" t="s">
        <v>327</v>
      </c>
      <c r="F66" s="213" t="s">
        <v>2342</v>
      </c>
      <c r="G66" s="213" t="s">
        <v>282</v>
      </c>
      <c r="H66" s="213">
        <v>32</v>
      </c>
      <c r="I66" s="213">
        <v>32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06/18/26 C340</v>
      </c>
      <c r="M66" s="214" t="str">
        <f t="shared" si="1"/>
        <v>EQTY.IntlUS.off</v>
      </c>
      <c r="N66" s="215">
        <f t="shared" si="2"/>
        <v>32</v>
      </c>
      <c r="O66" s="215">
        <f t="shared" si="3"/>
        <v>32</v>
      </c>
    </row>
    <row r="67" spans="5:15">
      <c r="E67" s="213" t="s">
        <v>327</v>
      </c>
      <c r="F67" s="213" t="s">
        <v>2343</v>
      </c>
      <c r="G67" s="213" t="s">
        <v>282</v>
      </c>
      <c r="H67" s="213">
        <v>-32</v>
      </c>
      <c r="I67" s="213">
        <v>-32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06/18/26 C380</v>
      </c>
      <c r="M67" s="214" t="str">
        <f t="shared" ref="M67:M130" si="5">IF(E67="","",G67)</f>
        <v>EQTY.IntlUS.off</v>
      </c>
      <c r="N67" s="215">
        <f t="shared" ref="N67:N130" si="6">IF(E67="","",H67)</f>
        <v>-32</v>
      </c>
      <c r="O67" s="215">
        <f t="shared" ref="O67:O130" si="7">IF(E67="","",I67)</f>
        <v>-32</v>
      </c>
    </row>
    <row r="68" spans="5:15">
      <c r="E68" s="213" t="s">
        <v>317</v>
      </c>
      <c r="F68" s="213" t="s">
        <v>87</v>
      </c>
      <c r="G68" s="213" t="s">
        <v>282</v>
      </c>
      <c r="H68" s="213">
        <v>220</v>
      </c>
      <c r="I68" s="213">
        <v>220</v>
      </c>
      <c r="K68" s="214" t="str">
        <f t="shared" si="4"/>
        <v>US Equity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V</v>
      </c>
      <c r="M68" s="214" t="str">
        <f t="shared" si="5"/>
        <v>EQTY.IntlUS.off</v>
      </c>
      <c r="N68" s="215">
        <f t="shared" si="6"/>
        <v>220</v>
      </c>
      <c r="O68" s="215">
        <f t="shared" si="7"/>
        <v>220</v>
      </c>
    </row>
    <row r="69" spans="5:15">
      <c r="E69" s="213" t="s">
        <v>317</v>
      </c>
      <c r="F69" s="213" t="s">
        <v>2100</v>
      </c>
      <c r="G69" s="213" t="s">
        <v>282</v>
      </c>
      <c r="H69" s="213">
        <v>223</v>
      </c>
      <c r="I69" s="213">
        <v>223</v>
      </c>
      <c r="K69" s="214" t="str">
        <f t="shared" si="4"/>
        <v>US Equity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WBD</v>
      </c>
      <c r="M69" s="214" t="str">
        <f t="shared" si="5"/>
        <v>EQTY.IntlUS.off</v>
      </c>
      <c r="N69" s="215">
        <f t="shared" si="6"/>
        <v>223</v>
      </c>
      <c r="O69" s="215">
        <f t="shared" si="7"/>
        <v>223</v>
      </c>
    </row>
    <row r="70" spans="5:15">
      <c r="K70" s="214" t="str">
        <f t="shared" si="4"/>
        <v/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132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132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382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382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544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544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-813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-813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-77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-77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-270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-270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220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220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46037</v>
      </c>
      <c r="C2" s="210">
        <v>1</v>
      </c>
    </row>
    <row r="3" spans="1:7">
      <c r="A3" s="208" t="s">
        <v>342</v>
      </c>
      <c r="B3" s="236">
        <f ca="1">B2-1</f>
        <v>46036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Daniel\BooksOverviewResume14Jan2026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Daniel\BooksOverviewResume14Jan2026_zenith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2192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2200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2200</v>
      </c>
      <c r="G98" s="22" t="s">
        <v>2200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IF(R2="","",IF(LEN(R2)&gt;9,SUMIFS(Options!$AZ$3:$AZ$33,Options!$B$3:$B$33,'Check result'!R2),SUMIFS('Master P&amp;L'!$AE$11:$AE$85,'Master P&amp;L'!$B$11:$B$85,'Check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IF(R3="","",IF(LEN(R3)&gt;9,SUMIFS(Options!$AZ$3:$AZ$33,Options!$B$3:$B$33,'Check result'!R3),SUMIFS('Master P&amp;L'!$AE$11:$AE$85,'Master P&amp;L'!$B$11:$B$85,'Check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IF(R4="","",IF(LEN(R4)&gt;9,SUMIFS(Options!$AZ$3:$AZ$33,Options!$B$3:$B$33,'Check result'!R4),SUMIFS('Master P&amp;L'!$AE$11:$AE$85,'Master P&amp;L'!$B$11:$B$85,'Check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IF(R5="","",IF(LEN(R5)&gt;9,SUMIFS(Options!$AZ$3:$AZ$33,Options!$B$3:$B$33,'Check result'!R5),SUMIFS('Master P&amp;L'!$AE$11:$AE$85,'Master P&amp;L'!$B$11:$B$85,'Check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IF(R6="","",IF(LEN(R6)&gt;9,SUMIFS(Options!$AZ$3:$AZ$33,Options!$B$3:$B$33,'Check result'!R6),SUMIFS('Master P&amp;L'!$AE$11:$AE$85,'Master P&amp;L'!$B$11:$B$85,'Check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IF(R7="","",IF(LEN(R7)&gt;9,SUMIFS(Options!$AZ$3:$AZ$33,Options!$B$3:$B$33,'Check result'!R7),SUMIFS('Master P&amp;L'!$AE$11:$AE$85,'Master P&amp;L'!$B$11:$B$85,'Check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IF(R8="","",IF(LEN(R8)&gt;9,SUMIFS(Options!$AZ$3:$AZ$33,Options!$B$3:$B$33,'Check result'!R8),SUMIFS('Master P&amp;L'!$AE$11:$AE$85,'Master P&amp;L'!$B$11:$B$85,'Check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IF(R9="","",IF(LEN(R9)&gt;9,SUMIFS(Options!$AZ$3:$AZ$33,Options!$B$3:$B$33,'Check result'!R9),SUMIFS('Master P&amp;L'!$AE$11:$AE$85,'Master P&amp;L'!$B$11:$B$85,'Check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IF(R10="","",IF(LEN(R10)&gt;9,SUMIFS(Options!$AZ$3:$AZ$33,Options!$B$3:$B$33,'Check result'!R10),SUMIFS('Master P&amp;L'!$AE$11:$AE$85,'Master P&amp;L'!$B$11:$B$85,'Check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IF(R11="","",IF(LEN(R11)&gt;9,SUMIFS(Options!$AZ$3:$AZ$33,Options!$B$3:$B$33,'Check result'!R11),SUMIFS('Master P&amp;L'!$AE$11:$AE$85,'Master P&amp;L'!$B$11:$B$85,'Check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IF(R12="","",IF(LEN(R12)&gt;9,SUMIFS(Options!$AZ$3:$AZ$33,Options!$B$3:$B$33,'Check result'!R12),SUMIFS('Master P&amp;L'!$AE$11:$AE$85,'Master P&amp;L'!$B$11:$B$85,'Check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IF(R13="","",IF(LEN(R13)&gt;9,SUMIFS(Options!$AZ$3:$AZ$33,Options!$B$3:$B$33,'Check result'!R13),SUMIFS('Master P&amp;L'!$AE$11:$AE$85,'Master P&amp;L'!$B$11:$B$85,'Check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IF(R14="","",IF(LEN(R14)&gt;9,SUMIFS(Options!$AZ$3:$AZ$33,Options!$B$3:$B$33,'Check result'!R14),SUMIFS('Master P&amp;L'!$AE$11:$AE$85,'Master P&amp;L'!$B$11:$B$85,'Check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IF(R15="","",IF(LEN(R15)&gt;9,SUMIFS(Options!$AZ$3:$AZ$33,Options!$B$3:$B$33,'Check result'!R15),SUMIFS('Master P&amp;L'!$AE$11:$AE$85,'Master P&amp;L'!$B$11:$B$85,'Check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IF(R16="","",IF(LEN(R16)&gt;9,SUMIFS(Options!$AZ$3:$AZ$33,Options!$B$3:$B$33,'Check result'!R16),SUMIFS('Master P&amp;L'!$AE$11:$AE$85,'Master P&amp;L'!$B$11:$B$85,'Check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IF(R17="","",IF(LEN(R17)&gt;9,SUMIFS(Options!$AZ$3:$AZ$33,Options!$B$3:$B$33,'Check result'!R17),SUMIFS('Master P&amp;L'!$AE$11:$AE$85,'Master P&amp;L'!$B$11:$B$85,'Check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IF(R18="","",IF(LEN(R18)&gt;9,SUMIFS(Options!$AZ$3:$AZ$33,Options!$B$3:$B$33,'Check result'!R18),SUMIFS('Master P&amp;L'!$AE$11:$AE$85,'Master P&amp;L'!$B$11:$B$85,'Check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IF(R19="","",IF(LEN(R19)&gt;9,SUMIFS(Options!$AZ$3:$AZ$33,Options!$B$3:$B$33,'Check result'!R19),SUMIFS('Master P&amp;L'!$AE$11:$AE$85,'Master P&amp;L'!$B$11:$B$85,'Check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IF(R20="","",IF(LEN(R20)&gt;9,SUMIFS(Options!$AZ$3:$AZ$33,Options!$B$3:$B$33,'Check result'!R20),SUMIFS('Master P&amp;L'!$AE$11:$AE$85,'Master P&amp;L'!$B$11:$B$85,'Check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IF(R21="","",IF(LEN(R21)&gt;9,SUMIFS(Options!$AZ$3:$AZ$33,Options!$B$3:$B$33,'Check result'!R21),SUMIFS('Master P&amp;L'!$AE$11:$AE$85,'Master P&amp;L'!$B$11:$B$85,'Check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IF(R22="","",IF(LEN(R22)&gt;9,SUMIFS(Options!$AZ$3:$AZ$33,Options!$B$3:$B$33,'Check result'!R22),SUMIFS('Master P&amp;L'!$AE$11:$AE$85,'Master P&amp;L'!$B$11:$B$85,'Check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IF(R23="","",IF(LEN(R23)&gt;9,SUMIFS(Options!$AZ$3:$AZ$33,Options!$B$3:$B$33,'Check result'!R23),SUMIFS('Master P&amp;L'!$AE$11:$AE$85,'Master P&amp;L'!$B$11:$B$85,'Check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IF(R24="","",IF(LEN(R24)&gt;9,SUMIFS(Options!$AZ$3:$AZ$33,Options!$B$3:$B$33,'Check result'!R24),SUMIFS('Master P&amp;L'!$AE$11:$AE$85,'Master P&amp;L'!$B$11:$B$85,'Check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IF(R25="","",IF(LEN(R25)&gt;9,SUMIFS(Options!$AZ$3:$AZ$33,Options!$B$3:$B$33,'Check result'!R25),SUMIFS('Master P&amp;L'!$AE$11:$AE$85,'Master P&amp;L'!$B$11:$B$85,'Check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IF(R26="","",IF(LEN(R26)&gt;9,SUMIFS(Options!$AZ$3:$AZ$33,Options!$B$3:$B$33,'Check result'!R26),SUMIFS('Master P&amp;L'!$AE$11:$AE$85,'Master P&amp;L'!$B$11:$B$85,'Check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IF(R27="","",IF(LEN(R27)&gt;9,SUMIFS(Options!$AZ$3:$AZ$33,Options!$B$3:$B$33,'Check result'!R27),SUMIFS('Master P&amp;L'!$AE$11:$AE$85,'Master P&amp;L'!$B$11:$B$85,'Check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IF(R28="","",IF(LEN(R28)&gt;9,SUMIFS(Options!$AZ$3:$AZ$33,Options!$B$3:$B$33,'Check result'!R28),SUMIFS('Master P&amp;L'!$AE$11:$AE$85,'Master P&amp;L'!$B$11:$B$85,'Check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IF(R29="","",IF(LEN(R29)&gt;9,SUMIFS(Options!$AZ$3:$AZ$33,Options!$B$3:$B$33,'Check result'!R29),SUMIFS('Master P&amp;L'!$AE$11:$AE$85,'Master P&amp;L'!$B$11:$B$85,'Check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IF(R30="","",IF(LEN(R30)&gt;9,SUMIFS(Options!$AZ$3:$AZ$33,Options!$B$3:$B$33,'Check result'!R30),SUMIFS('Master P&amp;L'!$AE$11:$AE$85,'Master P&amp;L'!$B$11:$B$85,'Check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IF(R31="","",IF(LEN(R31)&gt;9,SUMIFS(Options!$AZ$3:$AZ$33,Options!$B$3:$B$33,'Check result'!R31),SUMIFS('Master P&amp;L'!$AE$11:$AE$85,'Master P&amp;L'!$B$11:$B$85,'Check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IF(R32="","",IF(LEN(R32)&gt;9,SUMIFS(Options!$AZ$3:$AZ$33,Options!$B$3:$B$33,'Check result'!R32),SUMIFS('Master P&amp;L'!$AE$11:$AE$85,'Master P&amp;L'!$B$11:$B$85,'Check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IF(R33="","",IF(LEN(R33)&gt;9,SUMIFS(Options!$AZ$3:$AZ$33,Options!$B$3:$B$33,'Check result'!R33),SUMIFS('Master P&amp;L'!$AE$11:$AE$85,'Master P&amp;L'!$B$11:$B$85,'Check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IF(R34="","",IF(LEN(R34)&gt;9,SUMIFS(Options!$AZ$3:$AZ$33,Options!$B$3:$B$33,'Check result'!R34),SUMIFS('Master P&amp;L'!$AE$11:$AE$85,'Master P&amp;L'!$B$11:$B$85,'Check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IF(R35="","",IF(LEN(R35)&gt;9,SUMIFS(Options!$AZ$3:$AZ$33,Options!$B$3:$B$33,'Check result'!R35),SUMIFS('Master P&amp;L'!$AE$11:$AE$85,'Master P&amp;L'!$B$11:$B$85,'Check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IF(R36="","",IF(LEN(R36)&gt;9,SUMIFS(Options!$AZ$3:$AZ$33,Options!$B$3:$B$33,'Check result'!R36),SUMIFS('Master P&amp;L'!$AE$11:$AE$85,'Master P&amp;L'!$B$11:$B$85,'Check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IF(R37="","",IF(LEN(R37)&gt;9,SUMIFS(Options!$AZ$3:$AZ$33,Options!$B$3:$B$33,'Check result'!R37),SUMIFS('Master P&amp;L'!$AE$11:$AE$85,'Master P&amp;L'!$B$11:$B$85,'Check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IF(R38="","",IF(LEN(R38)&gt;9,SUMIFS(Options!$AZ$3:$AZ$33,Options!$B$3:$B$33,'Check result'!R38),SUMIFS('Master P&amp;L'!$AE$11:$AE$85,'Master P&amp;L'!$B$11:$B$85,'Check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IF(R39="","",IF(LEN(R39)&gt;9,SUMIFS(Options!$AZ$3:$AZ$33,Options!$B$3:$B$33,'Check result'!R39),SUMIFS('Master P&amp;L'!$AE$11:$AE$85,'Master P&amp;L'!$B$11:$B$85,'Check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IF(R40="","",IF(LEN(R40)&gt;9,SUMIFS(Options!$AZ$3:$AZ$33,Options!$B$3:$B$33,'Check result'!R40),SUMIFS('Master P&amp;L'!$AE$11:$AE$85,'Master P&amp;L'!$B$11:$B$85,'Check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IF(R41="","",IF(LEN(R41)&gt;9,SUMIFS(Options!$AZ$3:$AZ$33,Options!$B$3:$B$33,'Check result'!R41),SUMIFS('Master P&amp;L'!$AE$11:$AE$85,'Master P&amp;L'!$B$11:$B$85,'Check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IF(R42="","",IF(LEN(R42)&gt;9,SUMIFS(Options!$AZ$3:$AZ$33,Options!$B$3:$B$33,'Check result'!R42),SUMIFS('Master P&amp;L'!$AE$11:$AE$85,'Master P&amp;L'!$B$11:$B$85,'Check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IF(R43="","",IF(LEN(R43)&gt;9,SUMIFS(Options!$AZ$3:$AZ$33,Options!$B$3:$B$33,'Check result'!R43),SUMIFS('Master P&amp;L'!$AE$11:$AE$85,'Master P&amp;L'!$B$11:$B$85,'Check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IF(R44="","",IF(LEN(R44)&gt;9,SUMIFS(Options!$AZ$3:$AZ$33,Options!$B$3:$B$33,'Check result'!R44),SUMIFS('Master P&amp;L'!$AE$11:$AE$85,'Master P&amp;L'!$B$11:$B$85,'Check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IF(R45="","",IF(LEN(R45)&gt;9,SUMIFS(Options!$AZ$3:$AZ$33,Options!$B$3:$B$33,'Check result'!R45),SUMIFS('Master P&amp;L'!$AE$11:$AE$85,'Master P&amp;L'!$B$11:$B$85,'Check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IF(R46="","",IF(LEN(R46)&gt;9,SUMIFS(Options!$AZ$3:$AZ$33,Options!$B$3:$B$33,'Check result'!R46),SUMIFS('Master P&amp;L'!$AE$11:$AE$85,'Master P&amp;L'!$B$11:$B$85,'Check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IF(R47="","",IF(LEN(R47)&gt;9,SUMIFS(Options!$AZ$3:$AZ$33,Options!$B$3:$B$33,'Check result'!R47),SUMIFS('Master P&amp;L'!$AE$11:$AE$85,'Master P&amp;L'!$B$11:$B$85,'Check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IF(R48="","",IF(LEN(R48)&gt;9,SUMIFS(Options!$AZ$3:$AZ$33,Options!$B$3:$B$33,'Check result'!R48),SUMIFS('Master P&amp;L'!$AE$11:$AE$85,'Master P&amp;L'!$B$11:$B$85,'Check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IF(R49="","",IF(LEN(R49)&gt;9,SUMIFS(Options!$AZ$3:$AZ$33,Options!$B$3:$B$33,'Check result'!R49),SUMIFS('Master P&amp;L'!$AE$11:$AE$85,'Master P&amp;L'!$B$11:$B$85,'Check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IF(R50="","",IF(LEN(R50)&gt;9,SUMIFS(Options!$AZ$3:$AZ$33,Options!$B$3:$B$33,'Check result'!R50),SUMIFS('Master P&amp;L'!$AE$11:$AE$85,'Master P&amp;L'!$B$11:$B$85,'Check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IF(R51="","",IF(LEN(R51)&gt;9,SUMIFS(Options!$AZ$3:$AZ$33,Options!$B$3:$B$33,'Check result'!R51),SUMIFS('Master P&amp;L'!$AE$11:$AE$85,'Master P&amp;L'!$B$11:$B$85,'Check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IF(R52="","",IF(LEN(R52)&gt;9,SUMIFS(Options!$AZ$3:$AZ$33,Options!$B$3:$B$33,'Check result'!R52),SUMIFS('Master P&amp;L'!$AE$11:$AE$85,'Master P&amp;L'!$B$11:$B$85,'Check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IF(R53="","",IF(LEN(R53)&gt;9,SUMIFS(Options!$AZ$3:$AZ$33,Options!$B$3:$B$33,'Check result'!R53),SUMIFS('Master P&amp;L'!$AE$11:$AE$85,'Master P&amp;L'!$B$11:$B$85,'Check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IF(R54="","",IF(LEN(R54)&gt;9,SUMIFS(Options!$AZ$3:$AZ$33,Options!$B$3:$B$33,'Check result'!R54),SUMIFS('Master P&amp;L'!$AE$11:$AE$85,'Master P&amp;L'!$B$11:$B$85,'Check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IF(R55="","",IF(LEN(R55)&gt;9,SUMIFS(Options!$AZ$3:$AZ$33,Options!$B$3:$B$33,'Check result'!R55),SUMIFS('Master P&amp;L'!$AE$11:$AE$85,'Master P&amp;L'!$B$11:$B$85,'Check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IF(R56="","",IF(LEN(R56)&gt;9,SUMIFS(Options!$AZ$3:$AZ$33,Options!$B$3:$B$33,'Check result'!R56),SUMIFS('Master P&amp;L'!$AE$11:$AE$85,'Master P&amp;L'!$B$11:$B$85,'Check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IF(R57="","",IF(LEN(R57)&gt;9,SUMIFS(Options!$AZ$3:$AZ$33,Options!$B$3:$B$33,'Check result'!R57),SUMIFS('Master P&amp;L'!$AE$11:$AE$85,'Master P&amp;L'!$B$11:$B$85,'Check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IF(R58="","",IF(LEN(R58)&gt;9,SUMIFS(Options!$AZ$3:$AZ$33,Options!$B$3:$B$33,'Check result'!R58),SUMIFS('Master P&amp;L'!$AE$11:$AE$85,'Master P&amp;L'!$B$11:$B$85,'Check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IF(R59="","",IF(LEN(R59)&gt;9,SUMIFS(Options!$AZ$3:$AZ$33,Options!$B$3:$B$33,'Check result'!R59),SUMIFS('Master P&amp;L'!$AE$11:$AE$85,'Master P&amp;L'!$B$11:$B$85,'Check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IF(R60="","",IF(LEN(R60)&gt;9,SUMIFS(Options!$AZ$3:$AZ$33,Options!$B$3:$B$33,'Check result'!R60),SUMIFS('Master P&amp;L'!$AE$11:$AE$85,'Master P&amp;L'!$B$11:$B$85,'Check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IF(R61="","",IF(LEN(R61)&gt;9,SUMIFS(Options!$AZ$3:$AZ$33,Options!$B$3:$B$33,'Check result'!R61),SUMIFS('Master P&amp;L'!$AE$11:$AE$85,'Master P&amp;L'!$B$11:$B$85,'Check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IF(R62="","",IF(LEN(R62)&gt;9,SUMIFS(Options!$AZ$3:$AZ$33,Options!$B$3:$B$33,'Check result'!R62),SUMIFS('Master P&amp;L'!$AE$11:$AE$85,'Master P&amp;L'!$B$11:$B$85,'Check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IF(R63="","",IF(LEN(R63)&gt;9,SUMIFS(Options!$AZ$3:$AZ$33,Options!$B$3:$B$33,'Check result'!R63),SUMIFS('Master P&amp;L'!$AE$11:$AE$85,'Master P&amp;L'!$B$11:$B$85,'Check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IF(R64="","",IF(LEN(R64)&gt;9,SUMIFS(Options!$AZ$3:$AZ$33,Options!$B$3:$B$33,'Check result'!R64),SUMIFS('Master P&amp;L'!$AE$11:$AE$85,'Master P&amp;L'!$B$11:$B$85,'Check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IF(R65="","",IF(LEN(R65)&gt;9,SUMIFS(Options!$AZ$3:$AZ$33,Options!$B$3:$B$33,'Check result'!R65),SUMIFS('Master P&amp;L'!$AE$11:$AE$85,'Master P&amp;L'!$B$11:$B$85,'Check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IF(R66="","",IF(LEN(R66)&gt;9,SUMIFS(Options!$AZ$3:$AZ$33,Options!$B$3:$B$33,'Check result'!R66),SUMIFS('Master P&amp;L'!$AE$11:$AE$85,'Master P&amp;L'!$B$11:$B$85,'Check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IF(R67="","",IF(LEN(R67)&gt;9,SUMIFS(Options!$AZ$3:$AZ$33,Options!$B$3:$B$33,'Check result'!R67),SUMIFS('Master P&amp;L'!$AE$11:$AE$85,'Master P&amp;L'!$B$11:$B$85,'Check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IF(R68="","",IF(LEN(R68)&gt;9,SUMIFS(Options!$AZ$3:$AZ$33,Options!$B$3:$B$33,'Check result'!R68),SUMIFS('Master P&amp;L'!$AE$11:$AE$85,'Master P&amp;L'!$B$11:$B$85,'Check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IF(R69="","",IF(LEN(R69)&gt;9,SUMIFS(Options!$AZ$3:$AZ$33,Options!$B$3:$B$33,'Check result'!R69),SUMIFS('Master P&amp;L'!$AE$11:$AE$85,'Master P&amp;L'!$B$11:$B$85,'Check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IF(R70="","",IF(LEN(R70)&gt;9,SUMIFS(Options!$AZ$3:$AZ$33,Options!$B$3:$B$33,'Check result'!R70),SUMIFS('Master P&amp;L'!$AE$11:$AE$85,'Master P&amp;L'!$B$11:$B$85,'Check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IF(R71="","",IF(LEN(R71)&gt;9,SUMIFS(Options!$AZ$3:$AZ$33,Options!$B$3:$B$33,'Check result'!R71),SUMIFS('Master P&amp;L'!$AE$11:$AE$85,'Master P&amp;L'!$B$11:$B$85,'Check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IF(R72="","",IF(LEN(R72)&gt;9,SUMIFS(Options!$AZ$3:$AZ$33,Options!$B$3:$B$33,'Check result'!R72),SUMIFS('Master P&amp;L'!$AE$11:$AE$85,'Master P&amp;L'!$B$11:$B$85,'Check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IF(R73="","",IF(LEN(R73)&gt;9,SUMIFS(Options!$AZ$3:$AZ$33,Options!$B$3:$B$33,'Check result'!R73),SUMIFS('Master P&amp;L'!$AE$11:$AE$85,'Master P&amp;L'!$B$11:$B$85,'Check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IF(R74="","",IF(LEN(R74)&gt;9,SUMIFS(Options!$AZ$3:$AZ$33,Options!$B$3:$B$33,'Check result'!R74),SUMIFS('Master P&amp;L'!$AE$11:$AE$85,'Master P&amp;L'!$B$11:$B$85,'Check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IF(R75="","",IF(LEN(R75)&gt;9,SUMIFS(Options!$AZ$3:$AZ$33,Options!$B$3:$B$33,'Check result'!R75),SUMIFS('Master P&amp;L'!$AE$11:$AE$85,'Master P&amp;L'!$B$11:$B$85,'Check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IF(R76="","",IF(LEN(R76)&gt;9,SUMIFS(Options!$AZ$3:$AZ$33,Options!$B$3:$B$33,'Check result'!R76),SUMIFS('Master P&amp;L'!$AE$11:$AE$85,'Master P&amp;L'!$B$11:$B$85,'Check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IF(R77="","",IF(LEN(R77)&gt;9,SUMIFS(Options!$AZ$3:$AZ$33,Options!$B$3:$B$33,'Check result'!R77),SUMIFS('Master P&amp;L'!$AE$11:$AE$85,'Master P&amp;L'!$B$11:$B$85,'Check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IF(R78="","",IF(LEN(R78)&gt;9,SUMIFS(Options!$AZ$3:$AZ$33,Options!$B$3:$B$33,'Check result'!R78),SUMIFS('Master P&amp;L'!$AE$11:$AE$85,'Master P&amp;L'!$B$11:$B$85,'Check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IF(R79="","",IF(LEN(R79)&gt;9,SUMIFS(Options!$AZ$3:$AZ$33,Options!$B$3:$B$33,'Check result'!R79),SUMIFS('Master P&amp;L'!$AE$11:$AE$85,'Master P&amp;L'!$B$11:$B$85,'Check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IF(R80="","",IF(LEN(R80)&gt;9,SUMIFS(Options!$AZ$3:$AZ$33,Options!$B$3:$B$33,'Check result'!R80),SUMIFS('Master P&amp;L'!$AE$11:$AE$85,'Master P&amp;L'!$B$11:$B$85,'Check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IF(R81="","",IF(LEN(R81)&gt;9,SUMIFS(Options!$AZ$3:$AZ$33,Options!$B$3:$B$33,'Check result'!R81),SUMIFS('Master P&amp;L'!$AE$11:$AE$85,'Master P&amp;L'!$B$11:$B$85,'Check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IF(R82="","",IF(LEN(R82)&gt;9,SUMIFS(Options!$AZ$3:$AZ$33,Options!$B$3:$B$33,'Check result'!R82),SUMIFS('Master P&amp;L'!$AE$11:$AE$85,'Master P&amp;L'!$B$11:$B$85,'Check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IF(R83="","",IF(LEN(R83)&gt;9,SUMIFS(Options!$AZ$3:$AZ$33,Options!$B$3:$B$33,'Check result'!R83),SUMIFS('Master P&amp;L'!$AE$11:$AE$85,'Master P&amp;L'!$B$11:$B$85,'Check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IF(R84="","",IF(LEN(R84)&gt;9,SUMIFS(Options!$AZ$3:$AZ$33,Options!$B$3:$B$33,'Check result'!R84),SUMIFS('Master P&amp;L'!$AE$11:$AE$85,'Master P&amp;L'!$B$11:$B$85,'Check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IF(R85="","",IF(LEN(R85)&gt;9,SUMIFS(Options!$AZ$3:$AZ$33,Options!$B$3:$B$33,'Check result'!R85),SUMIFS('Master P&amp;L'!$AE$11:$AE$85,'Master P&amp;L'!$B$11:$B$85,'Check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IF(R86="","",IF(LEN(R86)&gt;9,SUMIFS(Options!$AZ$3:$AZ$33,Options!$B$3:$B$33,'Check result'!R86),SUMIFS('Master P&amp;L'!$AE$11:$AE$85,'Master P&amp;L'!$B$11:$B$85,'Check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IF(R87="","",IF(LEN(R87)&gt;9,SUMIFS(Options!$AZ$3:$AZ$33,Options!$B$3:$B$33,'Check result'!R87),SUMIFS('Master P&amp;L'!$AE$11:$AE$85,'Master P&amp;L'!$B$11:$B$85,'Check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IF(R88="","",IF(LEN(R88)&gt;9,SUMIFS(Options!$AZ$3:$AZ$33,Options!$B$3:$B$33,'Check result'!R88),SUMIFS('Master P&amp;L'!$AE$11:$AE$85,'Master P&amp;L'!$B$11:$B$85,'Check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IF(R89="","",IF(LEN(R89)&gt;9,SUMIFS(Options!$AZ$3:$AZ$33,Options!$B$3:$B$33,'Check result'!R89),SUMIFS('Master P&amp;L'!$AE$11:$AE$85,'Master P&amp;L'!$B$11:$B$85,'Check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IF(R90="","",IF(LEN(R90)&gt;9,SUMIFS(Options!$AZ$3:$AZ$33,Options!$B$3:$B$33,'Check result'!R90),SUMIFS('Master P&amp;L'!$AE$11:$AE$85,'Master P&amp;L'!$B$11:$B$85,'Check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IF(R91="","",IF(LEN(R91)&gt;9,SUMIFS(Options!$AZ$3:$AZ$33,Options!$B$3:$B$33,'Check result'!R91),SUMIFS('Master P&amp;L'!$AE$11:$AE$85,'Master P&amp;L'!$B$11:$B$85,'Check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IF(R92="","",IF(LEN(R92)&gt;9,SUMIFS(Options!$AZ$3:$AZ$33,Options!$B$3:$B$33,'Check result'!R92),SUMIFS('Master P&amp;L'!$AE$11:$AE$85,'Master P&amp;L'!$B$11:$B$85,'Check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IF(R93="","",IF(LEN(R93)&gt;9,SUMIFS(Options!$AZ$3:$AZ$33,Options!$B$3:$B$33,'Check result'!R93),SUMIFS('Master P&amp;L'!$AE$11:$AE$85,'Master P&amp;L'!$B$11:$B$85,'Check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IF(R94="","",IF(LEN(R94)&gt;9,SUMIFS(Options!$AZ$3:$AZ$33,Options!$B$3:$B$33,'Check result'!R94),SUMIFS('Master P&amp;L'!$AE$11:$AE$85,'Master P&amp;L'!$B$11:$B$85,'Check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IF(R95="","",IF(LEN(R95)&gt;9,SUMIFS(Options!$AZ$3:$AZ$33,Options!$B$3:$B$33,'Check result'!R95),SUMIFS('Master P&amp;L'!$AE$11:$AE$85,'Master P&amp;L'!$B$11:$B$85,'Check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IF(R96="","",IF(LEN(R96)&gt;9,SUMIFS(Options!$AZ$3:$AZ$33,Options!$B$3:$B$33,'Check result'!R96),SUMIFS('Master P&amp;L'!$AE$11:$AE$85,'Master P&amp;L'!$B$11:$B$85,'Check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IF(R97="","",IF(LEN(R97)&gt;9,SUMIFS(Options!$AZ$3:$AZ$33,Options!$B$3:$B$33,'Check result'!R97),SUMIFS('Master P&amp;L'!$AE$11:$AE$85,'Master P&amp;L'!$B$11:$B$85,'Check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IF(R98="","",IF(LEN(R98)&gt;9,SUMIFS(Options!$AZ$3:$AZ$33,Options!$B$3:$B$33,'Check result'!R98),SUMIFS('Master P&amp;L'!$AE$11:$AE$85,'Master P&amp;L'!$B$11:$B$85,'Check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IF(R99="","",IF(LEN(R99)&gt;9,SUMIFS(Options!$AZ$3:$AZ$33,Options!$B$3:$B$33,'Check result'!R99),SUMIFS('Master P&amp;L'!$AE$11:$AE$85,'Master P&amp;L'!$B$11:$B$85,'Check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IF(R100="","",IF(LEN(R100)&gt;9,SUMIFS(Options!$AZ$3:$AZ$33,Options!$B$3:$B$33,'Check result'!R100),SUMIFS('Master P&amp;L'!$AE$11:$AE$85,'Master P&amp;L'!$B$11:$B$85,'Check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IF(R101="","",IF(LEN(R101)&gt;9,SUMIFS(Options!$AZ$3:$AZ$33,Options!$B$3:$B$33,'Check result'!R101),SUMIFS('Master P&amp;L'!$AE$11:$AE$85,'Master P&amp;L'!$B$11:$B$85,'Check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IF(R102="","",IF(LEN(R102)&gt;9,SUMIFS(Options!$AZ$3:$AZ$33,Options!$B$3:$B$33,'Check result'!R102),SUMIFS('Master P&amp;L'!$AE$11:$AE$85,'Master P&amp;L'!$B$11:$B$85,'Check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IF(R103="","",IF(LEN(R103)&gt;9,SUMIFS(Options!$AZ$3:$AZ$33,Options!$B$3:$B$33,'Check result'!R103),SUMIFS('Master P&amp;L'!$AE$11:$AE$85,'Master P&amp;L'!$B$11:$B$85,'Check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IF(R104="","",IF(LEN(R104)&gt;9,SUMIFS(Options!$AZ$3:$AZ$33,Options!$B$3:$B$33,'Check result'!R104),SUMIFS('Master P&amp;L'!$AE$11:$AE$85,'Master P&amp;L'!$B$11:$B$85,'Check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IF(R105="","",IF(LEN(R105)&gt;9,SUMIFS(Options!$AZ$3:$AZ$33,Options!$B$3:$B$33,'Check result'!R105),SUMIFS('Master P&amp;L'!$AE$11:$AE$85,'Master P&amp;L'!$B$11:$B$85,'Check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IF(R106="","",IF(LEN(R106)&gt;9,SUMIFS(Options!$AZ$3:$AZ$33,Options!$B$3:$B$33,'Check result'!R106),SUMIFS('Master P&amp;L'!$AE$11:$AE$85,'Master P&amp;L'!$B$11:$B$85,'Check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IF(R107="","",IF(LEN(R107)&gt;9,SUMIFS(Options!$AZ$3:$AZ$33,Options!$B$3:$B$33,'Check result'!R107),SUMIFS('Master P&amp;L'!$AE$11:$AE$85,'Master P&amp;L'!$B$11:$B$85,'Check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IF(R108="","",IF(LEN(R108)&gt;9,SUMIFS(Options!$AZ$3:$AZ$33,Options!$B$3:$B$33,'Check result'!R108),SUMIFS('Master P&amp;L'!$AE$11:$AE$85,'Master P&amp;L'!$B$11:$B$85,'Check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IF(R109="","",IF(LEN(R109)&gt;9,SUMIFS(Options!$AZ$3:$AZ$33,Options!$B$3:$B$33,'Check result'!R109),SUMIFS('Master P&amp;L'!$AE$11:$AE$85,'Master P&amp;L'!$B$11:$B$85,'Check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IF(R110="","",IF(LEN(R110)&gt;9,SUMIFS(Options!$AZ$3:$AZ$33,Options!$B$3:$B$33,'Check result'!R110),SUMIFS('Master P&amp;L'!$AE$11:$AE$85,'Master P&amp;L'!$B$11:$B$85,'Check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IF(R111="","",IF(LEN(R111)&gt;9,SUMIFS(Options!$AZ$3:$AZ$33,Options!$B$3:$B$33,'Check result'!R111),SUMIFS('Master P&amp;L'!$AE$11:$AE$85,'Master P&amp;L'!$B$11:$B$85,'Check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IF(R112="","",IF(LEN(R112)&gt;9,SUMIFS(Options!$AZ$3:$AZ$33,Options!$B$3:$B$33,'Check result'!R112),SUMIFS('Master P&amp;L'!$AE$11:$AE$85,'Master P&amp;L'!$B$11:$B$85,'Check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IF(R113="","",IF(LEN(R113)&gt;9,SUMIFS(Options!$AZ$3:$AZ$33,Options!$B$3:$B$33,'Check result'!R113),SUMIFS('Master P&amp;L'!$AE$11:$AE$85,'Master P&amp;L'!$B$11:$B$85,'Check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IF(R114="","",IF(LEN(R114)&gt;9,SUMIFS(Options!$AZ$3:$AZ$33,Options!$B$3:$B$33,'Check result'!R114),SUMIFS('Master P&amp;L'!$AE$11:$AE$85,'Master P&amp;L'!$B$11:$B$85,'Check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IF(R115="","",IF(LEN(R115)&gt;9,SUMIFS(Options!$AZ$3:$AZ$33,Options!$B$3:$B$33,'Check result'!R115),SUMIFS('Master P&amp;L'!$AE$11:$AE$85,'Master P&amp;L'!$B$11:$B$85,'Check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IF(R116="","",IF(LEN(R116)&gt;9,SUMIFS(Options!$AZ$3:$AZ$33,Options!$B$3:$B$33,'Check result'!R116),SUMIFS('Master P&amp;L'!$AE$11:$AE$85,'Master P&amp;L'!$B$11:$B$85,'Check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IF(R117="","",IF(LEN(R117)&gt;9,SUMIFS(Options!$AZ$3:$AZ$33,Options!$B$3:$B$33,'Check result'!R117),SUMIFS('Master P&amp;L'!$AE$11:$AE$85,'Master P&amp;L'!$B$11:$B$85,'Check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IF(R118="","",IF(LEN(R118)&gt;9,SUMIFS(Options!$AZ$3:$AZ$33,Options!$B$3:$B$33,'Check result'!R118),SUMIFS('Master P&amp;L'!$AE$11:$AE$85,'Master P&amp;L'!$B$11:$B$85,'Check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IF(R119="","",IF(LEN(R119)&gt;9,SUMIFS(Options!$AZ$3:$AZ$33,Options!$B$3:$B$33,'Check result'!R119),SUMIFS('Master P&amp;L'!$AE$11:$AE$85,'Master P&amp;L'!$B$11:$B$85,'Check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IF(R120="","",IF(LEN(R120)&gt;9,SUMIFS(Options!$AZ$3:$AZ$33,Options!$B$3:$B$33,'Check result'!R120),SUMIFS('Master P&amp;L'!$AE$11:$AE$85,'Master P&amp;L'!$B$11:$B$85,'Check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IF(R121="","",IF(LEN(R121)&gt;9,SUMIFS(Options!$AZ$3:$AZ$33,Options!$B$3:$B$33,'Check result'!R121),SUMIFS('Master P&amp;L'!$AE$11:$AE$85,'Master P&amp;L'!$B$11:$B$85,'Check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IF(R122="","",IF(LEN(R122)&gt;9,SUMIFS(Options!$AZ$3:$AZ$33,Options!$B$3:$B$33,'Check result'!R122),SUMIFS('Master P&amp;L'!$AE$11:$AE$85,'Master P&amp;L'!$B$11:$B$85,'Check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IF(R123="","",IF(LEN(R123)&gt;9,SUMIFS(Options!$AZ$3:$AZ$33,Options!$B$3:$B$33,'Check result'!R123),SUMIFS('Master P&amp;L'!$AE$11:$AE$85,'Master P&amp;L'!$B$11:$B$85,'Check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IF(R124="","",IF(LEN(R124)&gt;9,SUMIFS(Options!$AZ$3:$AZ$33,Options!$B$3:$B$33,'Check result'!R124),SUMIFS('Master P&amp;L'!$AE$11:$AE$85,'Master P&amp;L'!$B$11:$B$85,'Check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IF(R125="","",IF(LEN(R125)&gt;9,SUMIFS(Options!$AZ$3:$AZ$33,Options!$B$3:$B$33,'Check result'!R125),SUMIFS('Master P&amp;L'!$AE$11:$AE$85,'Master P&amp;L'!$B$11:$B$85,'Check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IF(R126="","",IF(LEN(R126)&gt;9,SUMIFS(Options!$AZ$3:$AZ$33,Options!$B$3:$B$33,'Check result'!R126),SUMIFS('Master P&amp;L'!$AE$11:$AE$85,'Master P&amp;L'!$B$11:$B$85,'Check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IF(R127="","",IF(LEN(R127)&gt;9,SUMIFS(Options!$AZ$3:$AZ$33,Options!$B$3:$B$33,'Check result'!R127),SUMIFS('Master P&amp;L'!$AE$11:$AE$85,'Master P&amp;L'!$B$11:$B$85,'Check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IF(R128="","",IF(LEN(R128)&gt;9,SUMIFS(Options!$AZ$3:$AZ$33,Options!$B$3:$B$33,'Check result'!R128),SUMIFS('Master P&amp;L'!$AE$11:$AE$85,'Master P&amp;L'!$B$11:$B$85,'Check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IF(R129="","",IF(LEN(R129)&gt;9,SUMIFS(Options!$AZ$3:$AZ$33,Options!$B$3:$B$33,'Check result'!R129),SUMIFS('Master P&amp;L'!$AE$11:$AE$85,'Master P&amp;L'!$B$11:$B$85,'Check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IF(R130="","",IF(LEN(R130)&gt;9,SUMIFS(Options!$AZ$3:$AZ$33,Options!$B$3:$B$33,'Check result'!R130),SUMIFS('Master P&amp;L'!$AE$11:$AE$85,'Master P&amp;L'!$B$11:$B$85,'Check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IF(R131="","",IF(LEN(R131)&gt;9,SUMIFS(Options!$AZ$3:$AZ$33,Options!$B$3:$B$33,'Check result'!R131),SUMIFS('Master P&amp;L'!$AE$11:$AE$85,'Master P&amp;L'!$B$11:$B$85,'Check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IF(R132="","",IF(LEN(R132)&gt;9,SUMIFS(Options!$AZ$3:$AZ$33,Options!$B$3:$B$33,'Check result'!R132),SUMIFS('Master P&amp;L'!$AE$11:$AE$85,'Master P&amp;L'!$B$11:$B$85,'Check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IF(R133="","",IF(LEN(R133)&gt;9,SUMIFS(Options!$AZ$3:$AZ$33,Options!$B$3:$B$33,'Check result'!R133),SUMIFS('Master P&amp;L'!$AE$11:$AE$85,'Master P&amp;L'!$B$11:$B$85,'Check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IF(R134="","",IF(LEN(R134)&gt;9,SUMIFS(Options!$AZ$3:$AZ$33,Options!$B$3:$B$33,'Check result'!R134),SUMIFS('Master P&amp;L'!$AE$11:$AE$85,'Master P&amp;L'!$B$11:$B$85,'Check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IF(R135="","",IF(LEN(R135)&gt;9,SUMIFS(Options!$AZ$3:$AZ$33,Options!$B$3:$B$33,'Check result'!R135),SUMIFS('Master P&amp;L'!$AE$11:$AE$85,'Master P&amp;L'!$B$11:$B$85,'Check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IF(R136="","",IF(LEN(R136)&gt;9,SUMIFS(Options!$AZ$3:$AZ$33,Options!$B$3:$B$33,'Check result'!R136),SUMIFS('Master P&amp;L'!$AE$11:$AE$85,'Master P&amp;L'!$B$11:$B$85,'Check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IF(R137="","",IF(LEN(R137)&gt;9,SUMIFS(Options!$AZ$3:$AZ$33,Options!$B$3:$B$33,'Check result'!R137),SUMIFS('Master P&amp;L'!$AE$11:$AE$85,'Master P&amp;L'!$B$11:$B$85,'Check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IF(R138="","",IF(LEN(R138)&gt;9,SUMIFS(Options!$AZ$3:$AZ$33,Options!$B$3:$B$33,'Check result'!R138),SUMIFS('Master P&amp;L'!$AE$11:$AE$85,'Master P&amp;L'!$B$11:$B$85,'Check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IF(R139="","",IF(LEN(R139)&gt;9,SUMIFS(Options!$AZ$3:$AZ$33,Options!$B$3:$B$33,'Check result'!R139),SUMIFS('Master P&amp;L'!$AE$11:$AE$85,'Master P&amp;L'!$B$11:$B$85,'Check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IF(R140="","",IF(LEN(R140)&gt;9,SUMIFS(Options!$AZ$3:$AZ$33,Options!$B$3:$B$33,'Check result'!R140),SUMIFS('Master P&amp;L'!$AE$11:$AE$85,'Master P&amp;L'!$B$11:$B$85,'Check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IF(R141="","",IF(LEN(R141)&gt;9,SUMIFS(Options!$AZ$3:$AZ$33,Options!$B$3:$B$33,'Check result'!R141),SUMIFS('Master P&amp;L'!$AE$11:$AE$85,'Master P&amp;L'!$B$11:$B$85,'Check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IF(R142="","",IF(LEN(R142)&gt;9,SUMIFS(Options!$AZ$3:$AZ$33,Options!$B$3:$B$33,'Check result'!R142),SUMIFS('Master P&amp;L'!$AE$11:$AE$85,'Master P&amp;L'!$B$11:$B$85,'Check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IF(R143="","",IF(LEN(R143)&gt;9,SUMIFS(Options!$AZ$3:$AZ$33,Options!$B$3:$B$33,'Check result'!R143),SUMIFS('Master P&amp;L'!$AE$11:$AE$85,'Master P&amp;L'!$B$11:$B$85,'Check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IF(R144="","",IF(LEN(R144)&gt;9,SUMIFS(Options!$AZ$3:$AZ$33,Options!$B$3:$B$33,'Check result'!R144),SUMIFS('Master P&amp;L'!$AE$11:$AE$85,'Master P&amp;L'!$B$11:$B$85,'Check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IF(R145="","",IF(LEN(R145)&gt;9,SUMIFS(Options!$AZ$3:$AZ$33,Options!$B$3:$B$33,'Check result'!R145),SUMIFS('Master P&amp;L'!$AE$11:$AE$85,'Master P&amp;L'!$B$11:$B$85,'Check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IF(R146="","",IF(LEN(R146)&gt;9,SUMIFS(Options!$AZ$3:$AZ$33,Options!$B$3:$B$33,'Check result'!R146),SUMIFS('Master P&amp;L'!$AE$11:$AE$85,'Master P&amp;L'!$B$11:$B$85,'Check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IF(R147="","",IF(LEN(R147)&gt;9,SUMIFS(Options!$AZ$3:$AZ$33,Options!$B$3:$B$33,'Check result'!R147),SUMIFS('Master P&amp;L'!$AE$11:$AE$85,'Master P&amp;L'!$B$11:$B$85,'Check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IF(R148="","",IF(LEN(R148)&gt;9,SUMIFS(Options!$AZ$3:$AZ$33,Options!$B$3:$B$33,'Check result'!R148),SUMIFS('Master P&amp;L'!$AE$11:$AE$85,'Master P&amp;L'!$B$11:$B$85,'Check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IF(R149="","",IF(LEN(R149)&gt;9,SUMIFS(Options!$AZ$3:$AZ$33,Options!$B$3:$B$33,'Check result'!R149),SUMIFS('Master P&amp;L'!$AE$11:$AE$85,'Master P&amp;L'!$B$11:$B$85,'Check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IF(R150="","",IF(LEN(R150)&gt;9,SUMIFS(Options!$AZ$3:$AZ$33,Options!$B$3:$B$33,'Check result'!R150),SUMIFS('Master P&amp;L'!$AE$11:$AE$85,'Master P&amp;L'!$B$11:$B$85,'Check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IF(R151="","",IF(LEN(R151)&gt;9,SUMIFS(Options!$AZ$3:$AZ$33,Options!$B$3:$B$33,'Check result'!R151),SUMIFS('Master P&amp;L'!$AE$11:$AE$85,'Master P&amp;L'!$B$11:$B$85,'Check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IF(R152="","",IF(LEN(R152)&gt;9,SUMIFS(Options!$AZ$3:$AZ$33,Options!$B$3:$B$33,'Check result'!R152),SUMIFS('Master P&amp;L'!$AE$11:$AE$85,'Master P&amp;L'!$B$11:$B$85,'Check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IF(R153="","",IF(LEN(R153)&gt;9,SUMIFS(Options!$AZ$3:$AZ$33,Options!$B$3:$B$33,'Check result'!R153),SUMIFS('Master P&amp;L'!$AE$11:$AE$85,'Master P&amp;L'!$B$11:$B$85,'Check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IF(R154="","",IF(LEN(R154)&gt;9,SUMIFS(Options!$AZ$3:$AZ$33,Options!$B$3:$B$33,'Check result'!R154),SUMIFS('Master P&amp;L'!$AE$11:$AE$85,'Master P&amp;L'!$B$11:$B$85,'Check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IF(R155="","",IF(LEN(R155)&gt;9,SUMIFS(Options!$AZ$3:$AZ$33,Options!$B$3:$B$33,'Check result'!R155),SUMIFS('Master P&amp;L'!$AE$11:$AE$85,'Master P&amp;L'!$B$11:$B$85,'Check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IF(R156="","",IF(LEN(R156)&gt;9,SUMIFS(Options!$AZ$3:$AZ$33,Options!$B$3:$B$33,'Check result'!R156),SUMIFS('Master P&amp;L'!$AE$11:$AE$85,'Master P&amp;L'!$B$11:$B$85,'Check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IF(R157="","",IF(LEN(R157)&gt;9,SUMIFS(Options!$AZ$3:$AZ$33,Options!$B$3:$B$33,'Check result'!R157),SUMIFS('Master P&amp;L'!$AE$11:$AE$85,'Master P&amp;L'!$B$11:$B$85,'Check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IF(R158="","",IF(LEN(R158)&gt;9,SUMIFS(Options!$AZ$3:$AZ$33,Options!$B$3:$B$33,'Check result'!R158),SUMIFS('Master P&amp;L'!$AE$11:$AE$85,'Master P&amp;L'!$B$11:$B$85,'Check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IF(R159="","",IF(LEN(R159)&gt;9,SUMIFS(Options!$AZ$3:$AZ$33,Options!$B$3:$B$33,'Check result'!R159),SUMIFS('Master P&amp;L'!$AE$11:$AE$85,'Master P&amp;L'!$B$11:$B$85,'Check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IF(R160="","",IF(LEN(R160)&gt;9,SUMIFS(Options!$AZ$3:$AZ$33,Options!$B$3:$B$33,'Check result'!R160),SUMIFS('Master P&amp;L'!$AE$11:$AE$85,'Master P&amp;L'!$B$11:$B$85,'Check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IF(R161="","",IF(LEN(R161)&gt;9,SUMIFS(Options!$AZ$3:$AZ$33,Options!$B$3:$B$33,'Check result'!R161),SUMIFS('Master P&amp;L'!$AE$11:$AE$85,'Master P&amp;L'!$B$11:$B$85,'Check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IF(R162="","",IF(LEN(R162)&gt;9,SUMIFS(Options!$AZ$3:$AZ$33,Options!$B$3:$B$33,'Check result'!R162),SUMIFS('Master P&amp;L'!$AE$11:$AE$85,'Master P&amp;L'!$B$11:$B$85,'Check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IF(R163="","",IF(LEN(R163)&gt;9,SUMIFS(Options!$AZ$3:$AZ$33,Options!$B$3:$B$33,'Check result'!R163),SUMIFS('Master P&amp;L'!$AE$11:$AE$85,'Master P&amp;L'!$B$11:$B$85,'Check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IF(R164="","",IF(LEN(R164)&gt;9,SUMIFS(Options!$AZ$3:$AZ$33,Options!$B$3:$B$33,'Check result'!R164),SUMIFS('Master P&amp;L'!$AE$11:$AE$85,'Master P&amp;L'!$B$11:$B$85,'Check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IF(R165="","",IF(LEN(R165)&gt;9,SUMIFS(Options!$AZ$3:$AZ$33,Options!$B$3:$B$33,'Check result'!R165),SUMIFS('Master P&amp;L'!$AE$11:$AE$85,'Master P&amp;L'!$B$11:$B$85,'Check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S126"/>
  <sheetViews>
    <sheetView workbookViewId="0">
      <selection activeCell="S4" sqref="S4"/>
    </sheetView>
  </sheetViews>
  <sheetFormatPr defaultRowHeight="15"/>
  <cols>
    <col min="1" max="1" width="10.5703125" bestFit="1" customWidth="1"/>
    <col min="5" max="5" width="10.5703125" bestFit="1" customWidth="1"/>
  </cols>
  <sheetData>
    <row r="1" spans="1:19">
      <c r="A1" s="444" t="s">
        <v>339</v>
      </c>
      <c r="B1" s="459" t="s">
        <v>1922</v>
      </c>
      <c r="C1" s="460" t="s">
        <v>1923</v>
      </c>
      <c r="D1" s="461" t="s">
        <v>1924</v>
      </c>
      <c r="E1" s="462" t="s">
        <v>1925</v>
      </c>
      <c r="F1" s="462" t="s">
        <v>1926</v>
      </c>
      <c r="G1" s="462" t="s">
        <v>203</v>
      </c>
      <c r="H1" s="462" t="s">
        <v>218</v>
      </c>
      <c r="I1" s="462" t="s">
        <v>1927</v>
      </c>
      <c r="J1" s="462" t="s">
        <v>1928</v>
      </c>
      <c r="K1" s="463" t="s">
        <v>1929</v>
      </c>
      <c r="L1" s="464" t="s">
        <v>1930</v>
      </c>
      <c r="M1" s="465" t="s">
        <v>1931</v>
      </c>
      <c r="N1" s="461" t="s">
        <v>1932</v>
      </c>
      <c r="O1" s="466" t="s">
        <v>1933</v>
      </c>
      <c r="P1" s="467" t="s">
        <v>1</v>
      </c>
      <c r="Q1" s="468" t="s">
        <v>1934</v>
      </c>
    </row>
    <row r="2" spans="1:19">
      <c r="A2" s="469">
        <v>46035</v>
      </c>
      <c r="B2" s="470" t="s">
        <v>1899</v>
      </c>
      <c r="C2" s="471" t="s">
        <v>1938</v>
      </c>
      <c r="D2" s="472" t="s">
        <v>1939</v>
      </c>
      <c r="E2" s="473">
        <v>46101</v>
      </c>
      <c r="F2" s="472" t="s">
        <v>1940</v>
      </c>
      <c r="G2" s="472" t="s">
        <v>1941</v>
      </c>
      <c r="H2" s="472" t="s">
        <v>2225</v>
      </c>
      <c r="I2" s="472" t="s">
        <v>1936</v>
      </c>
      <c r="J2" s="474">
        <v>111.08</v>
      </c>
      <c r="K2" s="472">
        <v>7.0799999999999983</v>
      </c>
      <c r="L2" s="475">
        <v>8.6</v>
      </c>
      <c r="M2" s="476">
        <v>8.6</v>
      </c>
      <c r="N2" s="474">
        <v>8.6</v>
      </c>
      <c r="O2" s="477">
        <v>8.6</v>
      </c>
      <c r="P2" s="478">
        <v>25.894581609999999</v>
      </c>
      <c r="Q2" s="479" t="s">
        <v>1937</v>
      </c>
      <c r="S2" s="415">
        <f>N2-N3</f>
        <v>6.72</v>
      </c>
    </row>
    <row r="3" spans="1:19">
      <c r="A3" s="469">
        <v>46035</v>
      </c>
      <c r="B3" s="470" t="s">
        <v>1900</v>
      </c>
      <c r="C3" s="471" t="s">
        <v>1943</v>
      </c>
      <c r="D3" s="472" t="s">
        <v>1939</v>
      </c>
      <c r="E3" s="473">
        <v>46101</v>
      </c>
      <c r="F3" s="472" t="s">
        <v>1940</v>
      </c>
      <c r="G3" s="472" t="s">
        <v>1941</v>
      </c>
      <c r="H3" s="472" t="s">
        <v>2226</v>
      </c>
      <c r="I3" s="472" t="s">
        <v>1936</v>
      </c>
      <c r="J3" s="474">
        <v>111.08</v>
      </c>
      <c r="K3" s="472">
        <v>0</v>
      </c>
      <c r="L3" s="475">
        <v>1.88</v>
      </c>
      <c r="M3" s="476">
        <v>1.88</v>
      </c>
      <c r="N3" s="474">
        <v>1.88</v>
      </c>
      <c r="O3" s="477">
        <v>1.88</v>
      </c>
      <c r="P3" s="478">
        <v>25.968003280000001</v>
      </c>
      <c r="Q3" s="479" t="s">
        <v>1942</v>
      </c>
    </row>
    <row r="4" spans="1:19">
      <c r="A4" s="469">
        <v>46035</v>
      </c>
      <c r="B4" s="470" t="s">
        <v>1948</v>
      </c>
      <c r="C4" s="471" t="s">
        <v>1949</v>
      </c>
      <c r="D4" s="472" t="s">
        <v>1950</v>
      </c>
      <c r="E4" s="473">
        <v>46280</v>
      </c>
      <c r="F4" s="472" t="s">
        <v>1940</v>
      </c>
      <c r="G4" s="472" t="s">
        <v>1941</v>
      </c>
      <c r="H4" s="472" t="s">
        <v>2227</v>
      </c>
      <c r="I4" s="472" t="s">
        <v>1936</v>
      </c>
      <c r="J4" s="480">
        <v>8034.14</v>
      </c>
      <c r="K4" s="472">
        <v>546.89100000000053</v>
      </c>
      <c r="L4" s="481">
        <v>815.93684983512151</v>
      </c>
      <c r="M4" s="482">
        <v>815.93684983512151</v>
      </c>
      <c r="N4" s="472">
        <v>815.93684983512151</v>
      </c>
      <c r="O4" s="483">
        <v>630.52049711074835</v>
      </c>
      <c r="P4" s="484">
        <v>20.033620666235887</v>
      </c>
      <c r="Q4" s="479" t="s">
        <v>1937</v>
      </c>
    </row>
    <row r="5" spans="1:19">
      <c r="A5" s="469">
        <v>46035</v>
      </c>
      <c r="B5" s="470" t="s">
        <v>1951</v>
      </c>
      <c r="C5" s="471" t="s">
        <v>1952</v>
      </c>
      <c r="D5" s="472" t="s">
        <v>1950</v>
      </c>
      <c r="E5" s="473">
        <v>46280</v>
      </c>
      <c r="F5" s="472" t="s">
        <v>1940</v>
      </c>
      <c r="G5" s="472" t="s">
        <v>1941</v>
      </c>
      <c r="H5" s="472" t="s">
        <v>2228</v>
      </c>
      <c r="I5" s="472" t="s">
        <v>1936</v>
      </c>
      <c r="J5" s="480">
        <v>8034.14</v>
      </c>
      <c r="K5" s="472">
        <v>0</v>
      </c>
      <c r="L5" s="481">
        <v>445.40896895562503</v>
      </c>
      <c r="M5" s="482">
        <v>445.40896895562503</v>
      </c>
      <c r="N5" s="472">
        <v>445.40896895562503</v>
      </c>
      <c r="O5" s="483">
        <v>322.06427565243098</v>
      </c>
      <c r="P5" s="484">
        <v>20.033620666235887</v>
      </c>
      <c r="Q5" s="479" t="s">
        <v>1937</v>
      </c>
    </row>
    <row r="6" spans="1:19">
      <c r="A6" s="469">
        <v>46035</v>
      </c>
      <c r="B6" s="484" t="s">
        <v>1953</v>
      </c>
      <c r="C6" s="471" t="s">
        <v>1954</v>
      </c>
      <c r="D6" s="472" t="s">
        <v>1955</v>
      </c>
      <c r="E6" s="473">
        <v>46129</v>
      </c>
      <c r="F6" s="472" t="s">
        <v>1940</v>
      </c>
      <c r="G6" s="472" t="s">
        <v>194</v>
      </c>
      <c r="H6" s="472" t="s">
        <v>2229</v>
      </c>
      <c r="I6" s="472"/>
      <c r="J6" s="485">
        <v>2.57</v>
      </c>
      <c r="K6" s="472">
        <v>2.0000000000000018E-2</v>
      </c>
      <c r="L6" s="486">
        <v>0.17109997047833836</v>
      </c>
      <c r="M6" s="487">
        <v>0.17109997047833836</v>
      </c>
      <c r="N6" s="472">
        <v>0.17109997047833836</v>
      </c>
      <c r="O6" s="472">
        <v>0.17126821516168358</v>
      </c>
      <c r="P6" s="484">
        <v>28.191182216750516</v>
      </c>
      <c r="Q6" s="479" t="s">
        <v>1937</v>
      </c>
    </row>
    <row r="7" spans="1:19">
      <c r="A7" s="469">
        <v>46035</v>
      </c>
      <c r="B7" s="484" t="s">
        <v>1956</v>
      </c>
      <c r="C7" s="471" t="s">
        <v>1957</v>
      </c>
      <c r="D7" s="472" t="s">
        <v>1955</v>
      </c>
      <c r="E7" s="473">
        <v>46129</v>
      </c>
      <c r="F7" s="472" t="s">
        <v>1935</v>
      </c>
      <c r="G7" s="472" t="s">
        <v>194</v>
      </c>
      <c r="H7" s="472" t="s">
        <v>2230</v>
      </c>
      <c r="I7" s="472"/>
      <c r="J7" s="485">
        <v>2.57</v>
      </c>
      <c r="K7" s="472">
        <v>0</v>
      </c>
      <c r="L7" s="486">
        <v>2.2524174233553216E-2</v>
      </c>
      <c r="M7" s="487">
        <v>2.2524174233553216E-2</v>
      </c>
      <c r="N7" s="472">
        <v>2.2524174233553216E-2</v>
      </c>
      <c r="O7" s="472">
        <v>2.2604399674201303E-2</v>
      </c>
      <c r="P7" s="484">
        <v>43.618889193108778</v>
      </c>
      <c r="Q7" s="479" t="s">
        <v>1937</v>
      </c>
    </row>
    <row r="8" spans="1:19">
      <c r="A8" s="469">
        <v>46035</v>
      </c>
      <c r="B8" s="484" t="s">
        <v>1958</v>
      </c>
      <c r="C8" s="471" t="s">
        <v>1959</v>
      </c>
      <c r="D8" s="472" t="s">
        <v>1955</v>
      </c>
      <c r="E8" s="473">
        <v>46129</v>
      </c>
      <c r="F8" s="472" t="s">
        <v>1935</v>
      </c>
      <c r="G8" s="472" t="s">
        <v>194</v>
      </c>
      <c r="H8" s="472" t="s">
        <v>2231</v>
      </c>
      <c r="I8" s="472"/>
      <c r="J8" s="485">
        <v>2.57</v>
      </c>
      <c r="K8" s="472">
        <v>0</v>
      </c>
      <c r="L8" s="486">
        <v>4.337555698997566E-2</v>
      </c>
      <c r="M8" s="487">
        <v>4.337555698997566E-2</v>
      </c>
      <c r="N8" s="472">
        <v>4.337555698997566E-2</v>
      </c>
      <c r="O8" s="472">
        <v>4.337555698997566E-2</v>
      </c>
      <c r="P8" s="484">
        <v>32.997788825400121</v>
      </c>
      <c r="Q8" s="479" t="s">
        <v>1937</v>
      </c>
    </row>
    <row r="9" spans="1:19">
      <c r="A9" s="469">
        <v>46035</v>
      </c>
      <c r="B9" s="484" t="s">
        <v>2030</v>
      </c>
      <c r="C9" s="471" t="s">
        <v>2036</v>
      </c>
      <c r="D9" s="472" t="s">
        <v>1947</v>
      </c>
      <c r="E9" s="473">
        <v>46191</v>
      </c>
      <c r="F9" s="472" t="s">
        <v>1940</v>
      </c>
      <c r="G9" s="472" t="s">
        <v>194</v>
      </c>
      <c r="H9" s="472" t="s">
        <v>2232</v>
      </c>
      <c r="I9" s="472"/>
      <c r="J9" s="485">
        <v>331.21</v>
      </c>
      <c r="K9" s="472">
        <v>31.20999999999998</v>
      </c>
      <c r="L9" s="486">
        <v>54.05</v>
      </c>
      <c r="M9" s="487">
        <v>55.4</v>
      </c>
      <c r="N9" s="472">
        <v>54.724999999999994</v>
      </c>
      <c r="O9" s="472">
        <v>54.724999999999994</v>
      </c>
      <c r="P9" s="484"/>
      <c r="Q9" s="479" t="s">
        <v>1944</v>
      </c>
    </row>
    <row r="10" spans="1:19">
      <c r="A10" s="469">
        <v>46035</v>
      </c>
      <c r="B10" s="484" t="s">
        <v>2029</v>
      </c>
      <c r="C10" s="471" t="s">
        <v>2037</v>
      </c>
      <c r="D10" s="472" t="s">
        <v>1947</v>
      </c>
      <c r="E10" s="473">
        <v>46191</v>
      </c>
      <c r="F10" s="472" t="s">
        <v>1940</v>
      </c>
      <c r="G10" s="472" t="s">
        <v>194</v>
      </c>
      <c r="H10" s="472" t="s">
        <v>2233</v>
      </c>
      <c r="I10" s="472"/>
      <c r="J10" s="485">
        <v>331.21</v>
      </c>
      <c r="K10" s="472">
        <v>0</v>
      </c>
      <c r="L10" s="486">
        <v>21.55</v>
      </c>
      <c r="M10" s="487">
        <v>22.65</v>
      </c>
      <c r="N10" s="472">
        <v>22.1</v>
      </c>
      <c r="O10" s="472">
        <v>22.1</v>
      </c>
      <c r="P10" s="484"/>
      <c r="Q10" s="479" t="s">
        <v>1944</v>
      </c>
    </row>
    <row r="11" spans="1:19">
      <c r="A11" s="469">
        <v>46035</v>
      </c>
      <c r="B11" s="484" t="s">
        <v>2032</v>
      </c>
      <c r="C11" s="471" t="s">
        <v>2038</v>
      </c>
      <c r="D11" s="472" t="s">
        <v>1947</v>
      </c>
      <c r="E11" s="473">
        <v>46191</v>
      </c>
      <c r="F11" s="472" t="s">
        <v>1935</v>
      </c>
      <c r="G11" s="472" t="s">
        <v>194</v>
      </c>
      <c r="H11" s="472" t="s">
        <v>2234</v>
      </c>
      <c r="I11" s="472"/>
      <c r="J11" s="485">
        <v>331.21</v>
      </c>
      <c r="K11" s="472">
        <v>0</v>
      </c>
      <c r="L11" s="486">
        <v>6.45</v>
      </c>
      <c r="M11" s="487">
        <v>6.9</v>
      </c>
      <c r="N11" s="472">
        <v>6.6750000000000007</v>
      </c>
      <c r="O11" s="472">
        <v>6.6750000000000007</v>
      </c>
      <c r="P11" s="484"/>
      <c r="Q11" s="479" t="s">
        <v>1944</v>
      </c>
    </row>
    <row r="12" spans="1:19">
      <c r="A12" s="469">
        <v>46035</v>
      </c>
      <c r="B12" s="484" t="s">
        <v>2031</v>
      </c>
      <c r="C12" s="471" t="s">
        <v>2039</v>
      </c>
      <c r="D12" s="472" t="s">
        <v>1947</v>
      </c>
      <c r="E12" s="473">
        <v>46191</v>
      </c>
      <c r="F12" s="472" t="s">
        <v>1935</v>
      </c>
      <c r="G12" s="472" t="s">
        <v>194</v>
      </c>
      <c r="H12" s="472" t="s">
        <v>2235</v>
      </c>
      <c r="I12" s="472"/>
      <c r="J12" s="485">
        <v>331.21</v>
      </c>
      <c r="K12" s="472">
        <v>0</v>
      </c>
      <c r="L12" s="486">
        <v>2.29</v>
      </c>
      <c r="M12" s="487">
        <v>2.71</v>
      </c>
      <c r="N12" s="472">
        <v>2.5</v>
      </c>
      <c r="O12" s="472">
        <v>2.5</v>
      </c>
      <c r="P12" s="484"/>
      <c r="Q12" s="479" t="s">
        <v>1944</v>
      </c>
    </row>
    <row r="13" spans="1:19">
      <c r="A13" s="469">
        <v>46035</v>
      </c>
      <c r="B13" s="484" t="s">
        <v>2035</v>
      </c>
      <c r="C13" s="471" t="s">
        <v>2040</v>
      </c>
      <c r="D13" s="472" t="s">
        <v>1946</v>
      </c>
      <c r="E13" s="473">
        <v>46191</v>
      </c>
      <c r="F13" s="472" t="s">
        <v>1935</v>
      </c>
      <c r="G13" s="472" t="s">
        <v>194</v>
      </c>
      <c r="H13" s="472" t="s">
        <v>2236</v>
      </c>
      <c r="I13" s="472"/>
      <c r="J13" s="485">
        <v>470.67</v>
      </c>
      <c r="K13" s="472">
        <v>0</v>
      </c>
      <c r="L13" s="486">
        <v>13.65</v>
      </c>
      <c r="M13" s="487">
        <v>13.8</v>
      </c>
      <c r="N13" s="472">
        <v>13.725000000000001</v>
      </c>
      <c r="O13" s="472">
        <v>13.725000000000001</v>
      </c>
      <c r="P13" s="484"/>
      <c r="Q13" s="479" t="s">
        <v>1944</v>
      </c>
    </row>
    <row r="14" spans="1:19">
      <c r="A14" s="469">
        <v>46035</v>
      </c>
      <c r="B14" s="484" t="s">
        <v>2034</v>
      </c>
      <c r="C14" s="471" t="s">
        <v>2041</v>
      </c>
      <c r="D14" s="472" t="s">
        <v>1946</v>
      </c>
      <c r="E14" s="473">
        <v>46191</v>
      </c>
      <c r="F14" s="472" t="s">
        <v>1940</v>
      </c>
      <c r="G14" s="472" t="s">
        <v>194</v>
      </c>
      <c r="H14" s="472" t="s">
        <v>2237</v>
      </c>
      <c r="I14" s="472"/>
      <c r="J14" s="485">
        <v>470.67</v>
      </c>
      <c r="K14" s="472">
        <v>0</v>
      </c>
      <c r="L14" s="486">
        <v>17.850000000000001</v>
      </c>
      <c r="M14" s="487">
        <v>18</v>
      </c>
      <c r="N14" s="472">
        <v>17.925000000000001</v>
      </c>
      <c r="O14" s="472">
        <v>17.925000000000001</v>
      </c>
      <c r="P14" s="484"/>
      <c r="Q14" s="479" t="s">
        <v>1944</v>
      </c>
    </row>
    <row r="15" spans="1:19">
      <c r="A15" s="469">
        <v>46035</v>
      </c>
      <c r="B15" s="484" t="s">
        <v>2033</v>
      </c>
      <c r="C15" s="471" t="s">
        <v>2042</v>
      </c>
      <c r="D15" s="472" t="s">
        <v>1946</v>
      </c>
      <c r="E15" s="473">
        <v>46191</v>
      </c>
      <c r="F15" s="472" t="s">
        <v>1940</v>
      </c>
      <c r="G15" s="472" t="s">
        <v>194</v>
      </c>
      <c r="H15" s="472" t="s">
        <v>2238</v>
      </c>
      <c r="I15" s="472"/>
      <c r="J15" s="485">
        <v>470.67</v>
      </c>
      <c r="K15" s="472">
        <v>0</v>
      </c>
      <c r="L15" s="486">
        <v>4.5999999999999996</v>
      </c>
      <c r="M15" s="487">
        <v>4.7</v>
      </c>
      <c r="N15" s="472">
        <v>4.6500000000000004</v>
      </c>
      <c r="O15" s="472">
        <v>4.6500000000000004</v>
      </c>
      <c r="P15" s="484"/>
      <c r="Q15" s="479" t="s">
        <v>1944</v>
      </c>
    </row>
    <row r="16" spans="1:19">
      <c r="A16" s="469">
        <v>46035</v>
      </c>
      <c r="B16" s="484" t="s">
        <v>2047</v>
      </c>
      <c r="C16" s="471" t="s">
        <v>2048</v>
      </c>
      <c r="D16" s="472" t="s">
        <v>1960</v>
      </c>
      <c r="E16" s="473">
        <v>46101</v>
      </c>
      <c r="F16" s="472" t="s">
        <v>1935</v>
      </c>
      <c r="G16" s="472" t="s">
        <v>194</v>
      </c>
      <c r="H16" s="472" t="s">
        <v>2239</v>
      </c>
      <c r="I16" s="472"/>
      <c r="J16" s="485">
        <v>626.24</v>
      </c>
      <c r="K16" s="472">
        <v>0</v>
      </c>
      <c r="L16" s="486">
        <v>3.66</v>
      </c>
      <c r="M16" s="487">
        <v>3.72</v>
      </c>
      <c r="N16" s="472">
        <v>3.6900000000000004</v>
      </c>
      <c r="O16" s="472">
        <v>3.6900000000000004</v>
      </c>
      <c r="P16" s="484"/>
      <c r="Q16" s="479" t="s">
        <v>1944</v>
      </c>
    </row>
    <row r="17" spans="1:17">
      <c r="A17" s="469">
        <v>46035</v>
      </c>
      <c r="B17" s="484" t="s">
        <v>2046</v>
      </c>
      <c r="C17" s="471" t="s">
        <v>2050</v>
      </c>
      <c r="D17" s="472" t="s">
        <v>1960</v>
      </c>
      <c r="E17" s="473">
        <v>46101</v>
      </c>
      <c r="F17" s="472" t="s">
        <v>1935</v>
      </c>
      <c r="G17" s="472" t="s">
        <v>194</v>
      </c>
      <c r="H17" s="472" t="s">
        <v>2240</v>
      </c>
      <c r="I17" s="472"/>
      <c r="J17" s="485">
        <v>626.24</v>
      </c>
      <c r="K17" s="472">
        <v>0</v>
      </c>
      <c r="L17" s="486">
        <v>6.82</v>
      </c>
      <c r="M17" s="487">
        <v>6.88</v>
      </c>
      <c r="N17" s="472">
        <v>6.85</v>
      </c>
      <c r="O17" s="472">
        <v>6.85</v>
      </c>
      <c r="P17" s="484"/>
      <c r="Q17" s="479" t="s">
        <v>1944</v>
      </c>
    </row>
    <row r="18" spans="1:17">
      <c r="A18" s="469">
        <v>46035</v>
      </c>
      <c r="B18" s="484" t="s">
        <v>2051</v>
      </c>
      <c r="C18" s="471" t="s">
        <v>2054</v>
      </c>
      <c r="D18" s="472" t="s">
        <v>2049</v>
      </c>
      <c r="E18" s="473">
        <v>46191</v>
      </c>
      <c r="F18" s="472" t="s">
        <v>1940</v>
      </c>
      <c r="G18" s="472" t="s">
        <v>194</v>
      </c>
      <c r="H18" s="472" t="s">
        <v>2241</v>
      </c>
      <c r="I18" s="472"/>
      <c r="J18" s="485">
        <v>242.6</v>
      </c>
      <c r="K18" s="472">
        <v>12.599999999999994</v>
      </c>
      <c r="L18" s="486">
        <v>30.35</v>
      </c>
      <c r="M18" s="487">
        <v>30.65</v>
      </c>
      <c r="N18" s="472">
        <v>30.5</v>
      </c>
      <c r="O18" s="472">
        <v>30.5</v>
      </c>
      <c r="P18" s="484"/>
      <c r="Q18" s="479" t="s">
        <v>1944</v>
      </c>
    </row>
    <row r="19" spans="1:17">
      <c r="A19" s="469">
        <v>46035</v>
      </c>
      <c r="B19" s="484" t="s">
        <v>2052</v>
      </c>
      <c r="C19" s="471" t="s">
        <v>2055</v>
      </c>
      <c r="D19" s="472" t="s">
        <v>2049</v>
      </c>
      <c r="E19" s="473">
        <v>46191</v>
      </c>
      <c r="F19" s="472" t="s">
        <v>1940</v>
      </c>
      <c r="G19" s="472" t="s">
        <v>194</v>
      </c>
      <c r="H19" s="472" t="s">
        <v>2242</v>
      </c>
      <c r="I19" s="472"/>
      <c r="J19" s="485">
        <v>242.6</v>
      </c>
      <c r="K19" s="472">
        <v>0</v>
      </c>
      <c r="L19" s="486">
        <v>15.6</v>
      </c>
      <c r="M19" s="487">
        <v>15.75</v>
      </c>
      <c r="N19" s="472">
        <v>15.675000000000001</v>
      </c>
      <c r="O19" s="472">
        <v>15.675000000000001</v>
      </c>
      <c r="P19" s="484"/>
      <c r="Q19" s="479" t="s">
        <v>1944</v>
      </c>
    </row>
    <row r="20" spans="1:17">
      <c r="A20" s="469">
        <v>46035</v>
      </c>
      <c r="B20" s="484" t="s">
        <v>2053</v>
      </c>
      <c r="C20" s="471" t="s">
        <v>2056</v>
      </c>
      <c r="D20" s="472" t="s">
        <v>2049</v>
      </c>
      <c r="E20" s="473">
        <v>46191</v>
      </c>
      <c r="F20" s="472" t="s">
        <v>1935</v>
      </c>
      <c r="G20" s="472" t="s">
        <v>194</v>
      </c>
      <c r="H20" s="472" t="s">
        <v>2243</v>
      </c>
      <c r="I20" s="472"/>
      <c r="J20" s="485">
        <v>242.6</v>
      </c>
      <c r="K20" s="472">
        <v>0</v>
      </c>
      <c r="L20" s="486">
        <v>5.6</v>
      </c>
      <c r="M20" s="487">
        <v>5.7</v>
      </c>
      <c r="N20" s="472">
        <v>5.65</v>
      </c>
      <c r="O20" s="472">
        <v>5.65</v>
      </c>
      <c r="P20" s="484"/>
      <c r="Q20" s="479" t="s">
        <v>1944</v>
      </c>
    </row>
    <row r="21" spans="1:17">
      <c r="A21" s="469">
        <v>46035</v>
      </c>
      <c r="B21" s="484" t="s">
        <v>2060</v>
      </c>
      <c r="C21" s="471" t="s">
        <v>2065</v>
      </c>
      <c r="D21" s="472" t="s">
        <v>1947</v>
      </c>
      <c r="E21" s="473">
        <v>46038</v>
      </c>
      <c r="F21" s="472" t="s">
        <v>1940</v>
      </c>
      <c r="G21" s="472" t="s">
        <v>194</v>
      </c>
      <c r="H21" s="472" t="s">
        <v>2232</v>
      </c>
      <c r="I21" s="472"/>
      <c r="J21" s="485">
        <v>331.21</v>
      </c>
      <c r="K21" s="472">
        <v>31.20999999999998</v>
      </c>
      <c r="L21" s="486">
        <v>31.35</v>
      </c>
      <c r="M21" s="487">
        <v>32.35</v>
      </c>
      <c r="N21" s="472">
        <v>31.85</v>
      </c>
      <c r="O21" s="472">
        <v>31.85</v>
      </c>
      <c r="P21" s="484"/>
      <c r="Q21" s="479" t="s">
        <v>1944</v>
      </c>
    </row>
    <row r="22" spans="1:17">
      <c r="A22" s="469">
        <v>46035</v>
      </c>
      <c r="B22" s="484" t="s">
        <v>2061</v>
      </c>
      <c r="C22" s="471" t="s">
        <v>2066</v>
      </c>
      <c r="D22" s="472" t="s">
        <v>1947</v>
      </c>
      <c r="E22" s="473">
        <v>46038</v>
      </c>
      <c r="F22" s="472" t="s">
        <v>1940</v>
      </c>
      <c r="G22" s="472" t="s">
        <v>194</v>
      </c>
      <c r="H22" s="472" t="s">
        <v>2244</v>
      </c>
      <c r="I22" s="472"/>
      <c r="J22" s="485">
        <v>331.21</v>
      </c>
      <c r="K22" s="472">
        <v>1.2099999999999795</v>
      </c>
      <c r="L22" s="486">
        <v>8.4</v>
      </c>
      <c r="M22" s="487">
        <v>8.85</v>
      </c>
      <c r="N22" s="472">
        <v>8.625</v>
      </c>
      <c r="O22" s="472">
        <v>8.625</v>
      </c>
      <c r="P22" s="484"/>
      <c r="Q22" s="479" t="s">
        <v>1944</v>
      </c>
    </row>
    <row r="23" spans="1:17">
      <c r="A23" s="469">
        <v>46035</v>
      </c>
      <c r="B23" s="484" t="s">
        <v>2063</v>
      </c>
      <c r="C23" s="471" t="s">
        <v>2067</v>
      </c>
      <c r="D23" s="472" t="s">
        <v>2049</v>
      </c>
      <c r="E23" s="473">
        <v>46038</v>
      </c>
      <c r="F23" s="472" t="s">
        <v>1940</v>
      </c>
      <c r="G23" s="472" t="s">
        <v>194</v>
      </c>
      <c r="H23" s="472" t="s">
        <v>2245</v>
      </c>
      <c r="I23" s="472"/>
      <c r="J23" s="485">
        <v>242.6</v>
      </c>
      <c r="K23" s="472">
        <v>0</v>
      </c>
      <c r="L23" s="486">
        <v>0.02</v>
      </c>
      <c r="M23" s="487">
        <v>0.03</v>
      </c>
      <c r="N23" s="472">
        <v>2.5000000000000001E-2</v>
      </c>
      <c r="O23" s="472">
        <v>2.5000000000000001E-2</v>
      </c>
      <c r="P23" s="484"/>
      <c r="Q23" s="479" t="s">
        <v>1944</v>
      </c>
    </row>
    <row r="24" spans="1:17">
      <c r="A24" s="469">
        <v>46035</v>
      </c>
      <c r="B24" s="484" t="s">
        <v>2064</v>
      </c>
      <c r="C24" s="471" t="s">
        <v>2068</v>
      </c>
      <c r="D24" s="472" t="s">
        <v>2049</v>
      </c>
      <c r="E24" s="473">
        <v>46038</v>
      </c>
      <c r="F24" s="472" t="s">
        <v>1935</v>
      </c>
      <c r="G24" s="472" t="s">
        <v>194</v>
      </c>
      <c r="H24" s="472" t="s">
        <v>2246</v>
      </c>
      <c r="I24" s="472"/>
      <c r="J24" s="485">
        <v>242.6</v>
      </c>
      <c r="K24" s="472">
        <v>0</v>
      </c>
      <c r="L24" s="486">
        <v>0.04</v>
      </c>
      <c r="M24" s="487">
        <v>0.05</v>
      </c>
      <c r="N24" s="472">
        <v>4.4999999999999998E-2</v>
      </c>
      <c r="O24" s="472">
        <v>4.4999999999999998E-2</v>
      </c>
      <c r="P24" s="484"/>
      <c r="Q24" s="479" t="s">
        <v>1944</v>
      </c>
    </row>
    <row r="25" spans="1:17">
      <c r="A25" s="469">
        <v>46035</v>
      </c>
      <c r="B25" s="484" t="s">
        <v>2062</v>
      </c>
      <c r="C25" s="471" t="s">
        <v>2069</v>
      </c>
      <c r="D25" s="472" t="s">
        <v>2049</v>
      </c>
      <c r="E25" s="473">
        <v>46038</v>
      </c>
      <c r="F25" s="472" t="s">
        <v>1935</v>
      </c>
      <c r="G25" s="472" t="s">
        <v>194</v>
      </c>
      <c r="H25" s="472" t="s">
        <v>2241</v>
      </c>
      <c r="I25" s="472"/>
      <c r="J25" s="485">
        <v>242.6</v>
      </c>
      <c r="K25" s="472">
        <v>0</v>
      </c>
      <c r="L25" s="486">
        <v>0.22</v>
      </c>
      <c r="M25" s="487">
        <v>0.24</v>
      </c>
      <c r="N25" s="472">
        <v>0.22999999999999998</v>
      </c>
      <c r="O25" s="472">
        <v>0.22999999999999998</v>
      </c>
      <c r="P25" s="484"/>
      <c r="Q25" s="479" t="s">
        <v>1944</v>
      </c>
    </row>
    <row r="26" spans="1:17">
      <c r="A26" s="469">
        <v>46035</v>
      </c>
      <c r="B26" s="484" t="s">
        <v>2085</v>
      </c>
      <c r="C26" s="471" t="s">
        <v>2088</v>
      </c>
      <c r="D26" s="472" t="s">
        <v>1946</v>
      </c>
      <c r="E26" s="473">
        <v>46101</v>
      </c>
      <c r="F26" s="472" t="s">
        <v>1940</v>
      </c>
      <c r="G26" s="472" t="s">
        <v>194</v>
      </c>
      <c r="H26" s="472" t="s">
        <v>2247</v>
      </c>
      <c r="I26" s="472"/>
      <c r="J26" s="485">
        <v>470.67</v>
      </c>
      <c r="K26" s="472">
        <v>0</v>
      </c>
      <c r="L26" s="486">
        <v>14.3</v>
      </c>
      <c r="M26" s="487">
        <v>14.45</v>
      </c>
      <c r="N26" s="472">
        <v>14.375</v>
      </c>
      <c r="O26" s="472">
        <v>14.375</v>
      </c>
      <c r="P26" s="484"/>
      <c r="Q26" s="479" t="s">
        <v>1944</v>
      </c>
    </row>
    <row r="27" spans="1:17">
      <c r="A27" s="469">
        <v>46035</v>
      </c>
      <c r="B27" s="484" t="s">
        <v>2084</v>
      </c>
      <c r="C27" s="471" t="s">
        <v>2089</v>
      </c>
      <c r="D27" s="472" t="s">
        <v>1946</v>
      </c>
      <c r="E27" s="473">
        <v>46101</v>
      </c>
      <c r="F27" s="472" t="s">
        <v>1940</v>
      </c>
      <c r="G27" s="472" t="s">
        <v>194</v>
      </c>
      <c r="H27" s="472" t="s">
        <v>2237</v>
      </c>
      <c r="I27" s="472"/>
      <c r="J27" s="485">
        <v>470.67</v>
      </c>
      <c r="K27" s="472">
        <v>0</v>
      </c>
      <c r="L27" s="486">
        <v>6.9</v>
      </c>
      <c r="M27" s="487">
        <v>7.05</v>
      </c>
      <c r="N27" s="472">
        <v>6.9749999999999996</v>
      </c>
      <c r="O27" s="472">
        <v>6.9749999999999996</v>
      </c>
      <c r="P27" s="484"/>
      <c r="Q27" s="479" t="s">
        <v>1944</v>
      </c>
    </row>
    <row r="28" spans="1:17" ht="45">
      <c r="A28" s="469">
        <v>46035</v>
      </c>
      <c r="B28" s="488" t="s">
        <v>2087</v>
      </c>
      <c r="C28" s="471" t="s">
        <v>2090</v>
      </c>
      <c r="D28" s="472" t="s">
        <v>1946</v>
      </c>
      <c r="E28" s="473">
        <v>46101</v>
      </c>
      <c r="F28" s="472" t="s">
        <v>1935</v>
      </c>
      <c r="G28" s="472" t="s">
        <v>194</v>
      </c>
      <c r="H28" s="472" t="s">
        <v>2248</v>
      </c>
      <c r="I28" s="472"/>
      <c r="J28" s="485">
        <v>470.67</v>
      </c>
      <c r="K28" s="472">
        <v>0</v>
      </c>
      <c r="L28" s="486">
        <v>14</v>
      </c>
      <c r="M28" s="487">
        <v>14.15</v>
      </c>
      <c r="N28" s="472">
        <v>14.074999999999999</v>
      </c>
      <c r="O28" s="472">
        <v>14.074999999999999</v>
      </c>
      <c r="P28" s="484"/>
      <c r="Q28" s="479" t="s">
        <v>1944</v>
      </c>
    </row>
    <row r="29" spans="1:17" ht="45">
      <c r="A29" s="469">
        <v>46035</v>
      </c>
      <c r="B29" s="488" t="s">
        <v>2086</v>
      </c>
      <c r="C29" s="471" t="s">
        <v>2091</v>
      </c>
      <c r="D29" s="472" t="s">
        <v>1946</v>
      </c>
      <c r="E29" s="473">
        <v>46101</v>
      </c>
      <c r="F29" s="472" t="s">
        <v>1935</v>
      </c>
      <c r="G29" s="472" t="s">
        <v>194</v>
      </c>
      <c r="H29" s="472" t="s">
        <v>2249</v>
      </c>
      <c r="I29" s="472"/>
      <c r="J29" s="485">
        <v>470.67</v>
      </c>
      <c r="K29" s="472">
        <v>0</v>
      </c>
      <c r="L29" s="486">
        <v>17.95</v>
      </c>
      <c r="M29" s="487">
        <v>18.100000000000001</v>
      </c>
      <c r="N29" s="472">
        <v>18.024999999999999</v>
      </c>
      <c r="O29" s="472">
        <v>18.024999999999999</v>
      </c>
      <c r="P29" s="484"/>
      <c r="Q29" s="479" t="s">
        <v>1944</v>
      </c>
    </row>
    <row r="30" spans="1:17" ht="45">
      <c r="A30" s="469">
        <v>46035</v>
      </c>
      <c r="B30" s="488" t="s">
        <v>2095</v>
      </c>
      <c r="C30" s="471" t="s">
        <v>2097</v>
      </c>
      <c r="D30" s="472" t="s">
        <v>2098</v>
      </c>
      <c r="E30" s="473">
        <v>46101</v>
      </c>
      <c r="F30" s="472" t="s">
        <v>1935</v>
      </c>
      <c r="G30" s="472" t="s">
        <v>194</v>
      </c>
      <c r="H30" s="472" t="s">
        <v>2250</v>
      </c>
      <c r="I30" s="472"/>
      <c r="J30" s="485">
        <v>83.05</v>
      </c>
      <c r="K30" s="472">
        <v>0</v>
      </c>
      <c r="L30" s="486">
        <v>5.95</v>
      </c>
      <c r="M30" s="487">
        <v>6.2</v>
      </c>
      <c r="N30" s="472">
        <v>6.0750000000000002</v>
      </c>
      <c r="O30" s="472">
        <v>6.0750000000000002</v>
      </c>
      <c r="P30" s="484"/>
      <c r="Q30" s="479" t="s">
        <v>1944</v>
      </c>
    </row>
    <row r="31" spans="1:17" ht="45">
      <c r="A31" s="469">
        <v>46035</v>
      </c>
      <c r="B31" s="488" t="s">
        <v>2096</v>
      </c>
      <c r="C31" s="471" t="s">
        <v>2099</v>
      </c>
      <c r="D31" s="472" t="s">
        <v>2098</v>
      </c>
      <c r="E31" s="473">
        <v>46101</v>
      </c>
      <c r="F31" s="472" t="s">
        <v>1935</v>
      </c>
      <c r="G31" s="472" t="s">
        <v>194</v>
      </c>
      <c r="H31" s="472" t="s">
        <v>2251</v>
      </c>
      <c r="I31" s="472"/>
      <c r="J31" s="485">
        <v>83.05</v>
      </c>
      <c r="K31" s="472">
        <v>6.9500000000000028</v>
      </c>
      <c r="L31" s="486">
        <v>11.7</v>
      </c>
      <c r="M31" s="487">
        <v>11.95</v>
      </c>
      <c r="N31" s="472">
        <v>11.824999999999999</v>
      </c>
      <c r="O31" s="472">
        <v>11.824999999999999</v>
      </c>
      <c r="P31" s="484"/>
      <c r="Q31" s="479" t="s">
        <v>1944</v>
      </c>
    </row>
    <row r="32" spans="1:17" ht="45">
      <c r="A32" s="469">
        <v>46035</v>
      </c>
      <c r="B32" s="488" t="s">
        <v>2104</v>
      </c>
      <c r="C32" s="471" t="s">
        <v>2105</v>
      </c>
      <c r="D32" s="472" t="s">
        <v>1945</v>
      </c>
      <c r="E32" s="473">
        <v>46038</v>
      </c>
      <c r="F32" s="472" t="s">
        <v>1935</v>
      </c>
      <c r="G32" s="472" t="s">
        <v>194</v>
      </c>
      <c r="H32" s="472" t="s">
        <v>2252</v>
      </c>
      <c r="I32" s="472"/>
      <c r="J32" s="480">
        <v>32.630000000000003</v>
      </c>
      <c r="K32" s="472">
        <v>1.3699999999999974</v>
      </c>
      <c r="L32" s="481">
        <v>1.3937254299398953</v>
      </c>
      <c r="M32" s="482">
        <v>1.3937254299398953</v>
      </c>
      <c r="N32" s="472">
        <v>1.3937254299398953</v>
      </c>
      <c r="O32" s="472">
        <v>1.397794686630659</v>
      </c>
      <c r="P32" s="484">
        <v>31.66565384325467</v>
      </c>
      <c r="Q32" s="479" t="s">
        <v>1937</v>
      </c>
    </row>
    <row r="33" spans="1:17" ht="45">
      <c r="A33" s="469">
        <v>46035</v>
      </c>
      <c r="B33" s="488" t="s">
        <v>2111</v>
      </c>
      <c r="C33" s="471" t="s">
        <v>2113</v>
      </c>
      <c r="D33" s="472" t="s">
        <v>2114</v>
      </c>
      <c r="E33" s="473">
        <v>46129</v>
      </c>
      <c r="F33" s="472" t="s">
        <v>1940</v>
      </c>
      <c r="G33" s="472" t="s">
        <v>194</v>
      </c>
      <c r="H33" s="472" t="s">
        <v>2253</v>
      </c>
      <c r="I33" s="472"/>
      <c r="J33" s="485">
        <v>631.09</v>
      </c>
      <c r="K33" s="472">
        <v>0</v>
      </c>
      <c r="L33" s="486">
        <v>23</v>
      </c>
      <c r="M33" s="487">
        <v>23.2</v>
      </c>
      <c r="N33" s="472">
        <v>23.1</v>
      </c>
      <c r="O33" s="472">
        <v>23.1</v>
      </c>
      <c r="P33" s="484"/>
      <c r="Q33" s="479" t="s">
        <v>1944</v>
      </c>
    </row>
    <row r="34" spans="1:17">
      <c r="A34" s="469">
        <v>46035</v>
      </c>
      <c r="B34" s="470" t="s">
        <v>2110</v>
      </c>
      <c r="C34" s="471" t="s">
        <v>2115</v>
      </c>
      <c r="D34" s="472" t="s">
        <v>2114</v>
      </c>
      <c r="E34" s="473">
        <v>46129</v>
      </c>
      <c r="F34" s="472" t="s">
        <v>1940</v>
      </c>
      <c r="G34" s="472" t="s">
        <v>194</v>
      </c>
      <c r="H34" s="472" t="s">
        <v>2254</v>
      </c>
      <c r="I34" s="472"/>
      <c r="J34" s="485">
        <v>631.09</v>
      </c>
      <c r="K34" s="472">
        <v>0</v>
      </c>
      <c r="L34" s="486">
        <v>10.4</v>
      </c>
      <c r="M34" s="487">
        <v>10.5</v>
      </c>
      <c r="N34" s="472">
        <v>10.45</v>
      </c>
      <c r="O34" s="472">
        <v>10.45</v>
      </c>
      <c r="P34" s="484"/>
      <c r="Q34" s="479" t="s">
        <v>1944</v>
      </c>
    </row>
    <row r="35" spans="1:17" ht="45">
      <c r="A35" s="469">
        <v>46035</v>
      </c>
      <c r="B35" s="488" t="s">
        <v>2112</v>
      </c>
      <c r="C35" s="471" t="s">
        <v>2116</v>
      </c>
      <c r="D35" s="472" t="s">
        <v>2114</v>
      </c>
      <c r="E35" s="473">
        <v>46129</v>
      </c>
      <c r="F35" s="472" t="s">
        <v>1935</v>
      </c>
      <c r="G35" s="472" t="s">
        <v>194</v>
      </c>
      <c r="H35" s="472" t="s">
        <v>2255</v>
      </c>
      <c r="I35" s="472"/>
      <c r="J35" s="485">
        <v>631.09</v>
      </c>
      <c r="K35" s="472">
        <v>0</v>
      </c>
      <c r="L35" s="486">
        <v>23.15</v>
      </c>
      <c r="M35" s="487">
        <v>23.35</v>
      </c>
      <c r="N35" s="472">
        <v>23.25</v>
      </c>
      <c r="O35" s="472">
        <v>23.25</v>
      </c>
      <c r="P35" s="484"/>
      <c r="Q35" s="479" t="s">
        <v>1944</v>
      </c>
    </row>
    <row r="36" spans="1:17" ht="45">
      <c r="A36" s="469">
        <v>46035</v>
      </c>
      <c r="B36" s="488" t="s">
        <v>2118</v>
      </c>
      <c r="C36" s="471" t="s">
        <v>2124</v>
      </c>
      <c r="D36" s="472" t="s">
        <v>2125</v>
      </c>
      <c r="E36" s="473">
        <v>46073</v>
      </c>
      <c r="F36" s="472" t="s">
        <v>1940</v>
      </c>
      <c r="G36" s="472" t="s">
        <v>194</v>
      </c>
      <c r="H36" s="472" t="s">
        <v>2256</v>
      </c>
      <c r="I36" s="472"/>
      <c r="J36" s="485">
        <v>361.33</v>
      </c>
      <c r="K36" s="472">
        <v>0</v>
      </c>
      <c r="L36" s="486">
        <v>20</v>
      </c>
      <c r="M36" s="487">
        <v>22.8</v>
      </c>
      <c r="N36" s="472">
        <v>21.4</v>
      </c>
      <c r="O36" s="472">
        <v>21.4</v>
      </c>
      <c r="P36" s="484"/>
      <c r="Q36" s="479" t="s">
        <v>1944</v>
      </c>
    </row>
    <row r="37" spans="1:17" ht="45">
      <c r="A37" s="469">
        <v>46035</v>
      </c>
      <c r="B37" s="488" t="s">
        <v>2117</v>
      </c>
      <c r="C37" s="471" t="s">
        <v>2126</v>
      </c>
      <c r="D37" s="472" t="s">
        <v>2125</v>
      </c>
      <c r="E37" s="473">
        <v>46073</v>
      </c>
      <c r="F37" s="472" t="s">
        <v>1940</v>
      </c>
      <c r="G37" s="472" t="s">
        <v>194</v>
      </c>
      <c r="H37" s="472" t="s">
        <v>2257</v>
      </c>
      <c r="I37" s="472"/>
      <c r="J37" s="485">
        <v>361.33</v>
      </c>
      <c r="K37" s="472">
        <v>0</v>
      </c>
      <c r="L37" s="486">
        <v>33.6</v>
      </c>
      <c r="M37" s="487">
        <v>36.5</v>
      </c>
      <c r="N37" s="472">
        <v>35.049999999999997</v>
      </c>
      <c r="O37" s="472">
        <v>35.049999999999997</v>
      </c>
      <c r="P37" s="484"/>
      <c r="Q37" s="479" t="s">
        <v>1944</v>
      </c>
    </row>
    <row r="38" spans="1:17" ht="45">
      <c r="A38" s="469">
        <v>46035</v>
      </c>
      <c r="B38" s="488" t="s">
        <v>2121</v>
      </c>
      <c r="C38" s="471" t="s">
        <v>2127</v>
      </c>
      <c r="D38" s="472" t="s">
        <v>2128</v>
      </c>
      <c r="E38" s="473">
        <v>46101</v>
      </c>
      <c r="F38" s="472" t="s">
        <v>1940</v>
      </c>
      <c r="G38" s="472" t="s">
        <v>194</v>
      </c>
      <c r="H38" s="472" t="s">
        <v>2235</v>
      </c>
      <c r="I38" s="472"/>
      <c r="J38" s="485">
        <v>190.03</v>
      </c>
      <c r="K38" s="472">
        <v>0</v>
      </c>
      <c r="L38" s="486">
        <v>16.2</v>
      </c>
      <c r="M38" s="487">
        <v>18</v>
      </c>
      <c r="N38" s="472">
        <v>17.100000000000001</v>
      </c>
      <c r="O38" s="472">
        <v>17.100000000000001</v>
      </c>
      <c r="P38" s="484"/>
      <c r="Q38" s="479" t="s">
        <v>1944</v>
      </c>
    </row>
    <row r="39" spans="1:17" ht="45">
      <c r="A39" s="469">
        <v>46035</v>
      </c>
      <c r="B39" s="488" t="s">
        <v>2122</v>
      </c>
      <c r="C39" s="471" t="s">
        <v>2129</v>
      </c>
      <c r="D39" s="472" t="s">
        <v>2128</v>
      </c>
      <c r="E39" s="473">
        <v>46101</v>
      </c>
      <c r="F39" s="472" t="s">
        <v>1940</v>
      </c>
      <c r="G39" s="472" t="s">
        <v>194</v>
      </c>
      <c r="H39" s="472" t="s">
        <v>2234</v>
      </c>
      <c r="I39" s="472"/>
      <c r="J39" s="485">
        <v>190.03</v>
      </c>
      <c r="K39" s="472">
        <v>0</v>
      </c>
      <c r="L39" s="486">
        <v>7.2</v>
      </c>
      <c r="M39" s="487">
        <v>9.6999999999999993</v>
      </c>
      <c r="N39" s="472">
        <v>8.4499999999999993</v>
      </c>
      <c r="O39" s="472">
        <v>8.4499999999999993</v>
      </c>
      <c r="P39" s="484"/>
      <c r="Q39" s="479" t="s">
        <v>1944</v>
      </c>
    </row>
    <row r="40" spans="1:17" ht="45">
      <c r="A40" s="469">
        <v>46035</v>
      </c>
      <c r="B40" s="488" t="s">
        <v>2138</v>
      </c>
      <c r="C40" s="471" t="s">
        <v>2140</v>
      </c>
      <c r="D40" s="472" t="s">
        <v>2141</v>
      </c>
      <c r="E40" s="473">
        <v>46101</v>
      </c>
      <c r="F40" s="472" t="s">
        <v>1940</v>
      </c>
      <c r="G40" s="472" t="s">
        <v>194</v>
      </c>
      <c r="H40" s="472" t="s">
        <v>2225</v>
      </c>
      <c r="I40" s="472"/>
      <c r="J40" s="485">
        <v>90.32</v>
      </c>
      <c r="K40" s="472">
        <v>0</v>
      </c>
      <c r="L40" s="486">
        <v>1.95</v>
      </c>
      <c r="M40" s="487">
        <v>2.15</v>
      </c>
      <c r="N40" s="472">
        <v>2.0499999999999998</v>
      </c>
      <c r="O40" s="472">
        <v>2.0499999999999998</v>
      </c>
      <c r="P40" s="484"/>
      <c r="Q40" s="479" t="s">
        <v>1944</v>
      </c>
    </row>
    <row r="41" spans="1:17" ht="45">
      <c r="A41" s="469">
        <v>46035</v>
      </c>
      <c r="B41" s="488" t="s">
        <v>2139</v>
      </c>
      <c r="C41" s="471" t="s">
        <v>2142</v>
      </c>
      <c r="D41" s="472" t="s">
        <v>2141</v>
      </c>
      <c r="E41" s="473">
        <v>46101</v>
      </c>
      <c r="F41" s="472" t="s">
        <v>1935</v>
      </c>
      <c r="G41" s="472" t="s">
        <v>194</v>
      </c>
      <c r="H41" s="472" t="s">
        <v>2258</v>
      </c>
      <c r="I41" s="472"/>
      <c r="J41" s="485">
        <v>90.32</v>
      </c>
      <c r="K41" s="472">
        <v>0</v>
      </c>
      <c r="L41" s="486">
        <v>2.72</v>
      </c>
      <c r="M41" s="487">
        <v>2.9</v>
      </c>
      <c r="N41" s="472">
        <v>2.81</v>
      </c>
      <c r="O41" s="472">
        <v>2.81</v>
      </c>
      <c r="P41" s="484"/>
      <c r="Q41" s="479" t="s">
        <v>1944</v>
      </c>
    </row>
    <row r="42" spans="1:17" ht="45">
      <c r="A42" s="469">
        <v>46035</v>
      </c>
      <c r="B42" s="488" t="s">
        <v>2137</v>
      </c>
      <c r="C42" s="471" t="s">
        <v>2143</v>
      </c>
      <c r="D42" s="472" t="s">
        <v>2141</v>
      </c>
      <c r="E42" s="473">
        <v>46101</v>
      </c>
      <c r="F42" s="472" t="s">
        <v>1935</v>
      </c>
      <c r="G42" s="472" t="s">
        <v>194</v>
      </c>
      <c r="H42" s="472" t="s">
        <v>2259</v>
      </c>
      <c r="I42" s="472"/>
      <c r="J42" s="485">
        <v>90.32</v>
      </c>
      <c r="K42" s="472">
        <v>1.6800000000000068</v>
      </c>
      <c r="L42" s="486">
        <v>6.65</v>
      </c>
      <c r="M42" s="487">
        <v>6.9</v>
      </c>
      <c r="N42" s="472">
        <v>6.7750000000000004</v>
      </c>
      <c r="O42" s="472">
        <v>6.7750000000000004</v>
      </c>
      <c r="P42" s="484"/>
      <c r="Q42" s="479" t="s">
        <v>1944</v>
      </c>
    </row>
    <row r="43" spans="1:17" ht="45">
      <c r="A43" s="469">
        <v>46035</v>
      </c>
      <c r="B43" s="488" t="s">
        <v>2145</v>
      </c>
      <c r="C43" s="471" t="s">
        <v>2148</v>
      </c>
      <c r="D43" s="472" t="s">
        <v>2098</v>
      </c>
      <c r="E43" s="473">
        <v>46101</v>
      </c>
      <c r="F43" s="472" t="s">
        <v>1935</v>
      </c>
      <c r="G43" s="472" t="s">
        <v>194</v>
      </c>
      <c r="H43" s="472" t="s">
        <v>2260</v>
      </c>
      <c r="I43" s="472"/>
      <c r="J43" s="485">
        <v>83.05</v>
      </c>
      <c r="K43" s="472">
        <v>0</v>
      </c>
      <c r="L43" s="486">
        <v>3.9</v>
      </c>
      <c r="M43" s="487">
        <v>4.0999999999999996</v>
      </c>
      <c r="N43" s="472">
        <v>4</v>
      </c>
      <c r="O43" s="472">
        <v>4</v>
      </c>
      <c r="P43" s="484"/>
      <c r="Q43" s="479" t="s">
        <v>1944</v>
      </c>
    </row>
    <row r="44" spans="1:17" ht="45">
      <c r="A44" s="469">
        <v>46035</v>
      </c>
      <c r="B44" s="488" t="s">
        <v>2144</v>
      </c>
      <c r="C44" s="471" t="s">
        <v>2149</v>
      </c>
      <c r="D44" s="472" t="s">
        <v>2098</v>
      </c>
      <c r="E44" s="473">
        <v>46101</v>
      </c>
      <c r="F44" s="472" t="s">
        <v>1935</v>
      </c>
      <c r="G44" s="472" t="s">
        <v>194</v>
      </c>
      <c r="H44" s="472" t="s">
        <v>2261</v>
      </c>
      <c r="I44" s="472"/>
      <c r="J44" s="485">
        <v>83.05</v>
      </c>
      <c r="K44" s="472">
        <v>1.9500000000000028</v>
      </c>
      <c r="L44" s="486">
        <v>8.5500000000000007</v>
      </c>
      <c r="M44" s="487">
        <v>8.8000000000000007</v>
      </c>
      <c r="N44" s="472">
        <v>8.6750000000000007</v>
      </c>
      <c r="O44" s="472">
        <v>8.6750000000000007</v>
      </c>
      <c r="P44" s="484"/>
      <c r="Q44" s="479" t="s">
        <v>1944</v>
      </c>
    </row>
    <row r="45" spans="1:17" ht="45">
      <c r="A45" s="469">
        <v>46035</v>
      </c>
      <c r="B45" s="488" t="s">
        <v>2157</v>
      </c>
      <c r="C45" s="471" t="s">
        <v>2164</v>
      </c>
      <c r="D45" s="472" t="s">
        <v>2165</v>
      </c>
      <c r="E45" s="473">
        <v>46191</v>
      </c>
      <c r="F45" s="472" t="s">
        <v>1940</v>
      </c>
      <c r="G45" s="472" t="s">
        <v>194</v>
      </c>
      <c r="H45" s="472" t="s">
        <v>2262</v>
      </c>
      <c r="I45" s="472"/>
      <c r="J45" s="485">
        <v>354.61</v>
      </c>
      <c r="K45" s="472">
        <v>4.6100000000000136</v>
      </c>
      <c r="L45" s="486">
        <v>48.55</v>
      </c>
      <c r="M45" s="487">
        <v>50.2</v>
      </c>
      <c r="N45" s="472">
        <v>49.375</v>
      </c>
      <c r="O45" s="472">
        <v>49.375</v>
      </c>
      <c r="P45" s="484"/>
      <c r="Q45" s="479" t="s">
        <v>1944</v>
      </c>
    </row>
    <row r="46" spans="1:17" ht="45">
      <c r="A46" s="469">
        <v>46035</v>
      </c>
      <c r="B46" s="488" t="s">
        <v>2159</v>
      </c>
      <c r="C46" s="471" t="s">
        <v>2166</v>
      </c>
      <c r="D46" s="472" t="s">
        <v>2165</v>
      </c>
      <c r="E46" s="473">
        <v>46191</v>
      </c>
      <c r="F46" s="472" t="s">
        <v>1940</v>
      </c>
      <c r="G46" s="472" t="s">
        <v>194</v>
      </c>
      <c r="H46" s="472" t="s">
        <v>2263</v>
      </c>
      <c r="I46" s="472"/>
      <c r="J46" s="485">
        <v>354.61</v>
      </c>
      <c r="K46" s="472">
        <v>0</v>
      </c>
      <c r="L46" s="486">
        <v>26.25</v>
      </c>
      <c r="M46" s="487">
        <v>26.7</v>
      </c>
      <c r="N46" s="472">
        <v>26.475000000000001</v>
      </c>
      <c r="O46" s="472">
        <v>26.475000000000001</v>
      </c>
      <c r="P46" s="484"/>
      <c r="Q46" s="479" t="s">
        <v>1944</v>
      </c>
    </row>
    <row r="47" spans="1:17" ht="45">
      <c r="A47" s="469">
        <v>46035</v>
      </c>
      <c r="B47" s="488" t="s">
        <v>2158</v>
      </c>
      <c r="C47" s="471" t="s">
        <v>2167</v>
      </c>
      <c r="D47" s="472" t="s">
        <v>2165</v>
      </c>
      <c r="E47" s="473">
        <v>46191</v>
      </c>
      <c r="F47" s="472" t="s">
        <v>1935</v>
      </c>
      <c r="G47" s="472" t="s">
        <v>194</v>
      </c>
      <c r="H47" s="472" t="s">
        <v>2264</v>
      </c>
      <c r="I47" s="472"/>
      <c r="J47" s="485">
        <v>354.61</v>
      </c>
      <c r="K47" s="472">
        <v>0</v>
      </c>
      <c r="L47" s="486">
        <v>11.25</v>
      </c>
      <c r="M47" s="487">
        <v>11.6</v>
      </c>
      <c r="N47" s="472">
        <v>11.425000000000001</v>
      </c>
      <c r="O47" s="472">
        <v>11.425000000000001</v>
      </c>
      <c r="P47" s="484"/>
      <c r="Q47" s="479" t="s">
        <v>1944</v>
      </c>
    </row>
    <row r="48" spans="1:17" ht="45">
      <c r="A48" s="469">
        <v>46035</v>
      </c>
      <c r="B48" s="488" t="s">
        <v>2156</v>
      </c>
      <c r="C48" s="471" t="s">
        <v>2168</v>
      </c>
      <c r="D48" s="472" t="s">
        <v>2165</v>
      </c>
      <c r="E48" s="473">
        <v>46191</v>
      </c>
      <c r="F48" s="472" t="s">
        <v>1935</v>
      </c>
      <c r="G48" s="472" t="s">
        <v>194</v>
      </c>
      <c r="H48" s="472" t="s">
        <v>2232</v>
      </c>
      <c r="I48" s="472"/>
      <c r="J48" s="485">
        <v>354.61</v>
      </c>
      <c r="K48" s="472">
        <v>0</v>
      </c>
      <c r="L48" s="486">
        <v>19.05</v>
      </c>
      <c r="M48" s="487">
        <v>19.5</v>
      </c>
      <c r="N48" s="472">
        <v>19.274999999999999</v>
      </c>
      <c r="O48" s="472">
        <v>19.274999999999999</v>
      </c>
      <c r="P48" s="484"/>
      <c r="Q48" s="479" t="s">
        <v>1944</v>
      </c>
    </row>
    <row r="49" spans="1:17" ht="45">
      <c r="A49" s="469">
        <v>46035</v>
      </c>
      <c r="B49" s="488" t="s">
        <v>2160</v>
      </c>
      <c r="C49" s="471" t="s">
        <v>2169</v>
      </c>
      <c r="D49" s="472" t="s">
        <v>2114</v>
      </c>
      <c r="E49" s="473">
        <v>46129</v>
      </c>
      <c r="F49" s="472" t="s">
        <v>1935</v>
      </c>
      <c r="G49" s="472" t="s">
        <v>194</v>
      </c>
      <c r="H49" s="472" t="s">
        <v>2265</v>
      </c>
      <c r="I49" s="472"/>
      <c r="J49" s="485">
        <v>631.09</v>
      </c>
      <c r="K49" s="472">
        <v>0</v>
      </c>
      <c r="L49" s="486">
        <v>26.7</v>
      </c>
      <c r="M49" s="487">
        <v>26.95</v>
      </c>
      <c r="N49" s="472">
        <v>26.824999999999999</v>
      </c>
      <c r="O49" s="472">
        <v>26.824999999999999</v>
      </c>
      <c r="P49" s="484"/>
      <c r="Q49" s="479" t="s">
        <v>1944</v>
      </c>
    </row>
    <row r="50" spans="1:17" ht="45">
      <c r="A50" s="469">
        <v>46035</v>
      </c>
      <c r="B50" s="488" t="s">
        <v>2147</v>
      </c>
      <c r="C50" s="471" t="s">
        <v>2170</v>
      </c>
      <c r="D50" s="472" t="s">
        <v>1947</v>
      </c>
      <c r="E50" s="473">
        <v>46101</v>
      </c>
      <c r="F50" s="472" t="s">
        <v>1940</v>
      </c>
      <c r="G50" s="472" t="s">
        <v>194</v>
      </c>
      <c r="H50" s="472" t="s">
        <v>2244</v>
      </c>
      <c r="I50" s="472"/>
      <c r="J50" s="485">
        <v>331.21</v>
      </c>
      <c r="K50" s="472">
        <v>1.2099999999999795</v>
      </c>
      <c r="L50" s="486">
        <v>23.1</v>
      </c>
      <c r="M50" s="487">
        <v>23.75</v>
      </c>
      <c r="N50" s="472">
        <v>23.425000000000001</v>
      </c>
      <c r="O50" s="472">
        <v>23.425000000000001</v>
      </c>
      <c r="P50" s="484"/>
      <c r="Q50" s="479" t="s">
        <v>1944</v>
      </c>
    </row>
    <row r="51" spans="1:17" ht="45">
      <c r="A51" s="469">
        <v>46035</v>
      </c>
      <c r="B51" s="488" t="s">
        <v>2146</v>
      </c>
      <c r="C51" s="471" t="s">
        <v>2171</v>
      </c>
      <c r="D51" s="472" t="s">
        <v>1947</v>
      </c>
      <c r="E51" s="473">
        <v>46101</v>
      </c>
      <c r="F51" s="472" t="s">
        <v>1940</v>
      </c>
      <c r="G51" s="472" t="s">
        <v>194</v>
      </c>
      <c r="H51" s="472" t="s">
        <v>2232</v>
      </c>
      <c r="I51" s="472"/>
      <c r="J51" s="485">
        <v>331.21</v>
      </c>
      <c r="K51" s="472">
        <v>31.20999999999998</v>
      </c>
      <c r="L51" s="486">
        <v>41.1</v>
      </c>
      <c r="M51" s="487">
        <v>42.6</v>
      </c>
      <c r="N51" s="472">
        <v>41.85</v>
      </c>
      <c r="O51" s="472">
        <v>41.85</v>
      </c>
      <c r="P51" s="484"/>
      <c r="Q51" s="479" t="s">
        <v>1944</v>
      </c>
    </row>
    <row r="52" spans="1:17" ht="45">
      <c r="A52" s="469">
        <v>46035</v>
      </c>
      <c r="B52" s="488" t="s">
        <v>2161</v>
      </c>
      <c r="C52" s="471" t="s">
        <v>2172</v>
      </c>
      <c r="D52" s="472" t="s">
        <v>2114</v>
      </c>
      <c r="E52" s="473">
        <v>46129</v>
      </c>
      <c r="F52" s="472" t="s">
        <v>1935</v>
      </c>
      <c r="G52" s="472" t="s">
        <v>194</v>
      </c>
      <c r="H52" s="472" t="s">
        <v>2266</v>
      </c>
      <c r="I52" s="472"/>
      <c r="J52" s="485">
        <v>631.09</v>
      </c>
      <c r="K52" s="472">
        <v>0</v>
      </c>
      <c r="L52" s="486">
        <v>17.100000000000001</v>
      </c>
      <c r="M52" s="487">
        <v>17.3</v>
      </c>
      <c r="N52" s="472">
        <v>17.200000000000003</v>
      </c>
      <c r="O52" s="472">
        <v>17.200000000000003</v>
      </c>
      <c r="P52" s="484"/>
      <c r="Q52" s="479" t="s">
        <v>1944</v>
      </c>
    </row>
    <row r="53" spans="1:17">
      <c r="A53" s="469">
        <v>46035</v>
      </c>
      <c r="B53" s="489" t="s">
        <v>2201</v>
      </c>
      <c r="C53" s="471" t="s">
        <v>2202</v>
      </c>
      <c r="D53" s="472" t="s">
        <v>2203</v>
      </c>
      <c r="E53" s="473">
        <v>46038</v>
      </c>
      <c r="F53" s="472" t="s">
        <v>1940</v>
      </c>
      <c r="G53" s="472" t="s">
        <v>194</v>
      </c>
      <c r="H53" s="472" t="s">
        <v>2267</v>
      </c>
      <c r="I53" s="472"/>
      <c r="J53" s="480">
        <v>47</v>
      </c>
      <c r="K53" s="472">
        <v>1</v>
      </c>
      <c r="L53" s="481">
        <v>1.1635072726801308</v>
      </c>
      <c r="M53" s="482">
        <v>1.1635072726801308</v>
      </c>
      <c r="N53" s="472">
        <v>1.1635072726801308</v>
      </c>
      <c r="O53" s="472">
        <v>1.1747377915727677</v>
      </c>
      <c r="P53" s="484">
        <v>29.051901939916707</v>
      </c>
      <c r="Q53" s="479" t="s">
        <v>1937</v>
      </c>
    </row>
    <row r="54" spans="1:17">
      <c r="A54" s="469">
        <v>46035</v>
      </c>
      <c r="B54" s="489" t="s">
        <v>2204</v>
      </c>
      <c r="C54" s="471" t="s">
        <v>2205</v>
      </c>
      <c r="D54" s="472" t="s">
        <v>2206</v>
      </c>
      <c r="E54" s="473">
        <v>46038</v>
      </c>
      <c r="F54" s="472" t="s">
        <v>1940</v>
      </c>
      <c r="G54" s="472" t="s">
        <v>194</v>
      </c>
      <c r="H54" s="472" t="s">
        <v>2268</v>
      </c>
      <c r="I54" s="472"/>
      <c r="J54" s="480">
        <v>129.75</v>
      </c>
      <c r="K54" s="472">
        <v>0</v>
      </c>
      <c r="L54" s="481">
        <v>1.0108418531716761</v>
      </c>
      <c r="M54" s="482">
        <v>1.0108418531716761</v>
      </c>
      <c r="N54" s="472">
        <v>1.0108418531716761</v>
      </c>
      <c r="O54" s="472">
        <v>1.0610862917426798</v>
      </c>
      <c r="P54" s="484">
        <v>36.875229981216791</v>
      </c>
      <c r="Q54" s="479" t="s">
        <v>1937</v>
      </c>
    </row>
    <row r="55" spans="1:17">
      <c r="A55" s="469">
        <v>46035</v>
      </c>
      <c r="B55" s="489" t="s">
        <v>2213</v>
      </c>
      <c r="C55" s="471" t="s">
        <v>2214</v>
      </c>
      <c r="D55" s="472" t="s">
        <v>1945</v>
      </c>
      <c r="E55" s="473">
        <v>46038</v>
      </c>
      <c r="F55" s="472" t="s">
        <v>1935</v>
      </c>
      <c r="G55" s="472" t="s">
        <v>194</v>
      </c>
      <c r="H55" s="472" t="s">
        <v>2269</v>
      </c>
      <c r="I55" s="472"/>
      <c r="J55" s="480">
        <v>32.630000000000003</v>
      </c>
      <c r="K55" s="472">
        <v>0</v>
      </c>
      <c r="L55" s="481">
        <v>0.12114671353854443</v>
      </c>
      <c r="M55" s="482">
        <v>0.12114671353854443</v>
      </c>
      <c r="N55" s="472">
        <v>0.12114671353854443</v>
      </c>
      <c r="O55" s="472">
        <v>0.12946960902709931</v>
      </c>
      <c r="P55" s="484">
        <v>30.192192145801695</v>
      </c>
      <c r="Q55" s="479" t="s">
        <v>1937</v>
      </c>
    </row>
    <row r="56" spans="1:17">
      <c r="A56" s="469">
        <v>46035</v>
      </c>
      <c r="B56" s="489" t="s">
        <v>2342</v>
      </c>
      <c r="C56" s="471" t="s">
        <v>2348</v>
      </c>
      <c r="D56" s="472" t="s">
        <v>1947</v>
      </c>
      <c r="E56" s="473">
        <v>46191</v>
      </c>
      <c r="F56" s="472" t="s">
        <v>1940</v>
      </c>
      <c r="G56" s="472" t="s">
        <v>194</v>
      </c>
      <c r="H56" s="472" t="s">
        <v>2349</v>
      </c>
      <c r="I56" s="472"/>
      <c r="J56" s="485">
        <v>331.21</v>
      </c>
      <c r="K56" s="472">
        <v>0</v>
      </c>
      <c r="L56" s="486">
        <v>33</v>
      </c>
      <c r="M56" s="487">
        <v>33.75</v>
      </c>
      <c r="N56" s="472">
        <v>33.375</v>
      </c>
      <c r="O56" s="472">
        <v>33.375</v>
      </c>
      <c r="P56" s="484"/>
      <c r="Q56" s="479" t="s">
        <v>1944</v>
      </c>
    </row>
    <row r="57" spans="1:17">
      <c r="A57" s="469">
        <v>46035</v>
      </c>
      <c r="B57" s="489" t="s">
        <v>2343</v>
      </c>
      <c r="C57" s="471" t="s">
        <v>2350</v>
      </c>
      <c r="D57" s="472" t="s">
        <v>1947</v>
      </c>
      <c r="E57" s="473">
        <v>46191</v>
      </c>
      <c r="F57" s="472" t="s">
        <v>1940</v>
      </c>
      <c r="G57" s="472" t="s">
        <v>194</v>
      </c>
      <c r="H57" s="472" t="s">
        <v>2351</v>
      </c>
      <c r="I57" s="472"/>
      <c r="J57" s="485">
        <v>331.21</v>
      </c>
      <c r="K57" s="472">
        <v>0</v>
      </c>
      <c r="L57" s="486">
        <v>18.2</v>
      </c>
      <c r="M57" s="487">
        <v>19.8</v>
      </c>
      <c r="N57" s="472">
        <v>19</v>
      </c>
      <c r="O57" s="472">
        <v>19</v>
      </c>
      <c r="P57" s="484"/>
      <c r="Q57" s="479" t="s">
        <v>1944</v>
      </c>
    </row>
    <row r="58" spans="1:17">
      <c r="A58" s="469">
        <v>46035</v>
      </c>
      <c r="B58" s="489" t="s">
        <v>2340</v>
      </c>
      <c r="C58" s="471" t="s">
        <v>2352</v>
      </c>
      <c r="D58" s="472" t="s">
        <v>2353</v>
      </c>
      <c r="E58" s="473">
        <v>46073</v>
      </c>
      <c r="F58" s="472" t="s">
        <v>1940</v>
      </c>
      <c r="G58" s="472" t="s">
        <v>194</v>
      </c>
      <c r="H58" s="472" t="s">
        <v>2354</v>
      </c>
      <c r="I58" s="472"/>
      <c r="J58" s="480">
        <v>33.86</v>
      </c>
      <c r="K58" s="472">
        <v>0</v>
      </c>
      <c r="L58" s="481">
        <v>0.46420962446531144</v>
      </c>
      <c r="M58" s="482">
        <v>0.46420962446531144</v>
      </c>
      <c r="N58" s="472">
        <v>0.46420962446531144</v>
      </c>
      <c r="O58" s="472">
        <v>0.46633326413051501</v>
      </c>
      <c r="P58" s="484">
        <v>19.942015115221061</v>
      </c>
      <c r="Q58" s="479" t="s">
        <v>1937</v>
      </c>
    </row>
    <row r="59" spans="1:17">
      <c r="A59" s="469">
        <v>46035</v>
      </c>
      <c r="B59" s="489" t="s">
        <v>2357</v>
      </c>
      <c r="C59" s="471" t="s">
        <v>2358</v>
      </c>
      <c r="D59" s="472" t="s">
        <v>1960</v>
      </c>
      <c r="E59" s="473">
        <v>46035</v>
      </c>
      <c r="F59" s="472" t="s">
        <v>1935</v>
      </c>
      <c r="G59" s="472" t="s">
        <v>194</v>
      </c>
      <c r="H59" s="472" t="s">
        <v>2359</v>
      </c>
      <c r="I59" s="472"/>
      <c r="J59" s="485">
        <v>626.24</v>
      </c>
      <c r="K59" s="472">
        <v>0</v>
      </c>
      <c r="L59" s="486">
        <v>0</v>
      </c>
      <c r="M59" s="487">
        <v>0.01</v>
      </c>
      <c r="N59" s="472">
        <v>5.0000000000000001E-3</v>
      </c>
      <c r="O59" s="472">
        <v>0</v>
      </c>
      <c r="P59" s="484"/>
      <c r="Q59" s="479" t="s">
        <v>1944</v>
      </c>
    </row>
    <row r="60" spans="1:17">
      <c r="A60" s="469">
        <v>46035</v>
      </c>
      <c r="B60" s="489" t="s">
        <v>2356</v>
      </c>
      <c r="C60" s="471" t="s">
        <v>2360</v>
      </c>
      <c r="D60" s="472" t="s">
        <v>1960</v>
      </c>
      <c r="E60" s="473">
        <v>46035</v>
      </c>
      <c r="F60" s="472" t="s">
        <v>1935</v>
      </c>
      <c r="G60" s="472" t="s">
        <v>194</v>
      </c>
      <c r="H60" s="472" t="s">
        <v>2361</v>
      </c>
      <c r="I60" s="472"/>
      <c r="J60" s="485">
        <v>626.24</v>
      </c>
      <c r="K60" s="472">
        <v>0</v>
      </c>
      <c r="L60" s="486">
        <v>0</v>
      </c>
      <c r="M60" s="487">
        <v>0.01</v>
      </c>
      <c r="N60" s="472">
        <v>5.0000000000000001E-3</v>
      </c>
      <c r="O60" s="472">
        <v>0</v>
      </c>
      <c r="P60" s="484"/>
      <c r="Q60" s="479" t="s">
        <v>1944</v>
      </c>
    </row>
    <row r="61" spans="1:17">
      <c r="A61" s="469">
        <v>46035</v>
      </c>
      <c r="B61" s="484" t="s">
        <v>1965</v>
      </c>
      <c r="C61" s="471" t="s">
        <v>1965</v>
      </c>
      <c r="D61" s="472" t="s">
        <v>1963</v>
      </c>
      <c r="E61" s="473">
        <v>46038</v>
      </c>
      <c r="F61" s="472" t="s">
        <v>1940</v>
      </c>
      <c r="G61" s="472" t="s">
        <v>194</v>
      </c>
      <c r="H61" s="472" t="s">
        <v>2270</v>
      </c>
      <c r="I61" s="472" t="s">
        <v>1936</v>
      </c>
      <c r="J61" s="485">
        <v>1.65</v>
      </c>
      <c r="K61" s="472">
        <v>0</v>
      </c>
      <c r="L61" s="486">
        <v>0</v>
      </c>
      <c r="M61" s="487">
        <v>0</v>
      </c>
      <c r="N61" s="472">
        <v>0</v>
      </c>
      <c r="O61" s="472">
        <v>0.32494846996314886</v>
      </c>
      <c r="P61" s="484">
        <v>63.402718457591703</v>
      </c>
      <c r="Q61" s="479" t="s">
        <v>1962</v>
      </c>
    </row>
    <row r="62" spans="1:17">
      <c r="A62" s="469">
        <v>46035</v>
      </c>
      <c r="B62" s="484" t="s">
        <v>2044</v>
      </c>
      <c r="C62" s="471" t="s">
        <v>2044</v>
      </c>
      <c r="D62" s="472" t="s">
        <v>2045</v>
      </c>
      <c r="E62" s="473">
        <v>46038</v>
      </c>
      <c r="F62" s="472" t="s">
        <v>1935</v>
      </c>
      <c r="G62" s="472" t="s">
        <v>194</v>
      </c>
      <c r="H62" s="472" t="s">
        <v>2271</v>
      </c>
      <c r="I62" s="472" t="s">
        <v>1936</v>
      </c>
      <c r="J62" s="485">
        <v>1.54</v>
      </c>
      <c r="K62" s="472">
        <v>40.35</v>
      </c>
      <c r="L62" s="486">
        <v>0</v>
      </c>
      <c r="M62" s="487">
        <v>0</v>
      </c>
      <c r="N62" s="472">
        <v>0</v>
      </c>
      <c r="O62" s="472">
        <v>0.26088487641971358</v>
      </c>
      <c r="P62" s="484">
        <v>27.063814942901701</v>
      </c>
      <c r="Q62" s="479" t="s">
        <v>1962</v>
      </c>
    </row>
    <row r="63" spans="1:17">
      <c r="A63" s="469">
        <v>46035</v>
      </c>
      <c r="B63" s="484" t="s">
        <v>2058</v>
      </c>
      <c r="C63" s="471" t="s">
        <v>2058</v>
      </c>
      <c r="D63" s="472" t="s">
        <v>1966</v>
      </c>
      <c r="E63" s="473">
        <v>46038</v>
      </c>
      <c r="F63" s="472" t="s">
        <v>1935</v>
      </c>
      <c r="G63" s="472" t="s">
        <v>194</v>
      </c>
      <c r="H63" s="472" t="s">
        <v>2272</v>
      </c>
      <c r="I63" s="472" t="s">
        <v>1936</v>
      </c>
      <c r="J63" s="485">
        <v>0.02</v>
      </c>
      <c r="K63" s="472">
        <v>36.229999999999997</v>
      </c>
      <c r="L63" s="486">
        <v>0</v>
      </c>
      <c r="M63" s="487">
        <v>0</v>
      </c>
      <c r="N63" s="472">
        <v>0</v>
      </c>
      <c r="O63" s="472">
        <v>1.7482619099950731E-3</v>
      </c>
      <c r="P63" s="484">
        <v>65.904694524697803</v>
      </c>
      <c r="Q63" s="479" t="s">
        <v>1962</v>
      </c>
    </row>
    <row r="64" spans="1:17">
      <c r="A64" s="469">
        <v>46035</v>
      </c>
      <c r="B64" s="484" t="s">
        <v>2059</v>
      </c>
      <c r="C64" s="471" t="s">
        <v>2059</v>
      </c>
      <c r="D64" s="472" t="s">
        <v>1966</v>
      </c>
      <c r="E64" s="473">
        <v>46038</v>
      </c>
      <c r="F64" s="472" t="s">
        <v>1935</v>
      </c>
      <c r="G64" s="472" t="s">
        <v>194</v>
      </c>
      <c r="H64" s="472" t="s">
        <v>2273</v>
      </c>
      <c r="I64" s="472" t="s">
        <v>1936</v>
      </c>
      <c r="J64" s="485">
        <v>0.02</v>
      </c>
      <c r="K64" s="472">
        <v>39.229999999999997</v>
      </c>
      <c r="L64" s="486">
        <v>0</v>
      </c>
      <c r="M64" s="487">
        <v>0</v>
      </c>
      <c r="N64" s="472">
        <v>0</v>
      </c>
      <c r="O64" s="472">
        <v>8.0214844359654189E-3</v>
      </c>
      <c r="P64" s="484">
        <v>48.560307650616799</v>
      </c>
      <c r="Q64" s="479" t="s">
        <v>1962</v>
      </c>
    </row>
    <row r="65" spans="1:17">
      <c r="A65" s="469">
        <v>46035</v>
      </c>
      <c r="B65" s="484" t="s">
        <v>2070</v>
      </c>
      <c r="C65" s="471" t="s">
        <v>2070</v>
      </c>
      <c r="D65" s="472" t="s">
        <v>1961</v>
      </c>
      <c r="E65" s="473">
        <v>46073</v>
      </c>
      <c r="F65" s="472" t="s">
        <v>1940</v>
      </c>
      <c r="G65" s="472" t="s">
        <v>194</v>
      </c>
      <c r="H65" s="472" t="s">
        <v>2274</v>
      </c>
      <c r="I65" s="472" t="s">
        <v>1936</v>
      </c>
      <c r="J65" s="485">
        <v>0.16</v>
      </c>
      <c r="K65" s="472">
        <v>0</v>
      </c>
      <c r="L65" s="486">
        <v>0</v>
      </c>
      <c r="M65" s="487">
        <v>0</v>
      </c>
      <c r="N65" s="472">
        <v>0</v>
      </c>
      <c r="O65" s="472">
        <v>5.3545030766407493E-3</v>
      </c>
      <c r="P65" s="484">
        <v>26.047424996700197</v>
      </c>
      <c r="Q65" s="479" t="s">
        <v>1962</v>
      </c>
    </row>
    <row r="66" spans="1:17">
      <c r="A66" s="469">
        <v>46035</v>
      </c>
      <c r="B66" s="484" t="s">
        <v>2071</v>
      </c>
      <c r="C66" s="471" t="s">
        <v>2071</v>
      </c>
      <c r="D66" s="472" t="s">
        <v>1961</v>
      </c>
      <c r="E66" s="473">
        <v>46073</v>
      </c>
      <c r="F66" s="472" t="s">
        <v>1935</v>
      </c>
      <c r="G66" s="472" t="s">
        <v>194</v>
      </c>
      <c r="H66" s="472" t="s">
        <v>2275</v>
      </c>
      <c r="I66" s="472" t="s">
        <v>1936</v>
      </c>
      <c r="J66" s="485">
        <v>0.22</v>
      </c>
      <c r="K66" s="472">
        <v>21.35</v>
      </c>
      <c r="L66" s="486">
        <v>0</v>
      </c>
      <c r="M66" s="487">
        <v>0</v>
      </c>
      <c r="N66" s="472">
        <v>0</v>
      </c>
      <c r="O66" s="472">
        <v>3.86364243399955E-2</v>
      </c>
      <c r="P66" s="484">
        <v>33.503731867311899</v>
      </c>
      <c r="Q66" s="479" t="s">
        <v>1962</v>
      </c>
    </row>
    <row r="67" spans="1:17">
      <c r="A67" s="469">
        <v>46035</v>
      </c>
      <c r="B67" s="484" t="s">
        <v>2072</v>
      </c>
      <c r="C67" s="471" t="s">
        <v>2072</v>
      </c>
      <c r="D67" s="472" t="s">
        <v>1961</v>
      </c>
      <c r="E67" s="473">
        <v>46073</v>
      </c>
      <c r="F67" s="472" t="s">
        <v>1935</v>
      </c>
      <c r="G67" s="472" t="s">
        <v>194</v>
      </c>
      <c r="H67" s="472" t="s">
        <v>2276</v>
      </c>
      <c r="I67" s="472" t="s">
        <v>1936</v>
      </c>
      <c r="J67" s="485">
        <v>0.92</v>
      </c>
      <c r="K67" s="472">
        <v>23.15</v>
      </c>
      <c r="L67" s="486">
        <v>0</v>
      </c>
      <c r="M67" s="487">
        <v>0</v>
      </c>
      <c r="N67" s="472">
        <v>0</v>
      </c>
      <c r="O67" s="472">
        <v>0.18625162879829921</v>
      </c>
      <c r="P67" s="484">
        <v>30.026772962679605</v>
      </c>
      <c r="Q67" s="479" t="s">
        <v>1962</v>
      </c>
    </row>
    <row r="68" spans="1:17">
      <c r="A68" s="469">
        <v>46035</v>
      </c>
      <c r="B68" s="484" t="s">
        <v>2073</v>
      </c>
      <c r="C68" s="471" t="s">
        <v>2073</v>
      </c>
      <c r="D68" s="472" t="s">
        <v>1964</v>
      </c>
      <c r="E68" s="473">
        <v>46038</v>
      </c>
      <c r="F68" s="472" t="s">
        <v>1940</v>
      </c>
      <c r="G68" s="472" t="s">
        <v>194</v>
      </c>
      <c r="H68" s="472" t="s">
        <v>2277</v>
      </c>
      <c r="I68" s="472" t="s">
        <v>1936</v>
      </c>
      <c r="J68" s="485">
        <v>0.08</v>
      </c>
      <c r="K68" s="472">
        <v>0</v>
      </c>
      <c r="L68" s="486">
        <v>0</v>
      </c>
      <c r="M68" s="487">
        <v>0</v>
      </c>
      <c r="N68" s="472">
        <v>0</v>
      </c>
      <c r="O68" s="472">
        <v>3.4105718127253125E-2</v>
      </c>
      <c r="P68" s="484">
        <v>41.551031757692407</v>
      </c>
      <c r="Q68" s="479" t="s">
        <v>1962</v>
      </c>
    </row>
    <row r="69" spans="1:17">
      <c r="A69" s="469">
        <v>46035</v>
      </c>
      <c r="B69" s="484" t="s">
        <v>2074</v>
      </c>
      <c r="C69" s="471" t="s">
        <v>2074</v>
      </c>
      <c r="D69" s="472" t="s">
        <v>1964</v>
      </c>
      <c r="E69" s="473">
        <v>46038</v>
      </c>
      <c r="F69" s="472" t="s">
        <v>1935</v>
      </c>
      <c r="G69" s="472" t="s">
        <v>194</v>
      </c>
      <c r="H69" s="472" t="s">
        <v>2278</v>
      </c>
      <c r="I69" s="472" t="s">
        <v>1936</v>
      </c>
      <c r="J69" s="485">
        <v>0.02</v>
      </c>
      <c r="K69" s="472">
        <v>20.97</v>
      </c>
      <c r="L69" s="486">
        <v>0</v>
      </c>
      <c r="M69" s="487">
        <v>0</v>
      </c>
      <c r="N69" s="472">
        <v>0</v>
      </c>
      <c r="O69" s="472">
        <v>4.1604039811220185E-4</v>
      </c>
      <c r="P69" s="484">
        <v>53.442800881782098</v>
      </c>
      <c r="Q69" s="479" t="s">
        <v>1962</v>
      </c>
    </row>
    <row r="70" spans="1:17">
      <c r="A70" s="469">
        <v>46035</v>
      </c>
      <c r="B70" s="484" t="s">
        <v>2075</v>
      </c>
      <c r="C70" s="471" t="s">
        <v>2075</v>
      </c>
      <c r="D70" s="472" t="s">
        <v>1964</v>
      </c>
      <c r="E70" s="473">
        <v>46038</v>
      </c>
      <c r="F70" s="472" t="s">
        <v>1935</v>
      </c>
      <c r="G70" s="472" t="s">
        <v>194</v>
      </c>
      <c r="H70" s="472" t="s">
        <v>2279</v>
      </c>
      <c r="I70" s="472" t="s">
        <v>1936</v>
      </c>
      <c r="J70" s="485">
        <v>7.0000000000000007E-2</v>
      </c>
      <c r="K70" s="472">
        <v>22.919999999999998</v>
      </c>
      <c r="L70" s="486">
        <v>0</v>
      </c>
      <c r="M70" s="487">
        <v>0</v>
      </c>
      <c r="N70" s="472">
        <v>0</v>
      </c>
      <c r="O70" s="472">
        <v>1.6724018163211649E-2</v>
      </c>
      <c r="P70" s="484">
        <v>48.808716411123704</v>
      </c>
      <c r="Q70" s="479" t="s">
        <v>1962</v>
      </c>
    </row>
    <row r="71" spans="1:17">
      <c r="A71" s="469">
        <v>46035</v>
      </c>
      <c r="B71" s="484" t="s">
        <v>2076</v>
      </c>
      <c r="C71" s="471" t="s">
        <v>2076</v>
      </c>
      <c r="D71" s="472" t="s">
        <v>1967</v>
      </c>
      <c r="E71" s="473">
        <v>46038</v>
      </c>
      <c r="F71" s="472" t="s">
        <v>1940</v>
      </c>
      <c r="G71" s="472" t="s">
        <v>194</v>
      </c>
      <c r="H71" s="472" t="s">
        <v>2280</v>
      </c>
      <c r="I71" s="472" t="s">
        <v>1936</v>
      </c>
      <c r="J71" s="485" t="s">
        <v>2207</v>
      </c>
      <c r="K71" s="472" t="e">
        <v>#VALUE!</v>
      </c>
      <c r="L71" s="486">
        <v>0</v>
      </c>
      <c r="M71" s="487">
        <v>0</v>
      </c>
      <c r="N71" s="472">
        <v>0</v>
      </c>
      <c r="O71" s="472">
        <v>1.6331083719114282E-13</v>
      </c>
      <c r="P71" s="484">
        <v>25.585097787665401</v>
      </c>
      <c r="Q71" s="479" t="s">
        <v>1962</v>
      </c>
    </row>
    <row r="72" spans="1:17">
      <c r="A72" s="469">
        <v>46035</v>
      </c>
      <c r="B72" s="484" t="s">
        <v>2077</v>
      </c>
      <c r="C72" s="471" t="s">
        <v>2077</v>
      </c>
      <c r="D72" s="472" t="s">
        <v>1967</v>
      </c>
      <c r="E72" s="473">
        <v>46038</v>
      </c>
      <c r="F72" s="472" t="s">
        <v>1935</v>
      </c>
      <c r="G72" s="472" t="s">
        <v>194</v>
      </c>
      <c r="H72" s="472" t="s">
        <v>2281</v>
      </c>
      <c r="I72" s="472" t="s">
        <v>1936</v>
      </c>
      <c r="J72" s="485">
        <v>1.2</v>
      </c>
      <c r="K72" s="472">
        <v>30.98</v>
      </c>
      <c r="L72" s="486">
        <v>0</v>
      </c>
      <c r="M72" s="487">
        <v>0</v>
      </c>
      <c r="N72" s="472">
        <v>0</v>
      </c>
      <c r="O72" s="472">
        <v>0.10253614389086384</v>
      </c>
      <c r="P72" s="484">
        <v>35.253190976478898</v>
      </c>
      <c r="Q72" s="479" t="s">
        <v>1962</v>
      </c>
    </row>
    <row r="73" spans="1:17">
      <c r="A73" s="469">
        <v>46035</v>
      </c>
      <c r="B73" s="484" t="s">
        <v>2078</v>
      </c>
      <c r="C73" s="471" t="s">
        <v>2078</v>
      </c>
      <c r="D73" s="472" t="s">
        <v>1967</v>
      </c>
      <c r="E73" s="473">
        <v>46038</v>
      </c>
      <c r="F73" s="472" t="s">
        <v>1935</v>
      </c>
      <c r="G73" s="472" t="s">
        <v>194</v>
      </c>
      <c r="H73" s="472" t="s">
        <v>2282</v>
      </c>
      <c r="I73" s="472" t="s">
        <v>1936</v>
      </c>
      <c r="J73" s="485">
        <v>2.9</v>
      </c>
      <c r="K73" s="472">
        <v>31.53</v>
      </c>
      <c r="L73" s="486">
        <v>0</v>
      </c>
      <c r="M73" s="487">
        <v>0</v>
      </c>
      <c r="N73" s="472">
        <v>0</v>
      </c>
      <c r="O73" s="472">
        <v>0.4534867765142418</v>
      </c>
      <c r="P73" s="484">
        <v>29.567652544933498</v>
      </c>
      <c r="Q73" s="479" t="s">
        <v>1962</v>
      </c>
    </row>
    <row r="74" spans="1:17">
      <c r="A74" s="469">
        <v>46035</v>
      </c>
      <c r="B74" s="484" t="s">
        <v>2079</v>
      </c>
      <c r="C74" s="471" t="s">
        <v>2079</v>
      </c>
      <c r="D74" s="472" t="s">
        <v>1963</v>
      </c>
      <c r="E74" s="473">
        <v>46038</v>
      </c>
      <c r="F74" s="472" t="s">
        <v>1935</v>
      </c>
      <c r="G74" s="472" t="s">
        <v>194</v>
      </c>
      <c r="H74" s="472" t="s">
        <v>2283</v>
      </c>
      <c r="I74" s="472" t="s">
        <v>1936</v>
      </c>
      <c r="J74" s="485">
        <v>0.01</v>
      </c>
      <c r="K74" s="472">
        <v>12.6</v>
      </c>
      <c r="L74" s="486">
        <v>0</v>
      </c>
      <c r="M74" s="487">
        <v>0</v>
      </c>
      <c r="N74" s="472">
        <v>0</v>
      </c>
      <c r="O74" s="472">
        <v>1.2446741210927362E-3</v>
      </c>
      <c r="P74" s="484">
        <v>68.344073637031997</v>
      </c>
      <c r="Q74" s="479" t="s">
        <v>1962</v>
      </c>
    </row>
    <row r="75" spans="1:17">
      <c r="A75" s="469">
        <v>46035</v>
      </c>
      <c r="B75" s="484" t="s">
        <v>2080</v>
      </c>
      <c r="C75" s="471" t="s">
        <v>2080</v>
      </c>
      <c r="D75" s="472" t="s">
        <v>1963</v>
      </c>
      <c r="E75" s="473">
        <v>46038</v>
      </c>
      <c r="F75" s="472" t="s">
        <v>1935</v>
      </c>
      <c r="G75" s="472" t="s">
        <v>194</v>
      </c>
      <c r="H75" s="472" t="s">
        <v>2284</v>
      </c>
      <c r="I75" s="472" t="s">
        <v>1936</v>
      </c>
      <c r="J75" s="485">
        <v>0.01</v>
      </c>
      <c r="K75" s="472">
        <v>13.6</v>
      </c>
      <c r="L75" s="486">
        <v>0</v>
      </c>
      <c r="M75" s="487">
        <v>0</v>
      </c>
      <c r="N75" s="472">
        <v>0</v>
      </c>
      <c r="O75" s="472">
        <v>3.5184392817392491E-3</v>
      </c>
      <c r="P75" s="484">
        <v>44.964113933135096</v>
      </c>
      <c r="Q75" s="479" t="s">
        <v>1962</v>
      </c>
    </row>
    <row r="76" spans="1:17">
      <c r="A76" s="469">
        <v>46035</v>
      </c>
      <c r="B76" s="484" t="s">
        <v>2081</v>
      </c>
      <c r="C76" s="471" t="s">
        <v>2081</v>
      </c>
      <c r="D76" s="472" t="s">
        <v>1961</v>
      </c>
      <c r="E76" s="473">
        <v>46073</v>
      </c>
      <c r="F76" s="472" t="s">
        <v>1940</v>
      </c>
      <c r="G76" s="472" t="s">
        <v>194</v>
      </c>
      <c r="H76" s="472" t="s">
        <v>2285</v>
      </c>
      <c r="I76" s="472" t="s">
        <v>1936</v>
      </c>
      <c r="J76" s="485">
        <v>1.1399999999999999</v>
      </c>
      <c r="K76" s="472">
        <v>0</v>
      </c>
      <c r="L76" s="486">
        <v>0</v>
      </c>
      <c r="M76" s="487">
        <v>0</v>
      </c>
      <c r="N76" s="472">
        <v>0</v>
      </c>
      <c r="O76" s="472">
        <v>1.8556193348217597E-3</v>
      </c>
      <c r="P76" s="484">
        <v>25.3900077070459</v>
      </c>
      <c r="Q76" s="479" t="s">
        <v>1962</v>
      </c>
    </row>
    <row r="77" spans="1:17">
      <c r="A77" s="469">
        <v>46035</v>
      </c>
      <c r="B77" s="484" t="s">
        <v>2082</v>
      </c>
      <c r="C77" s="471" t="s">
        <v>2082</v>
      </c>
      <c r="D77" s="472" t="s">
        <v>1961</v>
      </c>
      <c r="E77" s="473">
        <v>46073</v>
      </c>
      <c r="F77" s="472" t="s">
        <v>1935</v>
      </c>
      <c r="G77" s="472" t="s">
        <v>194</v>
      </c>
      <c r="H77" s="472" t="s">
        <v>2286</v>
      </c>
      <c r="I77" s="472" t="s">
        <v>1936</v>
      </c>
      <c r="J77" s="485">
        <v>0.83</v>
      </c>
      <c r="K77" s="472">
        <v>22.990000000000002</v>
      </c>
      <c r="L77" s="486">
        <v>0</v>
      </c>
      <c r="M77" s="487">
        <v>0</v>
      </c>
      <c r="N77" s="472">
        <v>0</v>
      </c>
      <c r="O77" s="472">
        <v>0.16328793838596808</v>
      </c>
      <c r="P77" s="484">
        <v>30.362519396645798</v>
      </c>
      <c r="Q77" s="479" t="s">
        <v>1962</v>
      </c>
    </row>
    <row r="78" spans="1:17">
      <c r="A78" s="469">
        <v>46035</v>
      </c>
      <c r="B78" s="484" t="s">
        <v>2083</v>
      </c>
      <c r="C78" s="471" t="s">
        <v>2083</v>
      </c>
      <c r="D78" s="472" t="s">
        <v>1961</v>
      </c>
      <c r="E78" s="473">
        <v>46073</v>
      </c>
      <c r="F78" s="472" t="s">
        <v>1935</v>
      </c>
      <c r="G78" s="472" t="s">
        <v>194</v>
      </c>
      <c r="H78" s="472" t="s">
        <v>2287</v>
      </c>
      <c r="I78" s="472" t="s">
        <v>1936</v>
      </c>
      <c r="J78" s="485">
        <v>2.6</v>
      </c>
      <c r="K78" s="472">
        <v>23.72</v>
      </c>
      <c r="L78" s="486">
        <v>0</v>
      </c>
      <c r="M78" s="487">
        <v>0</v>
      </c>
      <c r="N78" s="472">
        <v>0</v>
      </c>
      <c r="O78" s="472">
        <v>0.48016764096704639</v>
      </c>
      <c r="P78" s="484">
        <v>27.296495206593601</v>
      </c>
      <c r="Q78" s="479" t="s">
        <v>1962</v>
      </c>
    </row>
    <row r="79" spans="1:17">
      <c r="A79" s="469">
        <v>46035</v>
      </c>
      <c r="B79" s="484" t="s">
        <v>2092</v>
      </c>
      <c r="C79" s="471" t="s">
        <v>2092</v>
      </c>
      <c r="D79" s="472" t="s">
        <v>2093</v>
      </c>
      <c r="E79" s="473">
        <v>46073</v>
      </c>
      <c r="F79" s="472" t="s">
        <v>1935</v>
      </c>
      <c r="G79" s="472" t="s">
        <v>194</v>
      </c>
      <c r="H79" s="472" t="s">
        <v>2288</v>
      </c>
      <c r="I79" s="472" t="s">
        <v>1936</v>
      </c>
      <c r="J79" s="485">
        <v>0.26</v>
      </c>
      <c r="K79" s="472">
        <v>18.739999999999998</v>
      </c>
      <c r="L79" s="486">
        <v>0</v>
      </c>
      <c r="M79" s="487">
        <v>0</v>
      </c>
      <c r="N79" s="472">
        <v>0</v>
      </c>
      <c r="O79" s="472">
        <v>6.1715748148203964E-2</v>
      </c>
      <c r="P79" s="484">
        <v>38.447333486104696</v>
      </c>
      <c r="Q79" s="479" t="s">
        <v>1962</v>
      </c>
    </row>
    <row r="80" spans="1:17">
      <c r="A80" s="469">
        <v>46035</v>
      </c>
      <c r="B80" s="484" t="s">
        <v>2094</v>
      </c>
      <c r="C80" s="471" t="s">
        <v>2094</v>
      </c>
      <c r="D80" s="472" t="s">
        <v>2093</v>
      </c>
      <c r="E80" s="473">
        <v>46073</v>
      </c>
      <c r="F80" s="472" t="s">
        <v>1935</v>
      </c>
      <c r="G80" s="472" t="s">
        <v>194</v>
      </c>
      <c r="H80" s="472" t="s">
        <v>2289</v>
      </c>
      <c r="I80" s="472" t="s">
        <v>1936</v>
      </c>
      <c r="J80" s="485">
        <v>0.76</v>
      </c>
      <c r="K80" s="472">
        <v>19.739999999999998</v>
      </c>
      <c r="L80" s="486">
        <v>0</v>
      </c>
      <c r="M80" s="487">
        <v>0</v>
      </c>
      <c r="N80" s="472">
        <v>0</v>
      </c>
      <c r="O80" s="472">
        <v>0.15097178137760356</v>
      </c>
      <c r="P80" s="484">
        <v>36.122817092690596</v>
      </c>
      <c r="Q80" s="479" t="s">
        <v>1962</v>
      </c>
    </row>
    <row r="81" spans="1:17">
      <c r="A81" s="469">
        <v>46035</v>
      </c>
      <c r="B81" s="484" t="s">
        <v>2106</v>
      </c>
      <c r="C81" s="471" t="s">
        <v>2106</v>
      </c>
      <c r="D81" s="472" t="s">
        <v>2028</v>
      </c>
      <c r="E81" s="473">
        <v>46036</v>
      </c>
      <c r="F81" s="472" t="s">
        <v>1935</v>
      </c>
      <c r="G81" s="472" t="s">
        <v>194</v>
      </c>
      <c r="H81" s="472" t="s">
        <v>2290</v>
      </c>
      <c r="I81" s="472" t="s">
        <v>1936</v>
      </c>
      <c r="J81" s="485">
        <v>15</v>
      </c>
      <c r="K81" s="472">
        <v>156985</v>
      </c>
      <c r="L81" s="486">
        <v>0</v>
      </c>
      <c r="M81" s="487">
        <v>0</v>
      </c>
      <c r="N81" s="472">
        <v>0</v>
      </c>
      <c r="O81" s="472">
        <v>3.7494416828262711</v>
      </c>
      <c r="P81" s="484">
        <v>24.785962042291501</v>
      </c>
      <c r="Q81" s="479" t="s">
        <v>1962</v>
      </c>
    </row>
    <row r="82" spans="1:17">
      <c r="A82" s="469">
        <v>46035</v>
      </c>
      <c r="B82" s="484" t="s">
        <v>2107</v>
      </c>
      <c r="C82" s="471" t="s">
        <v>2107</v>
      </c>
      <c r="D82" s="472" t="s">
        <v>2028</v>
      </c>
      <c r="E82" s="473">
        <v>46036</v>
      </c>
      <c r="F82" s="472" t="s">
        <v>1935</v>
      </c>
      <c r="G82" s="472" t="s">
        <v>194</v>
      </c>
      <c r="H82" s="472" t="s">
        <v>2291</v>
      </c>
      <c r="I82" s="472" t="s">
        <v>1936</v>
      </c>
      <c r="J82" s="485">
        <v>2200</v>
      </c>
      <c r="K82" s="472">
        <v>161800</v>
      </c>
      <c r="L82" s="486">
        <v>0</v>
      </c>
      <c r="M82" s="487">
        <v>0</v>
      </c>
      <c r="N82" s="472">
        <v>0</v>
      </c>
      <c r="O82" s="472">
        <v>385.52457336820089</v>
      </c>
      <c r="P82" s="484">
        <v>16.353634636079999</v>
      </c>
      <c r="Q82" s="479" t="s">
        <v>1962</v>
      </c>
    </row>
    <row r="83" spans="1:17">
      <c r="A83" s="469">
        <v>46035</v>
      </c>
      <c r="B83" s="484" t="s">
        <v>2108</v>
      </c>
      <c r="C83" s="471" t="s">
        <v>2108</v>
      </c>
      <c r="D83" s="472" t="s">
        <v>2028</v>
      </c>
      <c r="E83" s="473">
        <v>46036</v>
      </c>
      <c r="F83" s="472" t="s">
        <v>1935</v>
      </c>
      <c r="G83" s="472" t="s">
        <v>194</v>
      </c>
      <c r="H83" s="472" t="s">
        <v>2292</v>
      </c>
      <c r="I83" s="472" t="s">
        <v>1936</v>
      </c>
      <c r="J83" s="485">
        <v>20</v>
      </c>
      <c r="K83" s="472">
        <v>151980</v>
      </c>
      <c r="L83" s="486">
        <v>0</v>
      </c>
      <c r="M83" s="487">
        <v>0</v>
      </c>
      <c r="N83" s="472">
        <v>0</v>
      </c>
      <c r="O83" s="472">
        <v>0.66492923261715275</v>
      </c>
      <c r="P83" s="484">
        <v>37.190349387204201</v>
      </c>
      <c r="Q83" s="479" t="s">
        <v>1962</v>
      </c>
    </row>
    <row r="84" spans="1:17">
      <c r="A84" s="469">
        <v>46035</v>
      </c>
      <c r="B84" s="484" t="s">
        <v>2109</v>
      </c>
      <c r="C84" s="471" t="s">
        <v>2109</v>
      </c>
      <c r="D84" s="472" t="s">
        <v>2028</v>
      </c>
      <c r="E84" s="473">
        <v>46036</v>
      </c>
      <c r="F84" s="472" t="s">
        <v>1935</v>
      </c>
      <c r="G84" s="472" t="s">
        <v>194</v>
      </c>
      <c r="H84" s="472" t="s">
        <v>2293</v>
      </c>
      <c r="I84" s="472" t="s">
        <v>1936</v>
      </c>
      <c r="J84" s="485">
        <v>30</v>
      </c>
      <c r="K84" s="472">
        <v>157970</v>
      </c>
      <c r="L84" s="486">
        <v>0</v>
      </c>
      <c r="M84" s="487">
        <v>0</v>
      </c>
      <c r="N84" s="472">
        <v>0</v>
      </c>
      <c r="O84" s="472">
        <v>5.5854372461216988</v>
      </c>
      <c r="P84" s="484">
        <v>21.9429054291036</v>
      </c>
      <c r="Q84" s="479" t="s">
        <v>1962</v>
      </c>
    </row>
    <row r="85" spans="1:17">
      <c r="A85" s="469">
        <v>46035</v>
      </c>
      <c r="B85" s="484" t="s">
        <v>2119</v>
      </c>
      <c r="C85" s="471" t="s">
        <v>2119</v>
      </c>
      <c r="D85" s="472" t="s">
        <v>1963</v>
      </c>
      <c r="E85" s="473">
        <v>46073</v>
      </c>
      <c r="F85" s="472" t="s">
        <v>1935</v>
      </c>
      <c r="G85" s="472" t="s">
        <v>194</v>
      </c>
      <c r="H85" s="472" t="s">
        <v>2294</v>
      </c>
      <c r="I85" s="472" t="s">
        <v>1936</v>
      </c>
      <c r="J85" s="485">
        <v>0.02</v>
      </c>
      <c r="K85" s="472">
        <v>12.09</v>
      </c>
      <c r="L85" s="486">
        <v>0</v>
      </c>
      <c r="M85" s="487">
        <v>0</v>
      </c>
      <c r="N85" s="472">
        <v>0</v>
      </c>
      <c r="O85" s="472">
        <v>4.0108436037326681E-3</v>
      </c>
      <c r="P85" s="484">
        <v>34.915305921143798</v>
      </c>
      <c r="Q85" s="479" t="s">
        <v>1962</v>
      </c>
    </row>
    <row r="86" spans="1:17">
      <c r="A86" s="469">
        <v>46035</v>
      </c>
      <c r="B86" s="484" t="s">
        <v>2120</v>
      </c>
      <c r="C86" s="471" t="s">
        <v>2120</v>
      </c>
      <c r="D86" s="472" t="s">
        <v>1963</v>
      </c>
      <c r="E86" s="473">
        <v>46073</v>
      </c>
      <c r="F86" s="472" t="s">
        <v>1935</v>
      </c>
      <c r="G86" s="472" t="s">
        <v>194</v>
      </c>
      <c r="H86" s="472" t="s">
        <v>2295</v>
      </c>
      <c r="I86" s="472" t="s">
        <v>1936</v>
      </c>
      <c r="J86" s="485">
        <v>0.1</v>
      </c>
      <c r="K86" s="472">
        <v>13.26</v>
      </c>
      <c r="L86" s="486">
        <v>0</v>
      </c>
      <c r="M86" s="487">
        <v>0</v>
      </c>
      <c r="N86" s="472">
        <v>0</v>
      </c>
      <c r="O86" s="472">
        <v>1.9217473116733393E-2</v>
      </c>
      <c r="P86" s="484">
        <v>29.420891239152301</v>
      </c>
      <c r="Q86" s="479" t="s">
        <v>1962</v>
      </c>
    </row>
    <row r="87" spans="1:17">
      <c r="A87" s="469">
        <v>46035</v>
      </c>
      <c r="B87" s="484" t="s">
        <v>2130</v>
      </c>
      <c r="C87" s="471" t="s">
        <v>2130</v>
      </c>
      <c r="D87" s="472" t="s">
        <v>2131</v>
      </c>
      <c r="E87" s="473">
        <v>46038</v>
      </c>
      <c r="F87" s="472" t="s">
        <v>1940</v>
      </c>
      <c r="G87" s="472" t="s">
        <v>194</v>
      </c>
      <c r="H87" s="472" t="s">
        <v>2296</v>
      </c>
      <c r="I87" s="472" t="s">
        <v>1936</v>
      </c>
      <c r="J87" s="485">
        <v>0.01</v>
      </c>
      <c r="K87" s="472">
        <v>0</v>
      </c>
      <c r="L87" s="486">
        <v>0</v>
      </c>
      <c r="M87" s="487">
        <v>0</v>
      </c>
      <c r="N87" s="472">
        <v>0</v>
      </c>
      <c r="O87" s="472">
        <v>7.827607873129194E-6</v>
      </c>
      <c r="P87" s="484">
        <v>19.683632650236799</v>
      </c>
      <c r="Q87" s="479" t="s">
        <v>1962</v>
      </c>
    </row>
    <row r="88" spans="1:17">
      <c r="A88" s="469">
        <v>46035</v>
      </c>
      <c r="B88" s="484" t="s">
        <v>2132</v>
      </c>
      <c r="C88" s="471" t="s">
        <v>2132</v>
      </c>
      <c r="D88" s="472" t="s">
        <v>2131</v>
      </c>
      <c r="E88" s="473">
        <v>46038</v>
      </c>
      <c r="F88" s="472" t="s">
        <v>1935</v>
      </c>
      <c r="G88" s="472" t="s">
        <v>194</v>
      </c>
      <c r="H88" s="472" t="s">
        <v>2297</v>
      </c>
      <c r="I88" s="472" t="s">
        <v>1936</v>
      </c>
      <c r="J88" s="485">
        <v>0.11</v>
      </c>
      <c r="K88" s="472">
        <v>57.59</v>
      </c>
      <c r="L88" s="486">
        <v>0</v>
      </c>
      <c r="M88" s="487">
        <v>0</v>
      </c>
      <c r="N88" s="472">
        <v>0</v>
      </c>
      <c r="O88" s="472">
        <v>2.2691151714565412E-3</v>
      </c>
      <c r="P88" s="484">
        <v>31.870501888744997</v>
      </c>
      <c r="Q88" s="479" t="s">
        <v>1962</v>
      </c>
    </row>
    <row r="89" spans="1:17">
      <c r="A89" s="469">
        <v>46035</v>
      </c>
      <c r="B89" s="484" t="s">
        <v>2133</v>
      </c>
      <c r="C89" s="471" t="s">
        <v>2133</v>
      </c>
      <c r="D89" s="472" t="s">
        <v>2131</v>
      </c>
      <c r="E89" s="473">
        <v>46038</v>
      </c>
      <c r="F89" s="472" t="s">
        <v>1935</v>
      </c>
      <c r="G89" s="472" t="s">
        <v>194</v>
      </c>
      <c r="H89" s="472" t="s">
        <v>2298</v>
      </c>
      <c r="I89" s="472" t="s">
        <v>1936</v>
      </c>
      <c r="J89" s="485">
        <v>0.9</v>
      </c>
      <c r="K89" s="472">
        <v>61.800000000000004</v>
      </c>
      <c r="L89" s="486">
        <v>0</v>
      </c>
      <c r="M89" s="487">
        <v>0</v>
      </c>
      <c r="N89" s="472">
        <v>0</v>
      </c>
      <c r="O89" s="472">
        <v>0.18424354370640894</v>
      </c>
      <c r="P89" s="484">
        <v>25.039252723293998</v>
      </c>
      <c r="Q89" s="479" t="s">
        <v>1962</v>
      </c>
    </row>
    <row r="90" spans="1:17">
      <c r="A90" s="469">
        <v>46035</v>
      </c>
      <c r="B90" s="484" t="s">
        <v>2150</v>
      </c>
      <c r="C90" s="471" t="s">
        <v>2150</v>
      </c>
      <c r="D90" s="472" t="s">
        <v>2151</v>
      </c>
      <c r="E90" s="473">
        <v>46038</v>
      </c>
      <c r="F90" s="472" t="s">
        <v>1935</v>
      </c>
      <c r="G90" s="472" t="s">
        <v>194</v>
      </c>
      <c r="H90" s="472" t="s">
        <v>2225</v>
      </c>
      <c r="I90" s="472" t="s">
        <v>1936</v>
      </c>
      <c r="J90" s="485">
        <v>0.02</v>
      </c>
      <c r="K90" s="472">
        <v>103.98</v>
      </c>
      <c r="L90" s="486">
        <v>0</v>
      </c>
      <c r="M90" s="487">
        <v>0</v>
      </c>
      <c r="N90" s="472">
        <v>0</v>
      </c>
      <c r="O90" s="472">
        <v>3.4696945807654637E-3</v>
      </c>
      <c r="P90" s="484">
        <v>36.361703559731502</v>
      </c>
      <c r="Q90" s="479" t="s">
        <v>1962</v>
      </c>
    </row>
    <row r="91" spans="1:17">
      <c r="A91" s="469">
        <v>46035</v>
      </c>
      <c r="B91" s="484" t="s">
        <v>2152</v>
      </c>
      <c r="C91" s="471" t="s">
        <v>2152</v>
      </c>
      <c r="D91" s="472" t="s">
        <v>2151</v>
      </c>
      <c r="E91" s="473">
        <v>46038</v>
      </c>
      <c r="F91" s="472" t="s">
        <v>1935</v>
      </c>
      <c r="G91" s="472" t="s">
        <v>194</v>
      </c>
      <c r="H91" s="472" t="s">
        <v>2299</v>
      </c>
      <c r="I91" s="472" t="s">
        <v>1936</v>
      </c>
      <c r="J91" s="485">
        <v>0.42</v>
      </c>
      <c r="K91" s="472">
        <v>110.58</v>
      </c>
      <c r="L91" s="486">
        <v>0</v>
      </c>
      <c r="M91" s="487">
        <v>0</v>
      </c>
      <c r="N91" s="472">
        <v>0</v>
      </c>
      <c r="O91" s="472">
        <v>6.2325220385776578E-2</v>
      </c>
      <c r="P91" s="484">
        <v>25.369890770726702</v>
      </c>
      <c r="Q91" s="479" t="s">
        <v>1962</v>
      </c>
    </row>
    <row r="92" spans="1:17">
      <c r="A92" s="469">
        <v>46035</v>
      </c>
      <c r="B92" s="484" t="s">
        <v>2153</v>
      </c>
      <c r="C92" s="471" t="s">
        <v>2153</v>
      </c>
      <c r="D92" s="472" t="s">
        <v>2154</v>
      </c>
      <c r="E92" s="473">
        <v>46038</v>
      </c>
      <c r="F92" s="472" t="s">
        <v>1935</v>
      </c>
      <c r="G92" s="472" t="s">
        <v>194</v>
      </c>
      <c r="H92" s="472" t="s">
        <v>2300</v>
      </c>
      <c r="I92" s="472" t="s">
        <v>1936</v>
      </c>
      <c r="J92" s="485">
        <v>0.01</v>
      </c>
      <c r="K92" s="472">
        <v>11.74</v>
      </c>
      <c r="L92" s="486">
        <v>0</v>
      </c>
      <c r="M92" s="487">
        <v>0</v>
      </c>
      <c r="N92" s="472">
        <v>0</v>
      </c>
      <c r="O92" s="472">
        <v>3.7360642222098276E-7</v>
      </c>
      <c r="P92" s="484">
        <v>28.911120427685496</v>
      </c>
      <c r="Q92" s="479" t="s">
        <v>1962</v>
      </c>
    </row>
    <row r="93" spans="1:17">
      <c r="A93" s="469">
        <v>46035</v>
      </c>
      <c r="B93" s="484" t="s">
        <v>2155</v>
      </c>
      <c r="C93" s="471" t="s">
        <v>2155</v>
      </c>
      <c r="D93" s="472" t="s">
        <v>2154</v>
      </c>
      <c r="E93" s="473">
        <v>46038</v>
      </c>
      <c r="F93" s="472" t="s">
        <v>1935</v>
      </c>
      <c r="G93" s="472" t="s">
        <v>194</v>
      </c>
      <c r="H93" s="472" t="s">
        <v>2301</v>
      </c>
      <c r="I93" s="472" t="s">
        <v>1936</v>
      </c>
      <c r="J93" s="485">
        <v>0.01</v>
      </c>
      <c r="K93" s="472">
        <v>12.74</v>
      </c>
      <c r="L93" s="486">
        <v>0</v>
      </c>
      <c r="M93" s="487">
        <v>0</v>
      </c>
      <c r="N93" s="472">
        <v>0</v>
      </c>
      <c r="O93" s="472">
        <v>1.4425461776416421E-3</v>
      </c>
      <c r="P93" s="484">
        <v>23.778391600473999</v>
      </c>
      <c r="Q93" s="479" t="s">
        <v>1962</v>
      </c>
    </row>
    <row r="94" spans="1:17">
      <c r="A94" s="469">
        <v>46035</v>
      </c>
      <c r="B94" s="484" t="s">
        <v>2173</v>
      </c>
      <c r="C94" s="471" t="s">
        <v>2173</v>
      </c>
      <c r="D94" s="472" t="s">
        <v>2174</v>
      </c>
      <c r="E94" s="473">
        <v>46073</v>
      </c>
      <c r="F94" s="472" t="s">
        <v>1940</v>
      </c>
      <c r="G94" s="472" t="s">
        <v>194</v>
      </c>
      <c r="H94" s="472" t="s">
        <v>2302</v>
      </c>
      <c r="I94" s="472" t="s">
        <v>1936</v>
      </c>
      <c r="J94" s="485">
        <v>0.84</v>
      </c>
      <c r="K94" s="472">
        <v>0</v>
      </c>
      <c r="L94" s="486">
        <v>0</v>
      </c>
      <c r="M94" s="487">
        <v>0</v>
      </c>
      <c r="N94" s="472">
        <v>0</v>
      </c>
      <c r="O94" s="472">
        <v>0.16276019298478051</v>
      </c>
      <c r="P94" s="484">
        <v>28.869643760628403</v>
      </c>
      <c r="Q94" s="479" t="s">
        <v>1962</v>
      </c>
    </row>
    <row r="95" spans="1:17">
      <c r="A95" s="469">
        <v>46035</v>
      </c>
      <c r="B95" s="484" t="s">
        <v>2175</v>
      </c>
      <c r="C95" s="471" t="s">
        <v>2175</v>
      </c>
      <c r="D95" s="472" t="s">
        <v>2174</v>
      </c>
      <c r="E95" s="473">
        <v>46073</v>
      </c>
      <c r="F95" s="472" t="s">
        <v>1935</v>
      </c>
      <c r="G95" s="472" t="s">
        <v>194</v>
      </c>
      <c r="H95" s="472" t="s">
        <v>2303</v>
      </c>
      <c r="I95" s="472" t="s">
        <v>1936</v>
      </c>
      <c r="J95" s="485">
        <v>0.36</v>
      </c>
      <c r="K95" s="472">
        <v>47.46</v>
      </c>
      <c r="L95" s="486">
        <v>0</v>
      </c>
      <c r="M95" s="487">
        <v>0</v>
      </c>
      <c r="N95" s="472">
        <v>0</v>
      </c>
      <c r="O95" s="472">
        <v>5.4721229809512655E-2</v>
      </c>
      <c r="P95" s="484">
        <v>32.888395465209101</v>
      </c>
      <c r="Q95" s="479" t="s">
        <v>1962</v>
      </c>
    </row>
    <row r="96" spans="1:17">
      <c r="A96" s="469">
        <v>46035</v>
      </c>
      <c r="B96" s="484" t="s">
        <v>2176</v>
      </c>
      <c r="C96" s="471" t="s">
        <v>2176</v>
      </c>
      <c r="D96" s="472" t="s">
        <v>2174</v>
      </c>
      <c r="E96" s="473">
        <v>46073</v>
      </c>
      <c r="F96" s="472" t="s">
        <v>1935</v>
      </c>
      <c r="G96" s="472" t="s">
        <v>194</v>
      </c>
      <c r="H96" s="472" t="s">
        <v>2304</v>
      </c>
      <c r="I96" s="472" t="s">
        <v>1936</v>
      </c>
      <c r="J96" s="485">
        <v>1.08</v>
      </c>
      <c r="K96" s="472">
        <v>50.74</v>
      </c>
      <c r="L96" s="486">
        <v>0</v>
      </c>
      <c r="M96" s="487">
        <v>0</v>
      </c>
      <c r="N96" s="472">
        <v>0</v>
      </c>
      <c r="O96" s="472">
        <v>0.19627267989477457</v>
      </c>
      <c r="P96" s="484">
        <v>30.6205249439274</v>
      </c>
      <c r="Q96" s="479" t="s">
        <v>1962</v>
      </c>
    </row>
    <row r="97" spans="1:17">
      <c r="A97" s="469">
        <v>46035</v>
      </c>
      <c r="B97" s="484" t="s">
        <v>2183</v>
      </c>
      <c r="C97" s="471" t="s">
        <v>2183</v>
      </c>
      <c r="D97" s="472" t="s">
        <v>2131</v>
      </c>
      <c r="E97" s="473">
        <v>46073</v>
      </c>
      <c r="F97" s="472" t="s">
        <v>1935</v>
      </c>
      <c r="G97" s="472" t="s">
        <v>194</v>
      </c>
      <c r="H97" s="472" t="s">
        <v>2305</v>
      </c>
      <c r="I97" s="472" t="s">
        <v>1936</v>
      </c>
      <c r="J97" s="485">
        <v>0.12</v>
      </c>
      <c r="K97" s="472">
        <v>42.88</v>
      </c>
      <c r="L97" s="486">
        <v>0</v>
      </c>
      <c r="M97" s="487">
        <v>0</v>
      </c>
      <c r="N97" s="472">
        <v>0</v>
      </c>
      <c r="O97" s="472">
        <v>1.9298863092771804E-2</v>
      </c>
      <c r="P97" s="484">
        <v>30.114635723999399</v>
      </c>
      <c r="Q97" s="479" t="s">
        <v>1962</v>
      </c>
    </row>
    <row r="98" spans="1:17">
      <c r="A98" s="469">
        <v>46035</v>
      </c>
      <c r="B98" s="484" t="s">
        <v>2184</v>
      </c>
      <c r="C98" s="471" t="s">
        <v>2184</v>
      </c>
      <c r="D98" s="472" t="s">
        <v>2131</v>
      </c>
      <c r="E98" s="473">
        <v>46073</v>
      </c>
      <c r="F98" s="472" t="s">
        <v>1935</v>
      </c>
      <c r="G98" s="472" t="s">
        <v>194</v>
      </c>
      <c r="H98" s="472" t="s">
        <v>2306</v>
      </c>
      <c r="I98" s="472" t="s">
        <v>1936</v>
      </c>
      <c r="J98" s="485">
        <v>0.92</v>
      </c>
      <c r="K98" s="472">
        <v>47.08</v>
      </c>
      <c r="L98" s="486">
        <v>0</v>
      </c>
      <c r="M98" s="487">
        <v>0</v>
      </c>
      <c r="N98" s="472">
        <v>0</v>
      </c>
      <c r="O98" s="472">
        <v>0.15074219664444577</v>
      </c>
      <c r="P98" s="484">
        <v>26.936377535033401</v>
      </c>
      <c r="Q98" s="479" t="s">
        <v>1962</v>
      </c>
    </row>
    <row r="99" spans="1:17">
      <c r="A99" s="469">
        <v>46035</v>
      </c>
      <c r="B99" s="484" t="s">
        <v>2185</v>
      </c>
      <c r="C99" s="471" t="s">
        <v>2185</v>
      </c>
      <c r="D99" s="472" t="s">
        <v>2186</v>
      </c>
      <c r="E99" s="473">
        <v>46038</v>
      </c>
      <c r="F99" s="472" t="s">
        <v>1940</v>
      </c>
      <c r="G99" s="472" t="s">
        <v>194</v>
      </c>
      <c r="H99" s="472" t="s">
        <v>2307</v>
      </c>
      <c r="I99" s="472" t="s">
        <v>1936</v>
      </c>
      <c r="J99" s="485">
        <v>0.13</v>
      </c>
      <c r="K99" s="472">
        <v>0</v>
      </c>
      <c r="L99" s="486">
        <v>0</v>
      </c>
      <c r="M99" s="487">
        <v>0</v>
      </c>
      <c r="N99" s="472">
        <v>0</v>
      </c>
      <c r="O99" s="472">
        <v>1.2482307339048523E-2</v>
      </c>
      <c r="P99" s="484">
        <v>40.167980144962399</v>
      </c>
      <c r="Q99" s="479" t="s">
        <v>1962</v>
      </c>
    </row>
    <row r="100" spans="1:17">
      <c r="A100" s="469">
        <v>46035</v>
      </c>
      <c r="B100" s="484" t="s">
        <v>2187</v>
      </c>
      <c r="C100" s="471" t="s">
        <v>2187</v>
      </c>
      <c r="D100" s="472" t="s">
        <v>2186</v>
      </c>
      <c r="E100" s="473">
        <v>46038</v>
      </c>
      <c r="F100" s="472" t="s">
        <v>1935</v>
      </c>
      <c r="G100" s="472" t="s">
        <v>194</v>
      </c>
      <c r="H100" s="472" t="s">
        <v>2308</v>
      </c>
      <c r="I100" s="472" t="s">
        <v>1936</v>
      </c>
      <c r="J100" s="485">
        <v>0.13</v>
      </c>
      <c r="K100" s="472">
        <v>40.669999999999995</v>
      </c>
      <c r="L100" s="486">
        <v>0</v>
      </c>
      <c r="M100" s="487">
        <v>0</v>
      </c>
      <c r="N100" s="472">
        <v>0</v>
      </c>
      <c r="O100" s="472">
        <v>2.67072997413491E-2</v>
      </c>
      <c r="P100" s="484">
        <v>50.671605240079799</v>
      </c>
      <c r="Q100" s="479" t="s">
        <v>1962</v>
      </c>
    </row>
    <row r="101" spans="1:17">
      <c r="A101" s="469">
        <v>46035</v>
      </c>
      <c r="B101" s="484" t="s">
        <v>2188</v>
      </c>
      <c r="C101" s="471" t="s">
        <v>2188</v>
      </c>
      <c r="D101" s="472" t="s">
        <v>2186</v>
      </c>
      <c r="E101" s="473">
        <v>46038</v>
      </c>
      <c r="F101" s="472" t="s">
        <v>1935</v>
      </c>
      <c r="G101" s="472" t="s">
        <v>194</v>
      </c>
      <c r="H101" s="472" t="s">
        <v>2309</v>
      </c>
      <c r="I101" s="472" t="s">
        <v>1936</v>
      </c>
      <c r="J101" s="485">
        <v>0.99</v>
      </c>
      <c r="K101" s="472">
        <v>42.309999999999995</v>
      </c>
      <c r="L101" s="486">
        <v>0</v>
      </c>
      <c r="M101" s="487">
        <v>0</v>
      </c>
      <c r="N101" s="472">
        <v>0</v>
      </c>
      <c r="O101" s="472">
        <v>0.14382282025252655</v>
      </c>
      <c r="P101" s="484">
        <v>45.7373652101749</v>
      </c>
      <c r="Q101" s="479" t="s">
        <v>1962</v>
      </c>
    </row>
    <row r="102" spans="1:17">
      <c r="A102" s="469">
        <v>46035</v>
      </c>
      <c r="B102" s="470" t="s">
        <v>2193</v>
      </c>
      <c r="C102" s="470" t="s">
        <v>2193</v>
      </c>
      <c r="D102" s="472" t="s">
        <v>2043</v>
      </c>
      <c r="E102" s="473">
        <v>46038</v>
      </c>
      <c r="F102" s="472" t="s">
        <v>1940</v>
      </c>
      <c r="G102" s="472" t="s">
        <v>194</v>
      </c>
      <c r="H102" s="472" t="s">
        <v>2310</v>
      </c>
      <c r="I102" s="472" t="s">
        <v>1936</v>
      </c>
      <c r="J102" s="485">
        <v>0.74</v>
      </c>
      <c r="K102" s="472">
        <v>0</v>
      </c>
      <c r="L102" s="486">
        <v>0</v>
      </c>
      <c r="M102" s="487">
        <v>0</v>
      </c>
      <c r="N102" s="472">
        <v>0</v>
      </c>
      <c r="O102" s="472">
        <v>0.12596527966310506</v>
      </c>
      <c r="P102" s="484">
        <v>39.287373288352299</v>
      </c>
      <c r="Q102" s="479" t="s">
        <v>1962</v>
      </c>
    </row>
    <row r="103" spans="1:17">
      <c r="A103" s="469">
        <v>46035</v>
      </c>
      <c r="B103" s="470" t="s">
        <v>2194</v>
      </c>
      <c r="C103" s="470" t="s">
        <v>2194</v>
      </c>
      <c r="D103" s="472" t="s">
        <v>2043</v>
      </c>
      <c r="E103" s="473">
        <v>46038</v>
      </c>
      <c r="F103" s="472" t="s">
        <v>1940</v>
      </c>
      <c r="G103" s="472" t="s">
        <v>194</v>
      </c>
      <c r="H103" s="472" t="s">
        <v>2311</v>
      </c>
      <c r="I103" s="472" t="s">
        <v>1936</v>
      </c>
      <c r="J103" s="485">
        <v>0.31</v>
      </c>
      <c r="K103" s="472">
        <v>0</v>
      </c>
      <c r="L103" s="486">
        <v>0</v>
      </c>
      <c r="M103" s="487">
        <v>0</v>
      </c>
      <c r="N103" s="472">
        <v>0</v>
      </c>
      <c r="O103" s="472">
        <v>5.1920986929643184E-2</v>
      </c>
      <c r="P103" s="484">
        <v>33.184926204227594</v>
      </c>
      <c r="Q103" s="479" t="s">
        <v>1962</v>
      </c>
    </row>
    <row r="104" spans="1:17">
      <c r="A104" s="469">
        <v>46035</v>
      </c>
      <c r="B104" s="470" t="s">
        <v>2195</v>
      </c>
      <c r="C104" s="470" t="s">
        <v>2195</v>
      </c>
      <c r="D104" s="472" t="s">
        <v>2196</v>
      </c>
      <c r="E104" s="473">
        <v>46073</v>
      </c>
      <c r="F104" s="472" t="s">
        <v>1935</v>
      </c>
      <c r="G104" s="472" t="s">
        <v>194</v>
      </c>
      <c r="H104" s="472" t="s">
        <v>2312</v>
      </c>
      <c r="I104" s="472" t="s">
        <v>1936</v>
      </c>
      <c r="J104" s="485">
        <v>0.79</v>
      </c>
      <c r="K104" s="472">
        <v>49.59</v>
      </c>
      <c r="L104" s="486">
        <v>0</v>
      </c>
      <c r="M104" s="487">
        <v>0</v>
      </c>
      <c r="N104" s="472">
        <v>0</v>
      </c>
      <c r="O104" s="472">
        <v>0.15102230802939631</v>
      </c>
      <c r="P104" s="484">
        <v>24.138687387047501</v>
      </c>
      <c r="Q104" s="479" t="s">
        <v>1962</v>
      </c>
    </row>
    <row r="105" spans="1:17">
      <c r="A105" s="469">
        <v>46035</v>
      </c>
      <c r="B105" s="470" t="s">
        <v>2208</v>
      </c>
      <c r="C105" s="470" t="s">
        <v>2208</v>
      </c>
      <c r="D105" s="472" t="s">
        <v>2043</v>
      </c>
      <c r="E105" s="473">
        <v>46038</v>
      </c>
      <c r="F105" s="472" t="s">
        <v>1940</v>
      </c>
      <c r="G105" s="472" t="s">
        <v>194</v>
      </c>
      <c r="H105" s="472" t="s">
        <v>2313</v>
      </c>
      <c r="I105" s="472" t="s">
        <v>1936</v>
      </c>
      <c r="J105" s="485">
        <v>0.17</v>
      </c>
      <c r="K105" s="472">
        <v>0</v>
      </c>
      <c r="L105" s="486">
        <v>0</v>
      </c>
      <c r="M105" s="487">
        <v>0</v>
      </c>
      <c r="N105" s="472">
        <v>0</v>
      </c>
      <c r="O105" s="472">
        <v>2.5575893033135646E-2</v>
      </c>
      <c r="P105" s="484">
        <v>30.4060720809338</v>
      </c>
      <c r="Q105" s="479" t="s">
        <v>1962</v>
      </c>
    </row>
    <row r="106" spans="1:17">
      <c r="A106" s="469">
        <v>46035</v>
      </c>
      <c r="B106" s="470" t="s">
        <v>2209</v>
      </c>
      <c r="C106" s="470" t="s">
        <v>2209</v>
      </c>
      <c r="D106" s="472" t="s">
        <v>2043</v>
      </c>
      <c r="E106" s="473">
        <v>46038</v>
      </c>
      <c r="F106" s="472" t="s">
        <v>1935</v>
      </c>
      <c r="G106" s="472" t="s">
        <v>194</v>
      </c>
      <c r="H106" s="472" t="s">
        <v>2314</v>
      </c>
      <c r="I106" s="472" t="s">
        <v>1936</v>
      </c>
      <c r="J106" s="485">
        <v>0.01</v>
      </c>
      <c r="K106" s="472">
        <v>13.01</v>
      </c>
      <c r="L106" s="486">
        <v>0</v>
      </c>
      <c r="M106" s="487">
        <v>0</v>
      </c>
      <c r="N106" s="472">
        <v>0</v>
      </c>
      <c r="O106" s="472">
        <v>2.2316000716492834E-4</v>
      </c>
      <c r="P106" s="484">
        <v>43.937098106713201</v>
      </c>
      <c r="Q106" s="479" t="s">
        <v>1962</v>
      </c>
    </row>
    <row r="107" spans="1:17">
      <c r="A107" s="469">
        <v>46035</v>
      </c>
      <c r="B107" s="470" t="s">
        <v>2210</v>
      </c>
      <c r="C107" s="470" t="s">
        <v>2210</v>
      </c>
      <c r="D107" s="472" t="s">
        <v>2043</v>
      </c>
      <c r="E107" s="473">
        <v>46038</v>
      </c>
      <c r="F107" s="472" t="s">
        <v>1935</v>
      </c>
      <c r="G107" s="472" t="s">
        <v>194</v>
      </c>
      <c r="H107" s="472" t="s">
        <v>2315</v>
      </c>
      <c r="I107" s="472" t="s">
        <v>1936</v>
      </c>
      <c r="J107" s="485">
        <v>0.02</v>
      </c>
      <c r="K107" s="472">
        <v>13.75</v>
      </c>
      <c r="L107" s="486">
        <v>0</v>
      </c>
      <c r="M107" s="487">
        <v>0</v>
      </c>
      <c r="N107" s="472">
        <v>0</v>
      </c>
      <c r="O107" s="472">
        <v>4.0641865757432647E-3</v>
      </c>
      <c r="P107" s="484">
        <v>41.100861542901704</v>
      </c>
      <c r="Q107" s="479" t="s">
        <v>1962</v>
      </c>
    </row>
    <row r="108" spans="1:17">
      <c r="A108" s="469">
        <v>46035</v>
      </c>
      <c r="B108" s="470" t="s">
        <v>2211</v>
      </c>
      <c r="C108" s="470" t="s">
        <v>2211</v>
      </c>
      <c r="D108" s="472" t="s">
        <v>2212</v>
      </c>
      <c r="E108" s="473">
        <v>46038</v>
      </c>
      <c r="F108" s="472" t="s">
        <v>1940</v>
      </c>
      <c r="G108" s="472" t="s">
        <v>194</v>
      </c>
      <c r="H108" s="472" t="s">
        <v>2316</v>
      </c>
      <c r="I108" s="472" t="s">
        <v>1936</v>
      </c>
      <c r="J108" s="485">
        <v>7.0000000000000007E-2</v>
      </c>
      <c r="K108" s="472">
        <v>0</v>
      </c>
      <c r="L108" s="486">
        <v>0</v>
      </c>
      <c r="M108" s="487">
        <v>0</v>
      </c>
      <c r="N108" s="472">
        <v>0</v>
      </c>
      <c r="O108" s="472">
        <v>1.8862023796388402E-2</v>
      </c>
      <c r="P108" s="484">
        <v>24.6239272850475</v>
      </c>
      <c r="Q108" s="479" t="s">
        <v>1962</v>
      </c>
    </row>
    <row r="109" spans="1:17">
      <c r="A109" s="469">
        <v>46035</v>
      </c>
      <c r="B109" s="470" t="s">
        <v>2217</v>
      </c>
      <c r="C109" s="471" t="s">
        <v>2217</v>
      </c>
      <c r="D109" s="472" t="s">
        <v>2212</v>
      </c>
      <c r="E109" s="473">
        <v>46038</v>
      </c>
      <c r="F109" s="472" t="s">
        <v>1940</v>
      </c>
      <c r="G109" s="472" t="s">
        <v>194</v>
      </c>
      <c r="H109" s="472" t="s">
        <v>2317</v>
      </c>
      <c r="I109" s="472" t="s">
        <v>1936</v>
      </c>
      <c r="J109" s="485">
        <v>0.85</v>
      </c>
      <c r="K109" s="472">
        <v>0</v>
      </c>
      <c r="L109" s="486">
        <v>0</v>
      </c>
      <c r="M109" s="487">
        <v>0</v>
      </c>
      <c r="N109" s="472">
        <v>0</v>
      </c>
      <c r="O109" s="472">
        <v>0.16567135910626846</v>
      </c>
      <c r="P109" s="484">
        <v>24.796350262877798</v>
      </c>
      <c r="Q109" s="479" t="s">
        <v>1962</v>
      </c>
    </row>
    <row r="110" spans="1:17">
      <c r="A110" s="469">
        <v>46035</v>
      </c>
      <c r="B110" s="470" t="s">
        <v>2218</v>
      </c>
      <c r="C110" s="470" t="s">
        <v>2218</v>
      </c>
      <c r="D110" s="472" t="s">
        <v>1963</v>
      </c>
      <c r="E110" s="473">
        <v>46073</v>
      </c>
      <c r="F110" s="472" t="s">
        <v>1935</v>
      </c>
      <c r="G110" s="472" t="s">
        <v>194</v>
      </c>
      <c r="H110" s="472" t="s">
        <v>2318</v>
      </c>
      <c r="I110" s="472" t="s">
        <v>1936</v>
      </c>
      <c r="J110" s="485">
        <v>0.02</v>
      </c>
      <c r="K110" s="472">
        <v>11.4</v>
      </c>
      <c r="L110" s="486">
        <v>0</v>
      </c>
      <c r="M110" s="487">
        <v>0</v>
      </c>
      <c r="N110" s="472">
        <v>0</v>
      </c>
      <c r="O110" s="472">
        <v>4.0108436037326681E-3</v>
      </c>
      <c r="P110" s="484">
        <v>34.915305921143798</v>
      </c>
      <c r="Q110" s="479" t="s">
        <v>1962</v>
      </c>
    </row>
    <row r="111" spans="1:17">
      <c r="A111" s="469">
        <v>46035</v>
      </c>
      <c r="B111" s="470" t="s">
        <v>2219</v>
      </c>
      <c r="C111" s="470" t="s">
        <v>2219</v>
      </c>
      <c r="D111" s="472" t="s">
        <v>1963</v>
      </c>
      <c r="E111" s="473">
        <v>46073</v>
      </c>
      <c r="F111" s="472" t="s">
        <v>1935</v>
      </c>
      <c r="G111" s="472" t="s">
        <v>194</v>
      </c>
      <c r="H111" s="472" t="s">
        <v>2319</v>
      </c>
      <c r="I111" s="472" t="s">
        <v>1936</v>
      </c>
      <c r="J111" s="485">
        <v>0.1</v>
      </c>
      <c r="K111" s="472">
        <v>12.57</v>
      </c>
      <c r="L111" s="486">
        <v>0</v>
      </c>
      <c r="M111" s="487">
        <v>0</v>
      </c>
      <c r="N111" s="472">
        <v>0</v>
      </c>
      <c r="O111" s="472">
        <v>1.9217473116733393E-2</v>
      </c>
      <c r="P111" s="484">
        <v>29.420891239152301</v>
      </c>
      <c r="Q111" s="479" t="s">
        <v>1962</v>
      </c>
    </row>
    <row r="112" spans="1:17">
      <c r="A112" s="469">
        <v>46035</v>
      </c>
      <c r="B112" s="470" t="s">
        <v>2220</v>
      </c>
      <c r="C112" s="470" t="s">
        <v>2220</v>
      </c>
      <c r="D112" s="472" t="s">
        <v>1963</v>
      </c>
      <c r="E112" s="473">
        <v>46073</v>
      </c>
      <c r="F112" s="472" t="s">
        <v>1935</v>
      </c>
      <c r="G112" s="472" t="s">
        <v>194</v>
      </c>
      <c r="H112" s="472" t="s">
        <v>2320</v>
      </c>
      <c r="I112" s="472" t="s">
        <v>1936</v>
      </c>
      <c r="J112" s="485">
        <v>0.35</v>
      </c>
      <c r="K112" s="472">
        <v>13.32</v>
      </c>
      <c r="L112" s="486">
        <v>0</v>
      </c>
      <c r="M112" s="487">
        <v>0</v>
      </c>
      <c r="N112" s="472">
        <v>0</v>
      </c>
      <c r="O112" s="472">
        <v>6.5005310478866152E-2</v>
      </c>
      <c r="P112" s="484">
        <v>26.625470076081999</v>
      </c>
      <c r="Q112" s="479" t="s">
        <v>1962</v>
      </c>
    </row>
    <row r="113" spans="1:17">
      <c r="A113" s="469">
        <v>46035</v>
      </c>
      <c r="B113" s="470" t="s">
        <v>2221</v>
      </c>
      <c r="C113" s="470" t="s">
        <v>2221</v>
      </c>
      <c r="D113" s="472" t="s">
        <v>2222</v>
      </c>
      <c r="E113" s="473">
        <v>46073</v>
      </c>
      <c r="F113" s="472" t="s">
        <v>1935</v>
      </c>
      <c r="G113" s="472" t="s">
        <v>194</v>
      </c>
      <c r="H113" s="472" t="s">
        <v>2321</v>
      </c>
      <c r="I113" s="472" t="s">
        <v>1936</v>
      </c>
      <c r="J113" s="485">
        <v>0.16</v>
      </c>
      <c r="K113" s="472">
        <v>11.879999999999999</v>
      </c>
      <c r="L113" s="486">
        <v>0</v>
      </c>
      <c r="M113" s="487">
        <v>0</v>
      </c>
      <c r="N113" s="472">
        <v>0</v>
      </c>
      <c r="O113" s="472">
        <v>2.7894928103656739E-2</v>
      </c>
      <c r="P113" s="484">
        <v>37.550165046771703</v>
      </c>
      <c r="Q113" s="479" t="s">
        <v>1962</v>
      </c>
    </row>
    <row r="114" spans="1:17">
      <c r="A114" s="469">
        <v>46035</v>
      </c>
      <c r="B114" s="470" t="s">
        <v>2223</v>
      </c>
      <c r="C114" s="470" t="s">
        <v>2223</v>
      </c>
      <c r="D114" s="472" t="s">
        <v>2222</v>
      </c>
      <c r="E114" s="473">
        <v>46073</v>
      </c>
      <c r="F114" s="472" t="s">
        <v>1935</v>
      </c>
      <c r="G114" s="472" t="s">
        <v>194</v>
      </c>
      <c r="H114" s="472" t="s">
        <v>2322</v>
      </c>
      <c r="I114" s="472" t="s">
        <v>1936</v>
      </c>
      <c r="J114" s="485">
        <v>0.44</v>
      </c>
      <c r="K114" s="472">
        <v>12.6</v>
      </c>
      <c r="L114" s="486">
        <v>0</v>
      </c>
      <c r="M114" s="487">
        <v>0</v>
      </c>
      <c r="N114" s="472">
        <v>0</v>
      </c>
      <c r="O114" s="472">
        <v>7.9157074322602536E-2</v>
      </c>
      <c r="P114" s="484">
        <v>35.820109793672799</v>
      </c>
      <c r="Q114" s="479" t="s">
        <v>1962</v>
      </c>
    </row>
    <row r="115" spans="1:17">
      <c r="A115" s="469">
        <v>46035</v>
      </c>
      <c r="B115" s="471" t="s">
        <v>2323</v>
      </c>
      <c r="C115" s="471" t="s">
        <v>2323</v>
      </c>
      <c r="D115" s="472" t="s">
        <v>2131</v>
      </c>
      <c r="E115" s="473">
        <v>46073</v>
      </c>
      <c r="F115" s="472" t="s">
        <v>1940</v>
      </c>
      <c r="G115" s="472" t="s">
        <v>194</v>
      </c>
      <c r="H115" s="472" t="s">
        <v>2324</v>
      </c>
      <c r="I115" s="472" t="s">
        <v>1936</v>
      </c>
      <c r="J115" s="485">
        <v>0.42</v>
      </c>
      <c r="K115" s="472">
        <v>0</v>
      </c>
      <c r="L115" s="486">
        <v>0</v>
      </c>
      <c r="M115" s="487">
        <v>0</v>
      </c>
      <c r="N115" s="472">
        <v>0</v>
      </c>
      <c r="O115" s="472">
        <v>4.7322174736744563E-2</v>
      </c>
      <c r="P115" s="484">
        <v>23.071960141749798</v>
      </c>
      <c r="Q115" s="479" t="s">
        <v>1962</v>
      </c>
    </row>
    <row r="116" spans="1:17">
      <c r="A116" s="469">
        <v>46035</v>
      </c>
      <c r="B116" s="471" t="s">
        <v>2325</v>
      </c>
      <c r="C116" s="471" t="s">
        <v>2325</v>
      </c>
      <c r="D116" s="472" t="s">
        <v>2131</v>
      </c>
      <c r="E116" s="473">
        <v>46073</v>
      </c>
      <c r="F116" s="472" t="s">
        <v>1935</v>
      </c>
      <c r="G116" s="472" t="s">
        <v>194</v>
      </c>
      <c r="H116" s="472" t="s">
        <v>2326</v>
      </c>
      <c r="I116" s="472" t="s">
        <v>1936</v>
      </c>
      <c r="J116" s="485">
        <v>0.38</v>
      </c>
      <c r="K116" s="472">
        <v>46.62</v>
      </c>
      <c r="L116" s="486">
        <v>0</v>
      </c>
      <c r="M116" s="487">
        <v>0</v>
      </c>
      <c r="N116" s="472">
        <v>0</v>
      </c>
      <c r="O116" s="472">
        <v>0.10539833076760602</v>
      </c>
      <c r="P116" s="484">
        <v>27.5812563014494</v>
      </c>
      <c r="Q116" s="479" t="s">
        <v>1962</v>
      </c>
    </row>
    <row r="117" spans="1:17">
      <c r="A117" s="469">
        <v>46035</v>
      </c>
      <c r="B117" s="471" t="s">
        <v>2327</v>
      </c>
      <c r="C117" s="471" t="s">
        <v>2327</v>
      </c>
      <c r="D117" s="472" t="s">
        <v>2131</v>
      </c>
      <c r="E117" s="473">
        <v>46073</v>
      </c>
      <c r="F117" s="472" t="s">
        <v>1935</v>
      </c>
      <c r="G117" s="472" t="s">
        <v>194</v>
      </c>
      <c r="H117" s="472" t="s">
        <v>2328</v>
      </c>
      <c r="I117" s="472" t="s">
        <v>1936</v>
      </c>
      <c r="J117" s="485">
        <v>2</v>
      </c>
      <c r="K117" s="472">
        <v>48.5</v>
      </c>
      <c r="L117" s="486">
        <v>0</v>
      </c>
      <c r="M117" s="487">
        <v>0</v>
      </c>
      <c r="N117" s="472">
        <v>0</v>
      </c>
      <c r="O117" s="472">
        <v>0.330075494171858</v>
      </c>
      <c r="P117" s="484">
        <v>25.3593339193737</v>
      </c>
      <c r="Q117" s="479" t="s">
        <v>1962</v>
      </c>
    </row>
    <row r="118" spans="1:17">
      <c r="A118" s="469">
        <v>46035</v>
      </c>
      <c r="B118" s="470" t="s">
        <v>2329</v>
      </c>
      <c r="C118" s="470" t="s">
        <v>2329</v>
      </c>
      <c r="D118" s="472" t="s">
        <v>1961</v>
      </c>
      <c r="E118" s="473">
        <v>46101</v>
      </c>
      <c r="F118" s="472" t="s">
        <v>1940</v>
      </c>
      <c r="G118" s="472" t="s">
        <v>194</v>
      </c>
      <c r="H118" s="472" t="s">
        <v>2330</v>
      </c>
      <c r="I118" s="472" t="s">
        <v>1936</v>
      </c>
      <c r="J118" s="485">
        <v>0.82</v>
      </c>
      <c r="K118" s="472">
        <v>0</v>
      </c>
      <c r="L118" s="486">
        <v>0</v>
      </c>
      <c r="M118" s="487">
        <v>0</v>
      </c>
      <c r="N118" s="472">
        <v>0</v>
      </c>
      <c r="O118" s="472">
        <v>7.4378673948254148E-2</v>
      </c>
      <c r="P118" s="484">
        <v>28.2562974313593</v>
      </c>
      <c r="Q118" s="479" t="s">
        <v>1962</v>
      </c>
    </row>
    <row r="119" spans="1:17">
      <c r="A119" s="469">
        <v>46035</v>
      </c>
      <c r="B119" s="470" t="s">
        <v>2331</v>
      </c>
      <c r="C119" s="470" t="s">
        <v>2331</v>
      </c>
      <c r="D119" s="472" t="s">
        <v>1961</v>
      </c>
      <c r="E119" s="473">
        <v>46101</v>
      </c>
      <c r="F119" s="472" t="s">
        <v>1935</v>
      </c>
      <c r="G119" s="472" t="s">
        <v>194</v>
      </c>
      <c r="H119" s="472" t="s">
        <v>2332</v>
      </c>
      <c r="I119" s="472" t="s">
        <v>1936</v>
      </c>
      <c r="J119" s="485">
        <v>0.46</v>
      </c>
      <c r="K119" s="472">
        <v>20.849999999999998</v>
      </c>
      <c r="L119" s="486">
        <v>0</v>
      </c>
      <c r="M119" s="487">
        <v>0</v>
      </c>
      <c r="N119" s="472">
        <v>0</v>
      </c>
      <c r="O119" s="472">
        <v>8.9672628296490781E-2</v>
      </c>
      <c r="P119" s="484">
        <v>32.216786299351199</v>
      </c>
      <c r="Q119" s="479" t="s">
        <v>1962</v>
      </c>
    </row>
    <row r="120" spans="1:17">
      <c r="A120" s="469">
        <v>46035</v>
      </c>
      <c r="B120" s="470" t="s">
        <v>2333</v>
      </c>
      <c r="C120" s="470" t="s">
        <v>2333</v>
      </c>
      <c r="D120" s="472" t="s">
        <v>1961</v>
      </c>
      <c r="E120" s="473">
        <v>46101</v>
      </c>
      <c r="F120" s="472" t="s">
        <v>1935</v>
      </c>
      <c r="G120" s="472" t="s">
        <v>194</v>
      </c>
      <c r="H120" s="472" t="s">
        <v>2334</v>
      </c>
      <c r="I120" s="472" t="s">
        <v>1936</v>
      </c>
      <c r="J120" s="485">
        <v>1.26</v>
      </c>
      <c r="K120" s="472">
        <v>22.049999999999997</v>
      </c>
      <c r="L120" s="486">
        <v>0</v>
      </c>
      <c r="M120" s="487">
        <v>0</v>
      </c>
      <c r="N120" s="472">
        <v>0</v>
      </c>
      <c r="O120" s="472">
        <v>0.22410430414248575</v>
      </c>
      <c r="P120" s="484">
        <v>30.1277424467469</v>
      </c>
      <c r="Q120" s="479" t="s">
        <v>1962</v>
      </c>
    </row>
    <row r="121" spans="1:17">
      <c r="A121" s="469">
        <v>46035</v>
      </c>
      <c r="B121" s="470" t="s">
        <v>2335</v>
      </c>
      <c r="C121" s="470" t="s">
        <v>2335</v>
      </c>
      <c r="D121" s="472" t="s">
        <v>2336</v>
      </c>
      <c r="E121" s="473">
        <v>46073</v>
      </c>
      <c r="F121" s="472" t="s">
        <v>1940</v>
      </c>
      <c r="G121" s="472" t="s">
        <v>194</v>
      </c>
      <c r="H121" s="472" t="s">
        <v>2337</v>
      </c>
      <c r="I121" s="472" t="s">
        <v>1936</v>
      </c>
      <c r="J121" s="485">
        <v>2.4500000000000002</v>
      </c>
      <c r="K121" s="472">
        <v>0</v>
      </c>
      <c r="L121" s="486">
        <v>0</v>
      </c>
      <c r="M121" s="487">
        <v>0</v>
      </c>
      <c r="N121" s="472">
        <v>0</v>
      </c>
      <c r="O121" s="472">
        <v>0.45451247007988593</v>
      </c>
      <c r="P121" s="484">
        <v>22.553066462454002</v>
      </c>
      <c r="Q121" s="479" t="s">
        <v>1962</v>
      </c>
    </row>
    <row r="122" spans="1:17">
      <c r="A122" s="469">
        <v>46035</v>
      </c>
      <c r="B122" s="470" t="s">
        <v>2338</v>
      </c>
      <c r="C122" s="470" t="s">
        <v>2338</v>
      </c>
      <c r="D122" s="472" t="s">
        <v>2336</v>
      </c>
      <c r="E122" s="473">
        <v>46073</v>
      </c>
      <c r="F122" s="472" t="s">
        <v>1940</v>
      </c>
      <c r="G122" s="472" t="s">
        <v>194</v>
      </c>
      <c r="H122" s="472" t="s">
        <v>2339</v>
      </c>
      <c r="I122" s="472" t="s">
        <v>1936</v>
      </c>
      <c r="J122" s="485">
        <v>0.83</v>
      </c>
      <c r="K122" s="472">
        <v>0</v>
      </c>
      <c r="L122" s="486">
        <v>0</v>
      </c>
      <c r="M122" s="487">
        <v>0</v>
      </c>
      <c r="N122" s="472">
        <v>0</v>
      </c>
      <c r="O122" s="472">
        <v>0.14569468071422756</v>
      </c>
      <c r="P122" s="484">
        <v>23.743368103383201</v>
      </c>
      <c r="Q122" s="479" t="s">
        <v>1962</v>
      </c>
    </row>
    <row r="123" spans="1:17">
      <c r="A123" s="469">
        <v>46035</v>
      </c>
      <c r="B123" s="494" t="s">
        <v>2362</v>
      </c>
      <c r="C123" s="494" t="s">
        <v>2362</v>
      </c>
      <c r="D123" s="472" t="s">
        <v>1963</v>
      </c>
      <c r="E123" s="473">
        <v>46073</v>
      </c>
      <c r="F123" s="472" t="s">
        <v>1940</v>
      </c>
      <c r="G123" s="472" t="s">
        <v>194</v>
      </c>
      <c r="H123" s="472" t="s">
        <v>2363</v>
      </c>
      <c r="I123" s="472" t="s">
        <v>1936</v>
      </c>
      <c r="J123" s="485">
        <v>0.15</v>
      </c>
      <c r="K123" s="472">
        <v>0</v>
      </c>
      <c r="L123" s="486">
        <v>0</v>
      </c>
      <c r="M123" s="487">
        <v>0</v>
      </c>
      <c r="N123" s="472">
        <v>0</v>
      </c>
      <c r="O123" s="472">
        <v>3.1505862186782474E-2</v>
      </c>
      <c r="P123" s="484">
        <v>28.502934259530001</v>
      </c>
      <c r="Q123" s="479" t="s">
        <v>1962</v>
      </c>
    </row>
    <row r="124" spans="1:17">
      <c r="A124" s="469">
        <v>46035</v>
      </c>
      <c r="B124" s="494" t="s">
        <v>2364</v>
      </c>
      <c r="C124" s="494" t="s">
        <v>2364</v>
      </c>
      <c r="D124" s="472" t="s">
        <v>2028</v>
      </c>
      <c r="E124" s="473">
        <v>46071</v>
      </c>
      <c r="F124" s="472" t="s">
        <v>1935</v>
      </c>
      <c r="G124" s="472" t="s">
        <v>194</v>
      </c>
      <c r="H124" s="472" t="s">
        <v>2365</v>
      </c>
      <c r="I124" s="472" t="s">
        <v>1936</v>
      </c>
      <c r="J124" s="485">
        <v>1695</v>
      </c>
      <c r="K124" s="472">
        <v>159305</v>
      </c>
      <c r="L124" s="486">
        <v>0</v>
      </c>
      <c r="M124" s="487">
        <v>0</v>
      </c>
      <c r="N124" s="472">
        <v>0</v>
      </c>
      <c r="O124" s="472">
        <v>335.29247526276561</v>
      </c>
      <c r="P124" s="484">
        <v>15.1398718223555</v>
      </c>
      <c r="Q124" s="479" t="s">
        <v>1962</v>
      </c>
    </row>
    <row r="125" spans="1:17">
      <c r="A125" s="469">
        <v>46035</v>
      </c>
      <c r="B125" s="494" t="s">
        <v>2366</v>
      </c>
      <c r="C125" s="494" t="s">
        <v>2366</v>
      </c>
      <c r="D125" s="472" t="s">
        <v>2151</v>
      </c>
      <c r="E125" s="473">
        <v>46073</v>
      </c>
      <c r="F125" s="472" t="s">
        <v>1935</v>
      </c>
      <c r="G125" s="472" t="s">
        <v>194</v>
      </c>
      <c r="H125" s="472" t="s">
        <v>2367</v>
      </c>
      <c r="I125" s="472" t="s">
        <v>1936</v>
      </c>
      <c r="J125" s="485">
        <v>0.89</v>
      </c>
      <c r="K125" s="472">
        <v>107.11</v>
      </c>
      <c r="L125" s="486">
        <v>0</v>
      </c>
      <c r="M125" s="487">
        <v>0</v>
      </c>
      <c r="N125" s="472">
        <v>0</v>
      </c>
      <c r="O125" s="472">
        <v>0.19658489269551405</v>
      </c>
      <c r="P125" s="484">
        <v>23.921009238802696</v>
      </c>
      <c r="Q125" s="479" t="s">
        <v>1962</v>
      </c>
    </row>
    <row r="126" spans="1:17">
      <c r="A126" s="469">
        <v>46035</v>
      </c>
      <c r="B126" s="494" t="s">
        <v>2368</v>
      </c>
      <c r="C126" s="494" t="s">
        <v>2368</v>
      </c>
      <c r="D126" s="472" t="s">
        <v>2151</v>
      </c>
      <c r="E126" s="473">
        <v>46073</v>
      </c>
      <c r="F126" s="472" t="s">
        <v>1935</v>
      </c>
      <c r="G126" s="472" t="s">
        <v>194</v>
      </c>
      <c r="H126" s="472" t="s">
        <v>2369</v>
      </c>
      <c r="I126" s="472" t="s">
        <v>1936</v>
      </c>
      <c r="J126" s="485">
        <v>2.2999999999999998</v>
      </c>
      <c r="K126" s="472">
        <v>110.7</v>
      </c>
      <c r="L126" s="486">
        <v>0</v>
      </c>
      <c r="M126" s="487">
        <v>0</v>
      </c>
      <c r="N126" s="472">
        <v>0</v>
      </c>
      <c r="O126" s="472">
        <v>0.45125907568373713</v>
      </c>
      <c r="P126" s="484">
        <v>22.024112537976801</v>
      </c>
      <c r="Q126" s="479" t="s">
        <v>1962</v>
      </c>
    </row>
  </sheetData>
  <conditionalFormatting sqref="B61:B101">
    <cfRule type="duplicateValues" dxfId="41" priority="31" stopIfTrue="1"/>
    <cfRule type="duplicateValues" dxfId="40" priority="32"/>
  </conditionalFormatting>
  <conditionalFormatting sqref="B68:B70">
    <cfRule type="duplicateValues" dxfId="39" priority="30"/>
  </conditionalFormatting>
  <conditionalFormatting sqref="B115:B117">
    <cfRule type="duplicateValues" dxfId="38" priority="6"/>
  </conditionalFormatting>
  <conditionalFormatting sqref="B118:B122 B1:B114">
    <cfRule type="duplicateValues" dxfId="37" priority="19"/>
  </conditionalFormatting>
  <conditionalFormatting sqref="B118:B122 B53:B114 B1">
    <cfRule type="duplicateValues" dxfId="36" priority="23" stopIfTrue="1"/>
    <cfRule type="duplicateValues" dxfId="35" priority="24"/>
  </conditionalFormatting>
  <conditionalFormatting sqref="B118:B122 B53:B114 B1:B17">
    <cfRule type="duplicateValues" dxfId="34" priority="25"/>
  </conditionalFormatting>
  <conditionalFormatting sqref="C2:C101">
    <cfRule type="duplicateValues" dxfId="33" priority="38"/>
  </conditionalFormatting>
  <conditionalFormatting sqref="C6:C60">
    <cfRule type="duplicateValues" dxfId="32" priority="37"/>
  </conditionalFormatting>
  <conditionalFormatting sqref="C61:C101">
    <cfRule type="duplicateValues" dxfId="31" priority="33" stopIfTrue="1"/>
    <cfRule type="duplicateValues" dxfId="30" priority="34"/>
  </conditionalFormatting>
  <conditionalFormatting sqref="C71:C73">
    <cfRule type="duplicateValues" dxfId="29" priority="21" stopIfTrue="1"/>
    <cfRule type="duplicateValues" dxfId="28" priority="22"/>
  </conditionalFormatting>
  <conditionalFormatting sqref="C74:C78">
    <cfRule type="duplicateValues" dxfId="27" priority="28" stopIfTrue="1"/>
    <cfRule type="duplicateValues" dxfId="26" priority="29"/>
  </conditionalFormatting>
  <conditionalFormatting sqref="C79:C89">
    <cfRule type="duplicateValues" dxfId="25" priority="26"/>
    <cfRule type="duplicateValues" dxfId="24" priority="27" stopIfTrue="1"/>
  </conditionalFormatting>
  <conditionalFormatting sqref="C90:C91">
    <cfRule type="duplicateValues" dxfId="23" priority="15"/>
    <cfRule type="duplicateValues" dxfId="22" priority="16" stopIfTrue="1"/>
    <cfRule type="duplicateValues" dxfId="21" priority="17"/>
    <cfRule type="duplicateValues" dxfId="20" priority="18"/>
  </conditionalFormatting>
  <conditionalFormatting sqref="C102:C104">
    <cfRule type="duplicateValues" dxfId="19" priority="35"/>
    <cfRule type="duplicateValues" dxfId="18" priority="36" stopIfTrue="1"/>
  </conditionalFormatting>
  <conditionalFormatting sqref="C105:C108">
    <cfRule type="duplicateValues" dxfId="17" priority="11"/>
    <cfRule type="duplicateValues" dxfId="16" priority="12" stopIfTrue="1"/>
    <cfRule type="duplicateValues" dxfId="15" priority="13"/>
    <cfRule type="duplicateValues" dxfId="14" priority="14"/>
  </conditionalFormatting>
  <conditionalFormatting sqref="C109 C115:C117 C1:C101">
    <cfRule type="duplicateValues" dxfId="13" priority="20"/>
  </conditionalFormatting>
  <conditionalFormatting sqref="C110:C114">
    <cfRule type="duplicateValues" dxfId="12" priority="7"/>
    <cfRule type="duplicateValues" dxfId="11" priority="8" stopIfTrue="1"/>
    <cfRule type="duplicateValues" dxfId="10" priority="9"/>
    <cfRule type="duplicateValues" dxfId="9" priority="10"/>
  </conditionalFormatting>
  <conditionalFormatting sqref="C118:C122">
    <cfRule type="duplicateValues" dxfId="8" priority="2"/>
    <cfRule type="duplicateValues" dxfId="7" priority="3" stopIfTrue="1"/>
    <cfRule type="duplicateValues" dxfId="6" priority="4"/>
    <cfRule type="duplicateValues" dxfId="5" priority="5"/>
  </conditionalFormatting>
  <conditionalFormatting sqref="L1:M126">
    <cfRule type="cellIs" dxfId="4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CDS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2026-01-14T21:21:35Z</dcterms:modified>
  <cp:category/>
  <cp:contentStatus/>
</cp:coreProperties>
</file>